
<file path=[Content_Types].xml><?xml version="1.0" encoding="utf-8"?>
<Types xmlns="http://schemas.openxmlformats.org/package/2006/content-types">
  <Override PartName="/xl/charts/chart6.xml" ContentType="application/vnd.openxmlformats-officedocument.drawingml.chart+xml"/>
  <Override PartName="/xl/worksheets/sheet9.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Default Extension="jpeg" ContentType="image/jpeg"/>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bookViews>
    <workbookView xWindow="0" yWindow="0" windowWidth="20730" windowHeight="11760" activeTab="8"/>
  </bookViews>
  <sheets>
    <sheet name="Титул" sheetId="19" r:id="rId1"/>
    <sheet name="Інструкція" sheetId="2" r:id="rId2"/>
    <sheet name="0_Загальне" sheetId="3" r:id="rId3"/>
    <sheet name="Законод" sheetId="7" r:id="rId4"/>
    <sheet name="01_Доходи" sheetId="4" r:id="rId5"/>
    <sheet name="02_Видатки" sheetId="17" r:id="rId6"/>
    <sheet name="03_МТО" sheetId="13" r:id="rId7"/>
    <sheet name="04_Фін_стійкість" sheetId="1" r:id="rId8"/>
    <sheet name="05_Фін_план" sheetId="8" r:id="rId9"/>
    <sheet name="ДРУК" sheetId="10" r:id="rId10"/>
    <sheet name="Графіки" sheetId="18"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XGRAPH3" localSheetId="5" hidden="1">[1]GDP!#REF!</definedName>
    <definedName name="__123Graph_XGRAPH3" localSheetId="0" hidden="1">[1]GDP!#REF!</definedName>
    <definedName name="__123Graph_XGRAPH3" hidden="1">[1]GDP!#REF!</definedName>
    <definedName name="_xlnm._FilterDatabase" localSheetId="6" hidden="1">'03_МТО'!$B$20:$E$20</definedName>
    <definedName name="ad">'[2]МТР Газ України'!$B$1</definedName>
    <definedName name="as">'[3]МТР Газ України'!$B$1</definedName>
    <definedName name="asdf">[4]Inform!$E$6</definedName>
    <definedName name="asdfg">[4]Inform!$F$2</definedName>
    <definedName name="BuiltIn_Print_Area___1___1" localSheetId="5">#REF!</definedName>
    <definedName name="BuiltIn_Print_Area___1___1">#REF!</definedName>
    <definedName name="ClDate">[5]Inform!$E$6</definedName>
    <definedName name="ClDate_21">[6]Inform!$E$6</definedName>
    <definedName name="ClDate_25">[6]Inform!$E$6</definedName>
    <definedName name="ClDate_6">[7]Inform!$E$6</definedName>
    <definedName name="CompName">[5]Inform!$F$2</definedName>
    <definedName name="CompName_21">[6]Inform!$F$2</definedName>
    <definedName name="CompName_25">[6]Inform!$F$2</definedName>
    <definedName name="CompName_6">[7]Inform!$F$2</definedName>
    <definedName name="CompNameE">[5]Inform!$G$2</definedName>
    <definedName name="CompNameE_21">[6]Inform!$G$2</definedName>
    <definedName name="CompNameE_25">[6]Inform!$G$2</definedName>
    <definedName name="CompNameE_6">[7]Inform!$G$2</definedName>
    <definedName name="Cost_Category_National_ID" localSheetId="5">#REF!</definedName>
    <definedName name="Cost_Category_National_ID">#REF!</definedName>
    <definedName name="Cе511" localSheetId="5">#REF!</definedName>
    <definedName name="Cе511">#REF!</definedName>
    <definedName name="d">'[8]МТР Газ України'!$B$4</definedName>
    <definedName name="dCPIb" localSheetId="5">[9]попер_роз!#REF!</definedName>
    <definedName name="dCPIb">[9]попер_роз!#REF!</definedName>
    <definedName name="dPPIb" localSheetId="5">[9]попер_роз!#REF!</definedName>
    <definedName name="dPPIb">[9]попер_роз!#REF!</definedName>
    <definedName name="ds" localSheetId="5">'[10]7  Інші витрати'!#REF!</definedName>
    <definedName name="ds">'[10]7  Інші витрати'!#REF!</definedName>
    <definedName name="Fact_Type_ID" localSheetId="5">#REF!</definedName>
    <definedName name="Fact_Type_ID">#REF!</definedName>
    <definedName name="G">'[11]МТР Газ України'!$B$1</definedName>
    <definedName name="ij1sssss" localSheetId="5">'[12]7  Інші витрати'!#REF!</definedName>
    <definedName name="ij1sssss">'[12]7  Інші витрати'!#REF!</definedName>
    <definedName name="LastItem">[13]Лист1!$A$1</definedName>
    <definedName name="Load">'[14]МТР Газ України'!$B$4</definedName>
    <definedName name="Load_ID">'[15]МТР Газ України'!$B$4</definedName>
    <definedName name="Load_ID_10" localSheetId="5">'[16]7  Інші витрати'!#REF!</definedName>
    <definedName name="Load_ID_10">'[16]7  Інші витрати'!#REF!</definedName>
    <definedName name="Load_ID_11">'[17]МТР Газ України'!$B$4</definedName>
    <definedName name="Load_ID_12">'[17]МТР Газ України'!$B$4</definedName>
    <definedName name="Load_ID_13">'[17]МТР Газ України'!$B$4</definedName>
    <definedName name="Load_ID_14">'[17]МТР Газ України'!$B$4</definedName>
    <definedName name="Load_ID_15">'[17]МТР Газ України'!$B$4</definedName>
    <definedName name="Load_ID_16">'[17]МТР Газ України'!$B$4</definedName>
    <definedName name="Load_ID_17">'[17]МТР Газ України'!$B$4</definedName>
    <definedName name="Load_ID_18">'[18]МТР Газ України'!$B$4</definedName>
    <definedName name="Load_ID_19">'[19]МТР Газ України'!$B$4</definedName>
    <definedName name="Load_ID_20">'[18]МТР Газ України'!$B$4</definedName>
    <definedName name="Load_ID_200">'[14]МТР Газ України'!$B$4</definedName>
    <definedName name="Load_ID_21">'[20]МТР Газ України'!$B$4</definedName>
    <definedName name="Load_ID_23">'[19]МТР Газ України'!$B$4</definedName>
    <definedName name="Load_ID_25">'[20]МТР Газ України'!$B$4</definedName>
    <definedName name="Load_ID_542">'[21]МТР Газ України'!$B$4</definedName>
    <definedName name="Load_ID_6">'[17]МТР Газ України'!$B$4</definedName>
    <definedName name="OLE_LINK1" localSheetId="1">Інструкція!#REF!</definedName>
    <definedName name="OpDate">[5]Inform!$E$5</definedName>
    <definedName name="OpDate_21">[6]Inform!$E$5</definedName>
    <definedName name="OpDate_25">[6]Inform!$E$5</definedName>
    <definedName name="OpDate_6">[7]Inform!$E$5</definedName>
    <definedName name="QR">[22]Inform!$E$5</definedName>
    <definedName name="qw">[4]Inform!$E$5</definedName>
    <definedName name="qwert">[4]Inform!$G$2</definedName>
    <definedName name="qwerty">'[3]МТР Газ України'!$B$4</definedName>
    <definedName name="ShowFil" localSheetId="5">[13]!ShowFil</definedName>
    <definedName name="ShowFil">[13]!ShowFil</definedName>
    <definedName name="SU_ID" localSheetId="5">#REF!</definedName>
    <definedName name="SU_ID">#REF!</definedName>
    <definedName name="Time_ID">'[15]МТР Газ України'!$B$1</definedName>
    <definedName name="Time_ID_10" localSheetId="5">'[16]7  Інші витрати'!#REF!</definedName>
    <definedName name="Time_ID_10">'[16]7  Інші витрати'!#REF!</definedName>
    <definedName name="Time_ID_11">'[17]МТР Газ України'!$B$1</definedName>
    <definedName name="Time_ID_12">'[17]МТР Газ України'!$B$1</definedName>
    <definedName name="Time_ID_13">'[17]МТР Газ України'!$B$1</definedName>
    <definedName name="Time_ID_14">'[17]МТР Газ України'!$B$1</definedName>
    <definedName name="Time_ID_15">'[17]МТР Газ України'!$B$1</definedName>
    <definedName name="Time_ID_16">'[17]МТР Газ України'!$B$1</definedName>
    <definedName name="Time_ID_17">'[17]МТР Газ України'!$B$1</definedName>
    <definedName name="Time_ID_18">'[18]МТР Газ України'!$B$1</definedName>
    <definedName name="Time_ID_19">'[19]МТР Газ України'!$B$1</definedName>
    <definedName name="Time_ID_20">'[18]МТР Газ України'!$B$1</definedName>
    <definedName name="Time_ID_21">'[20]МТР Газ України'!$B$1</definedName>
    <definedName name="Time_ID_23">'[19]МТР Газ України'!$B$1</definedName>
    <definedName name="Time_ID_25">'[20]МТР Газ України'!$B$1</definedName>
    <definedName name="Time_ID_6">'[17]МТР Газ України'!$B$1</definedName>
    <definedName name="Time_ID0">'[15]МТР Газ України'!$F$1</definedName>
    <definedName name="Time_ID0_10" localSheetId="5">'[16]7  Інші витрати'!#REF!</definedName>
    <definedName name="Time_ID0_10">'[16]7  Інші витрати'!#REF!</definedName>
    <definedName name="Time_ID0_11">'[17]МТР Газ України'!$F$1</definedName>
    <definedName name="Time_ID0_12">'[17]МТР Газ України'!$F$1</definedName>
    <definedName name="Time_ID0_13">'[17]МТР Газ України'!$F$1</definedName>
    <definedName name="Time_ID0_14">'[17]МТР Газ України'!$F$1</definedName>
    <definedName name="Time_ID0_15">'[17]МТР Газ України'!$F$1</definedName>
    <definedName name="Time_ID0_16">'[17]МТР Газ України'!$F$1</definedName>
    <definedName name="Time_ID0_17">'[17]МТР Газ України'!$F$1</definedName>
    <definedName name="Time_ID0_18">'[18]МТР Газ України'!$F$1</definedName>
    <definedName name="Time_ID0_19">'[19]МТР Газ України'!$F$1</definedName>
    <definedName name="Time_ID0_20">'[18]МТР Газ України'!$F$1</definedName>
    <definedName name="Time_ID0_21">'[20]МТР Газ України'!$F$1</definedName>
    <definedName name="Time_ID0_23">'[19]МТР Газ України'!$F$1</definedName>
    <definedName name="Time_ID0_25">'[20]МТР Газ України'!$F$1</definedName>
    <definedName name="Time_ID0_6">'[17]МТР Газ України'!$F$1</definedName>
    <definedName name="ttttttt" localSheetId="5">#REF!</definedName>
    <definedName name="ttttttt">#REF!</definedName>
    <definedName name="Unit">[5]Inform!$E$38</definedName>
    <definedName name="Unit_21">[6]Inform!$E$38</definedName>
    <definedName name="Unit_25">[6]Inform!$E$38</definedName>
    <definedName name="Unit_6">[7]Inform!$E$38</definedName>
    <definedName name="WQER">'[23]МТР Газ України'!$B$4</definedName>
    <definedName name="wr">'[23]МТР Газ України'!$B$4</definedName>
    <definedName name="yyyy" localSheetId="5">#REF!</definedName>
    <definedName name="yyyy">#REF!</definedName>
    <definedName name="zx">'[3]МТР Газ України'!$F$1</definedName>
    <definedName name="zxc">[4]Inform!$E$38</definedName>
    <definedName name="а" localSheetId="5">'[12]7  Інші витрати'!#REF!</definedName>
    <definedName name="а">'[12]7  Інші витрати'!#REF!</definedName>
    <definedName name="ав" localSheetId="5">#REF!</definedName>
    <definedName name="ав">#REF!</definedName>
    <definedName name="аен">'[23]МТР Газ України'!$B$4</definedName>
    <definedName name="_xlnm.Database">'[24]Ener '!$A$1:$G$2645</definedName>
    <definedName name="в">'[25]МТР Газ України'!$F$1</definedName>
    <definedName name="ватт" localSheetId="5">'[26]БАЗА  '!#REF!</definedName>
    <definedName name="ватт">'[26]БАЗА  '!#REF!</definedName>
    <definedName name="Д">'[14]МТР Газ України'!$B$4</definedName>
    <definedName name="до_1_року">'03_МТО'!$G$3:$G$17</definedName>
    <definedName name="е" localSheetId="5">#REF!</definedName>
    <definedName name="е">#REF!</definedName>
    <definedName name="є" localSheetId="5">#REF!</definedName>
    <definedName name="є">#REF!</definedName>
    <definedName name="_xlnm.Print_Titles" localSheetId="8">'05_Фін_план'!$39:$41</definedName>
    <definedName name="Заголовки_для_печати_МИ">'[27]1993'!$A$1:$IV$3,'[27]1993'!$A$1:$A$65536</definedName>
    <definedName name="і">[28]Inform!$F$2</definedName>
    <definedName name="ів" localSheetId="5">#REF!</definedName>
    <definedName name="ів">#REF!</definedName>
    <definedName name="ів___0" localSheetId="5">#REF!</definedName>
    <definedName name="ів___0">#REF!</definedName>
    <definedName name="ів_22" localSheetId="5">#REF!</definedName>
    <definedName name="ів_22">#REF!</definedName>
    <definedName name="ів_26" localSheetId="5">#REF!</definedName>
    <definedName name="ів_26">#REF!</definedName>
    <definedName name="іваіа" localSheetId="5">'[29]7  Інші витрати'!#REF!</definedName>
    <definedName name="іваіа">'[29]7  Інші витрати'!#REF!</definedName>
    <definedName name="іваф" localSheetId="5">#REF!</definedName>
    <definedName name="іваф">#REF!</definedName>
    <definedName name="івів">'[11]МТР Газ України'!$B$1</definedName>
    <definedName name="іцу">[22]Inform!$G$2</definedName>
    <definedName name="йуц" localSheetId="5">#REF!</definedName>
    <definedName name="йуц">#REF!</definedName>
    <definedName name="йцу" localSheetId="5">#REF!</definedName>
    <definedName name="йцу">#REF!</definedName>
    <definedName name="йцуйй" localSheetId="5">#REF!</definedName>
    <definedName name="йцуйй">#REF!</definedName>
    <definedName name="йцукц" localSheetId="5">'[29]7  Інші витрати'!#REF!</definedName>
    <definedName name="йцукц">'[29]7  Інші витрати'!#REF!</definedName>
    <definedName name="КЕ" localSheetId="5">#REF!</definedName>
    <definedName name="КЕ">#REF!</definedName>
    <definedName name="КЕ___0" localSheetId="5">#REF!</definedName>
    <definedName name="КЕ___0">#REF!</definedName>
    <definedName name="КЕ_22" localSheetId="5">#REF!</definedName>
    <definedName name="КЕ_22">#REF!</definedName>
    <definedName name="КЕ_26" localSheetId="5">#REF!</definedName>
    <definedName name="КЕ_26">#REF!</definedName>
    <definedName name="кен" localSheetId="5">#REF!</definedName>
    <definedName name="кен">#REF!</definedName>
    <definedName name="л" localSheetId="5">#REF!</definedName>
    <definedName name="л">#REF!</definedName>
    <definedName name="лікарі">'01_Доходи'!$A$3:$B$14</definedName>
    <definedName name="_xlnm.Print_Area" localSheetId="7">'04_Фін_стійкість'!$A$1:$I$48</definedName>
    <definedName name="_xlnm.Print_Area" localSheetId="8">'05_Фін_план'!$A$1:$H$171</definedName>
    <definedName name="_xlnm.Print_Area" localSheetId="9">ДРУК!$A$1:$H$24</definedName>
    <definedName name="п" localSheetId="5">'[12]7  Інші витрати'!#REF!</definedName>
    <definedName name="п">'[12]7  Інші витрати'!#REF!</definedName>
    <definedName name="пдв">'[14]МТР Газ України'!$B$4</definedName>
    <definedName name="пдв_утг">'[14]МТР Газ України'!$F$1</definedName>
    <definedName name="План" localSheetId="5">#REF!</definedName>
    <definedName name="План">#REF!</definedName>
    <definedName name="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 localSheetId="5">#REF!</definedName>
    <definedName name="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#REF!</definedName>
    <definedName name="ппп">[30]Inform!$E$6</definedName>
    <definedName name="р" localSheetId="5">#REF!</definedName>
    <definedName name="р">#REF!</definedName>
    <definedName name="сімейний" localSheetId="3">Законод!#REF!</definedName>
    <definedName name="сімейний" localSheetId="0">'[31]01_Доходи'!#REF!</definedName>
    <definedName name="сімейний">'01_Доходи'!#REF!</definedName>
    <definedName name="т">[32]Inform!$E$6</definedName>
    <definedName name="тариф">[33]Inform!$G$2</definedName>
    <definedName name="уйцукйцуйу" localSheetId="5">#REF!</definedName>
    <definedName name="уйцукйцуйу">#REF!</definedName>
    <definedName name="уке">[34]Inform!$G$2</definedName>
    <definedName name="УТГ">'[14]МТР Газ України'!$B$4</definedName>
    <definedName name="фів">'[23]МТР Газ України'!$B$4</definedName>
    <definedName name="фіваіф" localSheetId="5">'[29]7  Інші витрати'!#REF!</definedName>
    <definedName name="фіваіф">'[29]7  Інші витрати'!#REF!</definedName>
    <definedName name="фф">'[25]МТР Газ України'!$F$1</definedName>
    <definedName name="ц" localSheetId="5">'[12]7  Інші витрати'!#REF!</definedName>
    <definedName name="ц">'[12]7  Інші витрати'!#REF!</definedName>
    <definedName name="ччч" localSheetId="5">'[35]БАЗА  '!#REF!</definedName>
    <definedName name="ччч">'[35]БАЗА  '!#REF!</definedName>
    <definedName name="ш" localSheetId="5">#REF!</definedName>
    <definedName name="ш">#REF!</definedName>
  </definedNames>
  <calcPr calcId="114210" fullCalcOnLoad="1"/>
</workbook>
</file>

<file path=xl/calcChain.xml><?xml version="1.0" encoding="utf-8"?>
<calcChain xmlns="http://schemas.openxmlformats.org/spreadsheetml/2006/main">
  <c r="F91" i="8"/>
  <c r="G91"/>
  <c r="H91"/>
  <c r="E91"/>
  <c r="W104" i="17"/>
  <c r="Z104"/>
  <c r="X104"/>
  <c r="Y104"/>
  <c r="AK29"/>
  <c r="N23"/>
  <c r="O23"/>
  <c r="P23"/>
  <c r="M23"/>
  <c r="E21" i="4"/>
  <c r="N39" i="17"/>
  <c r="O39"/>
  <c r="P39"/>
  <c r="M39"/>
  <c r="Z249" i="4"/>
  <c r="Z248"/>
  <c r="S249"/>
  <c r="S250"/>
  <c r="S248"/>
  <c r="L249"/>
  <c r="L250"/>
  <c r="L248"/>
  <c r="S223"/>
  <c r="S224"/>
  <c r="S222"/>
  <c r="L223"/>
  <c r="L222"/>
  <c r="K55"/>
  <c r="J55"/>
  <c r="I55"/>
  <c r="H55"/>
  <c r="L55"/>
  <c r="G55"/>
  <c r="K54"/>
  <c r="J54"/>
  <c r="I54"/>
  <c r="H54"/>
  <c r="G54"/>
  <c r="L54"/>
  <c r="K53"/>
  <c r="J53"/>
  <c r="I53"/>
  <c r="H53"/>
  <c r="L53"/>
  <c r="G53"/>
  <c r="R55"/>
  <c r="Q55"/>
  <c r="P55"/>
  <c r="O55"/>
  <c r="N55"/>
  <c r="S55"/>
  <c r="R54"/>
  <c r="Q54"/>
  <c r="P54"/>
  <c r="O54"/>
  <c r="N54"/>
  <c r="S54"/>
  <c r="R53"/>
  <c r="Q53"/>
  <c r="P53"/>
  <c r="O53"/>
  <c r="S53"/>
  <c r="N53"/>
  <c r="Y55"/>
  <c r="X55"/>
  <c r="W55"/>
  <c r="V55"/>
  <c r="U55"/>
  <c r="Y54"/>
  <c r="X54"/>
  <c r="W54"/>
  <c r="V54"/>
  <c r="U54"/>
  <c r="Y53"/>
  <c r="X53"/>
  <c r="W53"/>
  <c r="V53"/>
  <c r="U53"/>
  <c r="F21"/>
  <c r="G21"/>
  <c r="H21"/>
  <c r="M40" i="17"/>
  <c r="S31"/>
  <c r="T31"/>
  <c r="U31"/>
  <c r="R31"/>
  <c r="S29"/>
  <c r="T29"/>
  <c r="U29"/>
  <c r="R29"/>
  <c r="AW44"/>
  <c r="AX44"/>
  <c r="AY44"/>
  <c r="AV44"/>
  <c r="AW60"/>
  <c r="AX60"/>
  <c r="AY60"/>
  <c r="AV60"/>
  <c r="AY127"/>
  <c r="AV127"/>
  <c r="AZ44"/>
  <c r="AW127"/>
  <c r="AX127"/>
  <c r="H185"/>
  <c r="E185"/>
  <c r="E72" i="8"/>
  <c r="G185" i="17"/>
  <c r="F184"/>
  <c r="P48"/>
  <c r="Z48"/>
  <c r="O48"/>
  <c r="Y48"/>
  <c r="N48"/>
  <c r="X48"/>
  <c r="M48"/>
  <c r="W48"/>
  <c r="P40"/>
  <c r="O40"/>
  <c r="N40"/>
  <c r="N45"/>
  <c r="X45"/>
  <c r="O45"/>
  <c r="Y45"/>
  <c r="P45"/>
  <c r="Z45"/>
  <c r="M45"/>
  <c r="N46"/>
  <c r="X46"/>
  <c r="O46"/>
  <c r="Y46"/>
  <c r="P46"/>
  <c r="Z46"/>
  <c r="M46"/>
  <c r="W46"/>
  <c r="AC23"/>
  <c r="AD23"/>
  <c r="AE23"/>
  <c r="AB23"/>
  <c r="N22"/>
  <c r="O22"/>
  <c r="P22"/>
  <c r="M22"/>
  <c r="N78"/>
  <c r="X78"/>
  <c r="O78"/>
  <c r="Y78"/>
  <c r="P78"/>
  <c r="Z78"/>
  <c r="M78"/>
  <c r="W78"/>
  <c r="N77"/>
  <c r="O77"/>
  <c r="P77"/>
  <c r="M77"/>
  <c r="E19" i="4"/>
  <c r="W77" i="17"/>
  <c r="AG77"/>
  <c r="Y77"/>
  <c r="AI77"/>
  <c r="Z77"/>
  <c r="AJ77"/>
  <c r="X77"/>
  <c r="AH77"/>
  <c r="AA46"/>
  <c r="W45"/>
  <c r="AA45"/>
  <c r="AA48"/>
  <c r="F185"/>
  <c r="F47" i="8"/>
  <c r="G47"/>
  <c r="H47"/>
  <c r="E47"/>
  <c r="D1356" i="4"/>
  <c r="E46" i="8"/>
  <c r="D1357" i="4"/>
  <c r="G1357"/>
  <c r="G1356"/>
  <c r="F1357"/>
  <c r="F1356"/>
  <c r="E1357"/>
  <c r="E1356"/>
  <c r="H1358"/>
  <c r="H19"/>
  <c r="G19"/>
  <c r="F19"/>
  <c r="F17"/>
  <c r="G17"/>
  <c r="H17"/>
  <c r="E17"/>
  <c r="I17"/>
  <c r="H1357"/>
  <c r="G46" i="8"/>
  <c r="G45"/>
  <c r="E45"/>
  <c r="H46"/>
  <c r="H45"/>
  <c r="F46"/>
  <c r="F45"/>
  <c r="O106" i="17"/>
  <c r="Y106"/>
  <c r="N106"/>
  <c r="X106"/>
  <c r="P106"/>
  <c r="Z106"/>
  <c r="Q32"/>
  <c r="Q33"/>
  <c r="Q34"/>
  <c r="Q35"/>
  <c r="Q36"/>
  <c r="Q37"/>
  <c r="Q38"/>
  <c r="Q39"/>
  <c r="M106"/>
  <c r="W106"/>
  <c r="N103"/>
  <c r="X103"/>
  <c r="O103"/>
  <c r="Y103"/>
  <c r="P103"/>
  <c r="Z103"/>
  <c r="M103"/>
  <c r="W103"/>
  <c r="N30"/>
  <c r="X30"/>
  <c r="O30"/>
  <c r="Y30"/>
  <c r="P30"/>
  <c r="Z30"/>
  <c r="M30"/>
  <c r="W30"/>
  <c r="N47"/>
  <c r="X47"/>
  <c r="O47"/>
  <c r="Y47"/>
  <c r="P47"/>
  <c r="Z47"/>
  <c r="M47"/>
  <c r="W47"/>
  <c r="N61"/>
  <c r="O61"/>
  <c r="P61"/>
  <c r="M61"/>
  <c r="AB61"/>
  <c r="N105"/>
  <c r="X105"/>
  <c r="O105"/>
  <c r="Y105"/>
  <c r="P105"/>
  <c r="Z105"/>
  <c r="M105"/>
  <c r="W105"/>
  <c r="N81"/>
  <c r="X81"/>
  <c r="O81"/>
  <c r="Y81"/>
  <c r="P81"/>
  <c r="Z81"/>
  <c r="M81"/>
  <c r="N82"/>
  <c r="X82"/>
  <c r="O82"/>
  <c r="Y82"/>
  <c r="P82"/>
  <c r="Z82"/>
  <c r="M82"/>
  <c r="W82"/>
  <c r="N83"/>
  <c r="X83"/>
  <c r="O83"/>
  <c r="Y83"/>
  <c r="P83"/>
  <c r="Z83"/>
  <c r="M83"/>
  <c r="W83"/>
  <c r="N84"/>
  <c r="X84"/>
  <c r="O84"/>
  <c r="Y84"/>
  <c r="P84"/>
  <c r="Z84"/>
  <c r="M84"/>
  <c r="W84"/>
  <c r="N75"/>
  <c r="O75"/>
  <c r="P75"/>
  <c r="M75"/>
  <c r="N74"/>
  <c r="O74"/>
  <c r="P74"/>
  <c r="M74"/>
  <c r="S17" i="1"/>
  <c r="T17"/>
  <c r="U17"/>
  <c r="R17"/>
  <c r="S45" i="17"/>
  <c r="T45"/>
  <c r="U45"/>
  <c r="R45"/>
  <c r="AQ45"/>
  <c r="S30"/>
  <c r="T30"/>
  <c r="U30"/>
  <c r="R30"/>
  <c r="S44"/>
  <c r="T44"/>
  <c r="U44"/>
  <c r="R44"/>
  <c r="N31"/>
  <c r="X31"/>
  <c r="O31"/>
  <c r="Y31"/>
  <c r="P31"/>
  <c r="Z31"/>
  <c r="M31"/>
  <c r="W31"/>
  <c r="N29"/>
  <c r="X29"/>
  <c r="X44"/>
  <c r="O29"/>
  <c r="Y29"/>
  <c r="P29"/>
  <c r="Z29"/>
  <c r="Z44"/>
  <c r="M29"/>
  <c r="W29"/>
  <c r="K16" i="1"/>
  <c r="G184" i="17"/>
  <c r="N21"/>
  <c r="O21"/>
  <c r="P21"/>
  <c r="M21"/>
  <c r="N20"/>
  <c r="O20"/>
  <c r="P20"/>
  <c r="M20"/>
  <c r="N19"/>
  <c r="O19"/>
  <c r="P19"/>
  <c r="M19"/>
  <c r="W74"/>
  <c r="AG74"/>
  <c r="Y74"/>
  <c r="AI74"/>
  <c r="W75"/>
  <c r="AG75"/>
  <c r="Y75"/>
  <c r="AI75"/>
  <c r="W81"/>
  <c r="AG81"/>
  <c r="Z74"/>
  <c r="AJ74"/>
  <c r="X74"/>
  <c r="AH74"/>
  <c r="Z75"/>
  <c r="AJ75"/>
  <c r="X75"/>
  <c r="AH75"/>
  <c r="AI21"/>
  <c r="Y21"/>
  <c r="W44"/>
  <c r="M44"/>
  <c r="AJ20"/>
  <c r="Z20"/>
  <c r="AC61"/>
  <c r="X61"/>
  <c r="AI19"/>
  <c r="O28"/>
  <c r="AI20"/>
  <c r="Y20"/>
  <c r="AH19"/>
  <c r="N28"/>
  <c r="AH20"/>
  <c r="X20"/>
  <c r="AH21"/>
  <c r="X21"/>
  <c r="AE61"/>
  <c r="Z61"/>
  <c r="AA47"/>
  <c r="AJ19"/>
  <c r="P28"/>
  <c r="AJ21"/>
  <c r="Z21"/>
  <c r="AG19"/>
  <c r="M28"/>
  <c r="AG20"/>
  <c r="W20"/>
  <c r="AG21"/>
  <c r="W21"/>
  <c r="O44"/>
  <c r="Y44"/>
  <c r="AD61"/>
  <c r="Y61"/>
  <c r="D45" i="8"/>
  <c r="C45"/>
  <c r="P44" i="17"/>
  <c r="N44"/>
  <c r="Q31"/>
  <c r="Q30"/>
  <c r="E22" i="13"/>
  <c r="E103" i="8"/>
  <c r="D192" i="17"/>
  <c r="H161"/>
  <c r="F160"/>
  <c r="G160"/>
  <c r="H160"/>
  <c r="E160"/>
  <c r="E161"/>
  <c r="H158"/>
  <c r="G158"/>
  <c r="F158"/>
  <c r="E158"/>
  <c r="H155"/>
  <c r="G155"/>
  <c r="F155"/>
  <c r="E155"/>
  <c r="H170"/>
  <c r="G170"/>
  <c r="F170"/>
  <c r="E170"/>
  <c r="H168"/>
  <c r="H169"/>
  <c r="E168"/>
  <c r="E169"/>
  <c r="G169"/>
  <c r="F169"/>
  <c r="F154"/>
  <c r="G154"/>
  <c r="G156"/>
  <c r="H154"/>
  <c r="E154"/>
  <c r="E156"/>
  <c r="F157"/>
  <c r="F159"/>
  <c r="G157"/>
  <c r="H157"/>
  <c r="E157"/>
  <c r="H149"/>
  <c r="H146"/>
  <c r="H137"/>
  <c r="H138"/>
  <c r="F137"/>
  <c r="E137"/>
  <c r="E138"/>
  <c r="H1366" i="4"/>
  <c r="H1367"/>
  <c r="H1368"/>
  <c r="H1369"/>
  <c r="H1370"/>
  <c r="F156" i="17"/>
  <c r="AA61"/>
  <c r="H159"/>
  <c r="H156"/>
  <c r="D158"/>
  <c r="E159"/>
  <c r="E162"/>
  <c r="G159"/>
  <c r="D168"/>
  <c r="D169"/>
  <c r="D156"/>
  <c r="E163"/>
  <c r="C22" i="3"/>
  <c r="AF302" i="4"/>
  <c r="AE302"/>
  <c r="AD302"/>
  <c r="AC302"/>
  <c r="AB302"/>
  <c r="AF301"/>
  <c r="AE301"/>
  <c r="AD301"/>
  <c r="AC301"/>
  <c r="AB301"/>
  <c r="AG301"/>
  <c r="AF300"/>
  <c r="AE300"/>
  <c r="AD300"/>
  <c r="AC300"/>
  <c r="AG300"/>
  <c r="AB300"/>
  <c r="Y302"/>
  <c r="X302"/>
  <c r="W302"/>
  <c r="V302"/>
  <c r="U302"/>
  <c r="Z302"/>
  <c r="Y301"/>
  <c r="X301"/>
  <c r="W301"/>
  <c r="V301"/>
  <c r="U301"/>
  <c r="Y300"/>
  <c r="X300"/>
  <c r="W300"/>
  <c r="V300"/>
  <c r="U300"/>
  <c r="R302"/>
  <c r="Q302"/>
  <c r="P302"/>
  <c r="O302"/>
  <c r="N302"/>
  <c r="R301"/>
  <c r="Q301"/>
  <c r="P301"/>
  <c r="O301"/>
  <c r="N301"/>
  <c r="R300"/>
  <c r="Q300"/>
  <c r="P300"/>
  <c r="O300"/>
  <c r="S300"/>
  <c r="N300"/>
  <c r="G301"/>
  <c r="H301"/>
  <c r="I301"/>
  <c r="J301"/>
  <c r="K301"/>
  <c r="G302"/>
  <c r="H302"/>
  <c r="I302"/>
  <c r="J302"/>
  <c r="K302"/>
  <c r="K300"/>
  <c r="J300"/>
  <c r="I300"/>
  <c r="H300"/>
  <c r="G300"/>
  <c r="AF289"/>
  <c r="AE289"/>
  <c r="AD289"/>
  <c r="AC289"/>
  <c r="AB289"/>
  <c r="AF288"/>
  <c r="AE288"/>
  <c r="AD288"/>
  <c r="AC288"/>
  <c r="AB288"/>
  <c r="AF287"/>
  <c r="AE287"/>
  <c r="AD287"/>
  <c r="AC287"/>
  <c r="AG287"/>
  <c r="AB287"/>
  <c r="Y289"/>
  <c r="X289"/>
  <c r="W289"/>
  <c r="V289"/>
  <c r="U289"/>
  <c r="Z289"/>
  <c r="Y288"/>
  <c r="X288"/>
  <c r="W288"/>
  <c r="V288"/>
  <c r="U288"/>
  <c r="Y287"/>
  <c r="X287"/>
  <c r="W287"/>
  <c r="V287"/>
  <c r="U287"/>
  <c r="R289"/>
  <c r="Q289"/>
  <c r="P289"/>
  <c r="O289"/>
  <c r="N289"/>
  <c r="R288"/>
  <c r="Q288"/>
  <c r="P288"/>
  <c r="O288"/>
  <c r="N288"/>
  <c r="R287"/>
  <c r="Q287"/>
  <c r="P287"/>
  <c r="O287"/>
  <c r="N287"/>
  <c r="G288"/>
  <c r="H288"/>
  <c r="I288"/>
  <c r="J288"/>
  <c r="K288"/>
  <c r="G289"/>
  <c r="H289"/>
  <c r="I289"/>
  <c r="J289"/>
  <c r="K289"/>
  <c r="J287"/>
  <c r="K287"/>
  <c r="I287"/>
  <c r="H287"/>
  <c r="G287"/>
  <c r="AC263"/>
  <c r="AB263"/>
  <c r="AC262"/>
  <c r="AB262"/>
  <c r="AG262"/>
  <c r="AC261"/>
  <c r="AB261"/>
  <c r="AG261"/>
  <c r="V263"/>
  <c r="U263"/>
  <c r="V262"/>
  <c r="U262"/>
  <c r="Z262"/>
  <c r="V261"/>
  <c r="U261"/>
  <c r="Z261"/>
  <c r="O263"/>
  <c r="N263"/>
  <c r="O262"/>
  <c r="N262"/>
  <c r="S262"/>
  <c r="O261"/>
  <c r="N261"/>
  <c r="S261"/>
  <c r="G262"/>
  <c r="H262"/>
  <c r="G263"/>
  <c r="H263"/>
  <c r="H261"/>
  <c r="G261"/>
  <c r="L261"/>
  <c r="AG249"/>
  <c r="AG250"/>
  <c r="AG248"/>
  <c r="AF237"/>
  <c r="AE237"/>
  <c r="AD237"/>
  <c r="AG237"/>
  <c r="AF236"/>
  <c r="AE236"/>
  <c r="AD236"/>
  <c r="AF235"/>
  <c r="AE235"/>
  <c r="AD235"/>
  <c r="Y237"/>
  <c r="X237"/>
  <c r="W237"/>
  <c r="Y236"/>
  <c r="X236"/>
  <c r="W236"/>
  <c r="Z236"/>
  <c r="Y235"/>
  <c r="X235"/>
  <c r="Z235"/>
  <c r="W235"/>
  <c r="R237"/>
  <c r="Q237"/>
  <c r="P237"/>
  <c r="S237"/>
  <c r="R236"/>
  <c r="Q236"/>
  <c r="P236"/>
  <c r="R235"/>
  <c r="Q235"/>
  <c r="P235"/>
  <c r="I236"/>
  <c r="J236"/>
  <c r="L236"/>
  <c r="K236"/>
  <c r="I237"/>
  <c r="J237"/>
  <c r="K237"/>
  <c r="K235"/>
  <c r="J235"/>
  <c r="I235"/>
  <c r="AG223"/>
  <c r="AG224"/>
  <c r="AG222"/>
  <c r="Z223"/>
  <c r="Z222"/>
  <c r="AG210"/>
  <c r="AG209"/>
  <c r="Z210"/>
  <c r="Z209"/>
  <c r="S210"/>
  <c r="S209"/>
  <c r="L209"/>
  <c r="AF198"/>
  <c r="AE198"/>
  <c r="AD198"/>
  <c r="AC198"/>
  <c r="AB198"/>
  <c r="AF197"/>
  <c r="AE197"/>
  <c r="AD197"/>
  <c r="AC197"/>
  <c r="AB197"/>
  <c r="AF196"/>
  <c r="AE196"/>
  <c r="AD196"/>
  <c r="AC196"/>
  <c r="AB196"/>
  <c r="Y198"/>
  <c r="X198"/>
  <c r="W198"/>
  <c r="V198"/>
  <c r="U198"/>
  <c r="Y197"/>
  <c r="X197"/>
  <c r="W197"/>
  <c r="V197"/>
  <c r="U197"/>
  <c r="Y196"/>
  <c r="X196"/>
  <c r="W196"/>
  <c r="V196"/>
  <c r="U196"/>
  <c r="R198"/>
  <c r="Q198"/>
  <c r="P198"/>
  <c r="O198"/>
  <c r="N198"/>
  <c r="R197"/>
  <c r="Q197"/>
  <c r="P197"/>
  <c r="O197"/>
  <c r="N197"/>
  <c r="R196"/>
  <c r="Q196"/>
  <c r="P196"/>
  <c r="O196"/>
  <c r="N196"/>
  <c r="G197"/>
  <c r="H197"/>
  <c r="I197"/>
  <c r="J197"/>
  <c r="K197"/>
  <c r="G198"/>
  <c r="H198"/>
  <c r="I198"/>
  <c r="J198"/>
  <c r="K198"/>
  <c r="J196"/>
  <c r="K196"/>
  <c r="I196"/>
  <c r="H196"/>
  <c r="L196"/>
  <c r="G196"/>
  <c r="AG184"/>
  <c r="AG185"/>
  <c r="AG183"/>
  <c r="Z184"/>
  <c r="Z185"/>
  <c r="Z183"/>
  <c r="S184"/>
  <c r="S183"/>
  <c r="L184"/>
  <c r="L183"/>
  <c r="L171"/>
  <c r="L170"/>
  <c r="AG158"/>
  <c r="AG159"/>
  <c r="AG157"/>
  <c r="Z158"/>
  <c r="Z159"/>
  <c r="Z157"/>
  <c r="S158"/>
  <c r="S159"/>
  <c r="S157"/>
  <c r="L159"/>
  <c r="L157"/>
  <c r="AF146"/>
  <c r="AE146"/>
  <c r="AD146"/>
  <c r="AC146"/>
  <c r="AB146"/>
  <c r="AF145"/>
  <c r="AE145"/>
  <c r="AD145"/>
  <c r="AC145"/>
  <c r="AB145"/>
  <c r="AF144"/>
  <c r="AE144"/>
  <c r="AD144"/>
  <c r="AC144"/>
  <c r="AB144"/>
  <c r="Y146"/>
  <c r="X146"/>
  <c r="W146"/>
  <c r="V146"/>
  <c r="U146"/>
  <c r="Y145"/>
  <c r="X145"/>
  <c r="W145"/>
  <c r="V145"/>
  <c r="U145"/>
  <c r="Y144"/>
  <c r="X144"/>
  <c r="W144"/>
  <c r="V144"/>
  <c r="U144"/>
  <c r="R146"/>
  <c r="Q146"/>
  <c r="P146"/>
  <c r="O146"/>
  <c r="N146"/>
  <c r="R145"/>
  <c r="Q145"/>
  <c r="P145"/>
  <c r="O145"/>
  <c r="N145"/>
  <c r="R144"/>
  <c r="Q144"/>
  <c r="P144"/>
  <c r="O144"/>
  <c r="N144"/>
  <c r="G145"/>
  <c r="H145"/>
  <c r="I145"/>
  <c r="J145"/>
  <c r="K145"/>
  <c r="G146"/>
  <c r="H146"/>
  <c r="I146"/>
  <c r="J146"/>
  <c r="K146"/>
  <c r="K144"/>
  <c r="J144"/>
  <c r="I144"/>
  <c r="H144"/>
  <c r="G144"/>
  <c r="AF133"/>
  <c r="AE133"/>
  <c r="AD133"/>
  <c r="AF132"/>
  <c r="AE132"/>
  <c r="AD132"/>
  <c r="AF131"/>
  <c r="AE131"/>
  <c r="AD131"/>
  <c r="Y133"/>
  <c r="X133"/>
  <c r="W133"/>
  <c r="Y132"/>
  <c r="X132"/>
  <c r="W132"/>
  <c r="Y131"/>
  <c r="X131"/>
  <c r="W131"/>
  <c r="R133"/>
  <c r="Q133"/>
  <c r="P133"/>
  <c r="R132"/>
  <c r="Q132"/>
  <c r="P132"/>
  <c r="R131"/>
  <c r="Q131"/>
  <c r="P131"/>
  <c r="I132"/>
  <c r="J132"/>
  <c r="K132"/>
  <c r="I133"/>
  <c r="J133"/>
  <c r="K133"/>
  <c r="K131"/>
  <c r="J131"/>
  <c r="I131"/>
  <c r="AF120"/>
  <c r="AE120"/>
  <c r="AD120"/>
  <c r="AC120"/>
  <c r="AB120"/>
  <c r="AF119"/>
  <c r="AE119"/>
  <c r="AD119"/>
  <c r="AC119"/>
  <c r="AB119"/>
  <c r="AF118"/>
  <c r="AE118"/>
  <c r="AD118"/>
  <c r="AC118"/>
  <c r="AB118"/>
  <c r="Y120"/>
  <c r="X120"/>
  <c r="W120"/>
  <c r="V120"/>
  <c r="U120"/>
  <c r="Y119"/>
  <c r="X119"/>
  <c r="W119"/>
  <c r="V119"/>
  <c r="U119"/>
  <c r="Y118"/>
  <c r="X118"/>
  <c r="W118"/>
  <c r="V118"/>
  <c r="U118"/>
  <c r="R120"/>
  <c r="Q120"/>
  <c r="P120"/>
  <c r="O120"/>
  <c r="N120"/>
  <c r="R119"/>
  <c r="Q119"/>
  <c r="P119"/>
  <c r="O119"/>
  <c r="N119"/>
  <c r="R118"/>
  <c r="Q118"/>
  <c r="P118"/>
  <c r="O118"/>
  <c r="S118"/>
  <c r="N118"/>
  <c r="G119"/>
  <c r="H119"/>
  <c r="I119"/>
  <c r="J119"/>
  <c r="K119"/>
  <c r="G120"/>
  <c r="H120"/>
  <c r="I120"/>
  <c r="J120"/>
  <c r="K120"/>
  <c r="K118"/>
  <c r="J118"/>
  <c r="I118"/>
  <c r="H118"/>
  <c r="G118"/>
  <c r="AG106"/>
  <c r="AG107"/>
  <c r="AG105"/>
  <c r="Z106"/>
  <c r="Z107"/>
  <c r="Z105"/>
  <c r="S106"/>
  <c r="S105"/>
  <c r="L107"/>
  <c r="L105"/>
  <c r="AG81"/>
  <c r="AG79"/>
  <c r="AG68"/>
  <c r="AG66"/>
  <c r="AG93"/>
  <c r="AG94"/>
  <c r="AG92"/>
  <c r="Z93"/>
  <c r="Z94"/>
  <c r="Z92"/>
  <c r="S93"/>
  <c r="S94"/>
  <c r="S92"/>
  <c r="L94"/>
  <c r="L92"/>
  <c r="AB54"/>
  <c r="AC54"/>
  <c r="AD54"/>
  <c r="AE54"/>
  <c r="AF54"/>
  <c r="AB55"/>
  <c r="AC55"/>
  <c r="AD55"/>
  <c r="AE55"/>
  <c r="AF55"/>
  <c r="AF53"/>
  <c r="AE53"/>
  <c r="AD53"/>
  <c r="AC53"/>
  <c r="AB53"/>
  <c r="AG53"/>
  <c r="Z54"/>
  <c r="Z53"/>
  <c r="V42"/>
  <c r="U42"/>
  <c r="V41"/>
  <c r="U41"/>
  <c r="V40"/>
  <c r="U40"/>
  <c r="O42"/>
  <c r="N42"/>
  <c r="O41"/>
  <c r="N41"/>
  <c r="O40"/>
  <c r="N40"/>
  <c r="H41"/>
  <c r="H42"/>
  <c r="G41"/>
  <c r="G42"/>
  <c r="H40"/>
  <c r="G40"/>
  <c r="Z224"/>
  <c r="Z119"/>
  <c r="AG118"/>
  <c r="AG120"/>
  <c r="S131"/>
  <c r="S133"/>
  <c r="Z132"/>
  <c r="AG131"/>
  <c r="AG133"/>
  <c r="S144"/>
  <c r="S146"/>
  <c r="Z145"/>
  <c r="AG144"/>
  <c r="AG145"/>
  <c r="AG146"/>
  <c r="S196"/>
  <c r="S197"/>
  <c r="Z196"/>
  <c r="Z197"/>
  <c r="S287"/>
  <c r="S288"/>
  <c r="AG289"/>
  <c r="S302"/>
  <c r="Z300"/>
  <c r="AG196"/>
  <c r="AG197"/>
  <c r="L235"/>
  <c r="S235"/>
  <c r="S236"/>
  <c r="Z237"/>
  <c r="AG235"/>
  <c r="AG236"/>
  <c r="L262"/>
  <c r="L289"/>
  <c r="Z287"/>
  <c r="Z288"/>
  <c r="L300"/>
  <c r="L302"/>
  <c r="Z301"/>
  <c r="L119"/>
  <c r="S119"/>
  <c r="Z118"/>
  <c r="Z120"/>
  <c r="AG119"/>
  <c r="L131"/>
  <c r="S132"/>
  <c r="Z131"/>
  <c r="Z133"/>
  <c r="AG132"/>
  <c r="L144"/>
  <c r="S145"/>
  <c r="Z144"/>
  <c r="Z146"/>
  <c r="L288"/>
  <c r="AG288"/>
  <c r="L301"/>
  <c r="S301"/>
  <c r="D1371"/>
  <c r="AG55"/>
  <c r="L146"/>
  <c r="L197"/>
  <c r="L237"/>
  <c r="AG54"/>
  <c r="L120"/>
  <c r="L287"/>
  <c r="L118"/>
  <c r="H107" i="8"/>
  <c r="G107"/>
  <c r="F107"/>
  <c r="E107"/>
  <c r="J22" i="1"/>
  <c r="R18"/>
  <c r="J21"/>
  <c r="S18"/>
  <c r="T18"/>
  <c r="U18"/>
  <c r="N102" i="17"/>
  <c r="O102"/>
  <c r="P102"/>
  <c r="M102"/>
  <c r="N80"/>
  <c r="X80"/>
  <c r="O80"/>
  <c r="Y80"/>
  <c r="P80"/>
  <c r="Z80"/>
  <c r="M80"/>
  <c r="N79"/>
  <c r="X79"/>
  <c r="O79"/>
  <c r="Y79"/>
  <c r="P79"/>
  <c r="Z79"/>
  <c r="M79"/>
  <c r="W79"/>
  <c r="N76"/>
  <c r="O76"/>
  <c r="P76"/>
  <c r="M76"/>
  <c r="V33"/>
  <c r="AA33"/>
  <c r="AF33"/>
  <c r="AK33"/>
  <c r="AP33"/>
  <c r="AQ33"/>
  <c r="BH33"/>
  <c r="AR33"/>
  <c r="BC33"/>
  <c r="AS33"/>
  <c r="BD33"/>
  <c r="AT33"/>
  <c r="BE33"/>
  <c r="E11" i="7"/>
  <c r="D11"/>
  <c r="C11"/>
  <c r="W76" i="17"/>
  <c r="AG76"/>
  <c r="Y76"/>
  <c r="AI76"/>
  <c r="W80"/>
  <c r="AG80"/>
  <c r="M127"/>
  <c r="W102"/>
  <c r="AG102"/>
  <c r="Y102"/>
  <c r="AI102"/>
  <c r="Z76"/>
  <c r="AJ76"/>
  <c r="X76"/>
  <c r="AH76"/>
  <c r="Z102"/>
  <c r="AJ102"/>
  <c r="X102"/>
  <c r="AH102"/>
  <c r="BB33"/>
  <c r="BF33"/>
  <c r="N127"/>
  <c r="BJ33"/>
  <c r="BI33"/>
  <c r="AU33"/>
  <c r="BK33"/>
  <c r="E170" i="4"/>
  <c r="E131"/>
  <c r="E144"/>
  <c r="E209"/>
  <c r="E222"/>
  <c r="E235"/>
  <c r="E248"/>
  <c r="E261"/>
  <c r="E274"/>
  <c r="E287"/>
  <c r="E300"/>
  <c r="G352"/>
  <c r="H352"/>
  <c r="I352"/>
  <c r="J352"/>
  <c r="K352"/>
  <c r="N352"/>
  <c r="O352"/>
  <c r="P352"/>
  <c r="Q352"/>
  <c r="R352"/>
  <c r="U352"/>
  <c r="V352"/>
  <c r="W352"/>
  <c r="X352"/>
  <c r="Y352"/>
  <c r="AB352"/>
  <c r="AC352"/>
  <c r="AD352"/>
  <c r="AE352"/>
  <c r="AF352"/>
  <c r="AJ352"/>
  <c r="AK352"/>
  <c r="AL352"/>
  <c r="G353"/>
  <c r="H353"/>
  <c r="I353"/>
  <c r="J353"/>
  <c r="K353"/>
  <c r="N353"/>
  <c r="O353"/>
  <c r="P353"/>
  <c r="Q353"/>
  <c r="R353"/>
  <c r="U353"/>
  <c r="V353"/>
  <c r="W353"/>
  <c r="X353"/>
  <c r="Y353"/>
  <c r="AB353"/>
  <c r="AC353"/>
  <c r="AD353"/>
  <c r="AE353"/>
  <c r="AF353"/>
  <c r="G354"/>
  <c r="H354"/>
  <c r="I354"/>
  <c r="J354"/>
  <c r="K354"/>
  <c r="N354"/>
  <c r="O354"/>
  <c r="P354"/>
  <c r="Q354"/>
  <c r="R354"/>
  <c r="U354"/>
  <c r="V354"/>
  <c r="W354"/>
  <c r="X354"/>
  <c r="Y354"/>
  <c r="AB354"/>
  <c r="AC354"/>
  <c r="AD354"/>
  <c r="AE354"/>
  <c r="AF354"/>
  <c r="G355"/>
  <c r="H355"/>
  <c r="I355"/>
  <c r="J355"/>
  <c r="K355"/>
  <c r="N355"/>
  <c r="O355"/>
  <c r="P355"/>
  <c r="Q355"/>
  <c r="R355"/>
  <c r="U355"/>
  <c r="V355"/>
  <c r="W355"/>
  <c r="X355"/>
  <c r="Y355"/>
  <c r="AB355"/>
  <c r="AC355"/>
  <c r="AD355"/>
  <c r="AE355"/>
  <c r="AF355"/>
  <c r="G356"/>
  <c r="H356"/>
  <c r="I356"/>
  <c r="J356"/>
  <c r="K356"/>
  <c r="N356"/>
  <c r="O356"/>
  <c r="P356"/>
  <c r="Q356"/>
  <c r="R356"/>
  <c r="U356"/>
  <c r="V356"/>
  <c r="W356"/>
  <c r="X356"/>
  <c r="Y356"/>
  <c r="AB356"/>
  <c r="AC356"/>
  <c r="AD356"/>
  <c r="AE356"/>
  <c r="AF356"/>
  <c r="F357"/>
  <c r="G357"/>
  <c r="H357"/>
  <c r="I357"/>
  <c r="J357"/>
  <c r="K357"/>
  <c r="N357"/>
  <c r="O357"/>
  <c r="P357"/>
  <c r="Q357"/>
  <c r="R357"/>
  <c r="U357"/>
  <c r="V357"/>
  <c r="W357"/>
  <c r="X357"/>
  <c r="Y357"/>
  <c r="AB357"/>
  <c r="AC357"/>
  <c r="AD357"/>
  <c r="AE357"/>
  <c r="AF357"/>
  <c r="AN357"/>
  <c r="AO357"/>
  <c r="AP357"/>
  <c r="AQ357"/>
  <c r="F358"/>
  <c r="L358"/>
  <c r="S358"/>
  <c r="Z358"/>
  <c r="AG358"/>
  <c r="AN358"/>
  <c r="AO358"/>
  <c r="AP358"/>
  <c r="AQ358"/>
  <c r="F359"/>
  <c r="L359"/>
  <c r="S359"/>
  <c r="Z359"/>
  <c r="AG359"/>
  <c r="AN359"/>
  <c r="AO359"/>
  <c r="AP359"/>
  <c r="AQ359"/>
  <c r="F360"/>
  <c r="L360"/>
  <c r="S360"/>
  <c r="Z360"/>
  <c r="AG360"/>
  <c r="AN360"/>
  <c r="AO360"/>
  <c r="AP360"/>
  <c r="AQ360"/>
  <c r="F361"/>
  <c r="L361"/>
  <c r="S361"/>
  <c r="Z361"/>
  <c r="AG361"/>
  <c r="AN361"/>
  <c r="AO361"/>
  <c r="AP361"/>
  <c r="AQ361"/>
  <c r="F362"/>
  <c r="L362"/>
  <c r="S362"/>
  <c r="Z362"/>
  <c r="AG362"/>
  <c r="AN362"/>
  <c r="AO362"/>
  <c r="AP362"/>
  <c r="AQ362"/>
  <c r="F363"/>
  <c r="L363"/>
  <c r="S363"/>
  <c r="Z363"/>
  <c r="AG363"/>
  <c r="AN363"/>
  <c r="AO363"/>
  <c r="AP363"/>
  <c r="AQ363"/>
  <c r="G365"/>
  <c r="H365"/>
  <c r="I365"/>
  <c r="J365"/>
  <c r="K365"/>
  <c r="N365"/>
  <c r="O365"/>
  <c r="P365"/>
  <c r="Q365"/>
  <c r="R365"/>
  <c r="U365"/>
  <c r="V365"/>
  <c r="W365"/>
  <c r="X365"/>
  <c r="Y365"/>
  <c r="AB365"/>
  <c r="AC365"/>
  <c r="AD365"/>
  <c r="AE365"/>
  <c r="AF365"/>
  <c r="AJ365"/>
  <c r="AK365"/>
  <c r="AL365"/>
  <c r="G366"/>
  <c r="H366"/>
  <c r="I366"/>
  <c r="J366"/>
  <c r="K366"/>
  <c r="N366"/>
  <c r="O366"/>
  <c r="P366"/>
  <c r="Q366"/>
  <c r="R366"/>
  <c r="U366"/>
  <c r="V366"/>
  <c r="W366"/>
  <c r="X366"/>
  <c r="Y366"/>
  <c r="AB366"/>
  <c r="AC366"/>
  <c r="AD366"/>
  <c r="AE366"/>
  <c r="AF366"/>
  <c r="G367"/>
  <c r="H367"/>
  <c r="I367"/>
  <c r="J367"/>
  <c r="K367"/>
  <c r="N367"/>
  <c r="O367"/>
  <c r="P367"/>
  <c r="Q367"/>
  <c r="R367"/>
  <c r="U367"/>
  <c r="V367"/>
  <c r="W367"/>
  <c r="X367"/>
  <c r="Y367"/>
  <c r="AB367"/>
  <c r="AC367"/>
  <c r="AD367"/>
  <c r="AE367"/>
  <c r="AF367"/>
  <c r="G368"/>
  <c r="H368"/>
  <c r="I368"/>
  <c r="J368"/>
  <c r="K368"/>
  <c r="N368"/>
  <c r="O368"/>
  <c r="P368"/>
  <c r="Q368"/>
  <c r="R368"/>
  <c r="U368"/>
  <c r="V368"/>
  <c r="W368"/>
  <c r="X368"/>
  <c r="Y368"/>
  <c r="AB368"/>
  <c r="AC368"/>
  <c r="AD368"/>
  <c r="AE368"/>
  <c r="AF368"/>
  <c r="G369"/>
  <c r="H369"/>
  <c r="I369"/>
  <c r="J369"/>
  <c r="K369"/>
  <c r="N369"/>
  <c r="O369"/>
  <c r="P369"/>
  <c r="Q369"/>
  <c r="R369"/>
  <c r="U369"/>
  <c r="V369"/>
  <c r="W369"/>
  <c r="X369"/>
  <c r="Y369"/>
  <c r="AB369"/>
  <c r="AC369"/>
  <c r="AD369"/>
  <c r="AE369"/>
  <c r="AF369"/>
  <c r="F370"/>
  <c r="G370"/>
  <c r="H370"/>
  <c r="I370"/>
  <c r="J370"/>
  <c r="K370"/>
  <c r="N370"/>
  <c r="O370"/>
  <c r="P370"/>
  <c r="Q370"/>
  <c r="R370"/>
  <c r="U370"/>
  <c r="V370"/>
  <c r="W370"/>
  <c r="X370"/>
  <c r="Y370"/>
  <c r="AB370"/>
  <c r="AC370"/>
  <c r="AD370"/>
  <c r="AE370"/>
  <c r="AF370"/>
  <c r="AN370"/>
  <c r="AO370"/>
  <c r="AP370"/>
  <c r="AQ370"/>
  <c r="F371"/>
  <c r="L371"/>
  <c r="S371"/>
  <c r="Z371"/>
  <c r="AG371"/>
  <c r="AN371"/>
  <c r="AO371"/>
  <c r="AP371"/>
  <c r="AQ371"/>
  <c r="F372"/>
  <c r="L372"/>
  <c r="S372"/>
  <c r="Z372"/>
  <c r="AG372"/>
  <c r="AN372"/>
  <c r="AO372"/>
  <c r="AP372"/>
  <c r="AQ372"/>
  <c r="F373"/>
  <c r="L373"/>
  <c r="S373"/>
  <c r="Z373"/>
  <c r="AG373"/>
  <c r="AN373"/>
  <c r="AO373"/>
  <c r="AP373"/>
  <c r="AQ373"/>
  <c r="F374"/>
  <c r="L374"/>
  <c r="S374"/>
  <c r="Z374"/>
  <c r="AG374"/>
  <c r="AN374"/>
  <c r="AO374"/>
  <c r="AP374"/>
  <c r="AQ374"/>
  <c r="F375"/>
  <c r="L375"/>
  <c r="S375"/>
  <c r="Z375"/>
  <c r="AG375"/>
  <c r="AN375"/>
  <c r="AO375"/>
  <c r="AP375"/>
  <c r="AQ375"/>
  <c r="F376"/>
  <c r="L376"/>
  <c r="S376"/>
  <c r="Z376"/>
  <c r="AG376"/>
  <c r="AN376"/>
  <c r="AO376"/>
  <c r="AP376"/>
  <c r="AQ376"/>
  <c r="G378"/>
  <c r="H378"/>
  <c r="I378"/>
  <c r="J378"/>
  <c r="K378"/>
  <c r="N378"/>
  <c r="O378"/>
  <c r="P378"/>
  <c r="Q378"/>
  <c r="R378"/>
  <c r="U378"/>
  <c r="V378"/>
  <c r="W378"/>
  <c r="X378"/>
  <c r="Y378"/>
  <c r="AB378"/>
  <c r="AC378"/>
  <c r="AD378"/>
  <c r="AE378"/>
  <c r="AF378"/>
  <c r="AJ378"/>
  <c r="AK378"/>
  <c r="AL378"/>
  <c r="G379"/>
  <c r="H379"/>
  <c r="I379"/>
  <c r="J379"/>
  <c r="K379"/>
  <c r="N379"/>
  <c r="O379"/>
  <c r="P379"/>
  <c r="Q379"/>
  <c r="R379"/>
  <c r="U379"/>
  <c r="V379"/>
  <c r="W379"/>
  <c r="X379"/>
  <c r="Y379"/>
  <c r="AB379"/>
  <c r="AC379"/>
  <c r="AD379"/>
  <c r="AE379"/>
  <c r="AF379"/>
  <c r="G380"/>
  <c r="H380"/>
  <c r="I380"/>
  <c r="J380"/>
  <c r="K380"/>
  <c r="N380"/>
  <c r="O380"/>
  <c r="P380"/>
  <c r="Q380"/>
  <c r="R380"/>
  <c r="U380"/>
  <c r="V380"/>
  <c r="W380"/>
  <c r="X380"/>
  <c r="Y380"/>
  <c r="AB380"/>
  <c r="AC380"/>
  <c r="AD380"/>
  <c r="AE380"/>
  <c r="AF380"/>
  <c r="G381"/>
  <c r="H381"/>
  <c r="I381"/>
  <c r="J381"/>
  <c r="K381"/>
  <c r="N381"/>
  <c r="O381"/>
  <c r="P381"/>
  <c r="Q381"/>
  <c r="R381"/>
  <c r="U381"/>
  <c r="V381"/>
  <c r="W381"/>
  <c r="X381"/>
  <c r="Y381"/>
  <c r="AB381"/>
  <c r="AC381"/>
  <c r="AD381"/>
  <c r="AE381"/>
  <c r="AF381"/>
  <c r="G382"/>
  <c r="H382"/>
  <c r="I382"/>
  <c r="J382"/>
  <c r="K382"/>
  <c r="N382"/>
  <c r="O382"/>
  <c r="P382"/>
  <c r="Q382"/>
  <c r="R382"/>
  <c r="U382"/>
  <c r="V382"/>
  <c r="W382"/>
  <c r="X382"/>
  <c r="Y382"/>
  <c r="AB382"/>
  <c r="AC382"/>
  <c r="AD382"/>
  <c r="AE382"/>
  <c r="AF382"/>
  <c r="F383"/>
  <c r="G383"/>
  <c r="H383"/>
  <c r="I383"/>
  <c r="J383"/>
  <c r="K383"/>
  <c r="N383"/>
  <c r="O383"/>
  <c r="P383"/>
  <c r="Q383"/>
  <c r="R383"/>
  <c r="U383"/>
  <c r="V383"/>
  <c r="W383"/>
  <c r="X383"/>
  <c r="Y383"/>
  <c r="AB383"/>
  <c r="AC383"/>
  <c r="AD383"/>
  <c r="AE383"/>
  <c r="AF383"/>
  <c r="AN383"/>
  <c r="AO383"/>
  <c r="AP383"/>
  <c r="AQ383"/>
  <c r="F384"/>
  <c r="L384"/>
  <c r="S384"/>
  <c r="Z384"/>
  <c r="AG384"/>
  <c r="AN384"/>
  <c r="AO384"/>
  <c r="AP384"/>
  <c r="AQ384"/>
  <c r="F385"/>
  <c r="L385"/>
  <c r="S385"/>
  <c r="Z385"/>
  <c r="AG385"/>
  <c r="AN385"/>
  <c r="AO385"/>
  <c r="AP385"/>
  <c r="AQ385"/>
  <c r="F386"/>
  <c r="L386"/>
  <c r="S386"/>
  <c r="Z386"/>
  <c r="AG386"/>
  <c r="AN386"/>
  <c r="AO386"/>
  <c r="AP386"/>
  <c r="AQ386"/>
  <c r="F387"/>
  <c r="L387"/>
  <c r="S387"/>
  <c r="Z387"/>
  <c r="AG387"/>
  <c r="AN387"/>
  <c r="AO387"/>
  <c r="AP387"/>
  <c r="AQ387"/>
  <c r="F388"/>
  <c r="L388"/>
  <c r="S388"/>
  <c r="Z388"/>
  <c r="AG388"/>
  <c r="AN388"/>
  <c r="AO388"/>
  <c r="AP388"/>
  <c r="AQ388"/>
  <c r="F389"/>
  <c r="L389"/>
  <c r="S389"/>
  <c r="Z389"/>
  <c r="AG389"/>
  <c r="AN389"/>
  <c r="AO389"/>
  <c r="AP389"/>
  <c r="AQ389"/>
  <c r="G391"/>
  <c r="H391"/>
  <c r="I391"/>
  <c r="J391"/>
  <c r="K391"/>
  <c r="N391"/>
  <c r="O391"/>
  <c r="P391"/>
  <c r="Q391"/>
  <c r="R391"/>
  <c r="U391"/>
  <c r="V391"/>
  <c r="W391"/>
  <c r="X391"/>
  <c r="Y391"/>
  <c r="AB391"/>
  <c r="AC391"/>
  <c r="AD391"/>
  <c r="AE391"/>
  <c r="AF391"/>
  <c r="AJ391"/>
  <c r="AK391"/>
  <c r="AL391"/>
  <c r="G392"/>
  <c r="H392"/>
  <c r="I392"/>
  <c r="J392"/>
  <c r="K392"/>
  <c r="N392"/>
  <c r="O392"/>
  <c r="P392"/>
  <c r="Q392"/>
  <c r="R392"/>
  <c r="U392"/>
  <c r="V392"/>
  <c r="W392"/>
  <c r="X392"/>
  <c r="Y392"/>
  <c r="AB392"/>
  <c r="AC392"/>
  <c r="AD392"/>
  <c r="AE392"/>
  <c r="AF392"/>
  <c r="G393"/>
  <c r="H393"/>
  <c r="I393"/>
  <c r="J393"/>
  <c r="K393"/>
  <c r="N393"/>
  <c r="O393"/>
  <c r="P393"/>
  <c r="Q393"/>
  <c r="R393"/>
  <c r="U393"/>
  <c r="V393"/>
  <c r="W393"/>
  <c r="X393"/>
  <c r="Y393"/>
  <c r="AB393"/>
  <c r="AC393"/>
  <c r="AD393"/>
  <c r="AE393"/>
  <c r="AF393"/>
  <c r="G394"/>
  <c r="H394"/>
  <c r="I394"/>
  <c r="J394"/>
  <c r="K394"/>
  <c r="N394"/>
  <c r="O394"/>
  <c r="P394"/>
  <c r="Q394"/>
  <c r="R394"/>
  <c r="U394"/>
  <c r="V394"/>
  <c r="W394"/>
  <c r="X394"/>
  <c r="Y394"/>
  <c r="AB394"/>
  <c r="AC394"/>
  <c r="AD394"/>
  <c r="AE394"/>
  <c r="AF394"/>
  <c r="G395"/>
  <c r="H395"/>
  <c r="I395"/>
  <c r="J395"/>
  <c r="K395"/>
  <c r="N395"/>
  <c r="O395"/>
  <c r="P395"/>
  <c r="Q395"/>
  <c r="R395"/>
  <c r="U395"/>
  <c r="V395"/>
  <c r="W395"/>
  <c r="X395"/>
  <c r="Y395"/>
  <c r="AB395"/>
  <c r="AC395"/>
  <c r="AD395"/>
  <c r="AE395"/>
  <c r="AF395"/>
  <c r="F396"/>
  <c r="G396"/>
  <c r="H396"/>
  <c r="I396"/>
  <c r="J396"/>
  <c r="K396"/>
  <c r="N396"/>
  <c r="O396"/>
  <c r="P396"/>
  <c r="Q396"/>
  <c r="R396"/>
  <c r="U396"/>
  <c r="V396"/>
  <c r="W396"/>
  <c r="X396"/>
  <c r="Y396"/>
  <c r="AB396"/>
  <c r="AC396"/>
  <c r="AD396"/>
  <c r="AE396"/>
  <c r="AF396"/>
  <c r="AN396"/>
  <c r="AO396"/>
  <c r="AP396"/>
  <c r="AQ396"/>
  <c r="F397"/>
  <c r="L397"/>
  <c r="S397"/>
  <c r="Z397"/>
  <c r="AG397"/>
  <c r="AN397"/>
  <c r="AO397"/>
  <c r="AP397"/>
  <c r="AQ397"/>
  <c r="F398"/>
  <c r="L398"/>
  <c r="S398"/>
  <c r="Z398"/>
  <c r="AG398"/>
  <c r="AN398"/>
  <c r="AO398"/>
  <c r="AP398"/>
  <c r="AQ398"/>
  <c r="F399"/>
  <c r="L399"/>
  <c r="S399"/>
  <c r="Z399"/>
  <c r="AG399"/>
  <c r="AN399"/>
  <c r="AO399"/>
  <c r="AP399"/>
  <c r="AQ399"/>
  <c r="F400"/>
  <c r="L400"/>
  <c r="S400"/>
  <c r="Z400"/>
  <c r="AG400"/>
  <c r="AN400"/>
  <c r="AO400"/>
  <c r="AP400"/>
  <c r="AQ400"/>
  <c r="F401"/>
  <c r="L401"/>
  <c r="S401"/>
  <c r="Z401"/>
  <c r="AG401"/>
  <c r="AN401"/>
  <c r="AO401"/>
  <c r="AP401"/>
  <c r="AQ401"/>
  <c r="F402"/>
  <c r="L402"/>
  <c r="S402"/>
  <c r="Z402"/>
  <c r="AG402"/>
  <c r="AN402"/>
  <c r="AO402"/>
  <c r="AP402"/>
  <c r="AQ402"/>
  <c r="G404"/>
  <c r="H404"/>
  <c r="I404"/>
  <c r="J404"/>
  <c r="K404"/>
  <c r="N404"/>
  <c r="O404"/>
  <c r="P404"/>
  <c r="Q404"/>
  <c r="R404"/>
  <c r="U404"/>
  <c r="V404"/>
  <c r="W404"/>
  <c r="X404"/>
  <c r="Y404"/>
  <c r="AB404"/>
  <c r="AC404"/>
  <c r="AD404"/>
  <c r="AE404"/>
  <c r="AF404"/>
  <c r="AJ404"/>
  <c r="AK404"/>
  <c r="AL404"/>
  <c r="G405"/>
  <c r="H405"/>
  <c r="I405"/>
  <c r="J405"/>
  <c r="K405"/>
  <c r="N405"/>
  <c r="O405"/>
  <c r="P405"/>
  <c r="Q405"/>
  <c r="R405"/>
  <c r="U405"/>
  <c r="V405"/>
  <c r="W405"/>
  <c r="X405"/>
  <c r="Y405"/>
  <c r="AB405"/>
  <c r="AC405"/>
  <c r="AD405"/>
  <c r="AE405"/>
  <c r="AF405"/>
  <c r="G406"/>
  <c r="H406"/>
  <c r="I406"/>
  <c r="J406"/>
  <c r="K406"/>
  <c r="N406"/>
  <c r="O406"/>
  <c r="P406"/>
  <c r="Q406"/>
  <c r="R406"/>
  <c r="U406"/>
  <c r="V406"/>
  <c r="W406"/>
  <c r="X406"/>
  <c r="Y406"/>
  <c r="AB406"/>
  <c r="AC406"/>
  <c r="AD406"/>
  <c r="AE406"/>
  <c r="AF406"/>
  <c r="G407"/>
  <c r="H407"/>
  <c r="I407"/>
  <c r="J407"/>
  <c r="K407"/>
  <c r="N407"/>
  <c r="O407"/>
  <c r="P407"/>
  <c r="Q407"/>
  <c r="R407"/>
  <c r="U407"/>
  <c r="V407"/>
  <c r="W407"/>
  <c r="X407"/>
  <c r="Y407"/>
  <c r="AB407"/>
  <c r="AC407"/>
  <c r="AD407"/>
  <c r="AE407"/>
  <c r="AF407"/>
  <c r="G408"/>
  <c r="H408"/>
  <c r="I408"/>
  <c r="J408"/>
  <c r="K408"/>
  <c r="N408"/>
  <c r="O408"/>
  <c r="P408"/>
  <c r="Q408"/>
  <c r="R408"/>
  <c r="U408"/>
  <c r="V408"/>
  <c r="W408"/>
  <c r="X408"/>
  <c r="Y408"/>
  <c r="AB408"/>
  <c r="AC408"/>
  <c r="AD408"/>
  <c r="AE408"/>
  <c r="AF408"/>
  <c r="F409"/>
  <c r="G409"/>
  <c r="H409"/>
  <c r="I409"/>
  <c r="J409"/>
  <c r="K409"/>
  <c r="N409"/>
  <c r="O409"/>
  <c r="P409"/>
  <c r="Q409"/>
  <c r="R409"/>
  <c r="U409"/>
  <c r="V409"/>
  <c r="W409"/>
  <c r="X409"/>
  <c r="Y409"/>
  <c r="AB409"/>
  <c r="AC409"/>
  <c r="AD409"/>
  <c r="AE409"/>
  <c r="AF409"/>
  <c r="AN409"/>
  <c r="AO409"/>
  <c r="AP409"/>
  <c r="AQ409"/>
  <c r="F410"/>
  <c r="L410"/>
  <c r="S410"/>
  <c r="Z410"/>
  <c r="AG410"/>
  <c r="AN410"/>
  <c r="AO410"/>
  <c r="AP410"/>
  <c r="AQ410"/>
  <c r="F411"/>
  <c r="L411"/>
  <c r="S411"/>
  <c r="Z411"/>
  <c r="AG411"/>
  <c r="AN411"/>
  <c r="AO411"/>
  <c r="AP411"/>
  <c r="AQ411"/>
  <c r="F412"/>
  <c r="L412"/>
  <c r="S412"/>
  <c r="Z412"/>
  <c r="AG412"/>
  <c r="AN412"/>
  <c r="AO412"/>
  <c r="AP412"/>
  <c r="AQ412"/>
  <c r="F413"/>
  <c r="L413"/>
  <c r="S413"/>
  <c r="Z413"/>
  <c r="AG413"/>
  <c r="AN413"/>
  <c r="AO413"/>
  <c r="AP413"/>
  <c r="AQ413"/>
  <c r="F414"/>
  <c r="L414"/>
  <c r="S414"/>
  <c r="Z414"/>
  <c r="AG414"/>
  <c r="AN414"/>
  <c r="AO414"/>
  <c r="AP414"/>
  <c r="AQ414"/>
  <c r="F415"/>
  <c r="L415"/>
  <c r="S415"/>
  <c r="Z415"/>
  <c r="AG415"/>
  <c r="AN415"/>
  <c r="AO415"/>
  <c r="AP415"/>
  <c r="AQ415"/>
  <c r="G417"/>
  <c r="H417"/>
  <c r="I417"/>
  <c r="J417"/>
  <c r="K417"/>
  <c r="N417"/>
  <c r="O417"/>
  <c r="P417"/>
  <c r="Q417"/>
  <c r="R417"/>
  <c r="U417"/>
  <c r="V417"/>
  <c r="W417"/>
  <c r="X417"/>
  <c r="Y417"/>
  <c r="AB417"/>
  <c r="AC417"/>
  <c r="AD417"/>
  <c r="AE417"/>
  <c r="AF417"/>
  <c r="AJ417"/>
  <c r="AK417"/>
  <c r="AL417"/>
  <c r="G418"/>
  <c r="H418"/>
  <c r="I418"/>
  <c r="J418"/>
  <c r="K418"/>
  <c r="N418"/>
  <c r="O418"/>
  <c r="P418"/>
  <c r="Q418"/>
  <c r="R418"/>
  <c r="U418"/>
  <c r="V418"/>
  <c r="W418"/>
  <c r="X418"/>
  <c r="Y418"/>
  <c r="AB418"/>
  <c r="AC418"/>
  <c r="AD418"/>
  <c r="AE418"/>
  <c r="AF418"/>
  <c r="G419"/>
  <c r="H419"/>
  <c r="I419"/>
  <c r="J419"/>
  <c r="K419"/>
  <c r="N419"/>
  <c r="O419"/>
  <c r="P419"/>
  <c r="Q419"/>
  <c r="R419"/>
  <c r="U419"/>
  <c r="V419"/>
  <c r="W419"/>
  <c r="X419"/>
  <c r="Y419"/>
  <c r="AB419"/>
  <c r="AC419"/>
  <c r="AD419"/>
  <c r="AE419"/>
  <c r="AF419"/>
  <c r="G420"/>
  <c r="H420"/>
  <c r="I420"/>
  <c r="J420"/>
  <c r="K420"/>
  <c r="N420"/>
  <c r="O420"/>
  <c r="P420"/>
  <c r="Q420"/>
  <c r="R420"/>
  <c r="U420"/>
  <c r="V420"/>
  <c r="W420"/>
  <c r="X420"/>
  <c r="Y420"/>
  <c r="AB420"/>
  <c r="AC420"/>
  <c r="AD420"/>
  <c r="AE420"/>
  <c r="AF420"/>
  <c r="G421"/>
  <c r="H421"/>
  <c r="I421"/>
  <c r="J421"/>
  <c r="K421"/>
  <c r="N421"/>
  <c r="O421"/>
  <c r="P421"/>
  <c r="Q421"/>
  <c r="R421"/>
  <c r="U421"/>
  <c r="V421"/>
  <c r="W421"/>
  <c r="X421"/>
  <c r="Y421"/>
  <c r="AB421"/>
  <c r="AC421"/>
  <c r="AD421"/>
  <c r="AE421"/>
  <c r="AF421"/>
  <c r="F422"/>
  <c r="G422"/>
  <c r="H422"/>
  <c r="I422"/>
  <c r="J422"/>
  <c r="K422"/>
  <c r="N422"/>
  <c r="O422"/>
  <c r="P422"/>
  <c r="Q422"/>
  <c r="R422"/>
  <c r="U422"/>
  <c r="V422"/>
  <c r="W422"/>
  <c r="X422"/>
  <c r="Y422"/>
  <c r="AB422"/>
  <c r="AC422"/>
  <c r="AD422"/>
  <c r="AE422"/>
  <c r="AF422"/>
  <c r="AN422"/>
  <c r="AO422"/>
  <c r="AP422"/>
  <c r="AQ422"/>
  <c r="F423"/>
  <c r="L423"/>
  <c r="S423"/>
  <c r="Z423"/>
  <c r="AG423"/>
  <c r="AN423"/>
  <c r="AO423"/>
  <c r="AP423"/>
  <c r="AQ423"/>
  <c r="F424"/>
  <c r="L424"/>
  <c r="S424"/>
  <c r="Z424"/>
  <c r="AG424"/>
  <c r="AN424"/>
  <c r="AO424"/>
  <c r="AP424"/>
  <c r="AQ424"/>
  <c r="F425"/>
  <c r="L425"/>
  <c r="S425"/>
  <c r="Z425"/>
  <c r="AG425"/>
  <c r="AN425"/>
  <c r="AO425"/>
  <c r="AP425"/>
  <c r="AQ425"/>
  <c r="F426"/>
  <c r="L426"/>
  <c r="S426"/>
  <c r="Z426"/>
  <c r="AG426"/>
  <c r="AN426"/>
  <c r="AO426"/>
  <c r="AP426"/>
  <c r="AQ426"/>
  <c r="F427"/>
  <c r="L427"/>
  <c r="S427"/>
  <c r="Z427"/>
  <c r="AG427"/>
  <c r="AN427"/>
  <c r="AO427"/>
  <c r="AP427"/>
  <c r="AQ427"/>
  <c r="F428"/>
  <c r="L428"/>
  <c r="S428"/>
  <c r="Z428"/>
  <c r="AG428"/>
  <c r="AN428"/>
  <c r="AO428"/>
  <c r="AP428"/>
  <c r="AQ428"/>
  <c r="G430"/>
  <c r="H430"/>
  <c r="I430"/>
  <c r="J430"/>
  <c r="K430"/>
  <c r="N430"/>
  <c r="O430"/>
  <c r="P430"/>
  <c r="Q430"/>
  <c r="R430"/>
  <c r="U430"/>
  <c r="V430"/>
  <c r="W430"/>
  <c r="X430"/>
  <c r="Y430"/>
  <c r="AB430"/>
  <c r="AC430"/>
  <c r="AD430"/>
  <c r="AE430"/>
  <c r="AF430"/>
  <c r="AJ430"/>
  <c r="AK430"/>
  <c r="AL430"/>
  <c r="G431"/>
  <c r="H431"/>
  <c r="I431"/>
  <c r="J431"/>
  <c r="K431"/>
  <c r="N431"/>
  <c r="O431"/>
  <c r="P431"/>
  <c r="Q431"/>
  <c r="R431"/>
  <c r="U431"/>
  <c r="V431"/>
  <c r="W431"/>
  <c r="X431"/>
  <c r="Y431"/>
  <c r="AB431"/>
  <c r="AC431"/>
  <c r="AD431"/>
  <c r="AE431"/>
  <c r="AF431"/>
  <c r="G432"/>
  <c r="H432"/>
  <c r="I432"/>
  <c r="J432"/>
  <c r="K432"/>
  <c r="N432"/>
  <c r="O432"/>
  <c r="P432"/>
  <c r="Q432"/>
  <c r="R432"/>
  <c r="U432"/>
  <c r="V432"/>
  <c r="W432"/>
  <c r="X432"/>
  <c r="Y432"/>
  <c r="AB432"/>
  <c r="AC432"/>
  <c r="AD432"/>
  <c r="AE432"/>
  <c r="AF432"/>
  <c r="G433"/>
  <c r="H433"/>
  <c r="I433"/>
  <c r="J433"/>
  <c r="K433"/>
  <c r="N433"/>
  <c r="O433"/>
  <c r="P433"/>
  <c r="Q433"/>
  <c r="R433"/>
  <c r="U433"/>
  <c r="V433"/>
  <c r="W433"/>
  <c r="X433"/>
  <c r="Y433"/>
  <c r="AB433"/>
  <c r="AC433"/>
  <c r="AD433"/>
  <c r="AE433"/>
  <c r="AF433"/>
  <c r="G434"/>
  <c r="H434"/>
  <c r="I434"/>
  <c r="J434"/>
  <c r="K434"/>
  <c r="N434"/>
  <c r="O434"/>
  <c r="P434"/>
  <c r="Q434"/>
  <c r="R434"/>
  <c r="U434"/>
  <c r="V434"/>
  <c r="W434"/>
  <c r="X434"/>
  <c r="Y434"/>
  <c r="AB434"/>
  <c r="AC434"/>
  <c r="AD434"/>
  <c r="AE434"/>
  <c r="AF434"/>
  <c r="F435"/>
  <c r="G435"/>
  <c r="H435"/>
  <c r="I435"/>
  <c r="J435"/>
  <c r="K435"/>
  <c r="N435"/>
  <c r="O435"/>
  <c r="P435"/>
  <c r="Q435"/>
  <c r="R435"/>
  <c r="U435"/>
  <c r="V435"/>
  <c r="W435"/>
  <c r="X435"/>
  <c r="Y435"/>
  <c r="AB435"/>
  <c r="AC435"/>
  <c r="AD435"/>
  <c r="AE435"/>
  <c r="AF435"/>
  <c r="AN435"/>
  <c r="AO435"/>
  <c r="AP435"/>
  <c r="AQ435"/>
  <c r="F436"/>
  <c r="L436"/>
  <c r="S436"/>
  <c r="Z436"/>
  <c r="AG436"/>
  <c r="AN436"/>
  <c r="AO436"/>
  <c r="AP436"/>
  <c r="AQ436"/>
  <c r="F437"/>
  <c r="L437"/>
  <c r="S437"/>
  <c r="Z437"/>
  <c r="AG437"/>
  <c r="AN437"/>
  <c r="AO437"/>
  <c r="AP437"/>
  <c r="AQ437"/>
  <c r="F438"/>
  <c r="L438"/>
  <c r="S438"/>
  <c r="Z438"/>
  <c r="AG438"/>
  <c r="AN438"/>
  <c r="AO438"/>
  <c r="AP438"/>
  <c r="AQ438"/>
  <c r="F439"/>
  <c r="L439"/>
  <c r="S439"/>
  <c r="Z439"/>
  <c r="AG439"/>
  <c r="AN439"/>
  <c r="AO439"/>
  <c r="AP439"/>
  <c r="AQ439"/>
  <c r="F440"/>
  <c r="L440"/>
  <c r="S440"/>
  <c r="Z440"/>
  <c r="AG440"/>
  <c r="AN440"/>
  <c r="AO440"/>
  <c r="AP440"/>
  <c r="AQ440"/>
  <c r="F441"/>
  <c r="L441"/>
  <c r="S441"/>
  <c r="Z441"/>
  <c r="AG441"/>
  <c r="AN441"/>
  <c r="AO441"/>
  <c r="AP441"/>
  <c r="AQ441"/>
  <c r="G443"/>
  <c r="H443"/>
  <c r="I443"/>
  <c r="J443"/>
  <c r="K443"/>
  <c r="N443"/>
  <c r="O443"/>
  <c r="P443"/>
  <c r="Q443"/>
  <c r="R443"/>
  <c r="U443"/>
  <c r="V443"/>
  <c r="W443"/>
  <c r="X443"/>
  <c r="Y443"/>
  <c r="AB443"/>
  <c r="AC443"/>
  <c r="AD443"/>
  <c r="AE443"/>
  <c r="AF443"/>
  <c r="AJ443"/>
  <c r="AK443"/>
  <c r="AL443"/>
  <c r="G444"/>
  <c r="H444"/>
  <c r="I444"/>
  <c r="J444"/>
  <c r="K444"/>
  <c r="N444"/>
  <c r="O444"/>
  <c r="P444"/>
  <c r="Q444"/>
  <c r="R444"/>
  <c r="U444"/>
  <c r="V444"/>
  <c r="W444"/>
  <c r="X444"/>
  <c r="Y444"/>
  <c r="AB444"/>
  <c r="AC444"/>
  <c r="AD444"/>
  <c r="AE444"/>
  <c r="AF444"/>
  <c r="G445"/>
  <c r="H445"/>
  <c r="I445"/>
  <c r="J445"/>
  <c r="K445"/>
  <c r="N445"/>
  <c r="O445"/>
  <c r="P445"/>
  <c r="Q445"/>
  <c r="R445"/>
  <c r="U445"/>
  <c r="V445"/>
  <c r="W445"/>
  <c r="X445"/>
  <c r="Y445"/>
  <c r="AB445"/>
  <c r="AC445"/>
  <c r="AD445"/>
  <c r="AE445"/>
  <c r="AF445"/>
  <c r="G446"/>
  <c r="H446"/>
  <c r="I446"/>
  <c r="J446"/>
  <c r="K446"/>
  <c r="N446"/>
  <c r="O446"/>
  <c r="P446"/>
  <c r="Q446"/>
  <c r="R446"/>
  <c r="U446"/>
  <c r="V446"/>
  <c r="W446"/>
  <c r="X446"/>
  <c r="Y446"/>
  <c r="AB446"/>
  <c r="AC446"/>
  <c r="AD446"/>
  <c r="AE446"/>
  <c r="AF446"/>
  <c r="G447"/>
  <c r="H447"/>
  <c r="I447"/>
  <c r="J447"/>
  <c r="K447"/>
  <c r="N447"/>
  <c r="O447"/>
  <c r="P447"/>
  <c r="Q447"/>
  <c r="R447"/>
  <c r="U447"/>
  <c r="V447"/>
  <c r="W447"/>
  <c r="X447"/>
  <c r="Y447"/>
  <c r="AB447"/>
  <c r="AC447"/>
  <c r="AD447"/>
  <c r="AE447"/>
  <c r="AF447"/>
  <c r="F448"/>
  <c r="G448"/>
  <c r="H448"/>
  <c r="I448"/>
  <c r="J448"/>
  <c r="K448"/>
  <c r="N448"/>
  <c r="O448"/>
  <c r="P448"/>
  <c r="Q448"/>
  <c r="R448"/>
  <c r="U448"/>
  <c r="V448"/>
  <c r="W448"/>
  <c r="X448"/>
  <c r="Y448"/>
  <c r="AB448"/>
  <c r="AC448"/>
  <c r="AD448"/>
  <c r="AE448"/>
  <c r="AF448"/>
  <c r="AN448"/>
  <c r="AO448"/>
  <c r="AP448"/>
  <c r="AQ448"/>
  <c r="F449"/>
  <c r="L449"/>
  <c r="S449"/>
  <c r="Z449"/>
  <c r="AG449"/>
  <c r="AN449"/>
  <c r="AO449"/>
  <c r="AP449"/>
  <c r="AQ449"/>
  <c r="F450"/>
  <c r="L450"/>
  <c r="S450"/>
  <c r="Z450"/>
  <c r="AG450"/>
  <c r="AN450"/>
  <c r="AO450"/>
  <c r="AP450"/>
  <c r="AQ450"/>
  <c r="F451"/>
  <c r="L451"/>
  <c r="S451"/>
  <c r="Z451"/>
  <c r="AG451"/>
  <c r="AN451"/>
  <c r="AO451"/>
  <c r="AP451"/>
  <c r="AQ451"/>
  <c r="F452"/>
  <c r="L452"/>
  <c r="S452"/>
  <c r="Z452"/>
  <c r="AG452"/>
  <c r="AN452"/>
  <c r="AO452"/>
  <c r="AP452"/>
  <c r="AQ452"/>
  <c r="F453"/>
  <c r="L453"/>
  <c r="S453"/>
  <c r="Z453"/>
  <c r="AG453"/>
  <c r="AN453"/>
  <c r="AO453"/>
  <c r="AP453"/>
  <c r="AQ453"/>
  <c r="F454"/>
  <c r="L454"/>
  <c r="S454"/>
  <c r="Z454"/>
  <c r="AG454"/>
  <c r="AN454"/>
  <c r="AO454"/>
  <c r="AP454"/>
  <c r="AQ454"/>
  <c r="G456"/>
  <c r="H456"/>
  <c r="I456"/>
  <c r="J456"/>
  <c r="K456"/>
  <c r="N456"/>
  <c r="O456"/>
  <c r="P456"/>
  <c r="Q456"/>
  <c r="R456"/>
  <c r="U456"/>
  <c r="V456"/>
  <c r="W456"/>
  <c r="X456"/>
  <c r="Y456"/>
  <c r="AB456"/>
  <c r="AC456"/>
  <c r="AD456"/>
  <c r="AE456"/>
  <c r="AF456"/>
  <c r="AJ456"/>
  <c r="AK456"/>
  <c r="AL456"/>
  <c r="G457"/>
  <c r="H457"/>
  <c r="I457"/>
  <c r="J457"/>
  <c r="K457"/>
  <c r="N457"/>
  <c r="O457"/>
  <c r="P457"/>
  <c r="Q457"/>
  <c r="R457"/>
  <c r="U457"/>
  <c r="V457"/>
  <c r="W457"/>
  <c r="X457"/>
  <c r="Y457"/>
  <c r="AB457"/>
  <c r="AC457"/>
  <c r="AD457"/>
  <c r="AE457"/>
  <c r="AF457"/>
  <c r="G458"/>
  <c r="H458"/>
  <c r="I458"/>
  <c r="J458"/>
  <c r="K458"/>
  <c r="N458"/>
  <c r="O458"/>
  <c r="P458"/>
  <c r="Q458"/>
  <c r="R458"/>
  <c r="U458"/>
  <c r="V458"/>
  <c r="W458"/>
  <c r="X458"/>
  <c r="Y458"/>
  <c r="AB458"/>
  <c r="AC458"/>
  <c r="AD458"/>
  <c r="AE458"/>
  <c r="AF458"/>
  <c r="G459"/>
  <c r="H459"/>
  <c r="I459"/>
  <c r="J459"/>
  <c r="K459"/>
  <c r="N459"/>
  <c r="O459"/>
  <c r="P459"/>
  <c r="Q459"/>
  <c r="R459"/>
  <c r="U459"/>
  <c r="V459"/>
  <c r="W459"/>
  <c r="X459"/>
  <c r="Y459"/>
  <c r="AB459"/>
  <c r="AC459"/>
  <c r="AD459"/>
  <c r="AE459"/>
  <c r="AF459"/>
  <c r="G460"/>
  <c r="H460"/>
  <c r="I460"/>
  <c r="J460"/>
  <c r="K460"/>
  <c r="N460"/>
  <c r="O460"/>
  <c r="P460"/>
  <c r="Q460"/>
  <c r="R460"/>
  <c r="U460"/>
  <c r="V460"/>
  <c r="W460"/>
  <c r="X460"/>
  <c r="Y460"/>
  <c r="AB460"/>
  <c r="AC460"/>
  <c r="AD460"/>
  <c r="AE460"/>
  <c r="AF460"/>
  <c r="F461"/>
  <c r="G461"/>
  <c r="H461"/>
  <c r="I461"/>
  <c r="J461"/>
  <c r="K461"/>
  <c r="N461"/>
  <c r="O461"/>
  <c r="P461"/>
  <c r="Q461"/>
  <c r="R461"/>
  <c r="U461"/>
  <c r="V461"/>
  <c r="W461"/>
  <c r="X461"/>
  <c r="Y461"/>
  <c r="AB461"/>
  <c r="AC461"/>
  <c r="AD461"/>
  <c r="AE461"/>
  <c r="AF461"/>
  <c r="AN461"/>
  <c r="AO461"/>
  <c r="AP461"/>
  <c r="AQ461"/>
  <c r="F462"/>
  <c r="L462"/>
  <c r="S462"/>
  <c r="Z462"/>
  <c r="AG462"/>
  <c r="AN462"/>
  <c r="AO462"/>
  <c r="AP462"/>
  <c r="AQ462"/>
  <c r="F463"/>
  <c r="L463"/>
  <c r="S463"/>
  <c r="Z463"/>
  <c r="AG463"/>
  <c r="AN463"/>
  <c r="AO463"/>
  <c r="AP463"/>
  <c r="AQ463"/>
  <c r="F464"/>
  <c r="L464"/>
  <c r="S464"/>
  <c r="Z464"/>
  <c r="AG464"/>
  <c r="AN464"/>
  <c r="AO464"/>
  <c r="AP464"/>
  <c r="AQ464"/>
  <c r="F465"/>
  <c r="L465"/>
  <c r="S465"/>
  <c r="Z465"/>
  <c r="AG465"/>
  <c r="AN465"/>
  <c r="AO465"/>
  <c r="AP465"/>
  <c r="AQ465"/>
  <c r="F466"/>
  <c r="L466"/>
  <c r="S466"/>
  <c r="Z466"/>
  <c r="AG466"/>
  <c r="AN466"/>
  <c r="AO466"/>
  <c r="AP466"/>
  <c r="AQ466"/>
  <c r="F467"/>
  <c r="L467"/>
  <c r="S467"/>
  <c r="Z467"/>
  <c r="AG467"/>
  <c r="AN467"/>
  <c r="AO467"/>
  <c r="AP467"/>
  <c r="AQ467"/>
  <c r="G469"/>
  <c r="H469"/>
  <c r="I469"/>
  <c r="J469"/>
  <c r="K469"/>
  <c r="N469"/>
  <c r="O469"/>
  <c r="P469"/>
  <c r="Q469"/>
  <c r="R469"/>
  <c r="U469"/>
  <c r="V469"/>
  <c r="W469"/>
  <c r="X469"/>
  <c r="Y469"/>
  <c r="AB469"/>
  <c r="AC469"/>
  <c r="AD469"/>
  <c r="AE469"/>
  <c r="AF469"/>
  <c r="AJ469"/>
  <c r="AK469"/>
  <c r="AL469"/>
  <c r="G470"/>
  <c r="H470"/>
  <c r="I470"/>
  <c r="J470"/>
  <c r="K470"/>
  <c r="N470"/>
  <c r="O470"/>
  <c r="P470"/>
  <c r="Q470"/>
  <c r="R470"/>
  <c r="U470"/>
  <c r="V470"/>
  <c r="W470"/>
  <c r="X470"/>
  <c r="Y470"/>
  <c r="AB470"/>
  <c r="AC470"/>
  <c r="AD470"/>
  <c r="AE470"/>
  <c r="AF470"/>
  <c r="G471"/>
  <c r="H471"/>
  <c r="I471"/>
  <c r="J471"/>
  <c r="K471"/>
  <c r="N471"/>
  <c r="O471"/>
  <c r="P471"/>
  <c r="Q471"/>
  <c r="R471"/>
  <c r="U471"/>
  <c r="V471"/>
  <c r="W471"/>
  <c r="X471"/>
  <c r="Y471"/>
  <c r="AB471"/>
  <c r="AC471"/>
  <c r="AD471"/>
  <c r="AE471"/>
  <c r="AF471"/>
  <c r="G472"/>
  <c r="H472"/>
  <c r="I472"/>
  <c r="J472"/>
  <c r="K472"/>
  <c r="N472"/>
  <c r="O472"/>
  <c r="P472"/>
  <c r="Q472"/>
  <c r="R472"/>
  <c r="U472"/>
  <c r="V472"/>
  <c r="W472"/>
  <c r="X472"/>
  <c r="Y472"/>
  <c r="AB472"/>
  <c r="AC472"/>
  <c r="AD472"/>
  <c r="AE472"/>
  <c r="AF472"/>
  <c r="G473"/>
  <c r="H473"/>
  <c r="I473"/>
  <c r="J473"/>
  <c r="K473"/>
  <c r="N473"/>
  <c r="O473"/>
  <c r="P473"/>
  <c r="Q473"/>
  <c r="R473"/>
  <c r="U473"/>
  <c r="V473"/>
  <c r="W473"/>
  <c r="X473"/>
  <c r="Y473"/>
  <c r="AB473"/>
  <c r="AC473"/>
  <c r="AD473"/>
  <c r="AE473"/>
  <c r="AF473"/>
  <c r="F474"/>
  <c r="G474"/>
  <c r="H474"/>
  <c r="I474"/>
  <c r="J474"/>
  <c r="K474"/>
  <c r="N474"/>
  <c r="O474"/>
  <c r="P474"/>
  <c r="Q474"/>
  <c r="R474"/>
  <c r="U474"/>
  <c r="V474"/>
  <c r="W474"/>
  <c r="X474"/>
  <c r="Y474"/>
  <c r="AB474"/>
  <c r="AC474"/>
  <c r="AD474"/>
  <c r="AE474"/>
  <c r="AF474"/>
  <c r="AN474"/>
  <c r="AO474"/>
  <c r="AP474"/>
  <c r="AQ474"/>
  <c r="F475"/>
  <c r="L475"/>
  <c r="S475"/>
  <c r="Z475"/>
  <c r="AG475"/>
  <c r="AN475"/>
  <c r="AO475"/>
  <c r="AP475"/>
  <c r="AQ475"/>
  <c r="F476"/>
  <c r="L476"/>
  <c r="S476"/>
  <c r="Z476"/>
  <c r="AG476"/>
  <c r="AN476"/>
  <c r="AO476"/>
  <c r="AP476"/>
  <c r="AQ476"/>
  <c r="F477"/>
  <c r="L477"/>
  <c r="S477"/>
  <c r="Z477"/>
  <c r="AG477"/>
  <c r="AN477"/>
  <c r="AO477"/>
  <c r="AP477"/>
  <c r="AQ477"/>
  <c r="F478"/>
  <c r="L478"/>
  <c r="S478"/>
  <c r="Z478"/>
  <c r="AG478"/>
  <c r="AN478"/>
  <c r="AO478"/>
  <c r="AP478"/>
  <c r="AQ478"/>
  <c r="F479"/>
  <c r="L479"/>
  <c r="S479"/>
  <c r="Z479"/>
  <c r="AG479"/>
  <c r="AN479"/>
  <c r="AO479"/>
  <c r="AP479"/>
  <c r="AQ479"/>
  <c r="F480"/>
  <c r="L480"/>
  <c r="S480"/>
  <c r="Z480"/>
  <c r="AG480"/>
  <c r="AN480"/>
  <c r="AO480"/>
  <c r="AP480"/>
  <c r="AQ480"/>
  <c r="G482"/>
  <c r="H482"/>
  <c r="I482"/>
  <c r="J482"/>
  <c r="K482"/>
  <c r="N482"/>
  <c r="O482"/>
  <c r="P482"/>
  <c r="Q482"/>
  <c r="R482"/>
  <c r="U482"/>
  <c r="V482"/>
  <c r="W482"/>
  <c r="X482"/>
  <c r="Y482"/>
  <c r="AB482"/>
  <c r="AC482"/>
  <c r="AD482"/>
  <c r="AE482"/>
  <c r="AF482"/>
  <c r="AJ482"/>
  <c r="AK482"/>
  <c r="AL482"/>
  <c r="G483"/>
  <c r="H483"/>
  <c r="I483"/>
  <c r="J483"/>
  <c r="K483"/>
  <c r="N483"/>
  <c r="O483"/>
  <c r="P483"/>
  <c r="Q483"/>
  <c r="R483"/>
  <c r="U483"/>
  <c r="V483"/>
  <c r="W483"/>
  <c r="X483"/>
  <c r="Y483"/>
  <c r="AB483"/>
  <c r="AC483"/>
  <c r="AD483"/>
  <c r="AE483"/>
  <c r="AF483"/>
  <c r="G484"/>
  <c r="H484"/>
  <c r="I484"/>
  <c r="J484"/>
  <c r="K484"/>
  <c r="N484"/>
  <c r="O484"/>
  <c r="P484"/>
  <c r="Q484"/>
  <c r="R484"/>
  <c r="U484"/>
  <c r="V484"/>
  <c r="W484"/>
  <c r="X484"/>
  <c r="Y484"/>
  <c r="AB484"/>
  <c r="AC484"/>
  <c r="AD484"/>
  <c r="AE484"/>
  <c r="AF484"/>
  <c r="G485"/>
  <c r="H485"/>
  <c r="I485"/>
  <c r="J485"/>
  <c r="K485"/>
  <c r="N485"/>
  <c r="O485"/>
  <c r="P485"/>
  <c r="Q485"/>
  <c r="R485"/>
  <c r="U485"/>
  <c r="V485"/>
  <c r="W485"/>
  <c r="X485"/>
  <c r="Y485"/>
  <c r="AB485"/>
  <c r="AC485"/>
  <c r="AD485"/>
  <c r="AE485"/>
  <c r="AF485"/>
  <c r="G486"/>
  <c r="H486"/>
  <c r="I486"/>
  <c r="J486"/>
  <c r="K486"/>
  <c r="N486"/>
  <c r="O486"/>
  <c r="P486"/>
  <c r="Q486"/>
  <c r="R486"/>
  <c r="U486"/>
  <c r="V486"/>
  <c r="W486"/>
  <c r="X486"/>
  <c r="Y486"/>
  <c r="AB486"/>
  <c r="AC486"/>
  <c r="AD486"/>
  <c r="AE486"/>
  <c r="AF486"/>
  <c r="F487"/>
  <c r="G487"/>
  <c r="H487"/>
  <c r="I487"/>
  <c r="J487"/>
  <c r="K487"/>
  <c r="N487"/>
  <c r="O487"/>
  <c r="P487"/>
  <c r="Q487"/>
  <c r="R487"/>
  <c r="U487"/>
  <c r="V487"/>
  <c r="W487"/>
  <c r="X487"/>
  <c r="Y487"/>
  <c r="AB487"/>
  <c r="AC487"/>
  <c r="AD487"/>
  <c r="AE487"/>
  <c r="AF487"/>
  <c r="AN487"/>
  <c r="AO487"/>
  <c r="AP487"/>
  <c r="AQ487"/>
  <c r="F488"/>
  <c r="L488"/>
  <c r="S488"/>
  <c r="Z488"/>
  <c r="AG488"/>
  <c r="AN488"/>
  <c r="AO488"/>
  <c r="AP488"/>
  <c r="AQ488"/>
  <c r="F489"/>
  <c r="L489"/>
  <c r="S489"/>
  <c r="Z489"/>
  <c r="AG489"/>
  <c r="AN489"/>
  <c r="AO489"/>
  <c r="AP489"/>
  <c r="AQ489"/>
  <c r="F490"/>
  <c r="L490"/>
  <c r="S490"/>
  <c r="Z490"/>
  <c r="AG490"/>
  <c r="AN490"/>
  <c r="AO490"/>
  <c r="AP490"/>
  <c r="AQ490"/>
  <c r="F491"/>
  <c r="L491"/>
  <c r="S491"/>
  <c r="Z491"/>
  <c r="AG491"/>
  <c r="AN491"/>
  <c r="AO491"/>
  <c r="AP491"/>
  <c r="AQ491"/>
  <c r="F492"/>
  <c r="L492"/>
  <c r="S492"/>
  <c r="Z492"/>
  <c r="AG492"/>
  <c r="AN492"/>
  <c r="AO492"/>
  <c r="AP492"/>
  <c r="AQ492"/>
  <c r="F493"/>
  <c r="L493"/>
  <c r="S493"/>
  <c r="Z493"/>
  <c r="AG493"/>
  <c r="AN493"/>
  <c r="AO493"/>
  <c r="AP493"/>
  <c r="AQ493"/>
  <c r="G495"/>
  <c r="H495"/>
  <c r="I495"/>
  <c r="J495"/>
  <c r="K495"/>
  <c r="N495"/>
  <c r="O495"/>
  <c r="P495"/>
  <c r="Q495"/>
  <c r="R495"/>
  <c r="U495"/>
  <c r="V495"/>
  <c r="W495"/>
  <c r="X495"/>
  <c r="Y495"/>
  <c r="AB495"/>
  <c r="AC495"/>
  <c r="AD495"/>
  <c r="AE495"/>
  <c r="AF495"/>
  <c r="AJ495"/>
  <c r="AK495"/>
  <c r="AL495"/>
  <c r="G496"/>
  <c r="H496"/>
  <c r="I496"/>
  <c r="J496"/>
  <c r="K496"/>
  <c r="N496"/>
  <c r="O496"/>
  <c r="P496"/>
  <c r="Q496"/>
  <c r="R496"/>
  <c r="U496"/>
  <c r="V496"/>
  <c r="W496"/>
  <c r="X496"/>
  <c r="Y496"/>
  <c r="AB496"/>
  <c r="AC496"/>
  <c r="AD496"/>
  <c r="AE496"/>
  <c r="AF496"/>
  <c r="G497"/>
  <c r="H497"/>
  <c r="I497"/>
  <c r="J497"/>
  <c r="K497"/>
  <c r="N497"/>
  <c r="O497"/>
  <c r="P497"/>
  <c r="Q497"/>
  <c r="R497"/>
  <c r="U497"/>
  <c r="V497"/>
  <c r="W497"/>
  <c r="X497"/>
  <c r="Y497"/>
  <c r="AB497"/>
  <c r="AC497"/>
  <c r="AD497"/>
  <c r="AE497"/>
  <c r="AF497"/>
  <c r="G498"/>
  <c r="H498"/>
  <c r="I498"/>
  <c r="J498"/>
  <c r="K498"/>
  <c r="N498"/>
  <c r="O498"/>
  <c r="P498"/>
  <c r="Q498"/>
  <c r="R498"/>
  <c r="U498"/>
  <c r="V498"/>
  <c r="W498"/>
  <c r="X498"/>
  <c r="Y498"/>
  <c r="AB498"/>
  <c r="AC498"/>
  <c r="AD498"/>
  <c r="AE498"/>
  <c r="AF498"/>
  <c r="G499"/>
  <c r="H499"/>
  <c r="I499"/>
  <c r="J499"/>
  <c r="K499"/>
  <c r="N499"/>
  <c r="O499"/>
  <c r="P499"/>
  <c r="Q499"/>
  <c r="R499"/>
  <c r="U499"/>
  <c r="V499"/>
  <c r="W499"/>
  <c r="X499"/>
  <c r="Y499"/>
  <c r="AB499"/>
  <c r="AC499"/>
  <c r="AD499"/>
  <c r="AE499"/>
  <c r="AF499"/>
  <c r="F500"/>
  <c r="G500"/>
  <c r="H500"/>
  <c r="I500"/>
  <c r="J500"/>
  <c r="K500"/>
  <c r="N500"/>
  <c r="O500"/>
  <c r="P500"/>
  <c r="Q500"/>
  <c r="R500"/>
  <c r="U500"/>
  <c r="V500"/>
  <c r="W500"/>
  <c r="X500"/>
  <c r="Y500"/>
  <c r="AB500"/>
  <c r="AC500"/>
  <c r="AD500"/>
  <c r="AE500"/>
  <c r="AF500"/>
  <c r="AN500"/>
  <c r="AO500"/>
  <c r="AP500"/>
  <c r="AQ500"/>
  <c r="F501"/>
  <c r="L501"/>
  <c r="S501"/>
  <c r="Z501"/>
  <c r="AG501"/>
  <c r="AN501"/>
  <c r="AO501"/>
  <c r="AP501"/>
  <c r="AQ501"/>
  <c r="F502"/>
  <c r="L502"/>
  <c r="S502"/>
  <c r="Z502"/>
  <c r="AG502"/>
  <c r="AN502"/>
  <c r="AO502"/>
  <c r="AP502"/>
  <c r="AQ502"/>
  <c r="F503"/>
  <c r="L503"/>
  <c r="S503"/>
  <c r="Z503"/>
  <c r="AG503"/>
  <c r="AN503"/>
  <c r="AO503"/>
  <c r="AP503"/>
  <c r="AQ503"/>
  <c r="F504"/>
  <c r="L504"/>
  <c r="S504"/>
  <c r="Z504"/>
  <c r="AG504"/>
  <c r="AN504"/>
  <c r="AO504"/>
  <c r="AP504"/>
  <c r="AQ504"/>
  <c r="F505"/>
  <c r="L505"/>
  <c r="S505"/>
  <c r="Z505"/>
  <c r="AG505"/>
  <c r="AN505"/>
  <c r="AO505"/>
  <c r="AP505"/>
  <c r="AQ505"/>
  <c r="F506"/>
  <c r="L506"/>
  <c r="S506"/>
  <c r="Z506"/>
  <c r="AG506"/>
  <c r="AN506"/>
  <c r="AO506"/>
  <c r="AP506"/>
  <c r="AQ506"/>
  <c r="G508"/>
  <c r="H508"/>
  <c r="I508"/>
  <c r="J508"/>
  <c r="K508"/>
  <c r="N508"/>
  <c r="O508"/>
  <c r="P508"/>
  <c r="Q508"/>
  <c r="R508"/>
  <c r="U508"/>
  <c r="V508"/>
  <c r="W508"/>
  <c r="X508"/>
  <c r="Y508"/>
  <c r="AB508"/>
  <c r="AC508"/>
  <c r="AD508"/>
  <c r="AE508"/>
  <c r="AF508"/>
  <c r="AJ508"/>
  <c r="AK508"/>
  <c r="AL508"/>
  <c r="G509"/>
  <c r="H509"/>
  <c r="I509"/>
  <c r="J509"/>
  <c r="K509"/>
  <c r="N509"/>
  <c r="O509"/>
  <c r="P509"/>
  <c r="Q509"/>
  <c r="R509"/>
  <c r="U509"/>
  <c r="V509"/>
  <c r="W509"/>
  <c r="X509"/>
  <c r="Y509"/>
  <c r="AB509"/>
  <c r="AC509"/>
  <c r="AD509"/>
  <c r="AE509"/>
  <c r="AF509"/>
  <c r="G510"/>
  <c r="H510"/>
  <c r="I510"/>
  <c r="J510"/>
  <c r="K510"/>
  <c r="N510"/>
  <c r="O510"/>
  <c r="P510"/>
  <c r="Q510"/>
  <c r="R510"/>
  <c r="U510"/>
  <c r="V510"/>
  <c r="W510"/>
  <c r="X510"/>
  <c r="Y510"/>
  <c r="AB510"/>
  <c r="AC510"/>
  <c r="AD510"/>
  <c r="AE510"/>
  <c r="AF510"/>
  <c r="G511"/>
  <c r="H511"/>
  <c r="I511"/>
  <c r="J511"/>
  <c r="K511"/>
  <c r="N511"/>
  <c r="O511"/>
  <c r="P511"/>
  <c r="Q511"/>
  <c r="R511"/>
  <c r="U511"/>
  <c r="V511"/>
  <c r="W511"/>
  <c r="X511"/>
  <c r="Y511"/>
  <c r="AB511"/>
  <c r="AC511"/>
  <c r="AD511"/>
  <c r="AE511"/>
  <c r="AF511"/>
  <c r="G512"/>
  <c r="H512"/>
  <c r="I512"/>
  <c r="J512"/>
  <c r="K512"/>
  <c r="N512"/>
  <c r="O512"/>
  <c r="P512"/>
  <c r="Q512"/>
  <c r="R512"/>
  <c r="U512"/>
  <c r="V512"/>
  <c r="W512"/>
  <c r="X512"/>
  <c r="Y512"/>
  <c r="AB512"/>
  <c r="AC512"/>
  <c r="AD512"/>
  <c r="AE512"/>
  <c r="AF512"/>
  <c r="F513"/>
  <c r="G513"/>
  <c r="H513"/>
  <c r="I513"/>
  <c r="J513"/>
  <c r="K513"/>
  <c r="N513"/>
  <c r="O513"/>
  <c r="P513"/>
  <c r="Q513"/>
  <c r="R513"/>
  <c r="U513"/>
  <c r="V513"/>
  <c r="W513"/>
  <c r="X513"/>
  <c r="Y513"/>
  <c r="AB513"/>
  <c r="AC513"/>
  <c r="AD513"/>
  <c r="AE513"/>
  <c r="AF513"/>
  <c r="AN513"/>
  <c r="AO513"/>
  <c r="AP513"/>
  <c r="AQ513"/>
  <c r="F514"/>
  <c r="L514"/>
  <c r="S514"/>
  <c r="Z514"/>
  <c r="AG514"/>
  <c r="AN514"/>
  <c r="AO514"/>
  <c r="AP514"/>
  <c r="AQ514"/>
  <c r="F515"/>
  <c r="L515"/>
  <c r="S515"/>
  <c r="Z515"/>
  <c r="AG515"/>
  <c r="AN515"/>
  <c r="AO515"/>
  <c r="AP515"/>
  <c r="AQ515"/>
  <c r="F516"/>
  <c r="L516"/>
  <c r="S516"/>
  <c r="Z516"/>
  <c r="AG516"/>
  <c r="AN516"/>
  <c r="AO516"/>
  <c r="AP516"/>
  <c r="AQ516"/>
  <c r="F517"/>
  <c r="L517"/>
  <c r="S517"/>
  <c r="Z517"/>
  <c r="AG517"/>
  <c r="AN517"/>
  <c r="AO517"/>
  <c r="AP517"/>
  <c r="AQ517"/>
  <c r="F518"/>
  <c r="L518"/>
  <c r="S518"/>
  <c r="Z518"/>
  <c r="AG518"/>
  <c r="AN518"/>
  <c r="AO518"/>
  <c r="AP518"/>
  <c r="AQ518"/>
  <c r="F519"/>
  <c r="L519"/>
  <c r="S519"/>
  <c r="Z519"/>
  <c r="AG519"/>
  <c r="AN519"/>
  <c r="AO519"/>
  <c r="AP519"/>
  <c r="AQ519"/>
  <c r="G521"/>
  <c r="H521"/>
  <c r="I521"/>
  <c r="J521"/>
  <c r="K521"/>
  <c r="N521"/>
  <c r="O521"/>
  <c r="P521"/>
  <c r="Q521"/>
  <c r="R521"/>
  <c r="U521"/>
  <c r="V521"/>
  <c r="W521"/>
  <c r="X521"/>
  <c r="Y521"/>
  <c r="AB521"/>
  <c r="AC521"/>
  <c r="AD521"/>
  <c r="AE521"/>
  <c r="AF521"/>
  <c r="AJ521"/>
  <c r="AK521"/>
  <c r="AL521"/>
  <c r="G522"/>
  <c r="H522"/>
  <c r="I522"/>
  <c r="J522"/>
  <c r="K522"/>
  <c r="N522"/>
  <c r="O522"/>
  <c r="P522"/>
  <c r="Q522"/>
  <c r="R522"/>
  <c r="U522"/>
  <c r="V522"/>
  <c r="W522"/>
  <c r="X522"/>
  <c r="Y522"/>
  <c r="AB522"/>
  <c r="AC522"/>
  <c r="AD522"/>
  <c r="AE522"/>
  <c r="AF522"/>
  <c r="G523"/>
  <c r="H523"/>
  <c r="I523"/>
  <c r="J523"/>
  <c r="K523"/>
  <c r="N523"/>
  <c r="O523"/>
  <c r="P523"/>
  <c r="Q523"/>
  <c r="R523"/>
  <c r="U523"/>
  <c r="V523"/>
  <c r="W523"/>
  <c r="X523"/>
  <c r="Y523"/>
  <c r="AB523"/>
  <c r="AC523"/>
  <c r="AD523"/>
  <c r="AE523"/>
  <c r="AF523"/>
  <c r="G524"/>
  <c r="H524"/>
  <c r="I524"/>
  <c r="J524"/>
  <c r="K524"/>
  <c r="N524"/>
  <c r="O524"/>
  <c r="P524"/>
  <c r="Q524"/>
  <c r="R524"/>
  <c r="U524"/>
  <c r="V524"/>
  <c r="W524"/>
  <c r="X524"/>
  <c r="Y524"/>
  <c r="AB524"/>
  <c r="AC524"/>
  <c r="AD524"/>
  <c r="AE524"/>
  <c r="AF524"/>
  <c r="G525"/>
  <c r="H525"/>
  <c r="I525"/>
  <c r="J525"/>
  <c r="K525"/>
  <c r="N525"/>
  <c r="O525"/>
  <c r="P525"/>
  <c r="Q525"/>
  <c r="R525"/>
  <c r="U525"/>
  <c r="V525"/>
  <c r="W525"/>
  <c r="X525"/>
  <c r="Y525"/>
  <c r="AB525"/>
  <c r="AC525"/>
  <c r="AD525"/>
  <c r="AE525"/>
  <c r="AF525"/>
  <c r="F526"/>
  <c r="G526"/>
  <c r="H526"/>
  <c r="I526"/>
  <c r="J526"/>
  <c r="K526"/>
  <c r="N526"/>
  <c r="O526"/>
  <c r="P526"/>
  <c r="Q526"/>
  <c r="R526"/>
  <c r="U526"/>
  <c r="V526"/>
  <c r="W526"/>
  <c r="X526"/>
  <c r="Y526"/>
  <c r="AB526"/>
  <c r="AC526"/>
  <c r="AD526"/>
  <c r="AE526"/>
  <c r="AF526"/>
  <c r="AN526"/>
  <c r="AO526"/>
  <c r="AP526"/>
  <c r="AQ526"/>
  <c r="F527"/>
  <c r="L527"/>
  <c r="S527"/>
  <c r="Z527"/>
  <c r="AG527"/>
  <c r="AN527"/>
  <c r="AO527"/>
  <c r="AP527"/>
  <c r="AQ527"/>
  <c r="F528"/>
  <c r="L528"/>
  <c r="S528"/>
  <c r="Z528"/>
  <c r="AG528"/>
  <c r="AN528"/>
  <c r="AO528"/>
  <c r="AP528"/>
  <c r="AQ528"/>
  <c r="F529"/>
  <c r="L529"/>
  <c r="S529"/>
  <c r="Z529"/>
  <c r="AG529"/>
  <c r="AN529"/>
  <c r="AO529"/>
  <c r="AP529"/>
  <c r="AQ529"/>
  <c r="F530"/>
  <c r="L530"/>
  <c r="S530"/>
  <c r="Z530"/>
  <c r="AG530"/>
  <c r="AN530"/>
  <c r="AO530"/>
  <c r="AP530"/>
  <c r="AQ530"/>
  <c r="F531"/>
  <c r="L531"/>
  <c r="S531"/>
  <c r="Z531"/>
  <c r="AG531"/>
  <c r="AN531"/>
  <c r="AO531"/>
  <c r="AP531"/>
  <c r="AQ531"/>
  <c r="F532"/>
  <c r="L532"/>
  <c r="S532"/>
  <c r="Z532"/>
  <c r="AG532"/>
  <c r="AN532"/>
  <c r="AO532"/>
  <c r="AP532"/>
  <c r="AQ532"/>
  <c r="G534"/>
  <c r="H534"/>
  <c r="I534"/>
  <c r="J534"/>
  <c r="K534"/>
  <c r="N534"/>
  <c r="O534"/>
  <c r="P534"/>
  <c r="Q534"/>
  <c r="R534"/>
  <c r="U534"/>
  <c r="V534"/>
  <c r="W534"/>
  <c r="X534"/>
  <c r="Y534"/>
  <c r="AB534"/>
  <c r="AC534"/>
  <c r="AD534"/>
  <c r="AE534"/>
  <c r="AF534"/>
  <c r="AJ534"/>
  <c r="AK534"/>
  <c r="AL534"/>
  <c r="G535"/>
  <c r="H535"/>
  <c r="I535"/>
  <c r="J535"/>
  <c r="K535"/>
  <c r="N535"/>
  <c r="O535"/>
  <c r="P535"/>
  <c r="Q535"/>
  <c r="R535"/>
  <c r="U535"/>
  <c r="V535"/>
  <c r="W535"/>
  <c r="X535"/>
  <c r="Y535"/>
  <c r="AB535"/>
  <c r="AC535"/>
  <c r="AD535"/>
  <c r="AE535"/>
  <c r="AF535"/>
  <c r="G536"/>
  <c r="H536"/>
  <c r="I536"/>
  <c r="J536"/>
  <c r="K536"/>
  <c r="N536"/>
  <c r="O536"/>
  <c r="P536"/>
  <c r="Q536"/>
  <c r="R536"/>
  <c r="U536"/>
  <c r="V536"/>
  <c r="W536"/>
  <c r="X536"/>
  <c r="Y536"/>
  <c r="AB536"/>
  <c r="AC536"/>
  <c r="AD536"/>
  <c r="AE536"/>
  <c r="AF536"/>
  <c r="G537"/>
  <c r="H537"/>
  <c r="I537"/>
  <c r="J537"/>
  <c r="K537"/>
  <c r="N537"/>
  <c r="O537"/>
  <c r="P537"/>
  <c r="Q537"/>
  <c r="R537"/>
  <c r="U537"/>
  <c r="V537"/>
  <c r="W537"/>
  <c r="X537"/>
  <c r="Y537"/>
  <c r="AB537"/>
  <c r="AC537"/>
  <c r="AD537"/>
  <c r="AE537"/>
  <c r="AF537"/>
  <c r="G538"/>
  <c r="H538"/>
  <c r="I538"/>
  <c r="J538"/>
  <c r="K538"/>
  <c r="N538"/>
  <c r="O538"/>
  <c r="P538"/>
  <c r="Q538"/>
  <c r="R538"/>
  <c r="U538"/>
  <c r="V538"/>
  <c r="W538"/>
  <c r="X538"/>
  <c r="Y538"/>
  <c r="AB538"/>
  <c r="AC538"/>
  <c r="AD538"/>
  <c r="AE538"/>
  <c r="AF538"/>
  <c r="F539"/>
  <c r="G539"/>
  <c r="H539"/>
  <c r="I539"/>
  <c r="J539"/>
  <c r="K539"/>
  <c r="N539"/>
  <c r="O539"/>
  <c r="P539"/>
  <c r="Q539"/>
  <c r="R539"/>
  <c r="U539"/>
  <c r="V539"/>
  <c r="W539"/>
  <c r="X539"/>
  <c r="Y539"/>
  <c r="AB539"/>
  <c r="AC539"/>
  <c r="AD539"/>
  <c r="AE539"/>
  <c r="AF539"/>
  <c r="AN539"/>
  <c r="AO539"/>
  <c r="AP539"/>
  <c r="AQ539"/>
  <c r="F540"/>
  <c r="L540"/>
  <c r="S540"/>
  <c r="Z540"/>
  <c r="AG540"/>
  <c r="AN540"/>
  <c r="AO540"/>
  <c r="AP540"/>
  <c r="AQ540"/>
  <c r="F541"/>
  <c r="L541"/>
  <c r="S541"/>
  <c r="Z541"/>
  <c r="AG541"/>
  <c r="AN541"/>
  <c r="AO541"/>
  <c r="AP541"/>
  <c r="AQ541"/>
  <c r="F542"/>
  <c r="L542"/>
  <c r="S542"/>
  <c r="Z542"/>
  <c r="AG542"/>
  <c r="AN542"/>
  <c r="AO542"/>
  <c r="AP542"/>
  <c r="AQ542"/>
  <c r="F543"/>
  <c r="L543"/>
  <c r="S543"/>
  <c r="Z543"/>
  <c r="AG543"/>
  <c r="AN543"/>
  <c r="AO543"/>
  <c r="AP543"/>
  <c r="AQ543"/>
  <c r="F544"/>
  <c r="L544"/>
  <c r="S544"/>
  <c r="Z544"/>
  <c r="AG544"/>
  <c r="AN544"/>
  <c r="AO544"/>
  <c r="AP544"/>
  <c r="AQ544"/>
  <c r="F545"/>
  <c r="L545"/>
  <c r="S545"/>
  <c r="Z545"/>
  <c r="AG545"/>
  <c r="AN545"/>
  <c r="AO545"/>
  <c r="AP545"/>
  <c r="AQ545"/>
  <c r="G547"/>
  <c r="H547"/>
  <c r="I547"/>
  <c r="J547"/>
  <c r="K547"/>
  <c r="N547"/>
  <c r="O547"/>
  <c r="P547"/>
  <c r="Q547"/>
  <c r="R547"/>
  <c r="U547"/>
  <c r="V547"/>
  <c r="W547"/>
  <c r="X547"/>
  <c r="Y547"/>
  <c r="AB547"/>
  <c r="AC547"/>
  <c r="AD547"/>
  <c r="AE547"/>
  <c r="AF547"/>
  <c r="AJ547"/>
  <c r="AK547"/>
  <c r="AL547"/>
  <c r="G548"/>
  <c r="H548"/>
  <c r="I548"/>
  <c r="J548"/>
  <c r="K548"/>
  <c r="N548"/>
  <c r="O548"/>
  <c r="P548"/>
  <c r="Q548"/>
  <c r="R548"/>
  <c r="U548"/>
  <c r="V548"/>
  <c r="W548"/>
  <c r="X548"/>
  <c r="Y548"/>
  <c r="AB548"/>
  <c r="AC548"/>
  <c r="AD548"/>
  <c r="AE548"/>
  <c r="AF548"/>
  <c r="G549"/>
  <c r="H549"/>
  <c r="I549"/>
  <c r="J549"/>
  <c r="K549"/>
  <c r="N549"/>
  <c r="O549"/>
  <c r="P549"/>
  <c r="Q549"/>
  <c r="R549"/>
  <c r="U549"/>
  <c r="V549"/>
  <c r="W549"/>
  <c r="X549"/>
  <c r="Y549"/>
  <c r="AB549"/>
  <c r="AC549"/>
  <c r="AD549"/>
  <c r="AE549"/>
  <c r="AF549"/>
  <c r="G550"/>
  <c r="H550"/>
  <c r="I550"/>
  <c r="J550"/>
  <c r="K550"/>
  <c r="N550"/>
  <c r="O550"/>
  <c r="P550"/>
  <c r="Q550"/>
  <c r="R550"/>
  <c r="U550"/>
  <c r="V550"/>
  <c r="W550"/>
  <c r="X550"/>
  <c r="Y550"/>
  <c r="AB550"/>
  <c r="AC550"/>
  <c r="AD550"/>
  <c r="AE550"/>
  <c r="AF550"/>
  <c r="G551"/>
  <c r="H551"/>
  <c r="I551"/>
  <c r="J551"/>
  <c r="K551"/>
  <c r="N551"/>
  <c r="O551"/>
  <c r="P551"/>
  <c r="Q551"/>
  <c r="R551"/>
  <c r="U551"/>
  <c r="V551"/>
  <c r="W551"/>
  <c r="X551"/>
  <c r="Y551"/>
  <c r="AB551"/>
  <c r="AC551"/>
  <c r="AD551"/>
  <c r="AE551"/>
  <c r="AF551"/>
  <c r="F552"/>
  <c r="G552"/>
  <c r="H552"/>
  <c r="I552"/>
  <c r="J552"/>
  <c r="K552"/>
  <c r="N552"/>
  <c r="O552"/>
  <c r="P552"/>
  <c r="Q552"/>
  <c r="R552"/>
  <c r="U552"/>
  <c r="V552"/>
  <c r="W552"/>
  <c r="X552"/>
  <c r="Y552"/>
  <c r="AB552"/>
  <c r="AC552"/>
  <c r="AD552"/>
  <c r="AE552"/>
  <c r="AF552"/>
  <c r="AN552"/>
  <c r="AO552"/>
  <c r="AP552"/>
  <c r="AQ552"/>
  <c r="F553"/>
  <c r="L553"/>
  <c r="S553"/>
  <c r="Z553"/>
  <c r="AG553"/>
  <c r="AN553"/>
  <c r="AO553"/>
  <c r="AP553"/>
  <c r="AQ553"/>
  <c r="F554"/>
  <c r="L554"/>
  <c r="S554"/>
  <c r="Z554"/>
  <c r="AG554"/>
  <c r="AN554"/>
  <c r="AO554"/>
  <c r="AP554"/>
  <c r="AQ554"/>
  <c r="F555"/>
  <c r="L555"/>
  <c r="S555"/>
  <c r="Z555"/>
  <c r="AG555"/>
  <c r="AN555"/>
  <c r="AO555"/>
  <c r="AP555"/>
  <c r="AQ555"/>
  <c r="F556"/>
  <c r="L556"/>
  <c r="S556"/>
  <c r="Z556"/>
  <c r="AG556"/>
  <c r="AN556"/>
  <c r="AO556"/>
  <c r="AP556"/>
  <c r="AQ556"/>
  <c r="F557"/>
  <c r="L557"/>
  <c r="S557"/>
  <c r="Z557"/>
  <c r="AG557"/>
  <c r="AN557"/>
  <c r="AO557"/>
  <c r="AP557"/>
  <c r="AQ557"/>
  <c r="F558"/>
  <c r="L558"/>
  <c r="S558"/>
  <c r="Z558"/>
  <c r="AG558"/>
  <c r="AN558"/>
  <c r="AO558"/>
  <c r="AP558"/>
  <c r="AQ558"/>
  <c r="G560"/>
  <c r="H560"/>
  <c r="I560"/>
  <c r="J560"/>
  <c r="K560"/>
  <c r="N560"/>
  <c r="O560"/>
  <c r="P560"/>
  <c r="Q560"/>
  <c r="R560"/>
  <c r="U560"/>
  <c r="V560"/>
  <c r="W560"/>
  <c r="X560"/>
  <c r="Y560"/>
  <c r="AB560"/>
  <c r="AC560"/>
  <c r="AD560"/>
  <c r="AE560"/>
  <c r="AF560"/>
  <c r="AJ560"/>
  <c r="AK560"/>
  <c r="AL560"/>
  <c r="G561"/>
  <c r="H561"/>
  <c r="I561"/>
  <c r="J561"/>
  <c r="K561"/>
  <c r="N561"/>
  <c r="O561"/>
  <c r="P561"/>
  <c r="Q561"/>
  <c r="R561"/>
  <c r="U561"/>
  <c r="V561"/>
  <c r="W561"/>
  <c r="X561"/>
  <c r="Y561"/>
  <c r="AB561"/>
  <c r="AC561"/>
  <c r="AD561"/>
  <c r="AE561"/>
  <c r="AF561"/>
  <c r="G562"/>
  <c r="H562"/>
  <c r="I562"/>
  <c r="J562"/>
  <c r="K562"/>
  <c r="N562"/>
  <c r="O562"/>
  <c r="P562"/>
  <c r="Q562"/>
  <c r="R562"/>
  <c r="U562"/>
  <c r="V562"/>
  <c r="W562"/>
  <c r="X562"/>
  <c r="Y562"/>
  <c r="AB562"/>
  <c r="AC562"/>
  <c r="AD562"/>
  <c r="AE562"/>
  <c r="AF562"/>
  <c r="G563"/>
  <c r="H563"/>
  <c r="I563"/>
  <c r="J563"/>
  <c r="K563"/>
  <c r="N563"/>
  <c r="O563"/>
  <c r="P563"/>
  <c r="Q563"/>
  <c r="R563"/>
  <c r="U563"/>
  <c r="V563"/>
  <c r="W563"/>
  <c r="X563"/>
  <c r="Y563"/>
  <c r="AB563"/>
  <c r="AC563"/>
  <c r="AD563"/>
  <c r="AE563"/>
  <c r="AF563"/>
  <c r="G564"/>
  <c r="H564"/>
  <c r="I564"/>
  <c r="J564"/>
  <c r="K564"/>
  <c r="N564"/>
  <c r="O564"/>
  <c r="P564"/>
  <c r="Q564"/>
  <c r="R564"/>
  <c r="U564"/>
  <c r="V564"/>
  <c r="W564"/>
  <c r="X564"/>
  <c r="Y564"/>
  <c r="AB564"/>
  <c r="AC564"/>
  <c r="AD564"/>
  <c r="AE564"/>
  <c r="AF564"/>
  <c r="F565"/>
  <c r="G565"/>
  <c r="H565"/>
  <c r="I565"/>
  <c r="J565"/>
  <c r="K565"/>
  <c r="N565"/>
  <c r="O565"/>
  <c r="P565"/>
  <c r="Q565"/>
  <c r="R565"/>
  <c r="U565"/>
  <c r="V565"/>
  <c r="W565"/>
  <c r="X565"/>
  <c r="Y565"/>
  <c r="AB565"/>
  <c r="AC565"/>
  <c r="AD565"/>
  <c r="AE565"/>
  <c r="AF565"/>
  <c r="AN565"/>
  <c r="AO565"/>
  <c r="AP565"/>
  <c r="AQ565"/>
  <c r="F566"/>
  <c r="L566"/>
  <c r="S566"/>
  <c r="Z566"/>
  <c r="AG566"/>
  <c r="AN566"/>
  <c r="AO566"/>
  <c r="AP566"/>
  <c r="AQ566"/>
  <c r="F567"/>
  <c r="L567"/>
  <c r="S567"/>
  <c r="Z567"/>
  <c r="AG567"/>
  <c r="AN567"/>
  <c r="AO567"/>
  <c r="AP567"/>
  <c r="AQ567"/>
  <c r="F568"/>
  <c r="L568"/>
  <c r="S568"/>
  <c r="Z568"/>
  <c r="AG568"/>
  <c r="AN568"/>
  <c r="AO568"/>
  <c r="AP568"/>
  <c r="AQ568"/>
  <c r="F569"/>
  <c r="L569"/>
  <c r="S569"/>
  <c r="Z569"/>
  <c r="AG569"/>
  <c r="AN569"/>
  <c r="AO569"/>
  <c r="AP569"/>
  <c r="AQ569"/>
  <c r="F570"/>
  <c r="L570"/>
  <c r="S570"/>
  <c r="Z570"/>
  <c r="AG570"/>
  <c r="AN570"/>
  <c r="AO570"/>
  <c r="AP570"/>
  <c r="AQ570"/>
  <c r="F571"/>
  <c r="L571"/>
  <c r="S571"/>
  <c r="Z571"/>
  <c r="AG571"/>
  <c r="AN571"/>
  <c r="AO571"/>
  <c r="AP571"/>
  <c r="AQ571"/>
  <c r="G573"/>
  <c r="H573"/>
  <c r="I573"/>
  <c r="J573"/>
  <c r="K573"/>
  <c r="N573"/>
  <c r="O573"/>
  <c r="P573"/>
  <c r="Q573"/>
  <c r="R573"/>
  <c r="U573"/>
  <c r="V573"/>
  <c r="W573"/>
  <c r="X573"/>
  <c r="Y573"/>
  <c r="AB573"/>
  <c r="AC573"/>
  <c r="AD573"/>
  <c r="AE573"/>
  <c r="AF573"/>
  <c r="AJ573"/>
  <c r="AK573"/>
  <c r="AL573"/>
  <c r="G574"/>
  <c r="H574"/>
  <c r="I574"/>
  <c r="J574"/>
  <c r="K574"/>
  <c r="N574"/>
  <c r="O574"/>
  <c r="P574"/>
  <c r="Q574"/>
  <c r="R574"/>
  <c r="U574"/>
  <c r="V574"/>
  <c r="W574"/>
  <c r="X574"/>
  <c r="Y574"/>
  <c r="AB574"/>
  <c r="AC574"/>
  <c r="AD574"/>
  <c r="AE574"/>
  <c r="AF574"/>
  <c r="G575"/>
  <c r="H575"/>
  <c r="I575"/>
  <c r="J575"/>
  <c r="K575"/>
  <c r="N575"/>
  <c r="O575"/>
  <c r="P575"/>
  <c r="Q575"/>
  <c r="R575"/>
  <c r="U575"/>
  <c r="V575"/>
  <c r="W575"/>
  <c r="X575"/>
  <c r="Y575"/>
  <c r="AB575"/>
  <c r="AC575"/>
  <c r="AD575"/>
  <c r="AE575"/>
  <c r="AF575"/>
  <c r="G576"/>
  <c r="H576"/>
  <c r="I576"/>
  <c r="J576"/>
  <c r="K576"/>
  <c r="N576"/>
  <c r="O576"/>
  <c r="P576"/>
  <c r="Q576"/>
  <c r="R576"/>
  <c r="U576"/>
  <c r="V576"/>
  <c r="W576"/>
  <c r="X576"/>
  <c r="Y576"/>
  <c r="AB576"/>
  <c r="AC576"/>
  <c r="AD576"/>
  <c r="AE576"/>
  <c r="AF576"/>
  <c r="G577"/>
  <c r="H577"/>
  <c r="I577"/>
  <c r="J577"/>
  <c r="K577"/>
  <c r="N577"/>
  <c r="O577"/>
  <c r="P577"/>
  <c r="Q577"/>
  <c r="R577"/>
  <c r="U577"/>
  <c r="V577"/>
  <c r="W577"/>
  <c r="X577"/>
  <c r="Y577"/>
  <c r="AB577"/>
  <c r="AC577"/>
  <c r="AD577"/>
  <c r="AE577"/>
  <c r="AF577"/>
  <c r="F578"/>
  <c r="G578"/>
  <c r="H578"/>
  <c r="I578"/>
  <c r="J578"/>
  <c r="K578"/>
  <c r="N578"/>
  <c r="O578"/>
  <c r="P578"/>
  <c r="Q578"/>
  <c r="R578"/>
  <c r="U578"/>
  <c r="V578"/>
  <c r="W578"/>
  <c r="X578"/>
  <c r="Y578"/>
  <c r="AB578"/>
  <c r="AC578"/>
  <c r="AD578"/>
  <c r="AE578"/>
  <c r="AF578"/>
  <c r="AN578"/>
  <c r="AO578"/>
  <c r="AP578"/>
  <c r="AQ578"/>
  <c r="F579"/>
  <c r="L579"/>
  <c r="S579"/>
  <c r="Z579"/>
  <c r="AG579"/>
  <c r="AN579"/>
  <c r="AO579"/>
  <c r="AP579"/>
  <c r="AQ579"/>
  <c r="F580"/>
  <c r="L580"/>
  <c r="S580"/>
  <c r="Z580"/>
  <c r="AG580"/>
  <c r="AN580"/>
  <c r="AO580"/>
  <c r="AP580"/>
  <c r="AQ580"/>
  <c r="F581"/>
  <c r="L581"/>
  <c r="S581"/>
  <c r="Z581"/>
  <c r="AG581"/>
  <c r="AN581"/>
  <c r="AO581"/>
  <c r="AP581"/>
  <c r="AQ581"/>
  <c r="F582"/>
  <c r="L582"/>
  <c r="S582"/>
  <c r="Z582"/>
  <c r="AG582"/>
  <c r="AN582"/>
  <c r="AO582"/>
  <c r="AP582"/>
  <c r="AQ582"/>
  <c r="F583"/>
  <c r="L583"/>
  <c r="S583"/>
  <c r="Z583"/>
  <c r="AG583"/>
  <c r="AN583"/>
  <c r="AO583"/>
  <c r="AP583"/>
  <c r="AQ583"/>
  <c r="F584"/>
  <c r="L584"/>
  <c r="S584"/>
  <c r="Z584"/>
  <c r="AG584"/>
  <c r="AN584"/>
  <c r="AO584"/>
  <c r="AP584"/>
  <c r="AQ584"/>
  <c r="G586"/>
  <c r="H586"/>
  <c r="I586"/>
  <c r="J586"/>
  <c r="K586"/>
  <c r="N586"/>
  <c r="O586"/>
  <c r="P586"/>
  <c r="Q586"/>
  <c r="R586"/>
  <c r="U586"/>
  <c r="V586"/>
  <c r="W586"/>
  <c r="X586"/>
  <c r="Y586"/>
  <c r="AB586"/>
  <c r="AC586"/>
  <c r="AD586"/>
  <c r="AE586"/>
  <c r="AF586"/>
  <c r="AJ586"/>
  <c r="AK586"/>
  <c r="AL586"/>
  <c r="G587"/>
  <c r="H587"/>
  <c r="I587"/>
  <c r="J587"/>
  <c r="K587"/>
  <c r="N587"/>
  <c r="O587"/>
  <c r="P587"/>
  <c r="Q587"/>
  <c r="R587"/>
  <c r="U587"/>
  <c r="V587"/>
  <c r="W587"/>
  <c r="X587"/>
  <c r="Y587"/>
  <c r="AB587"/>
  <c r="AC587"/>
  <c r="AD587"/>
  <c r="AE587"/>
  <c r="AF587"/>
  <c r="G588"/>
  <c r="H588"/>
  <c r="I588"/>
  <c r="J588"/>
  <c r="K588"/>
  <c r="N588"/>
  <c r="O588"/>
  <c r="P588"/>
  <c r="Q588"/>
  <c r="R588"/>
  <c r="U588"/>
  <c r="V588"/>
  <c r="W588"/>
  <c r="X588"/>
  <c r="Y588"/>
  <c r="AB588"/>
  <c r="AC588"/>
  <c r="AD588"/>
  <c r="AE588"/>
  <c r="AF588"/>
  <c r="G589"/>
  <c r="H589"/>
  <c r="I589"/>
  <c r="J589"/>
  <c r="K589"/>
  <c r="N589"/>
  <c r="O589"/>
  <c r="P589"/>
  <c r="Q589"/>
  <c r="R589"/>
  <c r="U589"/>
  <c r="V589"/>
  <c r="W589"/>
  <c r="X589"/>
  <c r="Y589"/>
  <c r="AB589"/>
  <c r="AC589"/>
  <c r="AD589"/>
  <c r="AE589"/>
  <c r="AF589"/>
  <c r="G590"/>
  <c r="H590"/>
  <c r="I590"/>
  <c r="J590"/>
  <c r="K590"/>
  <c r="N590"/>
  <c r="O590"/>
  <c r="P590"/>
  <c r="Q590"/>
  <c r="R590"/>
  <c r="U590"/>
  <c r="V590"/>
  <c r="W590"/>
  <c r="X590"/>
  <c r="Y590"/>
  <c r="AB590"/>
  <c r="AC590"/>
  <c r="AD590"/>
  <c r="AE590"/>
  <c r="AF590"/>
  <c r="F591"/>
  <c r="G591"/>
  <c r="H591"/>
  <c r="I591"/>
  <c r="J591"/>
  <c r="K591"/>
  <c r="N591"/>
  <c r="O591"/>
  <c r="P591"/>
  <c r="Q591"/>
  <c r="R591"/>
  <c r="U591"/>
  <c r="V591"/>
  <c r="W591"/>
  <c r="X591"/>
  <c r="Y591"/>
  <c r="AB591"/>
  <c r="AC591"/>
  <c r="AD591"/>
  <c r="AE591"/>
  <c r="AF591"/>
  <c r="AN591"/>
  <c r="AO591"/>
  <c r="AP591"/>
  <c r="AQ591"/>
  <c r="F592"/>
  <c r="L592"/>
  <c r="S592"/>
  <c r="Z592"/>
  <c r="AG592"/>
  <c r="AN592"/>
  <c r="AO592"/>
  <c r="AP592"/>
  <c r="AQ592"/>
  <c r="F593"/>
  <c r="L593"/>
  <c r="S593"/>
  <c r="Z593"/>
  <c r="AG593"/>
  <c r="AN593"/>
  <c r="AO593"/>
  <c r="AP593"/>
  <c r="AQ593"/>
  <c r="F594"/>
  <c r="L594"/>
  <c r="S594"/>
  <c r="Z594"/>
  <c r="AG594"/>
  <c r="AN594"/>
  <c r="AO594"/>
  <c r="AP594"/>
  <c r="AQ594"/>
  <c r="F595"/>
  <c r="L595"/>
  <c r="S595"/>
  <c r="Z595"/>
  <c r="AG595"/>
  <c r="AN595"/>
  <c r="AO595"/>
  <c r="AP595"/>
  <c r="AQ595"/>
  <c r="F596"/>
  <c r="L596"/>
  <c r="S596"/>
  <c r="Z596"/>
  <c r="AG596"/>
  <c r="AN596"/>
  <c r="AO596"/>
  <c r="AP596"/>
  <c r="AQ596"/>
  <c r="F597"/>
  <c r="L597"/>
  <c r="S597"/>
  <c r="Z597"/>
  <c r="AG597"/>
  <c r="AN597"/>
  <c r="AO597"/>
  <c r="AP597"/>
  <c r="AQ597"/>
  <c r="G599"/>
  <c r="H599"/>
  <c r="I599"/>
  <c r="J599"/>
  <c r="K599"/>
  <c r="N599"/>
  <c r="O599"/>
  <c r="P599"/>
  <c r="Q599"/>
  <c r="R599"/>
  <c r="U599"/>
  <c r="V599"/>
  <c r="W599"/>
  <c r="X599"/>
  <c r="Y599"/>
  <c r="AB599"/>
  <c r="AC599"/>
  <c r="AD599"/>
  <c r="AE599"/>
  <c r="AF599"/>
  <c r="AJ599"/>
  <c r="AK599"/>
  <c r="AL599"/>
  <c r="G600"/>
  <c r="H600"/>
  <c r="I600"/>
  <c r="J600"/>
  <c r="K600"/>
  <c r="N600"/>
  <c r="O600"/>
  <c r="P600"/>
  <c r="Q600"/>
  <c r="R600"/>
  <c r="U600"/>
  <c r="V600"/>
  <c r="W600"/>
  <c r="X600"/>
  <c r="Y600"/>
  <c r="AB600"/>
  <c r="AC600"/>
  <c r="AD600"/>
  <c r="AE600"/>
  <c r="AF600"/>
  <c r="G601"/>
  <c r="H601"/>
  <c r="I601"/>
  <c r="J601"/>
  <c r="K601"/>
  <c r="N601"/>
  <c r="O601"/>
  <c r="P601"/>
  <c r="Q601"/>
  <c r="R601"/>
  <c r="U601"/>
  <c r="V601"/>
  <c r="W601"/>
  <c r="X601"/>
  <c r="Y601"/>
  <c r="AB601"/>
  <c r="AC601"/>
  <c r="AD601"/>
  <c r="AE601"/>
  <c r="AF601"/>
  <c r="G602"/>
  <c r="H602"/>
  <c r="I602"/>
  <c r="J602"/>
  <c r="K602"/>
  <c r="N602"/>
  <c r="O602"/>
  <c r="P602"/>
  <c r="Q602"/>
  <c r="R602"/>
  <c r="U602"/>
  <c r="V602"/>
  <c r="W602"/>
  <c r="X602"/>
  <c r="Y602"/>
  <c r="AB602"/>
  <c r="AC602"/>
  <c r="AD602"/>
  <c r="AE602"/>
  <c r="AF602"/>
  <c r="G603"/>
  <c r="H603"/>
  <c r="I603"/>
  <c r="J603"/>
  <c r="K603"/>
  <c r="N603"/>
  <c r="O603"/>
  <c r="P603"/>
  <c r="Q603"/>
  <c r="R603"/>
  <c r="U603"/>
  <c r="V603"/>
  <c r="W603"/>
  <c r="X603"/>
  <c r="Y603"/>
  <c r="AB603"/>
  <c r="AC603"/>
  <c r="AD603"/>
  <c r="AE603"/>
  <c r="AF603"/>
  <c r="F604"/>
  <c r="G604"/>
  <c r="H604"/>
  <c r="I604"/>
  <c r="J604"/>
  <c r="K604"/>
  <c r="N604"/>
  <c r="O604"/>
  <c r="P604"/>
  <c r="Q604"/>
  <c r="R604"/>
  <c r="U604"/>
  <c r="V604"/>
  <c r="W604"/>
  <c r="X604"/>
  <c r="Y604"/>
  <c r="AB604"/>
  <c r="AC604"/>
  <c r="AD604"/>
  <c r="AE604"/>
  <c r="AF604"/>
  <c r="AN604"/>
  <c r="AO604"/>
  <c r="AP604"/>
  <c r="AQ604"/>
  <c r="F605"/>
  <c r="L605"/>
  <c r="S605"/>
  <c r="Z605"/>
  <c r="AG605"/>
  <c r="AN605"/>
  <c r="AO605"/>
  <c r="AP605"/>
  <c r="AQ605"/>
  <c r="F606"/>
  <c r="L606"/>
  <c r="S606"/>
  <c r="Z606"/>
  <c r="AG606"/>
  <c r="AN606"/>
  <c r="AO606"/>
  <c r="AP606"/>
  <c r="AQ606"/>
  <c r="F607"/>
  <c r="L607"/>
  <c r="S607"/>
  <c r="Z607"/>
  <c r="AG607"/>
  <c r="AN607"/>
  <c r="AO607"/>
  <c r="AP607"/>
  <c r="AQ607"/>
  <c r="F608"/>
  <c r="L608"/>
  <c r="S608"/>
  <c r="Z608"/>
  <c r="AG608"/>
  <c r="AN608"/>
  <c r="AO608"/>
  <c r="AP608"/>
  <c r="AQ608"/>
  <c r="F609"/>
  <c r="L609"/>
  <c r="S609"/>
  <c r="Z609"/>
  <c r="AG609"/>
  <c r="AN609"/>
  <c r="AO609"/>
  <c r="AP609"/>
  <c r="AQ609"/>
  <c r="F610"/>
  <c r="L610"/>
  <c r="S610"/>
  <c r="Z610"/>
  <c r="AG610"/>
  <c r="AN610"/>
  <c r="AO610"/>
  <c r="AP610"/>
  <c r="AQ610"/>
  <c r="G612"/>
  <c r="H612"/>
  <c r="I612"/>
  <c r="J612"/>
  <c r="K612"/>
  <c r="N612"/>
  <c r="O612"/>
  <c r="P612"/>
  <c r="Q612"/>
  <c r="R612"/>
  <c r="U612"/>
  <c r="V612"/>
  <c r="W612"/>
  <c r="X612"/>
  <c r="Y612"/>
  <c r="AB612"/>
  <c r="AC612"/>
  <c r="AD612"/>
  <c r="AE612"/>
  <c r="AF612"/>
  <c r="AJ612"/>
  <c r="AK612"/>
  <c r="AL612"/>
  <c r="G613"/>
  <c r="H613"/>
  <c r="I613"/>
  <c r="J613"/>
  <c r="K613"/>
  <c r="N613"/>
  <c r="O613"/>
  <c r="P613"/>
  <c r="Q613"/>
  <c r="R613"/>
  <c r="U613"/>
  <c r="V613"/>
  <c r="W613"/>
  <c r="X613"/>
  <c r="Y613"/>
  <c r="AB613"/>
  <c r="AC613"/>
  <c r="AD613"/>
  <c r="AE613"/>
  <c r="AF613"/>
  <c r="G614"/>
  <c r="H614"/>
  <c r="I614"/>
  <c r="J614"/>
  <c r="K614"/>
  <c r="N614"/>
  <c r="O614"/>
  <c r="P614"/>
  <c r="Q614"/>
  <c r="R614"/>
  <c r="U614"/>
  <c r="V614"/>
  <c r="W614"/>
  <c r="X614"/>
  <c r="Y614"/>
  <c r="AB614"/>
  <c r="AC614"/>
  <c r="AD614"/>
  <c r="AE614"/>
  <c r="AF614"/>
  <c r="G615"/>
  <c r="H615"/>
  <c r="I615"/>
  <c r="J615"/>
  <c r="K615"/>
  <c r="N615"/>
  <c r="O615"/>
  <c r="P615"/>
  <c r="Q615"/>
  <c r="R615"/>
  <c r="U615"/>
  <c r="V615"/>
  <c r="W615"/>
  <c r="X615"/>
  <c r="Y615"/>
  <c r="AB615"/>
  <c r="AC615"/>
  <c r="AD615"/>
  <c r="AE615"/>
  <c r="AF615"/>
  <c r="G616"/>
  <c r="H616"/>
  <c r="I616"/>
  <c r="J616"/>
  <c r="K616"/>
  <c r="N616"/>
  <c r="O616"/>
  <c r="P616"/>
  <c r="Q616"/>
  <c r="R616"/>
  <c r="U616"/>
  <c r="V616"/>
  <c r="W616"/>
  <c r="X616"/>
  <c r="Y616"/>
  <c r="AB616"/>
  <c r="AC616"/>
  <c r="AD616"/>
  <c r="AE616"/>
  <c r="AF616"/>
  <c r="F617"/>
  <c r="G617"/>
  <c r="H617"/>
  <c r="I617"/>
  <c r="J617"/>
  <c r="K617"/>
  <c r="N617"/>
  <c r="O617"/>
  <c r="P617"/>
  <c r="Q617"/>
  <c r="R617"/>
  <c r="U617"/>
  <c r="V617"/>
  <c r="W617"/>
  <c r="X617"/>
  <c r="Y617"/>
  <c r="AB617"/>
  <c r="AC617"/>
  <c r="AD617"/>
  <c r="AE617"/>
  <c r="AF617"/>
  <c r="AN617"/>
  <c r="AO617"/>
  <c r="AP617"/>
  <c r="AQ617"/>
  <c r="F618"/>
  <c r="L618"/>
  <c r="S618"/>
  <c r="Z618"/>
  <c r="AG618"/>
  <c r="AN618"/>
  <c r="AO618"/>
  <c r="AP618"/>
  <c r="AQ618"/>
  <c r="F619"/>
  <c r="L619"/>
  <c r="S619"/>
  <c r="Z619"/>
  <c r="AG619"/>
  <c r="AN619"/>
  <c r="AO619"/>
  <c r="AP619"/>
  <c r="AQ619"/>
  <c r="F620"/>
  <c r="L620"/>
  <c r="S620"/>
  <c r="Z620"/>
  <c r="AG620"/>
  <c r="AN620"/>
  <c r="AO620"/>
  <c r="AP620"/>
  <c r="AQ620"/>
  <c r="F621"/>
  <c r="L621"/>
  <c r="S621"/>
  <c r="Z621"/>
  <c r="AG621"/>
  <c r="AN621"/>
  <c r="AO621"/>
  <c r="AP621"/>
  <c r="AQ621"/>
  <c r="F622"/>
  <c r="L622"/>
  <c r="S622"/>
  <c r="Z622"/>
  <c r="AG622"/>
  <c r="AN622"/>
  <c r="AO622"/>
  <c r="AP622"/>
  <c r="AQ622"/>
  <c r="F623"/>
  <c r="L623"/>
  <c r="S623"/>
  <c r="Z623"/>
  <c r="AG623"/>
  <c r="AN623"/>
  <c r="AO623"/>
  <c r="AP623"/>
  <c r="AQ623"/>
  <c r="G625"/>
  <c r="H625"/>
  <c r="I625"/>
  <c r="J625"/>
  <c r="K625"/>
  <c r="N625"/>
  <c r="O625"/>
  <c r="P625"/>
  <c r="Q625"/>
  <c r="R625"/>
  <c r="U625"/>
  <c r="V625"/>
  <c r="W625"/>
  <c r="X625"/>
  <c r="Y625"/>
  <c r="AB625"/>
  <c r="AC625"/>
  <c r="AD625"/>
  <c r="AE625"/>
  <c r="AF625"/>
  <c r="AJ625"/>
  <c r="AK625"/>
  <c r="AL625"/>
  <c r="G626"/>
  <c r="H626"/>
  <c r="I626"/>
  <c r="J626"/>
  <c r="K626"/>
  <c r="N626"/>
  <c r="O626"/>
  <c r="P626"/>
  <c r="Q626"/>
  <c r="R626"/>
  <c r="U626"/>
  <c r="V626"/>
  <c r="W626"/>
  <c r="X626"/>
  <c r="Y626"/>
  <c r="AB626"/>
  <c r="AC626"/>
  <c r="AD626"/>
  <c r="AE626"/>
  <c r="AF626"/>
  <c r="G627"/>
  <c r="H627"/>
  <c r="I627"/>
  <c r="J627"/>
  <c r="K627"/>
  <c r="N627"/>
  <c r="O627"/>
  <c r="P627"/>
  <c r="Q627"/>
  <c r="R627"/>
  <c r="U627"/>
  <c r="V627"/>
  <c r="W627"/>
  <c r="X627"/>
  <c r="Y627"/>
  <c r="AB627"/>
  <c r="AC627"/>
  <c r="AD627"/>
  <c r="AE627"/>
  <c r="AF627"/>
  <c r="G628"/>
  <c r="H628"/>
  <c r="I628"/>
  <c r="J628"/>
  <c r="K628"/>
  <c r="N628"/>
  <c r="O628"/>
  <c r="P628"/>
  <c r="Q628"/>
  <c r="R628"/>
  <c r="U628"/>
  <c r="V628"/>
  <c r="W628"/>
  <c r="X628"/>
  <c r="Y628"/>
  <c r="AB628"/>
  <c r="AC628"/>
  <c r="AD628"/>
  <c r="AE628"/>
  <c r="AF628"/>
  <c r="G629"/>
  <c r="H629"/>
  <c r="I629"/>
  <c r="J629"/>
  <c r="K629"/>
  <c r="N629"/>
  <c r="O629"/>
  <c r="P629"/>
  <c r="Q629"/>
  <c r="R629"/>
  <c r="U629"/>
  <c r="V629"/>
  <c r="W629"/>
  <c r="X629"/>
  <c r="Y629"/>
  <c r="AB629"/>
  <c r="AC629"/>
  <c r="AD629"/>
  <c r="AE629"/>
  <c r="AF629"/>
  <c r="F630"/>
  <c r="G630"/>
  <c r="H630"/>
  <c r="I630"/>
  <c r="J630"/>
  <c r="K630"/>
  <c r="N630"/>
  <c r="O630"/>
  <c r="P630"/>
  <c r="Q630"/>
  <c r="R630"/>
  <c r="U630"/>
  <c r="V630"/>
  <c r="W630"/>
  <c r="X630"/>
  <c r="Y630"/>
  <c r="AB630"/>
  <c r="AC630"/>
  <c r="AD630"/>
  <c r="AE630"/>
  <c r="AF630"/>
  <c r="AN630"/>
  <c r="AO630"/>
  <c r="AP630"/>
  <c r="AQ630"/>
  <c r="F631"/>
  <c r="L631"/>
  <c r="S631"/>
  <c r="Z631"/>
  <c r="AG631"/>
  <c r="AN631"/>
  <c r="AO631"/>
  <c r="AP631"/>
  <c r="AQ631"/>
  <c r="F632"/>
  <c r="L632"/>
  <c r="S632"/>
  <c r="Z632"/>
  <c r="AG632"/>
  <c r="AN632"/>
  <c r="AO632"/>
  <c r="AP632"/>
  <c r="AQ632"/>
  <c r="F633"/>
  <c r="L633"/>
  <c r="S633"/>
  <c r="Z633"/>
  <c r="AG633"/>
  <c r="AN633"/>
  <c r="AO633"/>
  <c r="AP633"/>
  <c r="AQ633"/>
  <c r="F634"/>
  <c r="L634"/>
  <c r="S634"/>
  <c r="Z634"/>
  <c r="AG634"/>
  <c r="AN634"/>
  <c r="AO634"/>
  <c r="AP634"/>
  <c r="AQ634"/>
  <c r="F635"/>
  <c r="L635"/>
  <c r="S635"/>
  <c r="Z635"/>
  <c r="AG635"/>
  <c r="AN635"/>
  <c r="AO635"/>
  <c r="AP635"/>
  <c r="AQ635"/>
  <c r="F636"/>
  <c r="L636"/>
  <c r="S636"/>
  <c r="Z636"/>
  <c r="AG636"/>
  <c r="AN636"/>
  <c r="AO636"/>
  <c r="AP636"/>
  <c r="AQ636"/>
  <c r="G638"/>
  <c r="H638"/>
  <c r="I638"/>
  <c r="J638"/>
  <c r="K638"/>
  <c r="N638"/>
  <c r="O638"/>
  <c r="P638"/>
  <c r="Q638"/>
  <c r="R638"/>
  <c r="U638"/>
  <c r="V638"/>
  <c r="W638"/>
  <c r="X638"/>
  <c r="Y638"/>
  <c r="AB638"/>
  <c r="AC638"/>
  <c r="AD638"/>
  <c r="AE638"/>
  <c r="AF638"/>
  <c r="AJ638"/>
  <c r="AK638"/>
  <c r="AL638"/>
  <c r="G639"/>
  <c r="H639"/>
  <c r="I639"/>
  <c r="J639"/>
  <c r="K639"/>
  <c r="N639"/>
  <c r="O639"/>
  <c r="P639"/>
  <c r="Q639"/>
  <c r="R639"/>
  <c r="U639"/>
  <c r="V639"/>
  <c r="W639"/>
  <c r="X639"/>
  <c r="Y639"/>
  <c r="AB639"/>
  <c r="AC639"/>
  <c r="AD639"/>
  <c r="AE639"/>
  <c r="AF639"/>
  <c r="G640"/>
  <c r="H640"/>
  <c r="I640"/>
  <c r="J640"/>
  <c r="K640"/>
  <c r="N640"/>
  <c r="O640"/>
  <c r="P640"/>
  <c r="Q640"/>
  <c r="R640"/>
  <c r="U640"/>
  <c r="V640"/>
  <c r="W640"/>
  <c r="X640"/>
  <c r="Y640"/>
  <c r="AB640"/>
  <c r="AC640"/>
  <c r="AD640"/>
  <c r="AE640"/>
  <c r="AF640"/>
  <c r="G641"/>
  <c r="H641"/>
  <c r="I641"/>
  <c r="J641"/>
  <c r="K641"/>
  <c r="N641"/>
  <c r="O641"/>
  <c r="P641"/>
  <c r="Q641"/>
  <c r="R641"/>
  <c r="U641"/>
  <c r="V641"/>
  <c r="W641"/>
  <c r="X641"/>
  <c r="Y641"/>
  <c r="AB641"/>
  <c r="AC641"/>
  <c r="AD641"/>
  <c r="AE641"/>
  <c r="AF641"/>
  <c r="G642"/>
  <c r="H642"/>
  <c r="I642"/>
  <c r="J642"/>
  <c r="K642"/>
  <c r="N642"/>
  <c r="O642"/>
  <c r="P642"/>
  <c r="Q642"/>
  <c r="R642"/>
  <c r="U642"/>
  <c r="V642"/>
  <c r="W642"/>
  <c r="X642"/>
  <c r="Y642"/>
  <c r="AB642"/>
  <c r="AC642"/>
  <c r="AD642"/>
  <c r="AE642"/>
  <c r="AF642"/>
  <c r="F643"/>
  <c r="G643"/>
  <c r="H643"/>
  <c r="I643"/>
  <c r="J643"/>
  <c r="K643"/>
  <c r="N643"/>
  <c r="O643"/>
  <c r="P643"/>
  <c r="Q643"/>
  <c r="R643"/>
  <c r="U643"/>
  <c r="V643"/>
  <c r="W643"/>
  <c r="X643"/>
  <c r="Y643"/>
  <c r="AB643"/>
  <c r="AC643"/>
  <c r="AD643"/>
  <c r="AE643"/>
  <c r="AF643"/>
  <c r="AN643"/>
  <c r="AO643"/>
  <c r="AP643"/>
  <c r="AQ643"/>
  <c r="F644"/>
  <c r="L644"/>
  <c r="S644"/>
  <c r="Z644"/>
  <c r="AG644"/>
  <c r="AN644"/>
  <c r="AO644"/>
  <c r="AP644"/>
  <c r="AQ644"/>
  <c r="F645"/>
  <c r="L645"/>
  <c r="S645"/>
  <c r="Z645"/>
  <c r="AG645"/>
  <c r="AN645"/>
  <c r="AO645"/>
  <c r="AP645"/>
  <c r="AQ645"/>
  <c r="F646"/>
  <c r="L646"/>
  <c r="S646"/>
  <c r="Z646"/>
  <c r="AG646"/>
  <c r="AN646"/>
  <c r="AO646"/>
  <c r="AP646"/>
  <c r="AQ646"/>
  <c r="F647"/>
  <c r="L647"/>
  <c r="S647"/>
  <c r="Z647"/>
  <c r="AG647"/>
  <c r="AN647"/>
  <c r="AO647"/>
  <c r="AP647"/>
  <c r="AQ647"/>
  <c r="F648"/>
  <c r="L648"/>
  <c r="S648"/>
  <c r="Z648"/>
  <c r="AG648"/>
  <c r="AN648"/>
  <c r="AO648"/>
  <c r="AP648"/>
  <c r="AQ648"/>
  <c r="F649"/>
  <c r="L649"/>
  <c r="S649"/>
  <c r="Z649"/>
  <c r="AG649"/>
  <c r="AN649"/>
  <c r="AO649"/>
  <c r="AP649"/>
  <c r="AQ649"/>
  <c r="G651"/>
  <c r="H651"/>
  <c r="I651"/>
  <c r="J651"/>
  <c r="K651"/>
  <c r="N651"/>
  <c r="O651"/>
  <c r="P651"/>
  <c r="Q651"/>
  <c r="R651"/>
  <c r="U651"/>
  <c r="V651"/>
  <c r="W651"/>
  <c r="X651"/>
  <c r="Y651"/>
  <c r="AB651"/>
  <c r="AC651"/>
  <c r="AD651"/>
  <c r="AE651"/>
  <c r="AF651"/>
  <c r="AJ651"/>
  <c r="AK651"/>
  <c r="AL651"/>
  <c r="G652"/>
  <c r="H652"/>
  <c r="I652"/>
  <c r="J652"/>
  <c r="K652"/>
  <c r="N652"/>
  <c r="O652"/>
  <c r="P652"/>
  <c r="Q652"/>
  <c r="R652"/>
  <c r="U652"/>
  <c r="V652"/>
  <c r="W652"/>
  <c r="X652"/>
  <c r="Y652"/>
  <c r="AB652"/>
  <c r="AC652"/>
  <c r="AD652"/>
  <c r="AE652"/>
  <c r="AF652"/>
  <c r="G653"/>
  <c r="H653"/>
  <c r="I653"/>
  <c r="J653"/>
  <c r="K653"/>
  <c r="N653"/>
  <c r="O653"/>
  <c r="P653"/>
  <c r="Q653"/>
  <c r="R653"/>
  <c r="U653"/>
  <c r="V653"/>
  <c r="W653"/>
  <c r="X653"/>
  <c r="Y653"/>
  <c r="AB653"/>
  <c r="AC653"/>
  <c r="AD653"/>
  <c r="AE653"/>
  <c r="AF653"/>
  <c r="G654"/>
  <c r="H654"/>
  <c r="I654"/>
  <c r="J654"/>
  <c r="K654"/>
  <c r="N654"/>
  <c r="O654"/>
  <c r="P654"/>
  <c r="Q654"/>
  <c r="R654"/>
  <c r="U654"/>
  <c r="V654"/>
  <c r="W654"/>
  <c r="X654"/>
  <c r="Y654"/>
  <c r="AB654"/>
  <c r="AC654"/>
  <c r="AD654"/>
  <c r="AE654"/>
  <c r="AF654"/>
  <c r="G655"/>
  <c r="H655"/>
  <c r="I655"/>
  <c r="J655"/>
  <c r="K655"/>
  <c r="N655"/>
  <c r="O655"/>
  <c r="P655"/>
  <c r="Q655"/>
  <c r="R655"/>
  <c r="U655"/>
  <c r="V655"/>
  <c r="W655"/>
  <c r="X655"/>
  <c r="Y655"/>
  <c r="AB655"/>
  <c r="AC655"/>
  <c r="AD655"/>
  <c r="AE655"/>
  <c r="AF655"/>
  <c r="F656"/>
  <c r="G656"/>
  <c r="H656"/>
  <c r="I656"/>
  <c r="J656"/>
  <c r="K656"/>
  <c r="N656"/>
  <c r="O656"/>
  <c r="P656"/>
  <c r="Q656"/>
  <c r="R656"/>
  <c r="U656"/>
  <c r="V656"/>
  <c r="W656"/>
  <c r="X656"/>
  <c r="Y656"/>
  <c r="AB656"/>
  <c r="AC656"/>
  <c r="AD656"/>
  <c r="AE656"/>
  <c r="AF656"/>
  <c r="AN656"/>
  <c r="AO656"/>
  <c r="AP656"/>
  <c r="AQ656"/>
  <c r="F657"/>
  <c r="L657"/>
  <c r="S657"/>
  <c r="Z657"/>
  <c r="AG657"/>
  <c r="AN657"/>
  <c r="AO657"/>
  <c r="AP657"/>
  <c r="AQ657"/>
  <c r="F658"/>
  <c r="L658"/>
  <c r="S658"/>
  <c r="Z658"/>
  <c r="AG658"/>
  <c r="AN658"/>
  <c r="AO658"/>
  <c r="AP658"/>
  <c r="AQ658"/>
  <c r="F659"/>
  <c r="L659"/>
  <c r="S659"/>
  <c r="Z659"/>
  <c r="AG659"/>
  <c r="AN659"/>
  <c r="AO659"/>
  <c r="AP659"/>
  <c r="AQ659"/>
  <c r="F660"/>
  <c r="L660"/>
  <c r="S660"/>
  <c r="Z660"/>
  <c r="AG660"/>
  <c r="AN660"/>
  <c r="AO660"/>
  <c r="AP660"/>
  <c r="AQ660"/>
  <c r="F661"/>
  <c r="L661"/>
  <c r="S661"/>
  <c r="Z661"/>
  <c r="AG661"/>
  <c r="AN661"/>
  <c r="AO661"/>
  <c r="AP661"/>
  <c r="AQ661"/>
  <c r="F662"/>
  <c r="L662"/>
  <c r="S662"/>
  <c r="Z662"/>
  <c r="AG662"/>
  <c r="AN662"/>
  <c r="AO662"/>
  <c r="AP662"/>
  <c r="AQ662"/>
  <c r="G664"/>
  <c r="H664"/>
  <c r="I664"/>
  <c r="J664"/>
  <c r="K664"/>
  <c r="N664"/>
  <c r="O664"/>
  <c r="P664"/>
  <c r="Q664"/>
  <c r="R664"/>
  <c r="U664"/>
  <c r="V664"/>
  <c r="W664"/>
  <c r="X664"/>
  <c r="Y664"/>
  <c r="AB664"/>
  <c r="AC664"/>
  <c r="AD664"/>
  <c r="AE664"/>
  <c r="AF664"/>
  <c r="AJ664"/>
  <c r="AK664"/>
  <c r="AL664"/>
  <c r="G665"/>
  <c r="H665"/>
  <c r="I665"/>
  <c r="J665"/>
  <c r="K665"/>
  <c r="N665"/>
  <c r="O665"/>
  <c r="P665"/>
  <c r="Q665"/>
  <c r="R665"/>
  <c r="U665"/>
  <c r="V665"/>
  <c r="W665"/>
  <c r="X665"/>
  <c r="Y665"/>
  <c r="AB665"/>
  <c r="AC665"/>
  <c r="AD665"/>
  <c r="AE665"/>
  <c r="AF665"/>
  <c r="G666"/>
  <c r="H666"/>
  <c r="I666"/>
  <c r="J666"/>
  <c r="K666"/>
  <c r="N666"/>
  <c r="O666"/>
  <c r="P666"/>
  <c r="Q666"/>
  <c r="R666"/>
  <c r="U666"/>
  <c r="V666"/>
  <c r="W666"/>
  <c r="X666"/>
  <c r="Y666"/>
  <c r="AB666"/>
  <c r="AC666"/>
  <c r="AD666"/>
  <c r="AE666"/>
  <c r="AF666"/>
  <c r="G667"/>
  <c r="H667"/>
  <c r="I667"/>
  <c r="J667"/>
  <c r="K667"/>
  <c r="N667"/>
  <c r="O667"/>
  <c r="P667"/>
  <c r="Q667"/>
  <c r="R667"/>
  <c r="U667"/>
  <c r="V667"/>
  <c r="W667"/>
  <c r="X667"/>
  <c r="Y667"/>
  <c r="AB667"/>
  <c r="AC667"/>
  <c r="AD667"/>
  <c r="AE667"/>
  <c r="AF667"/>
  <c r="G668"/>
  <c r="H668"/>
  <c r="I668"/>
  <c r="J668"/>
  <c r="K668"/>
  <c r="N668"/>
  <c r="O668"/>
  <c r="P668"/>
  <c r="Q668"/>
  <c r="R668"/>
  <c r="U668"/>
  <c r="V668"/>
  <c r="W668"/>
  <c r="X668"/>
  <c r="Y668"/>
  <c r="AB668"/>
  <c r="AC668"/>
  <c r="AD668"/>
  <c r="AE668"/>
  <c r="AF668"/>
  <c r="F669"/>
  <c r="G669"/>
  <c r="H669"/>
  <c r="I669"/>
  <c r="J669"/>
  <c r="K669"/>
  <c r="N669"/>
  <c r="O669"/>
  <c r="P669"/>
  <c r="Q669"/>
  <c r="R669"/>
  <c r="U669"/>
  <c r="V669"/>
  <c r="W669"/>
  <c r="X669"/>
  <c r="Y669"/>
  <c r="AB669"/>
  <c r="AC669"/>
  <c r="AD669"/>
  <c r="AE669"/>
  <c r="AF669"/>
  <c r="AN669"/>
  <c r="AO669"/>
  <c r="AP669"/>
  <c r="AQ669"/>
  <c r="F670"/>
  <c r="L670"/>
  <c r="S670"/>
  <c r="Z670"/>
  <c r="AG670"/>
  <c r="AN670"/>
  <c r="AO670"/>
  <c r="AP670"/>
  <c r="AQ670"/>
  <c r="F671"/>
  <c r="L671"/>
  <c r="S671"/>
  <c r="Z671"/>
  <c r="AG671"/>
  <c r="AN671"/>
  <c r="AO671"/>
  <c r="AP671"/>
  <c r="AQ671"/>
  <c r="F672"/>
  <c r="L672"/>
  <c r="S672"/>
  <c r="Z672"/>
  <c r="AG672"/>
  <c r="AN672"/>
  <c r="AO672"/>
  <c r="AP672"/>
  <c r="AQ672"/>
  <c r="F673"/>
  <c r="L673"/>
  <c r="S673"/>
  <c r="Z673"/>
  <c r="AG673"/>
  <c r="AN673"/>
  <c r="AO673"/>
  <c r="AP673"/>
  <c r="AQ673"/>
  <c r="F674"/>
  <c r="L674"/>
  <c r="S674"/>
  <c r="Z674"/>
  <c r="AG674"/>
  <c r="AN674"/>
  <c r="AO674"/>
  <c r="AP674"/>
  <c r="AQ674"/>
  <c r="F675"/>
  <c r="L675"/>
  <c r="S675"/>
  <c r="Z675"/>
  <c r="AG675"/>
  <c r="AN675"/>
  <c r="AO675"/>
  <c r="AP675"/>
  <c r="AQ675"/>
  <c r="G677"/>
  <c r="H677"/>
  <c r="I677"/>
  <c r="J677"/>
  <c r="K677"/>
  <c r="N677"/>
  <c r="O677"/>
  <c r="P677"/>
  <c r="Q677"/>
  <c r="R677"/>
  <c r="U677"/>
  <c r="V677"/>
  <c r="W677"/>
  <c r="X677"/>
  <c r="Y677"/>
  <c r="AB677"/>
  <c r="AC677"/>
  <c r="AD677"/>
  <c r="AE677"/>
  <c r="AF677"/>
  <c r="AJ677"/>
  <c r="AK677"/>
  <c r="AL677"/>
  <c r="G678"/>
  <c r="H678"/>
  <c r="I678"/>
  <c r="J678"/>
  <c r="K678"/>
  <c r="N678"/>
  <c r="O678"/>
  <c r="P678"/>
  <c r="Q678"/>
  <c r="R678"/>
  <c r="U678"/>
  <c r="V678"/>
  <c r="W678"/>
  <c r="X678"/>
  <c r="Y678"/>
  <c r="AB678"/>
  <c r="AC678"/>
  <c r="AD678"/>
  <c r="AE678"/>
  <c r="AF678"/>
  <c r="G679"/>
  <c r="H679"/>
  <c r="I679"/>
  <c r="J679"/>
  <c r="K679"/>
  <c r="N679"/>
  <c r="O679"/>
  <c r="P679"/>
  <c r="Q679"/>
  <c r="R679"/>
  <c r="U679"/>
  <c r="V679"/>
  <c r="W679"/>
  <c r="X679"/>
  <c r="Y679"/>
  <c r="AB679"/>
  <c r="AC679"/>
  <c r="AD679"/>
  <c r="AE679"/>
  <c r="AF679"/>
  <c r="G680"/>
  <c r="H680"/>
  <c r="I680"/>
  <c r="J680"/>
  <c r="K680"/>
  <c r="N680"/>
  <c r="O680"/>
  <c r="P680"/>
  <c r="Q680"/>
  <c r="R680"/>
  <c r="U680"/>
  <c r="V680"/>
  <c r="W680"/>
  <c r="X680"/>
  <c r="Y680"/>
  <c r="AB680"/>
  <c r="AC680"/>
  <c r="AD680"/>
  <c r="AE680"/>
  <c r="AF680"/>
  <c r="G681"/>
  <c r="H681"/>
  <c r="I681"/>
  <c r="J681"/>
  <c r="K681"/>
  <c r="N681"/>
  <c r="O681"/>
  <c r="P681"/>
  <c r="Q681"/>
  <c r="R681"/>
  <c r="U681"/>
  <c r="V681"/>
  <c r="W681"/>
  <c r="X681"/>
  <c r="Y681"/>
  <c r="AB681"/>
  <c r="AC681"/>
  <c r="AD681"/>
  <c r="AE681"/>
  <c r="AF681"/>
  <c r="F682"/>
  <c r="G682"/>
  <c r="H682"/>
  <c r="I682"/>
  <c r="J682"/>
  <c r="K682"/>
  <c r="N682"/>
  <c r="O682"/>
  <c r="P682"/>
  <c r="Q682"/>
  <c r="R682"/>
  <c r="U682"/>
  <c r="V682"/>
  <c r="W682"/>
  <c r="X682"/>
  <c r="Y682"/>
  <c r="AB682"/>
  <c r="AC682"/>
  <c r="AD682"/>
  <c r="AE682"/>
  <c r="AF682"/>
  <c r="AN682"/>
  <c r="AO682"/>
  <c r="AP682"/>
  <c r="AQ682"/>
  <c r="F683"/>
  <c r="L683"/>
  <c r="S683"/>
  <c r="Z683"/>
  <c r="AG683"/>
  <c r="AN683"/>
  <c r="AO683"/>
  <c r="AP683"/>
  <c r="AQ683"/>
  <c r="F684"/>
  <c r="L684"/>
  <c r="S684"/>
  <c r="Z684"/>
  <c r="AG684"/>
  <c r="AN684"/>
  <c r="AO684"/>
  <c r="AP684"/>
  <c r="AQ684"/>
  <c r="F685"/>
  <c r="L685"/>
  <c r="S685"/>
  <c r="Z685"/>
  <c r="AG685"/>
  <c r="AN685"/>
  <c r="AO685"/>
  <c r="AP685"/>
  <c r="AQ685"/>
  <c r="F686"/>
  <c r="L686"/>
  <c r="S686"/>
  <c r="Z686"/>
  <c r="AG686"/>
  <c r="AN686"/>
  <c r="AO686"/>
  <c r="AP686"/>
  <c r="AQ686"/>
  <c r="F687"/>
  <c r="L687"/>
  <c r="S687"/>
  <c r="Z687"/>
  <c r="AG687"/>
  <c r="AN687"/>
  <c r="AO687"/>
  <c r="AP687"/>
  <c r="AQ687"/>
  <c r="F688"/>
  <c r="L688"/>
  <c r="S688"/>
  <c r="Z688"/>
  <c r="AG688"/>
  <c r="AN688"/>
  <c r="AO688"/>
  <c r="AP688"/>
  <c r="AQ688"/>
  <c r="G690"/>
  <c r="H690"/>
  <c r="I690"/>
  <c r="J690"/>
  <c r="K690"/>
  <c r="N690"/>
  <c r="O690"/>
  <c r="P690"/>
  <c r="Q690"/>
  <c r="R690"/>
  <c r="U690"/>
  <c r="V690"/>
  <c r="W690"/>
  <c r="X690"/>
  <c r="Y690"/>
  <c r="AB690"/>
  <c r="AC690"/>
  <c r="AD690"/>
  <c r="AE690"/>
  <c r="AF690"/>
  <c r="AJ690"/>
  <c r="AK690"/>
  <c r="AL690"/>
  <c r="G691"/>
  <c r="H691"/>
  <c r="I691"/>
  <c r="J691"/>
  <c r="K691"/>
  <c r="N691"/>
  <c r="O691"/>
  <c r="P691"/>
  <c r="Q691"/>
  <c r="R691"/>
  <c r="U691"/>
  <c r="V691"/>
  <c r="W691"/>
  <c r="X691"/>
  <c r="Y691"/>
  <c r="AB691"/>
  <c r="AC691"/>
  <c r="AD691"/>
  <c r="AE691"/>
  <c r="AF691"/>
  <c r="G692"/>
  <c r="H692"/>
  <c r="I692"/>
  <c r="J692"/>
  <c r="K692"/>
  <c r="N692"/>
  <c r="O692"/>
  <c r="P692"/>
  <c r="Q692"/>
  <c r="R692"/>
  <c r="U692"/>
  <c r="V692"/>
  <c r="W692"/>
  <c r="X692"/>
  <c r="Y692"/>
  <c r="AB692"/>
  <c r="AC692"/>
  <c r="AD692"/>
  <c r="AE692"/>
  <c r="AF692"/>
  <c r="G693"/>
  <c r="H693"/>
  <c r="I693"/>
  <c r="J693"/>
  <c r="K693"/>
  <c r="N693"/>
  <c r="O693"/>
  <c r="P693"/>
  <c r="Q693"/>
  <c r="R693"/>
  <c r="U693"/>
  <c r="V693"/>
  <c r="W693"/>
  <c r="X693"/>
  <c r="Y693"/>
  <c r="AB693"/>
  <c r="AC693"/>
  <c r="AD693"/>
  <c r="AE693"/>
  <c r="AF693"/>
  <c r="G694"/>
  <c r="H694"/>
  <c r="I694"/>
  <c r="J694"/>
  <c r="K694"/>
  <c r="N694"/>
  <c r="O694"/>
  <c r="P694"/>
  <c r="Q694"/>
  <c r="R694"/>
  <c r="U694"/>
  <c r="V694"/>
  <c r="W694"/>
  <c r="X694"/>
  <c r="Y694"/>
  <c r="AB694"/>
  <c r="AC694"/>
  <c r="AD694"/>
  <c r="AE694"/>
  <c r="AF694"/>
  <c r="F695"/>
  <c r="G695"/>
  <c r="H695"/>
  <c r="I695"/>
  <c r="J695"/>
  <c r="K695"/>
  <c r="N695"/>
  <c r="O695"/>
  <c r="P695"/>
  <c r="Q695"/>
  <c r="R695"/>
  <c r="U695"/>
  <c r="V695"/>
  <c r="W695"/>
  <c r="X695"/>
  <c r="Y695"/>
  <c r="AB695"/>
  <c r="AC695"/>
  <c r="AD695"/>
  <c r="AE695"/>
  <c r="AF695"/>
  <c r="AN695"/>
  <c r="AO695"/>
  <c r="AP695"/>
  <c r="AQ695"/>
  <c r="F696"/>
  <c r="L696"/>
  <c r="S696"/>
  <c r="Z696"/>
  <c r="AG696"/>
  <c r="AN696"/>
  <c r="AO696"/>
  <c r="AP696"/>
  <c r="AQ696"/>
  <c r="F697"/>
  <c r="L697"/>
  <c r="S697"/>
  <c r="Z697"/>
  <c r="AG697"/>
  <c r="AN697"/>
  <c r="AO697"/>
  <c r="AP697"/>
  <c r="AQ697"/>
  <c r="F698"/>
  <c r="L698"/>
  <c r="S698"/>
  <c r="Z698"/>
  <c r="AG698"/>
  <c r="AN698"/>
  <c r="AO698"/>
  <c r="AP698"/>
  <c r="AQ698"/>
  <c r="F699"/>
  <c r="L699"/>
  <c r="S699"/>
  <c r="Z699"/>
  <c r="AG699"/>
  <c r="AN699"/>
  <c r="AO699"/>
  <c r="AP699"/>
  <c r="AQ699"/>
  <c r="F700"/>
  <c r="L700"/>
  <c r="S700"/>
  <c r="Z700"/>
  <c r="AG700"/>
  <c r="AN700"/>
  <c r="AO700"/>
  <c r="AP700"/>
  <c r="AQ700"/>
  <c r="F701"/>
  <c r="L701"/>
  <c r="S701"/>
  <c r="Z701"/>
  <c r="AG701"/>
  <c r="AN701"/>
  <c r="AO701"/>
  <c r="AP701"/>
  <c r="AQ701"/>
  <c r="G703"/>
  <c r="H703"/>
  <c r="I703"/>
  <c r="J703"/>
  <c r="K703"/>
  <c r="N703"/>
  <c r="O703"/>
  <c r="P703"/>
  <c r="Q703"/>
  <c r="R703"/>
  <c r="U703"/>
  <c r="V703"/>
  <c r="W703"/>
  <c r="X703"/>
  <c r="Y703"/>
  <c r="AB703"/>
  <c r="AC703"/>
  <c r="AD703"/>
  <c r="AE703"/>
  <c r="AF703"/>
  <c r="AJ703"/>
  <c r="AK703"/>
  <c r="AL703"/>
  <c r="G704"/>
  <c r="H704"/>
  <c r="I704"/>
  <c r="J704"/>
  <c r="K704"/>
  <c r="N704"/>
  <c r="O704"/>
  <c r="P704"/>
  <c r="Q704"/>
  <c r="R704"/>
  <c r="U704"/>
  <c r="V704"/>
  <c r="W704"/>
  <c r="X704"/>
  <c r="Y704"/>
  <c r="AB704"/>
  <c r="AC704"/>
  <c r="AD704"/>
  <c r="AE704"/>
  <c r="AF704"/>
  <c r="G705"/>
  <c r="H705"/>
  <c r="I705"/>
  <c r="J705"/>
  <c r="K705"/>
  <c r="N705"/>
  <c r="O705"/>
  <c r="P705"/>
  <c r="Q705"/>
  <c r="R705"/>
  <c r="U705"/>
  <c r="V705"/>
  <c r="W705"/>
  <c r="X705"/>
  <c r="Y705"/>
  <c r="AB705"/>
  <c r="AC705"/>
  <c r="AD705"/>
  <c r="AE705"/>
  <c r="AF705"/>
  <c r="G706"/>
  <c r="H706"/>
  <c r="I706"/>
  <c r="J706"/>
  <c r="K706"/>
  <c r="N706"/>
  <c r="O706"/>
  <c r="P706"/>
  <c r="Q706"/>
  <c r="R706"/>
  <c r="U706"/>
  <c r="V706"/>
  <c r="W706"/>
  <c r="X706"/>
  <c r="Y706"/>
  <c r="AB706"/>
  <c r="AC706"/>
  <c r="AD706"/>
  <c r="AE706"/>
  <c r="AF706"/>
  <c r="G707"/>
  <c r="H707"/>
  <c r="I707"/>
  <c r="J707"/>
  <c r="K707"/>
  <c r="N707"/>
  <c r="O707"/>
  <c r="P707"/>
  <c r="Q707"/>
  <c r="R707"/>
  <c r="U707"/>
  <c r="V707"/>
  <c r="W707"/>
  <c r="X707"/>
  <c r="Y707"/>
  <c r="AB707"/>
  <c r="AC707"/>
  <c r="AD707"/>
  <c r="AE707"/>
  <c r="AF707"/>
  <c r="F708"/>
  <c r="G708"/>
  <c r="H708"/>
  <c r="I708"/>
  <c r="J708"/>
  <c r="K708"/>
  <c r="N708"/>
  <c r="O708"/>
  <c r="P708"/>
  <c r="Q708"/>
  <c r="R708"/>
  <c r="U708"/>
  <c r="V708"/>
  <c r="W708"/>
  <c r="X708"/>
  <c r="Y708"/>
  <c r="AB708"/>
  <c r="AC708"/>
  <c r="AD708"/>
  <c r="AE708"/>
  <c r="AF708"/>
  <c r="AN708"/>
  <c r="AO708"/>
  <c r="AP708"/>
  <c r="AQ708"/>
  <c r="F709"/>
  <c r="L709"/>
  <c r="S709"/>
  <c r="Z709"/>
  <c r="AG709"/>
  <c r="AN709"/>
  <c r="AO709"/>
  <c r="AP709"/>
  <c r="AQ709"/>
  <c r="F710"/>
  <c r="L710"/>
  <c r="S710"/>
  <c r="Z710"/>
  <c r="AG710"/>
  <c r="AN710"/>
  <c r="AO710"/>
  <c r="AP710"/>
  <c r="AQ710"/>
  <c r="F711"/>
  <c r="L711"/>
  <c r="S711"/>
  <c r="Z711"/>
  <c r="AG711"/>
  <c r="AN711"/>
  <c r="AO711"/>
  <c r="AP711"/>
  <c r="AQ711"/>
  <c r="F712"/>
  <c r="L712"/>
  <c r="S712"/>
  <c r="Z712"/>
  <c r="AG712"/>
  <c r="AN712"/>
  <c r="AO712"/>
  <c r="AP712"/>
  <c r="AQ712"/>
  <c r="F713"/>
  <c r="L713"/>
  <c r="S713"/>
  <c r="Z713"/>
  <c r="AG713"/>
  <c r="AN713"/>
  <c r="AO713"/>
  <c r="AP713"/>
  <c r="AQ713"/>
  <c r="F714"/>
  <c r="L714"/>
  <c r="S714"/>
  <c r="Z714"/>
  <c r="AG714"/>
  <c r="AN714"/>
  <c r="AO714"/>
  <c r="AP714"/>
  <c r="AQ714"/>
  <c r="G716"/>
  <c r="H716"/>
  <c r="I716"/>
  <c r="J716"/>
  <c r="K716"/>
  <c r="N716"/>
  <c r="O716"/>
  <c r="P716"/>
  <c r="Q716"/>
  <c r="R716"/>
  <c r="U716"/>
  <c r="V716"/>
  <c r="W716"/>
  <c r="X716"/>
  <c r="Y716"/>
  <c r="AB716"/>
  <c r="AC716"/>
  <c r="AD716"/>
  <c r="AE716"/>
  <c r="AF716"/>
  <c r="AJ716"/>
  <c r="AK716"/>
  <c r="AL716"/>
  <c r="G717"/>
  <c r="H717"/>
  <c r="I717"/>
  <c r="J717"/>
  <c r="K717"/>
  <c r="N717"/>
  <c r="O717"/>
  <c r="P717"/>
  <c r="Q717"/>
  <c r="R717"/>
  <c r="U717"/>
  <c r="V717"/>
  <c r="W717"/>
  <c r="X717"/>
  <c r="Y717"/>
  <c r="AB717"/>
  <c r="AC717"/>
  <c r="AD717"/>
  <c r="AE717"/>
  <c r="AF717"/>
  <c r="G718"/>
  <c r="H718"/>
  <c r="I718"/>
  <c r="J718"/>
  <c r="K718"/>
  <c r="N718"/>
  <c r="O718"/>
  <c r="P718"/>
  <c r="Q718"/>
  <c r="R718"/>
  <c r="U718"/>
  <c r="V718"/>
  <c r="W718"/>
  <c r="X718"/>
  <c r="Y718"/>
  <c r="AB718"/>
  <c r="AC718"/>
  <c r="AD718"/>
  <c r="AE718"/>
  <c r="AF718"/>
  <c r="G719"/>
  <c r="H719"/>
  <c r="I719"/>
  <c r="J719"/>
  <c r="K719"/>
  <c r="N719"/>
  <c r="O719"/>
  <c r="P719"/>
  <c r="Q719"/>
  <c r="R719"/>
  <c r="U719"/>
  <c r="V719"/>
  <c r="W719"/>
  <c r="X719"/>
  <c r="Y719"/>
  <c r="AB719"/>
  <c r="AC719"/>
  <c r="AD719"/>
  <c r="AE719"/>
  <c r="AF719"/>
  <c r="G720"/>
  <c r="H720"/>
  <c r="I720"/>
  <c r="J720"/>
  <c r="K720"/>
  <c r="N720"/>
  <c r="O720"/>
  <c r="P720"/>
  <c r="Q720"/>
  <c r="R720"/>
  <c r="U720"/>
  <c r="V720"/>
  <c r="W720"/>
  <c r="X720"/>
  <c r="Y720"/>
  <c r="AB720"/>
  <c r="AC720"/>
  <c r="AD720"/>
  <c r="AE720"/>
  <c r="AF720"/>
  <c r="F721"/>
  <c r="G721"/>
  <c r="H721"/>
  <c r="I721"/>
  <c r="J721"/>
  <c r="K721"/>
  <c r="N721"/>
  <c r="O721"/>
  <c r="P721"/>
  <c r="Q721"/>
  <c r="R721"/>
  <c r="U721"/>
  <c r="V721"/>
  <c r="W721"/>
  <c r="X721"/>
  <c r="Y721"/>
  <c r="AB721"/>
  <c r="AC721"/>
  <c r="AD721"/>
  <c r="AE721"/>
  <c r="AF721"/>
  <c r="AN721"/>
  <c r="AO721"/>
  <c r="AP721"/>
  <c r="AQ721"/>
  <c r="F722"/>
  <c r="L722"/>
  <c r="S722"/>
  <c r="Z722"/>
  <c r="AG722"/>
  <c r="AN722"/>
  <c r="AO722"/>
  <c r="AP722"/>
  <c r="AQ722"/>
  <c r="F723"/>
  <c r="L723"/>
  <c r="S723"/>
  <c r="Z723"/>
  <c r="AG723"/>
  <c r="AN723"/>
  <c r="AO723"/>
  <c r="AP723"/>
  <c r="AQ723"/>
  <c r="F724"/>
  <c r="L724"/>
  <c r="S724"/>
  <c r="Z724"/>
  <c r="AG724"/>
  <c r="AN724"/>
  <c r="AO724"/>
  <c r="AP724"/>
  <c r="AQ724"/>
  <c r="F725"/>
  <c r="L725"/>
  <c r="S725"/>
  <c r="Z725"/>
  <c r="AG725"/>
  <c r="AN725"/>
  <c r="AO725"/>
  <c r="AP725"/>
  <c r="AQ725"/>
  <c r="F726"/>
  <c r="L726"/>
  <c r="S726"/>
  <c r="Z726"/>
  <c r="AG726"/>
  <c r="AN726"/>
  <c r="AO726"/>
  <c r="AP726"/>
  <c r="AQ726"/>
  <c r="F727"/>
  <c r="L727"/>
  <c r="S727"/>
  <c r="Z727"/>
  <c r="AG727"/>
  <c r="AN727"/>
  <c r="AO727"/>
  <c r="AP727"/>
  <c r="AQ727"/>
  <c r="G729"/>
  <c r="H729"/>
  <c r="I729"/>
  <c r="J729"/>
  <c r="K729"/>
  <c r="N729"/>
  <c r="O729"/>
  <c r="P729"/>
  <c r="Q729"/>
  <c r="R729"/>
  <c r="U729"/>
  <c r="V729"/>
  <c r="W729"/>
  <c r="X729"/>
  <c r="Y729"/>
  <c r="AB729"/>
  <c r="AC729"/>
  <c r="AD729"/>
  <c r="AE729"/>
  <c r="AF729"/>
  <c r="AJ729"/>
  <c r="AK729"/>
  <c r="AL729"/>
  <c r="G730"/>
  <c r="H730"/>
  <c r="I730"/>
  <c r="J730"/>
  <c r="K730"/>
  <c r="N730"/>
  <c r="O730"/>
  <c r="P730"/>
  <c r="Q730"/>
  <c r="R730"/>
  <c r="U730"/>
  <c r="V730"/>
  <c r="W730"/>
  <c r="X730"/>
  <c r="Y730"/>
  <c r="AB730"/>
  <c r="AC730"/>
  <c r="AD730"/>
  <c r="AE730"/>
  <c r="AF730"/>
  <c r="G731"/>
  <c r="H731"/>
  <c r="I731"/>
  <c r="J731"/>
  <c r="K731"/>
  <c r="N731"/>
  <c r="O731"/>
  <c r="P731"/>
  <c r="Q731"/>
  <c r="R731"/>
  <c r="U731"/>
  <c r="V731"/>
  <c r="W731"/>
  <c r="X731"/>
  <c r="Y731"/>
  <c r="AB731"/>
  <c r="AC731"/>
  <c r="AD731"/>
  <c r="AE731"/>
  <c r="AF731"/>
  <c r="G732"/>
  <c r="H732"/>
  <c r="I732"/>
  <c r="J732"/>
  <c r="K732"/>
  <c r="N732"/>
  <c r="O732"/>
  <c r="P732"/>
  <c r="Q732"/>
  <c r="R732"/>
  <c r="U732"/>
  <c r="V732"/>
  <c r="W732"/>
  <c r="X732"/>
  <c r="Y732"/>
  <c r="AB732"/>
  <c r="AC732"/>
  <c r="AD732"/>
  <c r="AE732"/>
  <c r="AF732"/>
  <c r="G733"/>
  <c r="H733"/>
  <c r="I733"/>
  <c r="J733"/>
  <c r="K733"/>
  <c r="N733"/>
  <c r="O733"/>
  <c r="P733"/>
  <c r="Q733"/>
  <c r="R733"/>
  <c r="U733"/>
  <c r="V733"/>
  <c r="W733"/>
  <c r="X733"/>
  <c r="Y733"/>
  <c r="AB733"/>
  <c r="AC733"/>
  <c r="AD733"/>
  <c r="AE733"/>
  <c r="AF733"/>
  <c r="F734"/>
  <c r="G734"/>
  <c r="H734"/>
  <c r="I734"/>
  <c r="J734"/>
  <c r="K734"/>
  <c r="N734"/>
  <c r="O734"/>
  <c r="P734"/>
  <c r="Q734"/>
  <c r="R734"/>
  <c r="U734"/>
  <c r="V734"/>
  <c r="W734"/>
  <c r="X734"/>
  <c r="Y734"/>
  <c r="AB734"/>
  <c r="AC734"/>
  <c r="AD734"/>
  <c r="AE734"/>
  <c r="AF734"/>
  <c r="AN734"/>
  <c r="AO734"/>
  <c r="AP734"/>
  <c r="AQ734"/>
  <c r="F735"/>
  <c r="L735"/>
  <c r="S735"/>
  <c r="Z735"/>
  <c r="AG735"/>
  <c r="AN735"/>
  <c r="AO735"/>
  <c r="AP735"/>
  <c r="AQ735"/>
  <c r="F736"/>
  <c r="L736"/>
  <c r="S736"/>
  <c r="Z736"/>
  <c r="AG736"/>
  <c r="AN736"/>
  <c r="AO736"/>
  <c r="AP736"/>
  <c r="AQ736"/>
  <c r="F737"/>
  <c r="L737"/>
  <c r="S737"/>
  <c r="Z737"/>
  <c r="AG737"/>
  <c r="AN737"/>
  <c r="AO737"/>
  <c r="AP737"/>
  <c r="AQ737"/>
  <c r="F738"/>
  <c r="L738"/>
  <c r="S738"/>
  <c r="Z738"/>
  <c r="AG738"/>
  <c r="AN738"/>
  <c r="AO738"/>
  <c r="AP738"/>
  <c r="AQ738"/>
  <c r="F739"/>
  <c r="L739"/>
  <c r="S739"/>
  <c r="Z739"/>
  <c r="AG739"/>
  <c r="AN739"/>
  <c r="AO739"/>
  <c r="AP739"/>
  <c r="AQ739"/>
  <c r="F740"/>
  <c r="L740"/>
  <c r="S740"/>
  <c r="Z740"/>
  <c r="AG740"/>
  <c r="AN740"/>
  <c r="AO740"/>
  <c r="AP740"/>
  <c r="AQ740"/>
  <c r="G742"/>
  <c r="H742"/>
  <c r="I742"/>
  <c r="J742"/>
  <c r="K742"/>
  <c r="N742"/>
  <c r="O742"/>
  <c r="P742"/>
  <c r="Q742"/>
  <c r="R742"/>
  <c r="U742"/>
  <c r="V742"/>
  <c r="W742"/>
  <c r="X742"/>
  <c r="Y742"/>
  <c r="AB742"/>
  <c r="AC742"/>
  <c r="AD742"/>
  <c r="AE742"/>
  <c r="AF742"/>
  <c r="AJ742"/>
  <c r="AK742"/>
  <c r="AL742"/>
  <c r="G743"/>
  <c r="H743"/>
  <c r="I743"/>
  <c r="J743"/>
  <c r="K743"/>
  <c r="N743"/>
  <c r="O743"/>
  <c r="P743"/>
  <c r="Q743"/>
  <c r="R743"/>
  <c r="U743"/>
  <c r="V743"/>
  <c r="W743"/>
  <c r="X743"/>
  <c r="Y743"/>
  <c r="AB743"/>
  <c r="AC743"/>
  <c r="AD743"/>
  <c r="AE743"/>
  <c r="AF743"/>
  <c r="G744"/>
  <c r="H744"/>
  <c r="I744"/>
  <c r="J744"/>
  <c r="K744"/>
  <c r="N744"/>
  <c r="O744"/>
  <c r="P744"/>
  <c r="Q744"/>
  <c r="R744"/>
  <c r="U744"/>
  <c r="V744"/>
  <c r="W744"/>
  <c r="X744"/>
  <c r="Y744"/>
  <c r="AB744"/>
  <c r="AC744"/>
  <c r="AD744"/>
  <c r="AE744"/>
  <c r="AF744"/>
  <c r="G745"/>
  <c r="H745"/>
  <c r="I745"/>
  <c r="J745"/>
  <c r="K745"/>
  <c r="N745"/>
  <c r="O745"/>
  <c r="P745"/>
  <c r="Q745"/>
  <c r="R745"/>
  <c r="U745"/>
  <c r="V745"/>
  <c r="W745"/>
  <c r="X745"/>
  <c r="Y745"/>
  <c r="AB745"/>
  <c r="AC745"/>
  <c r="AD745"/>
  <c r="AE745"/>
  <c r="AF745"/>
  <c r="G746"/>
  <c r="H746"/>
  <c r="I746"/>
  <c r="J746"/>
  <c r="K746"/>
  <c r="N746"/>
  <c r="O746"/>
  <c r="P746"/>
  <c r="Q746"/>
  <c r="R746"/>
  <c r="U746"/>
  <c r="V746"/>
  <c r="W746"/>
  <c r="X746"/>
  <c r="Y746"/>
  <c r="AB746"/>
  <c r="AC746"/>
  <c r="AD746"/>
  <c r="AE746"/>
  <c r="AF746"/>
  <c r="F747"/>
  <c r="G747"/>
  <c r="H747"/>
  <c r="I747"/>
  <c r="J747"/>
  <c r="K747"/>
  <c r="N747"/>
  <c r="O747"/>
  <c r="P747"/>
  <c r="Q747"/>
  <c r="R747"/>
  <c r="U747"/>
  <c r="V747"/>
  <c r="W747"/>
  <c r="X747"/>
  <c r="Y747"/>
  <c r="AB747"/>
  <c r="AC747"/>
  <c r="AD747"/>
  <c r="AE747"/>
  <c r="AF747"/>
  <c r="AN747"/>
  <c r="AO747"/>
  <c r="AP747"/>
  <c r="AQ747"/>
  <c r="F748"/>
  <c r="L748"/>
  <c r="S748"/>
  <c r="Z748"/>
  <c r="AG748"/>
  <c r="AN748"/>
  <c r="AO748"/>
  <c r="AP748"/>
  <c r="AQ748"/>
  <c r="F749"/>
  <c r="L749"/>
  <c r="S749"/>
  <c r="Z749"/>
  <c r="AG749"/>
  <c r="AN749"/>
  <c r="AO749"/>
  <c r="AP749"/>
  <c r="AQ749"/>
  <c r="F750"/>
  <c r="L750"/>
  <c r="S750"/>
  <c r="Z750"/>
  <c r="AG750"/>
  <c r="AN750"/>
  <c r="AO750"/>
  <c r="AP750"/>
  <c r="AQ750"/>
  <c r="F751"/>
  <c r="L751"/>
  <c r="S751"/>
  <c r="Z751"/>
  <c r="AG751"/>
  <c r="AN751"/>
  <c r="AO751"/>
  <c r="AP751"/>
  <c r="AQ751"/>
  <c r="F752"/>
  <c r="L752"/>
  <c r="S752"/>
  <c r="Z752"/>
  <c r="AG752"/>
  <c r="AN752"/>
  <c r="AO752"/>
  <c r="AP752"/>
  <c r="AQ752"/>
  <c r="F753"/>
  <c r="L753"/>
  <c r="S753"/>
  <c r="Z753"/>
  <c r="AG753"/>
  <c r="AN753"/>
  <c r="AO753"/>
  <c r="AP753"/>
  <c r="AQ753"/>
  <c r="G755"/>
  <c r="H755"/>
  <c r="I755"/>
  <c r="J755"/>
  <c r="K755"/>
  <c r="N755"/>
  <c r="O755"/>
  <c r="P755"/>
  <c r="Q755"/>
  <c r="R755"/>
  <c r="U755"/>
  <c r="V755"/>
  <c r="W755"/>
  <c r="X755"/>
  <c r="Y755"/>
  <c r="AB755"/>
  <c r="AC755"/>
  <c r="AD755"/>
  <c r="AE755"/>
  <c r="AF755"/>
  <c r="AJ755"/>
  <c r="AK755"/>
  <c r="AL755"/>
  <c r="G756"/>
  <c r="H756"/>
  <c r="I756"/>
  <c r="J756"/>
  <c r="K756"/>
  <c r="N756"/>
  <c r="O756"/>
  <c r="P756"/>
  <c r="Q756"/>
  <c r="R756"/>
  <c r="U756"/>
  <c r="V756"/>
  <c r="W756"/>
  <c r="X756"/>
  <c r="Y756"/>
  <c r="AB756"/>
  <c r="AC756"/>
  <c r="AD756"/>
  <c r="AE756"/>
  <c r="AF756"/>
  <c r="G757"/>
  <c r="H757"/>
  <c r="I757"/>
  <c r="J757"/>
  <c r="K757"/>
  <c r="N757"/>
  <c r="O757"/>
  <c r="P757"/>
  <c r="Q757"/>
  <c r="R757"/>
  <c r="U757"/>
  <c r="V757"/>
  <c r="W757"/>
  <c r="X757"/>
  <c r="Y757"/>
  <c r="AB757"/>
  <c r="AC757"/>
  <c r="AD757"/>
  <c r="AE757"/>
  <c r="AF757"/>
  <c r="G758"/>
  <c r="H758"/>
  <c r="I758"/>
  <c r="J758"/>
  <c r="K758"/>
  <c r="N758"/>
  <c r="O758"/>
  <c r="P758"/>
  <c r="Q758"/>
  <c r="R758"/>
  <c r="U758"/>
  <c r="V758"/>
  <c r="W758"/>
  <c r="X758"/>
  <c r="Y758"/>
  <c r="AB758"/>
  <c r="AC758"/>
  <c r="AD758"/>
  <c r="AE758"/>
  <c r="AF758"/>
  <c r="G759"/>
  <c r="H759"/>
  <c r="I759"/>
  <c r="J759"/>
  <c r="K759"/>
  <c r="N759"/>
  <c r="O759"/>
  <c r="P759"/>
  <c r="Q759"/>
  <c r="R759"/>
  <c r="U759"/>
  <c r="V759"/>
  <c r="W759"/>
  <c r="X759"/>
  <c r="Y759"/>
  <c r="AB759"/>
  <c r="AC759"/>
  <c r="AD759"/>
  <c r="AE759"/>
  <c r="AF759"/>
  <c r="F760"/>
  <c r="G760"/>
  <c r="H760"/>
  <c r="I760"/>
  <c r="J760"/>
  <c r="K760"/>
  <c r="N760"/>
  <c r="O760"/>
  <c r="P760"/>
  <c r="Q760"/>
  <c r="R760"/>
  <c r="U760"/>
  <c r="V760"/>
  <c r="W760"/>
  <c r="X760"/>
  <c r="Y760"/>
  <c r="AB760"/>
  <c r="AC760"/>
  <c r="AD760"/>
  <c r="AE760"/>
  <c r="AF760"/>
  <c r="AN760"/>
  <c r="AO760"/>
  <c r="AP760"/>
  <c r="AQ760"/>
  <c r="F761"/>
  <c r="L761"/>
  <c r="S761"/>
  <c r="Z761"/>
  <c r="AG761"/>
  <c r="AN761"/>
  <c r="AO761"/>
  <c r="AP761"/>
  <c r="AQ761"/>
  <c r="F762"/>
  <c r="L762"/>
  <c r="S762"/>
  <c r="Z762"/>
  <c r="AG762"/>
  <c r="AN762"/>
  <c r="AO762"/>
  <c r="AP762"/>
  <c r="AQ762"/>
  <c r="F763"/>
  <c r="L763"/>
  <c r="S763"/>
  <c r="Z763"/>
  <c r="AG763"/>
  <c r="AN763"/>
  <c r="AO763"/>
  <c r="AP763"/>
  <c r="AQ763"/>
  <c r="F764"/>
  <c r="L764"/>
  <c r="S764"/>
  <c r="Z764"/>
  <c r="AG764"/>
  <c r="AN764"/>
  <c r="AO764"/>
  <c r="AP764"/>
  <c r="AQ764"/>
  <c r="F765"/>
  <c r="L765"/>
  <c r="S765"/>
  <c r="Z765"/>
  <c r="AG765"/>
  <c r="AN765"/>
  <c r="AO765"/>
  <c r="AP765"/>
  <c r="AQ765"/>
  <c r="F766"/>
  <c r="L766"/>
  <c r="S766"/>
  <c r="Z766"/>
  <c r="AG766"/>
  <c r="AN766"/>
  <c r="AO766"/>
  <c r="AP766"/>
  <c r="AQ766"/>
  <c r="G768"/>
  <c r="H768"/>
  <c r="I768"/>
  <c r="J768"/>
  <c r="K768"/>
  <c r="N768"/>
  <c r="O768"/>
  <c r="P768"/>
  <c r="Q768"/>
  <c r="R768"/>
  <c r="U768"/>
  <c r="V768"/>
  <c r="W768"/>
  <c r="X768"/>
  <c r="Y768"/>
  <c r="AB768"/>
  <c r="AC768"/>
  <c r="AD768"/>
  <c r="AE768"/>
  <c r="AF768"/>
  <c r="AJ768"/>
  <c r="AK768"/>
  <c r="AL768"/>
  <c r="G769"/>
  <c r="H769"/>
  <c r="I769"/>
  <c r="J769"/>
  <c r="K769"/>
  <c r="N769"/>
  <c r="O769"/>
  <c r="P769"/>
  <c r="Q769"/>
  <c r="R769"/>
  <c r="U769"/>
  <c r="V769"/>
  <c r="W769"/>
  <c r="X769"/>
  <c r="Y769"/>
  <c r="AB769"/>
  <c r="AC769"/>
  <c r="AD769"/>
  <c r="AE769"/>
  <c r="AF769"/>
  <c r="G770"/>
  <c r="H770"/>
  <c r="I770"/>
  <c r="J770"/>
  <c r="K770"/>
  <c r="N770"/>
  <c r="O770"/>
  <c r="P770"/>
  <c r="Q770"/>
  <c r="R770"/>
  <c r="U770"/>
  <c r="V770"/>
  <c r="W770"/>
  <c r="X770"/>
  <c r="Y770"/>
  <c r="AB770"/>
  <c r="AC770"/>
  <c r="AD770"/>
  <c r="AE770"/>
  <c r="AF770"/>
  <c r="G771"/>
  <c r="H771"/>
  <c r="I771"/>
  <c r="J771"/>
  <c r="K771"/>
  <c r="N771"/>
  <c r="O771"/>
  <c r="P771"/>
  <c r="Q771"/>
  <c r="R771"/>
  <c r="U771"/>
  <c r="V771"/>
  <c r="W771"/>
  <c r="X771"/>
  <c r="Y771"/>
  <c r="AB771"/>
  <c r="AC771"/>
  <c r="AD771"/>
  <c r="AE771"/>
  <c r="AF771"/>
  <c r="G772"/>
  <c r="H772"/>
  <c r="I772"/>
  <c r="J772"/>
  <c r="K772"/>
  <c r="N772"/>
  <c r="O772"/>
  <c r="P772"/>
  <c r="Q772"/>
  <c r="R772"/>
  <c r="U772"/>
  <c r="V772"/>
  <c r="W772"/>
  <c r="X772"/>
  <c r="Y772"/>
  <c r="AB772"/>
  <c r="AC772"/>
  <c r="AD772"/>
  <c r="AE772"/>
  <c r="AF772"/>
  <c r="F773"/>
  <c r="G773"/>
  <c r="H773"/>
  <c r="I773"/>
  <c r="J773"/>
  <c r="K773"/>
  <c r="N773"/>
  <c r="O773"/>
  <c r="P773"/>
  <c r="Q773"/>
  <c r="R773"/>
  <c r="U773"/>
  <c r="V773"/>
  <c r="W773"/>
  <c r="X773"/>
  <c r="Y773"/>
  <c r="AB773"/>
  <c r="AC773"/>
  <c r="AD773"/>
  <c r="AE773"/>
  <c r="AF773"/>
  <c r="AN773"/>
  <c r="AO773"/>
  <c r="AP773"/>
  <c r="AQ773"/>
  <c r="F774"/>
  <c r="L774"/>
  <c r="S774"/>
  <c r="Z774"/>
  <c r="AG774"/>
  <c r="AN774"/>
  <c r="AO774"/>
  <c r="AP774"/>
  <c r="AQ774"/>
  <c r="F775"/>
  <c r="L775"/>
  <c r="S775"/>
  <c r="Z775"/>
  <c r="AG775"/>
  <c r="AN775"/>
  <c r="AO775"/>
  <c r="AP775"/>
  <c r="AQ775"/>
  <c r="F776"/>
  <c r="L776"/>
  <c r="S776"/>
  <c r="Z776"/>
  <c r="AG776"/>
  <c r="AN776"/>
  <c r="AO776"/>
  <c r="AP776"/>
  <c r="AQ776"/>
  <c r="F777"/>
  <c r="L777"/>
  <c r="S777"/>
  <c r="Z777"/>
  <c r="AG777"/>
  <c r="AN777"/>
  <c r="AO777"/>
  <c r="AP777"/>
  <c r="AQ777"/>
  <c r="F778"/>
  <c r="L778"/>
  <c r="S778"/>
  <c r="Z778"/>
  <c r="AG778"/>
  <c r="AN778"/>
  <c r="AO778"/>
  <c r="AP778"/>
  <c r="AQ778"/>
  <c r="F779"/>
  <c r="L779"/>
  <c r="S779"/>
  <c r="Z779"/>
  <c r="AG779"/>
  <c r="AN779"/>
  <c r="AO779"/>
  <c r="AP779"/>
  <c r="AQ779"/>
  <c r="G781"/>
  <c r="H781"/>
  <c r="I781"/>
  <c r="J781"/>
  <c r="K781"/>
  <c r="N781"/>
  <c r="O781"/>
  <c r="P781"/>
  <c r="Q781"/>
  <c r="R781"/>
  <c r="U781"/>
  <c r="V781"/>
  <c r="W781"/>
  <c r="X781"/>
  <c r="Y781"/>
  <c r="AB781"/>
  <c r="AC781"/>
  <c r="AD781"/>
  <c r="AE781"/>
  <c r="AF781"/>
  <c r="AJ781"/>
  <c r="AK781"/>
  <c r="AL781"/>
  <c r="G782"/>
  <c r="H782"/>
  <c r="I782"/>
  <c r="J782"/>
  <c r="K782"/>
  <c r="N782"/>
  <c r="O782"/>
  <c r="P782"/>
  <c r="Q782"/>
  <c r="R782"/>
  <c r="U782"/>
  <c r="V782"/>
  <c r="W782"/>
  <c r="X782"/>
  <c r="Y782"/>
  <c r="AB782"/>
  <c r="AC782"/>
  <c r="AD782"/>
  <c r="AE782"/>
  <c r="AF782"/>
  <c r="G783"/>
  <c r="H783"/>
  <c r="I783"/>
  <c r="J783"/>
  <c r="K783"/>
  <c r="N783"/>
  <c r="O783"/>
  <c r="P783"/>
  <c r="Q783"/>
  <c r="R783"/>
  <c r="U783"/>
  <c r="V783"/>
  <c r="W783"/>
  <c r="X783"/>
  <c r="Y783"/>
  <c r="AB783"/>
  <c r="AC783"/>
  <c r="AD783"/>
  <c r="AE783"/>
  <c r="AF783"/>
  <c r="G784"/>
  <c r="H784"/>
  <c r="I784"/>
  <c r="J784"/>
  <c r="K784"/>
  <c r="N784"/>
  <c r="O784"/>
  <c r="P784"/>
  <c r="Q784"/>
  <c r="R784"/>
  <c r="U784"/>
  <c r="V784"/>
  <c r="W784"/>
  <c r="X784"/>
  <c r="Y784"/>
  <c r="AB784"/>
  <c r="AC784"/>
  <c r="AD784"/>
  <c r="AE784"/>
  <c r="AF784"/>
  <c r="G785"/>
  <c r="H785"/>
  <c r="I785"/>
  <c r="J785"/>
  <c r="K785"/>
  <c r="N785"/>
  <c r="O785"/>
  <c r="P785"/>
  <c r="Q785"/>
  <c r="R785"/>
  <c r="U785"/>
  <c r="V785"/>
  <c r="W785"/>
  <c r="X785"/>
  <c r="Y785"/>
  <c r="AB785"/>
  <c r="AC785"/>
  <c r="AD785"/>
  <c r="AE785"/>
  <c r="AF785"/>
  <c r="F786"/>
  <c r="G786"/>
  <c r="H786"/>
  <c r="I786"/>
  <c r="J786"/>
  <c r="K786"/>
  <c r="N786"/>
  <c r="O786"/>
  <c r="P786"/>
  <c r="Q786"/>
  <c r="R786"/>
  <c r="U786"/>
  <c r="V786"/>
  <c r="W786"/>
  <c r="X786"/>
  <c r="Y786"/>
  <c r="AB786"/>
  <c r="AC786"/>
  <c r="AD786"/>
  <c r="AE786"/>
  <c r="AF786"/>
  <c r="AN786"/>
  <c r="AO786"/>
  <c r="AP786"/>
  <c r="AQ786"/>
  <c r="F787"/>
  <c r="L787"/>
  <c r="S787"/>
  <c r="Z787"/>
  <c r="AG787"/>
  <c r="AN787"/>
  <c r="AO787"/>
  <c r="AP787"/>
  <c r="AQ787"/>
  <c r="F788"/>
  <c r="L788"/>
  <c r="S788"/>
  <c r="Z788"/>
  <c r="AG788"/>
  <c r="AN788"/>
  <c r="AO788"/>
  <c r="AP788"/>
  <c r="AQ788"/>
  <c r="F789"/>
  <c r="L789"/>
  <c r="S789"/>
  <c r="Z789"/>
  <c r="AG789"/>
  <c r="AN789"/>
  <c r="AO789"/>
  <c r="AP789"/>
  <c r="AQ789"/>
  <c r="F790"/>
  <c r="L790"/>
  <c r="S790"/>
  <c r="Z790"/>
  <c r="AG790"/>
  <c r="AN790"/>
  <c r="AO790"/>
  <c r="AP790"/>
  <c r="AQ790"/>
  <c r="F791"/>
  <c r="L791"/>
  <c r="S791"/>
  <c r="Z791"/>
  <c r="AG791"/>
  <c r="AN791"/>
  <c r="AO791"/>
  <c r="AP791"/>
  <c r="AQ791"/>
  <c r="F792"/>
  <c r="L792"/>
  <c r="S792"/>
  <c r="Z792"/>
  <c r="AG792"/>
  <c r="AN792"/>
  <c r="AO792"/>
  <c r="AP792"/>
  <c r="AQ792"/>
  <c r="G794"/>
  <c r="H794"/>
  <c r="I794"/>
  <c r="J794"/>
  <c r="K794"/>
  <c r="N794"/>
  <c r="O794"/>
  <c r="P794"/>
  <c r="Q794"/>
  <c r="R794"/>
  <c r="U794"/>
  <c r="V794"/>
  <c r="W794"/>
  <c r="X794"/>
  <c r="Y794"/>
  <c r="AB794"/>
  <c r="AC794"/>
  <c r="AD794"/>
  <c r="AE794"/>
  <c r="AF794"/>
  <c r="AJ794"/>
  <c r="AK794"/>
  <c r="AL794"/>
  <c r="G795"/>
  <c r="H795"/>
  <c r="I795"/>
  <c r="J795"/>
  <c r="K795"/>
  <c r="N795"/>
  <c r="O795"/>
  <c r="P795"/>
  <c r="Q795"/>
  <c r="R795"/>
  <c r="U795"/>
  <c r="V795"/>
  <c r="W795"/>
  <c r="X795"/>
  <c r="Y795"/>
  <c r="AB795"/>
  <c r="AC795"/>
  <c r="AD795"/>
  <c r="AE795"/>
  <c r="AF795"/>
  <c r="G796"/>
  <c r="H796"/>
  <c r="I796"/>
  <c r="J796"/>
  <c r="K796"/>
  <c r="N796"/>
  <c r="O796"/>
  <c r="P796"/>
  <c r="Q796"/>
  <c r="R796"/>
  <c r="U796"/>
  <c r="V796"/>
  <c r="W796"/>
  <c r="X796"/>
  <c r="Y796"/>
  <c r="AB796"/>
  <c r="AC796"/>
  <c r="AD796"/>
  <c r="AE796"/>
  <c r="AF796"/>
  <c r="G797"/>
  <c r="H797"/>
  <c r="I797"/>
  <c r="J797"/>
  <c r="K797"/>
  <c r="N797"/>
  <c r="O797"/>
  <c r="P797"/>
  <c r="Q797"/>
  <c r="R797"/>
  <c r="U797"/>
  <c r="V797"/>
  <c r="W797"/>
  <c r="X797"/>
  <c r="Y797"/>
  <c r="AB797"/>
  <c r="AC797"/>
  <c r="AD797"/>
  <c r="AE797"/>
  <c r="AF797"/>
  <c r="G798"/>
  <c r="H798"/>
  <c r="I798"/>
  <c r="J798"/>
  <c r="K798"/>
  <c r="N798"/>
  <c r="O798"/>
  <c r="P798"/>
  <c r="Q798"/>
  <c r="R798"/>
  <c r="U798"/>
  <c r="V798"/>
  <c r="W798"/>
  <c r="X798"/>
  <c r="Y798"/>
  <c r="AB798"/>
  <c r="AC798"/>
  <c r="AD798"/>
  <c r="AE798"/>
  <c r="AF798"/>
  <c r="F799"/>
  <c r="G799"/>
  <c r="H799"/>
  <c r="I799"/>
  <c r="J799"/>
  <c r="K799"/>
  <c r="N799"/>
  <c r="O799"/>
  <c r="P799"/>
  <c r="Q799"/>
  <c r="R799"/>
  <c r="U799"/>
  <c r="V799"/>
  <c r="W799"/>
  <c r="X799"/>
  <c r="Y799"/>
  <c r="AB799"/>
  <c r="AC799"/>
  <c r="AD799"/>
  <c r="AE799"/>
  <c r="AF799"/>
  <c r="AN799"/>
  <c r="AO799"/>
  <c r="AP799"/>
  <c r="AQ799"/>
  <c r="F800"/>
  <c r="L800"/>
  <c r="S800"/>
  <c r="Z800"/>
  <c r="AG800"/>
  <c r="AN800"/>
  <c r="AO800"/>
  <c r="AP800"/>
  <c r="AQ800"/>
  <c r="F801"/>
  <c r="L801"/>
  <c r="S801"/>
  <c r="Z801"/>
  <c r="AG801"/>
  <c r="AN801"/>
  <c r="AO801"/>
  <c r="AP801"/>
  <c r="AQ801"/>
  <c r="F802"/>
  <c r="L802"/>
  <c r="S802"/>
  <c r="Z802"/>
  <c r="AG802"/>
  <c r="AN802"/>
  <c r="AO802"/>
  <c r="AP802"/>
  <c r="AQ802"/>
  <c r="F803"/>
  <c r="L803"/>
  <c r="S803"/>
  <c r="Z803"/>
  <c r="AG803"/>
  <c r="AN803"/>
  <c r="AO803"/>
  <c r="AP803"/>
  <c r="AQ803"/>
  <c r="F804"/>
  <c r="L804"/>
  <c r="S804"/>
  <c r="Z804"/>
  <c r="AG804"/>
  <c r="AN804"/>
  <c r="AO804"/>
  <c r="AP804"/>
  <c r="AQ804"/>
  <c r="F805"/>
  <c r="L805"/>
  <c r="S805"/>
  <c r="Z805"/>
  <c r="AG805"/>
  <c r="AN805"/>
  <c r="AO805"/>
  <c r="AP805"/>
  <c r="AQ805"/>
  <c r="G807"/>
  <c r="H807"/>
  <c r="I807"/>
  <c r="J807"/>
  <c r="K807"/>
  <c r="N807"/>
  <c r="O807"/>
  <c r="P807"/>
  <c r="Q807"/>
  <c r="R807"/>
  <c r="U807"/>
  <c r="V807"/>
  <c r="W807"/>
  <c r="X807"/>
  <c r="Y807"/>
  <c r="AB807"/>
  <c r="AC807"/>
  <c r="AD807"/>
  <c r="AE807"/>
  <c r="AF807"/>
  <c r="AJ807"/>
  <c r="AK807"/>
  <c r="AL807"/>
  <c r="G808"/>
  <c r="H808"/>
  <c r="I808"/>
  <c r="J808"/>
  <c r="K808"/>
  <c r="N808"/>
  <c r="O808"/>
  <c r="P808"/>
  <c r="Q808"/>
  <c r="R808"/>
  <c r="U808"/>
  <c r="V808"/>
  <c r="W808"/>
  <c r="X808"/>
  <c r="Y808"/>
  <c r="AB808"/>
  <c r="AC808"/>
  <c r="AD808"/>
  <c r="AE808"/>
  <c r="AF808"/>
  <c r="G809"/>
  <c r="H809"/>
  <c r="I809"/>
  <c r="J809"/>
  <c r="K809"/>
  <c r="N809"/>
  <c r="O809"/>
  <c r="P809"/>
  <c r="Q809"/>
  <c r="R809"/>
  <c r="U809"/>
  <c r="V809"/>
  <c r="W809"/>
  <c r="X809"/>
  <c r="Y809"/>
  <c r="AB809"/>
  <c r="AC809"/>
  <c r="AD809"/>
  <c r="AE809"/>
  <c r="AF809"/>
  <c r="G810"/>
  <c r="H810"/>
  <c r="I810"/>
  <c r="J810"/>
  <c r="K810"/>
  <c r="N810"/>
  <c r="O810"/>
  <c r="P810"/>
  <c r="Q810"/>
  <c r="R810"/>
  <c r="U810"/>
  <c r="V810"/>
  <c r="W810"/>
  <c r="X810"/>
  <c r="Y810"/>
  <c r="AB810"/>
  <c r="AC810"/>
  <c r="AD810"/>
  <c r="AE810"/>
  <c r="AF810"/>
  <c r="G811"/>
  <c r="H811"/>
  <c r="I811"/>
  <c r="J811"/>
  <c r="K811"/>
  <c r="N811"/>
  <c r="O811"/>
  <c r="P811"/>
  <c r="Q811"/>
  <c r="R811"/>
  <c r="U811"/>
  <c r="V811"/>
  <c r="W811"/>
  <c r="X811"/>
  <c r="Y811"/>
  <c r="AB811"/>
  <c r="AC811"/>
  <c r="AD811"/>
  <c r="AE811"/>
  <c r="AF811"/>
  <c r="F812"/>
  <c r="G812"/>
  <c r="H812"/>
  <c r="I812"/>
  <c r="J812"/>
  <c r="K812"/>
  <c r="N812"/>
  <c r="O812"/>
  <c r="P812"/>
  <c r="Q812"/>
  <c r="R812"/>
  <c r="U812"/>
  <c r="V812"/>
  <c r="W812"/>
  <c r="X812"/>
  <c r="Y812"/>
  <c r="AB812"/>
  <c r="AC812"/>
  <c r="AD812"/>
  <c r="AE812"/>
  <c r="AF812"/>
  <c r="AN812"/>
  <c r="AO812"/>
  <c r="AP812"/>
  <c r="AQ812"/>
  <c r="F813"/>
  <c r="L813"/>
  <c r="S813"/>
  <c r="Z813"/>
  <c r="AG813"/>
  <c r="AN813"/>
  <c r="AO813"/>
  <c r="AP813"/>
  <c r="AQ813"/>
  <c r="F814"/>
  <c r="L814"/>
  <c r="S814"/>
  <c r="Z814"/>
  <c r="AG814"/>
  <c r="AN814"/>
  <c r="AO814"/>
  <c r="AP814"/>
  <c r="AQ814"/>
  <c r="F815"/>
  <c r="L815"/>
  <c r="S815"/>
  <c r="Z815"/>
  <c r="AG815"/>
  <c r="AN815"/>
  <c r="AO815"/>
  <c r="AP815"/>
  <c r="AQ815"/>
  <c r="F816"/>
  <c r="L816"/>
  <c r="S816"/>
  <c r="Z816"/>
  <c r="AG816"/>
  <c r="AN816"/>
  <c r="AO816"/>
  <c r="AP816"/>
  <c r="AQ816"/>
  <c r="F817"/>
  <c r="L817"/>
  <c r="S817"/>
  <c r="Z817"/>
  <c r="AG817"/>
  <c r="AN817"/>
  <c r="AO817"/>
  <c r="AP817"/>
  <c r="AQ817"/>
  <c r="F818"/>
  <c r="L818"/>
  <c r="S818"/>
  <c r="Z818"/>
  <c r="AG818"/>
  <c r="AN818"/>
  <c r="AO818"/>
  <c r="AP818"/>
  <c r="AQ818"/>
  <c r="G820"/>
  <c r="H820"/>
  <c r="I820"/>
  <c r="J820"/>
  <c r="K820"/>
  <c r="N820"/>
  <c r="O820"/>
  <c r="P820"/>
  <c r="Q820"/>
  <c r="R820"/>
  <c r="U820"/>
  <c r="V820"/>
  <c r="W820"/>
  <c r="X820"/>
  <c r="Y820"/>
  <c r="AB820"/>
  <c r="AC820"/>
  <c r="AD820"/>
  <c r="AE820"/>
  <c r="AF820"/>
  <c r="AJ820"/>
  <c r="AK820"/>
  <c r="AL820"/>
  <c r="G821"/>
  <c r="H821"/>
  <c r="I821"/>
  <c r="J821"/>
  <c r="K821"/>
  <c r="N821"/>
  <c r="O821"/>
  <c r="P821"/>
  <c r="Q821"/>
  <c r="R821"/>
  <c r="U821"/>
  <c r="V821"/>
  <c r="W821"/>
  <c r="X821"/>
  <c r="Y821"/>
  <c r="AB821"/>
  <c r="AC821"/>
  <c r="AD821"/>
  <c r="AE821"/>
  <c r="AF821"/>
  <c r="G822"/>
  <c r="H822"/>
  <c r="I822"/>
  <c r="J822"/>
  <c r="K822"/>
  <c r="N822"/>
  <c r="O822"/>
  <c r="P822"/>
  <c r="Q822"/>
  <c r="R822"/>
  <c r="U822"/>
  <c r="V822"/>
  <c r="W822"/>
  <c r="X822"/>
  <c r="Y822"/>
  <c r="AB822"/>
  <c r="AC822"/>
  <c r="AD822"/>
  <c r="AE822"/>
  <c r="AF822"/>
  <c r="G823"/>
  <c r="H823"/>
  <c r="I823"/>
  <c r="J823"/>
  <c r="K823"/>
  <c r="N823"/>
  <c r="O823"/>
  <c r="P823"/>
  <c r="Q823"/>
  <c r="R823"/>
  <c r="U823"/>
  <c r="V823"/>
  <c r="W823"/>
  <c r="X823"/>
  <c r="Y823"/>
  <c r="AB823"/>
  <c r="AC823"/>
  <c r="AD823"/>
  <c r="AE823"/>
  <c r="AF823"/>
  <c r="G824"/>
  <c r="H824"/>
  <c r="I824"/>
  <c r="J824"/>
  <c r="K824"/>
  <c r="N824"/>
  <c r="O824"/>
  <c r="P824"/>
  <c r="Q824"/>
  <c r="R824"/>
  <c r="U824"/>
  <c r="V824"/>
  <c r="W824"/>
  <c r="X824"/>
  <c r="Y824"/>
  <c r="AB824"/>
  <c r="AC824"/>
  <c r="AD824"/>
  <c r="AE824"/>
  <c r="AF824"/>
  <c r="F825"/>
  <c r="G825"/>
  <c r="H825"/>
  <c r="I825"/>
  <c r="J825"/>
  <c r="K825"/>
  <c r="N825"/>
  <c r="O825"/>
  <c r="P825"/>
  <c r="Q825"/>
  <c r="R825"/>
  <c r="U825"/>
  <c r="V825"/>
  <c r="W825"/>
  <c r="X825"/>
  <c r="Y825"/>
  <c r="AB825"/>
  <c r="AC825"/>
  <c r="AD825"/>
  <c r="AE825"/>
  <c r="AF825"/>
  <c r="AN825"/>
  <c r="AO825"/>
  <c r="AP825"/>
  <c r="AQ825"/>
  <c r="F826"/>
  <c r="L826"/>
  <c r="S826"/>
  <c r="Z826"/>
  <c r="AG826"/>
  <c r="AN826"/>
  <c r="AO826"/>
  <c r="AP826"/>
  <c r="AQ826"/>
  <c r="F827"/>
  <c r="L827"/>
  <c r="S827"/>
  <c r="Z827"/>
  <c r="AG827"/>
  <c r="AN827"/>
  <c r="AO827"/>
  <c r="AP827"/>
  <c r="AQ827"/>
  <c r="F828"/>
  <c r="L828"/>
  <c r="S828"/>
  <c r="Z828"/>
  <c r="AG828"/>
  <c r="AN828"/>
  <c r="AO828"/>
  <c r="AP828"/>
  <c r="AQ828"/>
  <c r="F829"/>
  <c r="L829"/>
  <c r="S829"/>
  <c r="Z829"/>
  <c r="AG829"/>
  <c r="AN829"/>
  <c r="AO829"/>
  <c r="AP829"/>
  <c r="AQ829"/>
  <c r="F830"/>
  <c r="L830"/>
  <c r="S830"/>
  <c r="Z830"/>
  <c r="AG830"/>
  <c r="AN830"/>
  <c r="AO830"/>
  <c r="AP830"/>
  <c r="AQ830"/>
  <c r="F831"/>
  <c r="L831"/>
  <c r="S831"/>
  <c r="Z831"/>
  <c r="AG831"/>
  <c r="AN831"/>
  <c r="AO831"/>
  <c r="AP831"/>
  <c r="AQ831"/>
  <c r="G833"/>
  <c r="H833"/>
  <c r="I833"/>
  <c r="J833"/>
  <c r="K833"/>
  <c r="N833"/>
  <c r="O833"/>
  <c r="P833"/>
  <c r="Q833"/>
  <c r="R833"/>
  <c r="U833"/>
  <c r="V833"/>
  <c r="W833"/>
  <c r="X833"/>
  <c r="Y833"/>
  <c r="AB833"/>
  <c r="AC833"/>
  <c r="AD833"/>
  <c r="AE833"/>
  <c r="AF833"/>
  <c r="AJ833"/>
  <c r="AK833"/>
  <c r="AL833"/>
  <c r="G834"/>
  <c r="H834"/>
  <c r="I834"/>
  <c r="J834"/>
  <c r="K834"/>
  <c r="N834"/>
  <c r="O834"/>
  <c r="P834"/>
  <c r="Q834"/>
  <c r="R834"/>
  <c r="U834"/>
  <c r="V834"/>
  <c r="W834"/>
  <c r="X834"/>
  <c r="Y834"/>
  <c r="AB834"/>
  <c r="AC834"/>
  <c r="AD834"/>
  <c r="AE834"/>
  <c r="AF834"/>
  <c r="G835"/>
  <c r="H835"/>
  <c r="I835"/>
  <c r="J835"/>
  <c r="K835"/>
  <c r="N835"/>
  <c r="O835"/>
  <c r="P835"/>
  <c r="Q835"/>
  <c r="R835"/>
  <c r="U835"/>
  <c r="V835"/>
  <c r="W835"/>
  <c r="X835"/>
  <c r="Y835"/>
  <c r="AB835"/>
  <c r="AC835"/>
  <c r="AD835"/>
  <c r="AE835"/>
  <c r="AF835"/>
  <c r="G836"/>
  <c r="H836"/>
  <c r="I836"/>
  <c r="J836"/>
  <c r="K836"/>
  <c r="N836"/>
  <c r="O836"/>
  <c r="P836"/>
  <c r="Q836"/>
  <c r="R836"/>
  <c r="U836"/>
  <c r="V836"/>
  <c r="W836"/>
  <c r="X836"/>
  <c r="Y836"/>
  <c r="AB836"/>
  <c r="AC836"/>
  <c r="AD836"/>
  <c r="AE836"/>
  <c r="AF836"/>
  <c r="G837"/>
  <c r="H837"/>
  <c r="I837"/>
  <c r="J837"/>
  <c r="K837"/>
  <c r="N837"/>
  <c r="O837"/>
  <c r="P837"/>
  <c r="Q837"/>
  <c r="R837"/>
  <c r="U837"/>
  <c r="V837"/>
  <c r="W837"/>
  <c r="X837"/>
  <c r="Y837"/>
  <c r="AB837"/>
  <c r="AC837"/>
  <c r="AD837"/>
  <c r="AE837"/>
  <c r="AF837"/>
  <c r="F838"/>
  <c r="G838"/>
  <c r="H838"/>
  <c r="I838"/>
  <c r="J838"/>
  <c r="K838"/>
  <c r="N838"/>
  <c r="O838"/>
  <c r="P838"/>
  <c r="Q838"/>
  <c r="R838"/>
  <c r="U838"/>
  <c r="V838"/>
  <c r="W838"/>
  <c r="X838"/>
  <c r="Y838"/>
  <c r="AB838"/>
  <c r="AC838"/>
  <c r="AD838"/>
  <c r="AE838"/>
  <c r="AF838"/>
  <c r="AN838"/>
  <c r="AO838"/>
  <c r="AP838"/>
  <c r="AQ838"/>
  <c r="F839"/>
  <c r="L839"/>
  <c r="S839"/>
  <c r="Z839"/>
  <c r="AG839"/>
  <c r="AN839"/>
  <c r="AO839"/>
  <c r="AP839"/>
  <c r="AQ839"/>
  <c r="F840"/>
  <c r="L840"/>
  <c r="S840"/>
  <c r="Z840"/>
  <c r="AG840"/>
  <c r="AN840"/>
  <c r="AO840"/>
  <c r="AP840"/>
  <c r="AQ840"/>
  <c r="F841"/>
  <c r="L841"/>
  <c r="S841"/>
  <c r="Z841"/>
  <c r="AG841"/>
  <c r="AN841"/>
  <c r="AO841"/>
  <c r="AP841"/>
  <c r="AQ841"/>
  <c r="F842"/>
  <c r="L842"/>
  <c r="S842"/>
  <c r="Z842"/>
  <c r="AG842"/>
  <c r="AN842"/>
  <c r="AO842"/>
  <c r="AP842"/>
  <c r="AQ842"/>
  <c r="F843"/>
  <c r="L843"/>
  <c r="S843"/>
  <c r="Z843"/>
  <c r="AG843"/>
  <c r="AN843"/>
  <c r="AO843"/>
  <c r="AP843"/>
  <c r="AQ843"/>
  <c r="F844"/>
  <c r="L844"/>
  <c r="S844"/>
  <c r="Z844"/>
  <c r="AG844"/>
  <c r="AN844"/>
  <c r="AO844"/>
  <c r="AP844"/>
  <c r="AQ844"/>
  <c r="G846"/>
  <c r="H846"/>
  <c r="I846"/>
  <c r="J846"/>
  <c r="K846"/>
  <c r="N846"/>
  <c r="O846"/>
  <c r="P846"/>
  <c r="Q846"/>
  <c r="R846"/>
  <c r="U846"/>
  <c r="V846"/>
  <c r="W846"/>
  <c r="X846"/>
  <c r="Y846"/>
  <c r="AB846"/>
  <c r="AC846"/>
  <c r="AD846"/>
  <c r="AE846"/>
  <c r="AF846"/>
  <c r="AJ846"/>
  <c r="AK846"/>
  <c r="AL846"/>
  <c r="G847"/>
  <c r="H847"/>
  <c r="I847"/>
  <c r="J847"/>
  <c r="K847"/>
  <c r="N847"/>
  <c r="O847"/>
  <c r="P847"/>
  <c r="Q847"/>
  <c r="R847"/>
  <c r="U847"/>
  <c r="V847"/>
  <c r="W847"/>
  <c r="X847"/>
  <c r="Y847"/>
  <c r="AB847"/>
  <c r="AC847"/>
  <c r="AD847"/>
  <c r="AE847"/>
  <c r="AF847"/>
  <c r="G848"/>
  <c r="H848"/>
  <c r="I848"/>
  <c r="J848"/>
  <c r="K848"/>
  <c r="N848"/>
  <c r="O848"/>
  <c r="P848"/>
  <c r="Q848"/>
  <c r="R848"/>
  <c r="U848"/>
  <c r="V848"/>
  <c r="W848"/>
  <c r="X848"/>
  <c r="Y848"/>
  <c r="AB848"/>
  <c r="AC848"/>
  <c r="AD848"/>
  <c r="AE848"/>
  <c r="AF848"/>
  <c r="G849"/>
  <c r="H849"/>
  <c r="I849"/>
  <c r="J849"/>
  <c r="K849"/>
  <c r="N849"/>
  <c r="O849"/>
  <c r="P849"/>
  <c r="Q849"/>
  <c r="R849"/>
  <c r="U849"/>
  <c r="V849"/>
  <c r="W849"/>
  <c r="X849"/>
  <c r="Y849"/>
  <c r="AB849"/>
  <c r="AC849"/>
  <c r="AD849"/>
  <c r="AE849"/>
  <c r="AF849"/>
  <c r="G850"/>
  <c r="H850"/>
  <c r="I850"/>
  <c r="J850"/>
  <c r="K850"/>
  <c r="N850"/>
  <c r="O850"/>
  <c r="P850"/>
  <c r="Q850"/>
  <c r="R850"/>
  <c r="U850"/>
  <c r="V850"/>
  <c r="W850"/>
  <c r="X850"/>
  <c r="Y850"/>
  <c r="AB850"/>
  <c r="AC850"/>
  <c r="AD850"/>
  <c r="AE850"/>
  <c r="AF850"/>
  <c r="F851"/>
  <c r="G851"/>
  <c r="H851"/>
  <c r="I851"/>
  <c r="J851"/>
  <c r="K851"/>
  <c r="N851"/>
  <c r="O851"/>
  <c r="P851"/>
  <c r="Q851"/>
  <c r="R851"/>
  <c r="U851"/>
  <c r="V851"/>
  <c r="W851"/>
  <c r="X851"/>
  <c r="Y851"/>
  <c r="AB851"/>
  <c r="AC851"/>
  <c r="AD851"/>
  <c r="AE851"/>
  <c r="AF851"/>
  <c r="AN851"/>
  <c r="AO851"/>
  <c r="AP851"/>
  <c r="AQ851"/>
  <c r="F852"/>
  <c r="L852"/>
  <c r="S852"/>
  <c r="Z852"/>
  <c r="AG852"/>
  <c r="AN852"/>
  <c r="AO852"/>
  <c r="AP852"/>
  <c r="AQ852"/>
  <c r="F853"/>
  <c r="L853"/>
  <c r="S853"/>
  <c r="Z853"/>
  <c r="AG853"/>
  <c r="AN853"/>
  <c r="AO853"/>
  <c r="AP853"/>
  <c r="AQ853"/>
  <c r="F854"/>
  <c r="L854"/>
  <c r="S854"/>
  <c r="Z854"/>
  <c r="AG854"/>
  <c r="AN854"/>
  <c r="AO854"/>
  <c r="AP854"/>
  <c r="AQ854"/>
  <c r="F855"/>
  <c r="L855"/>
  <c r="S855"/>
  <c r="Z855"/>
  <c r="AG855"/>
  <c r="AN855"/>
  <c r="AO855"/>
  <c r="AP855"/>
  <c r="AQ855"/>
  <c r="F856"/>
  <c r="L856"/>
  <c r="S856"/>
  <c r="Z856"/>
  <c r="AG856"/>
  <c r="AN856"/>
  <c r="AO856"/>
  <c r="AP856"/>
  <c r="AQ856"/>
  <c r="F857"/>
  <c r="L857"/>
  <c r="S857"/>
  <c r="Z857"/>
  <c r="AG857"/>
  <c r="AN857"/>
  <c r="AO857"/>
  <c r="AP857"/>
  <c r="AQ857"/>
  <c r="G859"/>
  <c r="H859"/>
  <c r="I859"/>
  <c r="J859"/>
  <c r="K859"/>
  <c r="N859"/>
  <c r="O859"/>
  <c r="P859"/>
  <c r="Q859"/>
  <c r="R859"/>
  <c r="U859"/>
  <c r="V859"/>
  <c r="W859"/>
  <c r="X859"/>
  <c r="Y859"/>
  <c r="AB859"/>
  <c r="AC859"/>
  <c r="AD859"/>
  <c r="AE859"/>
  <c r="AF859"/>
  <c r="AJ859"/>
  <c r="AK859"/>
  <c r="AL859"/>
  <c r="G860"/>
  <c r="H860"/>
  <c r="I860"/>
  <c r="J860"/>
  <c r="K860"/>
  <c r="N860"/>
  <c r="O860"/>
  <c r="P860"/>
  <c r="Q860"/>
  <c r="R860"/>
  <c r="U860"/>
  <c r="V860"/>
  <c r="W860"/>
  <c r="X860"/>
  <c r="Y860"/>
  <c r="AB860"/>
  <c r="AC860"/>
  <c r="AD860"/>
  <c r="AE860"/>
  <c r="AF860"/>
  <c r="G861"/>
  <c r="H861"/>
  <c r="I861"/>
  <c r="J861"/>
  <c r="K861"/>
  <c r="N861"/>
  <c r="O861"/>
  <c r="P861"/>
  <c r="Q861"/>
  <c r="R861"/>
  <c r="U861"/>
  <c r="V861"/>
  <c r="W861"/>
  <c r="X861"/>
  <c r="Y861"/>
  <c r="AB861"/>
  <c r="AC861"/>
  <c r="AD861"/>
  <c r="AE861"/>
  <c r="AF861"/>
  <c r="G862"/>
  <c r="H862"/>
  <c r="I862"/>
  <c r="J862"/>
  <c r="K862"/>
  <c r="N862"/>
  <c r="O862"/>
  <c r="P862"/>
  <c r="Q862"/>
  <c r="R862"/>
  <c r="U862"/>
  <c r="V862"/>
  <c r="W862"/>
  <c r="X862"/>
  <c r="Y862"/>
  <c r="AB862"/>
  <c r="AC862"/>
  <c r="AD862"/>
  <c r="AE862"/>
  <c r="AF862"/>
  <c r="G863"/>
  <c r="H863"/>
  <c r="I863"/>
  <c r="J863"/>
  <c r="K863"/>
  <c r="N863"/>
  <c r="O863"/>
  <c r="P863"/>
  <c r="Q863"/>
  <c r="R863"/>
  <c r="U863"/>
  <c r="V863"/>
  <c r="W863"/>
  <c r="X863"/>
  <c r="Y863"/>
  <c r="AB863"/>
  <c r="AC863"/>
  <c r="AD863"/>
  <c r="AE863"/>
  <c r="AF863"/>
  <c r="F864"/>
  <c r="G864"/>
  <c r="H864"/>
  <c r="I864"/>
  <c r="J864"/>
  <c r="K864"/>
  <c r="N864"/>
  <c r="O864"/>
  <c r="P864"/>
  <c r="Q864"/>
  <c r="R864"/>
  <c r="U864"/>
  <c r="V864"/>
  <c r="W864"/>
  <c r="X864"/>
  <c r="Y864"/>
  <c r="AB864"/>
  <c r="AC864"/>
  <c r="AD864"/>
  <c r="AE864"/>
  <c r="AF864"/>
  <c r="AN864"/>
  <c r="AO864"/>
  <c r="AP864"/>
  <c r="AQ864"/>
  <c r="F865"/>
  <c r="L865"/>
  <c r="S865"/>
  <c r="Z865"/>
  <c r="AG865"/>
  <c r="AN865"/>
  <c r="AO865"/>
  <c r="AP865"/>
  <c r="AQ865"/>
  <c r="F866"/>
  <c r="L866"/>
  <c r="S866"/>
  <c r="Z866"/>
  <c r="AG866"/>
  <c r="AN866"/>
  <c r="AO866"/>
  <c r="AP866"/>
  <c r="AQ866"/>
  <c r="F867"/>
  <c r="L867"/>
  <c r="S867"/>
  <c r="Z867"/>
  <c r="AG867"/>
  <c r="AN867"/>
  <c r="AO867"/>
  <c r="AP867"/>
  <c r="AQ867"/>
  <c r="F868"/>
  <c r="L868"/>
  <c r="S868"/>
  <c r="Z868"/>
  <c r="AG868"/>
  <c r="AN868"/>
  <c r="AO868"/>
  <c r="AP868"/>
  <c r="AQ868"/>
  <c r="F869"/>
  <c r="L869"/>
  <c r="S869"/>
  <c r="Z869"/>
  <c r="AG869"/>
  <c r="AN869"/>
  <c r="AO869"/>
  <c r="AP869"/>
  <c r="AQ869"/>
  <c r="F870"/>
  <c r="L870"/>
  <c r="S870"/>
  <c r="Z870"/>
  <c r="AG870"/>
  <c r="AN870"/>
  <c r="AO870"/>
  <c r="AP870"/>
  <c r="AQ870"/>
  <c r="G872"/>
  <c r="H872"/>
  <c r="I872"/>
  <c r="J872"/>
  <c r="K872"/>
  <c r="N872"/>
  <c r="O872"/>
  <c r="P872"/>
  <c r="Q872"/>
  <c r="R872"/>
  <c r="U872"/>
  <c r="V872"/>
  <c r="W872"/>
  <c r="X872"/>
  <c r="Y872"/>
  <c r="AB872"/>
  <c r="AC872"/>
  <c r="AD872"/>
  <c r="AE872"/>
  <c r="AF872"/>
  <c r="AJ872"/>
  <c r="AK872"/>
  <c r="AL872"/>
  <c r="G873"/>
  <c r="H873"/>
  <c r="I873"/>
  <c r="J873"/>
  <c r="K873"/>
  <c r="N873"/>
  <c r="O873"/>
  <c r="P873"/>
  <c r="Q873"/>
  <c r="R873"/>
  <c r="U873"/>
  <c r="V873"/>
  <c r="W873"/>
  <c r="X873"/>
  <c r="Y873"/>
  <c r="AB873"/>
  <c r="AC873"/>
  <c r="AD873"/>
  <c r="AE873"/>
  <c r="AF873"/>
  <c r="G874"/>
  <c r="H874"/>
  <c r="I874"/>
  <c r="J874"/>
  <c r="K874"/>
  <c r="N874"/>
  <c r="O874"/>
  <c r="P874"/>
  <c r="Q874"/>
  <c r="R874"/>
  <c r="U874"/>
  <c r="V874"/>
  <c r="W874"/>
  <c r="X874"/>
  <c r="Y874"/>
  <c r="AB874"/>
  <c r="AC874"/>
  <c r="AD874"/>
  <c r="AE874"/>
  <c r="AF874"/>
  <c r="G875"/>
  <c r="H875"/>
  <c r="I875"/>
  <c r="J875"/>
  <c r="K875"/>
  <c r="N875"/>
  <c r="O875"/>
  <c r="P875"/>
  <c r="Q875"/>
  <c r="R875"/>
  <c r="U875"/>
  <c r="V875"/>
  <c r="W875"/>
  <c r="X875"/>
  <c r="Y875"/>
  <c r="AB875"/>
  <c r="AC875"/>
  <c r="AD875"/>
  <c r="AE875"/>
  <c r="AF875"/>
  <c r="G876"/>
  <c r="H876"/>
  <c r="I876"/>
  <c r="J876"/>
  <c r="K876"/>
  <c r="N876"/>
  <c r="O876"/>
  <c r="P876"/>
  <c r="Q876"/>
  <c r="R876"/>
  <c r="U876"/>
  <c r="V876"/>
  <c r="W876"/>
  <c r="X876"/>
  <c r="Y876"/>
  <c r="AB876"/>
  <c r="AC876"/>
  <c r="AD876"/>
  <c r="AE876"/>
  <c r="AF876"/>
  <c r="F877"/>
  <c r="G877"/>
  <c r="H877"/>
  <c r="I877"/>
  <c r="J877"/>
  <c r="K877"/>
  <c r="N877"/>
  <c r="O877"/>
  <c r="P877"/>
  <c r="Q877"/>
  <c r="R877"/>
  <c r="U877"/>
  <c r="V877"/>
  <c r="W877"/>
  <c r="X877"/>
  <c r="Y877"/>
  <c r="AB877"/>
  <c r="AC877"/>
  <c r="AD877"/>
  <c r="AE877"/>
  <c r="AF877"/>
  <c r="AN877"/>
  <c r="AO877"/>
  <c r="AP877"/>
  <c r="AQ877"/>
  <c r="F878"/>
  <c r="L878"/>
  <c r="S878"/>
  <c r="Z878"/>
  <c r="AG878"/>
  <c r="AN878"/>
  <c r="AO878"/>
  <c r="AP878"/>
  <c r="AQ878"/>
  <c r="F879"/>
  <c r="L879"/>
  <c r="S879"/>
  <c r="Z879"/>
  <c r="AG879"/>
  <c r="AN879"/>
  <c r="AO879"/>
  <c r="AP879"/>
  <c r="AQ879"/>
  <c r="F880"/>
  <c r="L880"/>
  <c r="S880"/>
  <c r="Z880"/>
  <c r="AG880"/>
  <c r="AN880"/>
  <c r="AO880"/>
  <c r="AP880"/>
  <c r="AQ880"/>
  <c r="F881"/>
  <c r="L881"/>
  <c r="S881"/>
  <c r="Z881"/>
  <c r="AG881"/>
  <c r="AN881"/>
  <c r="AO881"/>
  <c r="AP881"/>
  <c r="AQ881"/>
  <c r="F882"/>
  <c r="L882"/>
  <c r="S882"/>
  <c r="Z882"/>
  <c r="AG882"/>
  <c r="AN882"/>
  <c r="AO882"/>
  <c r="AP882"/>
  <c r="AQ882"/>
  <c r="F883"/>
  <c r="L883"/>
  <c r="S883"/>
  <c r="Z883"/>
  <c r="AG883"/>
  <c r="AN883"/>
  <c r="AO883"/>
  <c r="AP883"/>
  <c r="AQ883"/>
  <c r="G885"/>
  <c r="H885"/>
  <c r="I885"/>
  <c r="J885"/>
  <c r="K885"/>
  <c r="N885"/>
  <c r="O885"/>
  <c r="P885"/>
  <c r="Q885"/>
  <c r="R885"/>
  <c r="U885"/>
  <c r="V885"/>
  <c r="W885"/>
  <c r="X885"/>
  <c r="Y885"/>
  <c r="AB885"/>
  <c r="AC885"/>
  <c r="AD885"/>
  <c r="AE885"/>
  <c r="AF885"/>
  <c r="AJ885"/>
  <c r="AK885"/>
  <c r="AL885"/>
  <c r="G886"/>
  <c r="H886"/>
  <c r="I886"/>
  <c r="J886"/>
  <c r="K886"/>
  <c r="N886"/>
  <c r="O886"/>
  <c r="P886"/>
  <c r="Q886"/>
  <c r="R886"/>
  <c r="U886"/>
  <c r="V886"/>
  <c r="W886"/>
  <c r="X886"/>
  <c r="Y886"/>
  <c r="AB886"/>
  <c r="AC886"/>
  <c r="AD886"/>
  <c r="AE886"/>
  <c r="AF886"/>
  <c r="G887"/>
  <c r="H887"/>
  <c r="I887"/>
  <c r="J887"/>
  <c r="K887"/>
  <c r="N887"/>
  <c r="O887"/>
  <c r="P887"/>
  <c r="Q887"/>
  <c r="R887"/>
  <c r="U887"/>
  <c r="V887"/>
  <c r="W887"/>
  <c r="X887"/>
  <c r="Y887"/>
  <c r="AB887"/>
  <c r="AC887"/>
  <c r="AD887"/>
  <c r="AE887"/>
  <c r="AF887"/>
  <c r="G888"/>
  <c r="H888"/>
  <c r="I888"/>
  <c r="J888"/>
  <c r="K888"/>
  <c r="N888"/>
  <c r="O888"/>
  <c r="P888"/>
  <c r="Q888"/>
  <c r="R888"/>
  <c r="U888"/>
  <c r="V888"/>
  <c r="W888"/>
  <c r="X888"/>
  <c r="Y888"/>
  <c r="AB888"/>
  <c r="AC888"/>
  <c r="AD888"/>
  <c r="AE888"/>
  <c r="AF888"/>
  <c r="G889"/>
  <c r="H889"/>
  <c r="I889"/>
  <c r="J889"/>
  <c r="K889"/>
  <c r="N889"/>
  <c r="O889"/>
  <c r="P889"/>
  <c r="Q889"/>
  <c r="R889"/>
  <c r="U889"/>
  <c r="V889"/>
  <c r="W889"/>
  <c r="X889"/>
  <c r="Y889"/>
  <c r="AB889"/>
  <c r="AC889"/>
  <c r="AD889"/>
  <c r="AE889"/>
  <c r="AF889"/>
  <c r="F890"/>
  <c r="G890"/>
  <c r="H890"/>
  <c r="I890"/>
  <c r="J890"/>
  <c r="K890"/>
  <c r="N890"/>
  <c r="O890"/>
  <c r="P890"/>
  <c r="Q890"/>
  <c r="R890"/>
  <c r="U890"/>
  <c r="V890"/>
  <c r="W890"/>
  <c r="X890"/>
  <c r="Y890"/>
  <c r="AB890"/>
  <c r="AC890"/>
  <c r="AD890"/>
  <c r="AE890"/>
  <c r="AF890"/>
  <c r="AN890"/>
  <c r="AO890"/>
  <c r="AP890"/>
  <c r="AQ890"/>
  <c r="F891"/>
  <c r="L891"/>
  <c r="S891"/>
  <c r="Z891"/>
  <c r="AG891"/>
  <c r="AN891"/>
  <c r="AO891"/>
  <c r="AP891"/>
  <c r="AQ891"/>
  <c r="F892"/>
  <c r="L892"/>
  <c r="S892"/>
  <c r="Z892"/>
  <c r="AG892"/>
  <c r="AN892"/>
  <c r="AO892"/>
  <c r="AP892"/>
  <c r="AQ892"/>
  <c r="F893"/>
  <c r="L893"/>
  <c r="S893"/>
  <c r="Z893"/>
  <c r="AG893"/>
  <c r="AN893"/>
  <c r="AO893"/>
  <c r="AP893"/>
  <c r="AQ893"/>
  <c r="F894"/>
  <c r="L894"/>
  <c r="S894"/>
  <c r="Z894"/>
  <c r="AG894"/>
  <c r="AN894"/>
  <c r="AO894"/>
  <c r="AP894"/>
  <c r="AQ894"/>
  <c r="F895"/>
  <c r="L895"/>
  <c r="S895"/>
  <c r="Z895"/>
  <c r="AG895"/>
  <c r="AN895"/>
  <c r="AO895"/>
  <c r="AP895"/>
  <c r="AQ895"/>
  <c r="F896"/>
  <c r="L896"/>
  <c r="S896"/>
  <c r="Z896"/>
  <c r="AG896"/>
  <c r="AN896"/>
  <c r="AO896"/>
  <c r="AP896"/>
  <c r="AQ896"/>
  <c r="G898"/>
  <c r="H898"/>
  <c r="I898"/>
  <c r="J898"/>
  <c r="K898"/>
  <c r="N898"/>
  <c r="O898"/>
  <c r="P898"/>
  <c r="Q898"/>
  <c r="R898"/>
  <c r="U898"/>
  <c r="V898"/>
  <c r="W898"/>
  <c r="X898"/>
  <c r="Y898"/>
  <c r="AB898"/>
  <c r="AC898"/>
  <c r="AD898"/>
  <c r="AE898"/>
  <c r="AF898"/>
  <c r="AJ898"/>
  <c r="AK898"/>
  <c r="AL898"/>
  <c r="G899"/>
  <c r="H899"/>
  <c r="I899"/>
  <c r="J899"/>
  <c r="K899"/>
  <c r="N899"/>
  <c r="O899"/>
  <c r="P899"/>
  <c r="Q899"/>
  <c r="R899"/>
  <c r="U899"/>
  <c r="V899"/>
  <c r="W899"/>
  <c r="X899"/>
  <c r="Y899"/>
  <c r="AB899"/>
  <c r="AC899"/>
  <c r="AD899"/>
  <c r="AE899"/>
  <c r="AF899"/>
  <c r="G900"/>
  <c r="H900"/>
  <c r="I900"/>
  <c r="J900"/>
  <c r="K900"/>
  <c r="N900"/>
  <c r="O900"/>
  <c r="P900"/>
  <c r="Q900"/>
  <c r="R900"/>
  <c r="U900"/>
  <c r="V900"/>
  <c r="W900"/>
  <c r="X900"/>
  <c r="Y900"/>
  <c r="AB900"/>
  <c r="AC900"/>
  <c r="AD900"/>
  <c r="AE900"/>
  <c r="AF900"/>
  <c r="G901"/>
  <c r="H901"/>
  <c r="I901"/>
  <c r="J901"/>
  <c r="K901"/>
  <c r="N901"/>
  <c r="O901"/>
  <c r="P901"/>
  <c r="Q901"/>
  <c r="R901"/>
  <c r="U901"/>
  <c r="V901"/>
  <c r="W901"/>
  <c r="X901"/>
  <c r="Y901"/>
  <c r="AB901"/>
  <c r="AC901"/>
  <c r="AD901"/>
  <c r="AE901"/>
  <c r="AF901"/>
  <c r="G902"/>
  <c r="H902"/>
  <c r="I902"/>
  <c r="J902"/>
  <c r="K902"/>
  <c r="N902"/>
  <c r="O902"/>
  <c r="P902"/>
  <c r="Q902"/>
  <c r="R902"/>
  <c r="U902"/>
  <c r="V902"/>
  <c r="W902"/>
  <c r="X902"/>
  <c r="Y902"/>
  <c r="AB902"/>
  <c r="AC902"/>
  <c r="AD902"/>
  <c r="AE902"/>
  <c r="AF902"/>
  <c r="F903"/>
  <c r="G903"/>
  <c r="H903"/>
  <c r="I903"/>
  <c r="J903"/>
  <c r="K903"/>
  <c r="N903"/>
  <c r="O903"/>
  <c r="P903"/>
  <c r="Q903"/>
  <c r="R903"/>
  <c r="U903"/>
  <c r="V903"/>
  <c r="W903"/>
  <c r="X903"/>
  <c r="Y903"/>
  <c r="AB903"/>
  <c r="AC903"/>
  <c r="AD903"/>
  <c r="AE903"/>
  <c r="AF903"/>
  <c r="AN903"/>
  <c r="AO903"/>
  <c r="AP903"/>
  <c r="AQ903"/>
  <c r="F904"/>
  <c r="L904"/>
  <c r="S904"/>
  <c r="Z904"/>
  <c r="AG904"/>
  <c r="AN904"/>
  <c r="AO904"/>
  <c r="AP904"/>
  <c r="AQ904"/>
  <c r="F905"/>
  <c r="L905"/>
  <c r="S905"/>
  <c r="Z905"/>
  <c r="AG905"/>
  <c r="AN905"/>
  <c r="AO905"/>
  <c r="AP905"/>
  <c r="AQ905"/>
  <c r="F906"/>
  <c r="L906"/>
  <c r="S906"/>
  <c r="Z906"/>
  <c r="AG906"/>
  <c r="AN906"/>
  <c r="AO906"/>
  <c r="AP906"/>
  <c r="AQ906"/>
  <c r="F907"/>
  <c r="L907"/>
  <c r="S907"/>
  <c r="Z907"/>
  <c r="AG907"/>
  <c r="AN907"/>
  <c r="AO907"/>
  <c r="AP907"/>
  <c r="AQ907"/>
  <c r="F908"/>
  <c r="L908"/>
  <c r="S908"/>
  <c r="Z908"/>
  <c r="AG908"/>
  <c r="AN908"/>
  <c r="AO908"/>
  <c r="AP908"/>
  <c r="AQ908"/>
  <c r="F909"/>
  <c r="L909"/>
  <c r="S909"/>
  <c r="Z909"/>
  <c r="AG909"/>
  <c r="AN909"/>
  <c r="AO909"/>
  <c r="AP909"/>
  <c r="AQ909"/>
  <c r="G911"/>
  <c r="H911"/>
  <c r="I911"/>
  <c r="J911"/>
  <c r="K911"/>
  <c r="N911"/>
  <c r="O911"/>
  <c r="P911"/>
  <c r="Q911"/>
  <c r="R911"/>
  <c r="U911"/>
  <c r="V911"/>
  <c r="W911"/>
  <c r="X911"/>
  <c r="Y911"/>
  <c r="AB911"/>
  <c r="AC911"/>
  <c r="AD911"/>
  <c r="AE911"/>
  <c r="AF911"/>
  <c r="AJ911"/>
  <c r="AK911"/>
  <c r="AL911"/>
  <c r="G912"/>
  <c r="H912"/>
  <c r="I912"/>
  <c r="J912"/>
  <c r="K912"/>
  <c r="N912"/>
  <c r="O912"/>
  <c r="P912"/>
  <c r="Q912"/>
  <c r="R912"/>
  <c r="U912"/>
  <c r="V912"/>
  <c r="W912"/>
  <c r="X912"/>
  <c r="Y912"/>
  <c r="AB912"/>
  <c r="AC912"/>
  <c r="AD912"/>
  <c r="AE912"/>
  <c r="AF912"/>
  <c r="G913"/>
  <c r="H913"/>
  <c r="I913"/>
  <c r="J913"/>
  <c r="K913"/>
  <c r="N913"/>
  <c r="O913"/>
  <c r="P913"/>
  <c r="Q913"/>
  <c r="R913"/>
  <c r="U913"/>
  <c r="V913"/>
  <c r="W913"/>
  <c r="X913"/>
  <c r="Y913"/>
  <c r="AB913"/>
  <c r="AC913"/>
  <c r="AD913"/>
  <c r="AE913"/>
  <c r="AF913"/>
  <c r="G914"/>
  <c r="H914"/>
  <c r="I914"/>
  <c r="J914"/>
  <c r="K914"/>
  <c r="N914"/>
  <c r="O914"/>
  <c r="P914"/>
  <c r="Q914"/>
  <c r="R914"/>
  <c r="U914"/>
  <c r="V914"/>
  <c r="W914"/>
  <c r="X914"/>
  <c r="Y914"/>
  <c r="AB914"/>
  <c r="AC914"/>
  <c r="AD914"/>
  <c r="AE914"/>
  <c r="AF914"/>
  <c r="G915"/>
  <c r="H915"/>
  <c r="I915"/>
  <c r="J915"/>
  <c r="K915"/>
  <c r="N915"/>
  <c r="O915"/>
  <c r="P915"/>
  <c r="Q915"/>
  <c r="R915"/>
  <c r="U915"/>
  <c r="V915"/>
  <c r="W915"/>
  <c r="X915"/>
  <c r="Y915"/>
  <c r="AB915"/>
  <c r="AC915"/>
  <c r="AD915"/>
  <c r="AE915"/>
  <c r="AF915"/>
  <c r="F916"/>
  <c r="G916"/>
  <c r="H916"/>
  <c r="I916"/>
  <c r="J916"/>
  <c r="K916"/>
  <c r="N916"/>
  <c r="O916"/>
  <c r="P916"/>
  <c r="Q916"/>
  <c r="R916"/>
  <c r="U916"/>
  <c r="V916"/>
  <c r="W916"/>
  <c r="X916"/>
  <c r="Y916"/>
  <c r="AB916"/>
  <c r="AC916"/>
  <c r="AD916"/>
  <c r="AE916"/>
  <c r="AF916"/>
  <c r="AN916"/>
  <c r="AO916"/>
  <c r="AP916"/>
  <c r="AQ916"/>
  <c r="F917"/>
  <c r="L917"/>
  <c r="S917"/>
  <c r="Z917"/>
  <c r="AG917"/>
  <c r="AN917"/>
  <c r="AO917"/>
  <c r="AP917"/>
  <c r="AQ917"/>
  <c r="F918"/>
  <c r="L918"/>
  <c r="S918"/>
  <c r="Z918"/>
  <c r="AG918"/>
  <c r="AN918"/>
  <c r="AO918"/>
  <c r="AP918"/>
  <c r="AQ918"/>
  <c r="F919"/>
  <c r="L919"/>
  <c r="S919"/>
  <c r="Z919"/>
  <c r="AG919"/>
  <c r="AN919"/>
  <c r="AO919"/>
  <c r="AP919"/>
  <c r="AQ919"/>
  <c r="F920"/>
  <c r="L920"/>
  <c r="S920"/>
  <c r="Z920"/>
  <c r="AG920"/>
  <c r="AN920"/>
  <c r="AO920"/>
  <c r="AP920"/>
  <c r="AQ920"/>
  <c r="F921"/>
  <c r="L921"/>
  <c r="S921"/>
  <c r="Z921"/>
  <c r="AG921"/>
  <c r="AN921"/>
  <c r="AO921"/>
  <c r="AP921"/>
  <c r="AQ921"/>
  <c r="F922"/>
  <c r="L922"/>
  <c r="S922"/>
  <c r="Z922"/>
  <c r="AG922"/>
  <c r="AN922"/>
  <c r="AO922"/>
  <c r="AP922"/>
  <c r="AQ922"/>
  <c r="G924"/>
  <c r="H924"/>
  <c r="I924"/>
  <c r="J924"/>
  <c r="K924"/>
  <c r="N924"/>
  <c r="O924"/>
  <c r="P924"/>
  <c r="Q924"/>
  <c r="R924"/>
  <c r="U924"/>
  <c r="V924"/>
  <c r="W924"/>
  <c r="X924"/>
  <c r="Y924"/>
  <c r="AB924"/>
  <c r="AC924"/>
  <c r="AD924"/>
  <c r="AE924"/>
  <c r="AF924"/>
  <c r="AJ924"/>
  <c r="AK924"/>
  <c r="AL924"/>
  <c r="G925"/>
  <c r="H925"/>
  <c r="I925"/>
  <c r="J925"/>
  <c r="K925"/>
  <c r="N925"/>
  <c r="O925"/>
  <c r="P925"/>
  <c r="Q925"/>
  <c r="R925"/>
  <c r="U925"/>
  <c r="V925"/>
  <c r="W925"/>
  <c r="X925"/>
  <c r="Y925"/>
  <c r="AB925"/>
  <c r="AC925"/>
  <c r="AD925"/>
  <c r="AE925"/>
  <c r="AF925"/>
  <c r="G926"/>
  <c r="H926"/>
  <c r="I926"/>
  <c r="J926"/>
  <c r="K926"/>
  <c r="N926"/>
  <c r="O926"/>
  <c r="P926"/>
  <c r="Q926"/>
  <c r="R926"/>
  <c r="U926"/>
  <c r="V926"/>
  <c r="W926"/>
  <c r="X926"/>
  <c r="Y926"/>
  <c r="AB926"/>
  <c r="AC926"/>
  <c r="AD926"/>
  <c r="AE926"/>
  <c r="AF926"/>
  <c r="G927"/>
  <c r="H927"/>
  <c r="I927"/>
  <c r="J927"/>
  <c r="K927"/>
  <c r="N927"/>
  <c r="O927"/>
  <c r="P927"/>
  <c r="Q927"/>
  <c r="R927"/>
  <c r="U927"/>
  <c r="V927"/>
  <c r="W927"/>
  <c r="X927"/>
  <c r="Y927"/>
  <c r="AB927"/>
  <c r="AC927"/>
  <c r="AD927"/>
  <c r="AE927"/>
  <c r="AF927"/>
  <c r="G928"/>
  <c r="H928"/>
  <c r="I928"/>
  <c r="J928"/>
  <c r="K928"/>
  <c r="N928"/>
  <c r="O928"/>
  <c r="P928"/>
  <c r="Q928"/>
  <c r="R928"/>
  <c r="U928"/>
  <c r="V928"/>
  <c r="W928"/>
  <c r="X928"/>
  <c r="Y928"/>
  <c r="AB928"/>
  <c r="AC928"/>
  <c r="AD928"/>
  <c r="AE928"/>
  <c r="AF928"/>
  <c r="F929"/>
  <c r="G929"/>
  <c r="H929"/>
  <c r="I929"/>
  <c r="J929"/>
  <c r="K929"/>
  <c r="N929"/>
  <c r="O929"/>
  <c r="P929"/>
  <c r="Q929"/>
  <c r="R929"/>
  <c r="U929"/>
  <c r="V929"/>
  <c r="W929"/>
  <c r="X929"/>
  <c r="Y929"/>
  <c r="AB929"/>
  <c r="AC929"/>
  <c r="AD929"/>
  <c r="AE929"/>
  <c r="AF929"/>
  <c r="AN929"/>
  <c r="AO929"/>
  <c r="AP929"/>
  <c r="AQ929"/>
  <c r="F930"/>
  <c r="L930"/>
  <c r="S930"/>
  <c r="Z930"/>
  <c r="AG930"/>
  <c r="AN930"/>
  <c r="AO930"/>
  <c r="AP930"/>
  <c r="AQ930"/>
  <c r="F931"/>
  <c r="L931"/>
  <c r="S931"/>
  <c r="Z931"/>
  <c r="AG931"/>
  <c r="AN931"/>
  <c r="AO931"/>
  <c r="AP931"/>
  <c r="AQ931"/>
  <c r="F932"/>
  <c r="L932"/>
  <c r="S932"/>
  <c r="Z932"/>
  <c r="AG932"/>
  <c r="AN932"/>
  <c r="AO932"/>
  <c r="AP932"/>
  <c r="AQ932"/>
  <c r="F933"/>
  <c r="L933"/>
  <c r="S933"/>
  <c r="Z933"/>
  <c r="AG933"/>
  <c r="AN933"/>
  <c r="AO933"/>
  <c r="AP933"/>
  <c r="AQ933"/>
  <c r="F934"/>
  <c r="L934"/>
  <c r="S934"/>
  <c r="Z934"/>
  <c r="AG934"/>
  <c r="AN934"/>
  <c r="AO934"/>
  <c r="AP934"/>
  <c r="AQ934"/>
  <c r="F935"/>
  <c r="L935"/>
  <c r="S935"/>
  <c r="Z935"/>
  <c r="AG935"/>
  <c r="AN935"/>
  <c r="AO935"/>
  <c r="AP935"/>
  <c r="AQ935"/>
  <c r="G937"/>
  <c r="H937"/>
  <c r="I937"/>
  <c r="J937"/>
  <c r="K937"/>
  <c r="N937"/>
  <c r="O937"/>
  <c r="P937"/>
  <c r="Q937"/>
  <c r="R937"/>
  <c r="U937"/>
  <c r="V937"/>
  <c r="W937"/>
  <c r="X937"/>
  <c r="Y937"/>
  <c r="AB937"/>
  <c r="AC937"/>
  <c r="AD937"/>
  <c r="AE937"/>
  <c r="AF937"/>
  <c r="AJ937"/>
  <c r="AK937"/>
  <c r="AL937"/>
  <c r="G938"/>
  <c r="H938"/>
  <c r="I938"/>
  <c r="J938"/>
  <c r="K938"/>
  <c r="N938"/>
  <c r="O938"/>
  <c r="P938"/>
  <c r="Q938"/>
  <c r="R938"/>
  <c r="U938"/>
  <c r="V938"/>
  <c r="W938"/>
  <c r="X938"/>
  <c r="Y938"/>
  <c r="AB938"/>
  <c r="AC938"/>
  <c r="AD938"/>
  <c r="AE938"/>
  <c r="AF938"/>
  <c r="G939"/>
  <c r="H939"/>
  <c r="I939"/>
  <c r="J939"/>
  <c r="K939"/>
  <c r="N939"/>
  <c r="O939"/>
  <c r="P939"/>
  <c r="Q939"/>
  <c r="R939"/>
  <c r="U939"/>
  <c r="V939"/>
  <c r="W939"/>
  <c r="X939"/>
  <c r="Y939"/>
  <c r="AB939"/>
  <c r="AC939"/>
  <c r="AD939"/>
  <c r="AE939"/>
  <c r="AF939"/>
  <c r="G940"/>
  <c r="H940"/>
  <c r="I940"/>
  <c r="J940"/>
  <c r="K940"/>
  <c r="N940"/>
  <c r="O940"/>
  <c r="P940"/>
  <c r="Q940"/>
  <c r="R940"/>
  <c r="U940"/>
  <c r="V940"/>
  <c r="W940"/>
  <c r="X940"/>
  <c r="Y940"/>
  <c r="AB940"/>
  <c r="AC940"/>
  <c r="AD940"/>
  <c r="AE940"/>
  <c r="AF940"/>
  <c r="G941"/>
  <c r="H941"/>
  <c r="I941"/>
  <c r="J941"/>
  <c r="K941"/>
  <c r="N941"/>
  <c r="O941"/>
  <c r="P941"/>
  <c r="Q941"/>
  <c r="R941"/>
  <c r="U941"/>
  <c r="V941"/>
  <c r="W941"/>
  <c r="X941"/>
  <c r="Y941"/>
  <c r="AB941"/>
  <c r="AC941"/>
  <c r="AD941"/>
  <c r="AE941"/>
  <c r="AF941"/>
  <c r="F942"/>
  <c r="G942"/>
  <c r="H942"/>
  <c r="I942"/>
  <c r="J942"/>
  <c r="K942"/>
  <c r="N942"/>
  <c r="O942"/>
  <c r="P942"/>
  <c r="Q942"/>
  <c r="R942"/>
  <c r="U942"/>
  <c r="V942"/>
  <c r="W942"/>
  <c r="X942"/>
  <c r="Y942"/>
  <c r="AB942"/>
  <c r="AC942"/>
  <c r="AD942"/>
  <c r="AE942"/>
  <c r="AF942"/>
  <c r="AN942"/>
  <c r="AO942"/>
  <c r="AP942"/>
  <c r="AQ942"/>
  <c r="F943"/>
  <c r="L943"/>
  <c r="S943"/>
  <c r="Z943"/>
  <c r="AG943"/>
  <c r="AN943"/>
  <c r="AO943"/>
  <c r="AP943"/>
  <c r="AQ943"/>
  <c r="F944"/>
  <c r="L944"/>
  <c r="S944"/>
  <c r="Z944"/>
  <c r="AG944"/>
  <c r="AN944"/>
  <c r="AO944"/>
  <c r="AP944"/>
  <c r="AQ944"/>
  <c r="F945"/>
  <c r="L945"/>
  <c r="S945"/>
  <c r="Z945"/>
  <c r="AG945"/>
  <c r="AN945"/>
  <c r="AO945"/>
  <c r="AP945"/>
  <c r="AQ945"/>
  <c r="F946"/>
  <c r="L946"/>
  <c r="S946"/>
  <c r="Z946"/>
  <c r="AG946"/>
  <c r="AN946"/>
  <c r="AO946"/>
  <c r="AP946"/>
  <c r="AQ946"/>
  <c r="F947"/>
  <c r="L947"/>
  <c r="S947"/>
  <c r="Z947"/>
  <c r="AG947"/>
  <c r="AN947"/>
  <c r="AO947"/>
  <c r="AP947"/>
  <c r="AQ947"/>
  <c r="F948"/>
  <c r="L948"/>
  <c r="S948"/>
  <c r="Z948"/>
  <c r="AG948"/>
  <c r="AN948"/>
  <c r="AO948"/>
  <c r="AP948"/>
  <c r="AQ948"/>
  <c r="G950"/>
  <c r="H950"/>
  <c r="I950"/>
  <c r="J950"/>
  <c r="K950"/>
  <c r="N950"/>
  <c r="O950"/>
  <c r="P950"/>
  <c r="Q950"/>
  <c r="R950"/>
  <c r="U950"/>
  <c r="V950"/>
  <c r="W950"/>
  <c r="X950"/>
  <c r="Y950"/>
  <c r="AB950"/>
  <c r="AC950"/>
  <c r="AD950"/>
  <c r="AE950"/>
  <c r="AF950"/>
  <c r="AJ950"/>
  <c r="AK950"/>
  <c r="AL950"/>
  <c r="G951"/>
  <c r="H951"/>
  <c r="I951"/>
  <c r="J951"/>
  <c r="K951"/>
  <c r="N951"/>
  <c r="O951"/>
  <c r="P951"/>
  <c r="Q951"/>
  <c r="R951"/>
  <c r="U951"/>
  <c r="V951"/>
  <c r="W951"/>
  <c r="X951"/>
  <c r="Y951"/>
  <c r="AB951"/>
  <c r="AC951"/>
  <c r="AD951"/>
  <c r="AE951"/>
  <c r="AF951"/>
  <c r="G952"/>
  <c r="H952"/>
  <c r="I952"/>
  <c r="J952"/>
  <c r="K952"/>
  <c r="N952"/>
  <c r="O952"/>
  <c r="P952"/>
  <c r="Q952"/>
  <c r="R952"/>
  <c r="U952"/>
  <c r="V952"/>
  <c r="W952"/>
  <c r="X952"/>
  <c r="Y952"/>
  <c r="AB952"/>
  <c r="AC952"/>
  <c r="AD952"/>
  <c r="AE952"/>
  <c r="AF952"/>
  <c r="G953"/>
  <c r="H953"/>
  <c r="I953"/>
  <c r="J953"/>
  <c r="K953"/>
  <c r="N953"/>
  <c r="O953"/>
  <c r="P953"/>
  <c r="Q953"/>
  <c r="R953"/>
  <c r="U953"/>
  <c r="V953"/>
  <c r="W953"/>
  <c r="X953"/>
  <c r="Y953"/>
  <c r="AB953"/>
  <c r="AC953"/>
  <c r="AD953"/>
  <c r="AE953"/>
  <c r="AF953"/>
  <c r="G954"/>
  <c r="H954"/>
  <c r="I954"/>
  <c r="J954"/>
  <c r="K954"/>
  <c r="N954"/>
  <c r="O954"/>
  <c r="P954"/>
  <c r="Q954"/>
  <c r="R954"/>
  <c r="U954"/>
  <c r="V954"/>
  <c r="W954"/>
  <c r="X954"/>
  <c r="Y954"/>
  <c r="AB954"/>
  <c r="AC954"/>
  <c r="AD954"/>
  <c r="AE954"/>
  <c r="AF954"/>
  <c r="F955"/>
  <c r="G955"/>
  <c r="H955"/>
  <c r="I955"/>
  <c r="J955"/>
  <c r="K955"/>
  <c r="N955"/>
  <c r="O955"/>
  <c r="P955"/>
  <c r="Q955"/>
  <c r="R955"/>
  <c r="U955"/>
  <c r="V955"/>
  <c r="W955"/>
  <c r="X955"/>
  <c r="Y955"/>
  <c r="AB955"/>
  <c r="AC955"/>
  <c r="AD955"/>
  <c r="AE955"/>
  <c r="AF955"/>
  <c r="AN955"/>
  <c r="AO955"/>
  <c r="AP955"/>
  <c r="AQ955"/>
  <c r="F956"/>
  <c r="L956"/>
  <c r="S956"/>
  <c r="Z956"/>
  <c r="AG956"/>
  <c r="AN956"/>
  <c r="AO956"/>
  <c r="AP956"/>
  <c r="AQ956"/>
  <c r="F957"/>
  <c r="L957"/>
  <c r="S957"/>
  <c r="Z957"/>
  <c r="AG957"/>
  <c r="AN957"/>
  <c r="AO957"/>
  <c r="AP957"/>
  <c r="AQ957"/>
  <c r="F958"/>
  <c r="L958"/>
  <c r="S958"/>
  <c r="Z958"/>
  <c r="AG958"/>
  <c r="AN958"/>
  <c r="AO958"/>
  <c r="AP958"/>
  <c r="AQ958"/>
  <c r="F959"/>
  <c r="L959"/>
  <c r="S959"/>
  <c r="Z959"/>
  <c r="AG959"/>
  <c r="AN959"/>
  <c r="AO959"/>
  <c r="AP959"/>
  <c r="AQ959"/>
  <c r="F960"/>
  <c r="L960"/>
  <c r="S960"/>
  <c r="Z960"/>
  <c r="AG960"/>
  <c r="AN960"/>
  <c r="AO960"/>
  <c r="AP960"/>
  <c r="AQ960"/>
  <c r="F961"/>
  <c r="L961"/>
  <c r="S961"/>
  <c r="Z961"/>
  <c r="AG961"/>
  <c r="AN961"/>
  <c r="AO961"/>
  <c r="AP961"/>
  <c r="AQ961"/>
  <c r="G963"/>
  <c r="H963"/>
  <c r="I963"/>
  <c r="J963"/>
  <c r="K963"/>
  <c r="N963"/>
  <c r="O963"/>
  <c r="P963"/>
  <c r="Q963"/>
  <c r="R963"/>
  <c r="U963"/>
  <c r="V963"/>
  <c r="W963"/>
  <c r="X963"/>
  <c r="Y963"/>
  <c r="AB963"/>
  <c r="AC963"/>
  <c r="AD963"/>
  <c r="AE963"/>
  <c r="AF963"/>
  <c r="AJ963"/>
  <c r="AK963"/>
  <c r="AL963"/>
  <c r="G964"/>
  <c r="H964"/>
  <c r="I964"/>
  <c r="J964"/>
  <c r="K964"/>
  <c r="N964"/>
  <c r="O964"/>
  <c r="P964"/>
  <c r="Q964"/>
  <c r="R964"/>
  <c r="U964"/>
  <c r="V964"/>
  <c r="W964"/>
  <c r="X964"/>
  <c r="Y964"/>
  <c r="AB964"/>
  <c r="AC964"/>
  <c r="AD964"/>
  <c r="AE964"/>
  <c r="AF964"/>
  <c r="G965"/>
  <c r="H965"/>
  <c r="I965"/>
  <c r="J965"/>
  <c r="K965"/>
  <c r="N965"/>
  <c r="O965"/>
  <c r="P965"/>
  <c r="Q965"/>
  <c r="R965"/>
  <c r="U965"/>
  <c r="V965"/>
  <c r="W965"/>
  <c r="X965"/>
  <c r="Y965"/>
  <c r="AB965"/>
  <c r="AC965"/>
  <c r="AD965"/>
  <c r="AE965"/>
  <c r="AF965"/>
  <c r="G966"/>
  <c r="H966"/>
  <c r="I966"/>
  <c r="J966"/>
  <c r="K966"/>
  <c r="N966"/>
  <c r="O966"/>
  <c r="P966"/>
  <c r="Q966"/>
  <c r="R966"/>
  <c r="U966"/>
  <c r="V966"/>
  <c r="W966"/>
  <c r="X966"/>
  <c r="Y966"/>
  <c r="AB966"/>
  <c r="AC966"/>
  <c r="AD966"/>
  <c r="AE966"/>
  <c r="AF966"/>
  <c r="G967"/>
  <c r="H967"/>
  <c r="I967"/>
  <c r="J967"/>
  <c r="K967"/>
  <c r="N967"/>
  <c r="O967"/>
  <c r="P967"/>
  <c r="Q967"/>
  <c r="R967"/>
  <c r="U967"/>
  <c r="V967"/>
  <c r="W967"/>
  <c r="X967"/>
  <c r="Y967"/>
  <c r="AB967"/>
  <c r="AC967"/>
  <c r="AD967"/>
  <c r="AE967"/>
  <c r="AF967"/>
  <c r="F968"/>
  <c r="G968"/>
  <c r="H968"/>
  <c r="I968"/>
  <c r="J968"/>
  <c r="K968"/>
  <c r="N968"/>
  <c r="O968"/>
  <c r="P968"/>
  <c r="Q968"/>
  <c r="R968"/>
  <c r="U968"/>
  <c r="V968"/>
  <c r="W968"/>
  <c r="X968"/>
  <c r="Y968"/>
  <c r="AB968"/>
  <c r="AC968"/>
  <c r="AD968"/>
  <c r="AE968"/>
  <c r="AF968"/>
  <c r="AN968"/>
  <c r="AO968"/>
  <c r="AP968"/>
  <c r="AQ968"/>
  <c r="F969"/>
  <c r="L969"/>
  <c r="S969"/>
  <c r="Z969"/>
  <c r="AG969"/>
  <c r="AN969"/>
  <c r="AO969"/>
  <c r="AP969"/>
  <c r="AQ969"/>
  <c r="F970"/>
  <c r="L970"/>
  <c r="S970"/>
  <c r="Z970"/>
  <c r="AG970"/>
  <c r="AN970"/>
  <c r="AO970"/>
  <c r="AP970"/>
  <c r="AQ970"/>
  <c r="F971"/>
  <c r="L971"/>
  <c r="S971"/>
  <c r="Z971"/>
  <c r="AG971"/>
  <c r="AN971"/>
  <c r="AO971"/>
  <c r="AP971"/>
  <c r="AQ971"/>
  <c r="F972"/>
  <c r="L972"/>
  <c r="S972"/>
  <c r="Z972"/>
  <c r="AG972"/>
  <c r="AN972"/>
  <c r="AO972"/>
  <c r="AP972"/>
  <c r="AQ972"/>
  <c r="F973"/>
  <c r="L973"/>
  <c r="S973"/>
  <c r="Z973"/>
  <c r="AG973"/>
  <c r="AN973"/>
  <c r="AO973"/>
  <c r="AP973"/>
  <c r="AQ973"/>
  <c r="F974"/>
  <c r="L974"/>
  <c r="S974"/>
  <c r="Z974"/>
  <c r="AG974"/>
  <c r="AN974"/>
  <c r="AO974"/>
  <c r="AP974"/>
  <c r="AQ974"/>
  <c r="G976"/>
  <c r="H976"/>
  <c r="I976"/>
  <c r="J976"/>
  <c r="K976"/>
  <c r="N976"/>
  <c r="O976"/>
  <c r="P976"/>
  <c r="Q976"/>
  <c r="R976"/>
  <c r="U976"/>
  <c r="V976"/>
  <c r="W976"/>
  <c r="X976"/>
  <c r="Y976"/>
  <c r="AB976"/>
  <c r="AC976"/>
  <c r="AD976"/>
  <c r="AE976"/>
  <c r="AF976"/>
  <c r="AJ976"/>
  <c r="AK976"/>
  <c r="AL976"/>
  <c r="G977"/>
  <c r="H977"/>
  <c r="I977"/>
  <c r="J977"/>
  <c r="K977"/>
  <c r="N977"/>
  <c r="O977"/>
  <c r="P977"/>
  <c r="Q977"/>
  <c r="R977"/>
  <c r="U977"/>
  <c r="V977"/>
  <c r="W977"/>
  <c r="X977"/>
  <c r="Y977"/>
  <c r="AB977"/>
  <c r="AC977"/>
  <c r="AD977"/>
  <c r="AE977"/>
  <c r="AF977"/>
  <c r="G978"/>
  <c r="H978"/>
  <c r="I978"/>
  <c r="J978"/>
  <c r="K978"/>
  <c r="N978"/>
  <c r="O978"/>
  <c r="P978"/>
  <c r="Q978"/>
  <c r="R978"/>
  <c r="U978"/>
  <c r="V978"/>
  <c r="W978"/>
  <c r="X978"/>
  <c r="Y978"/>
  <c r="AB978"/>
  <c r="AC978"/>
  <c r="AD978"/>
  <c r="AE978"/>
  <c r="AF978"/>
  <c r="G979"/>
  <c r="H979"/>
  <c r="I979"/>
  <c r="J979"/>
  <c r="K979"/>
  <c r="N979"/>
  <c r="O979"/>
  <c r="P979"/>
  <c r="Q979"/>
  <c r="R979"/>
  <c r="U979"/>
  <c r="V979"/>
  <c r="W979"/>
  <c r="X979"/>
  <c r="Y979"/>
  <c r="AB979"/>
  <c r="AC979"/>
  <c r="AD979"/>
  <c r="AE979"/>
  <c r="AF979"/>
  <c r="G980"/>
  <c r="H980"/>
  <c r="I980"/>
  <c r="J980"/>
  <c r="K980"/>
  <c r="N980"/>
  <c r="O980"/>
  <c r="P980"/>
  <c r="Q980"/>
  <c r="R980"/>
  <c r="U980"/>
  <c r="V980"/>
  <c r="W980"/>
  <c r="X980"/>
  <c r="Y980"/>
  <c r="AB980"/>
  <c r="AC980"/>
  <c r="AD980"/>
  <c r="AE980"/>
  <c r="AF980"/>
  <c r="F981"/>
  <c r="G981"/>
  <c r="H981"/>
  <c r="I981"/>
  <c r="J981"/>
  <c r="K981"/>
  <c r="N981"/>
  <c r="O981"/>
  <c r="P981"/>
  <c r="Q981"/>
  <c r="R981"/>
  <c r="U981"/>
  <c r="V981"/>
  <c r="W981"/>
  <c r="X981"/>
  <c r="Y981"/>
  <c r="AB981"/>
  <c r="AC981"/>
  <c r="AD981"/>
  <c r="AE981"/>
  <c r="AF981"/>
  <c r="AN981"/>
  <c r="AO981"/>
  <c r="AP981"/>
  <c r="AQ981"/>
  <c r="F982"/>
  <c r="L982"/>
  <c r="S982"/>
  <c r="Z982"/>
  <c r="AG982"/>
  <c r="AN982"/>
  <c r="AO982"/>
  <c r="AP982"/>
  <c r="AQ982"/>
  <c r="F983"/>
  <c r="L983"/>
  <c r="S983"/>
  <c r="Z983"/>
  <c r="AG983"/>
  <c r="AN983"/>
  <c r="AO983"/>
  <c r="AP983"/>
  <c r="AQ983"/>
  <c r="F984"/>
  <c r="L984"/>
  <c r="S984"/>
  <c r="Z984"/>
  <c r="AG984"/>
  <c r="AN984"/>
  <c r="AO984"/>
  <c r="AP984"/>
  <c r="AQ984"/>
  <c r="F985"/>
  <c r="L985"/>
  <c r="S985"/>
  <c r="Z985"/>
  <c r="AG985"/>
  <c r="AN985"/>
  <c r="AO985"/>
  <c r="AP985"/>
  <c r="AQ985"/>
  <c r="F986"/>
  <c r="L986"/>
  <c r="S986"/>
  <c r="Z986"/>
  <c r="AG986"/>
  <c r="AN986"/>
  <c r="AO986"/>
  <c r="AP986"/>
  <c r="AQ986"/>
  <c r="F987"/>
  <c r="L987"/>
  <c r="S987"/>
  <c r="Z987"/>
  <c r="AG987"/>
  <c r="AN987"/>
  <c r="AO987"/>
  <c r="AP987"/>
  <c r="AQ987"/>
  <c r="G989"/>
  <c r="H989"/>
  <c r="I989"/>
  <c r="J989"/>
  <c r="K989"/>
  <c r="N989"/>
  <c r="O989"/>
  <c r="P989"/>
  <c r="Q989"/>
  <c r="R989"/>
  <c r="U989"/>
  <c r="V989"/>
  <c r="W989"/>
  <c r="X989"/>
  <c r="Y989"/>
  <c r="AB989"/>
  <c r="AC989"/>
  <c r="AD989"/>
  <c r="AE989"/>
  <c r="AF989"/>
  <c r="AJ989"/>
  <c r="AK989"/>
  <c r="AL989"/>
  <c r="G990"/>
  <c r="H990"/>
  <c r="I990"/>
  <c r="J990"/>
  <c r="K990"/>
  <c r="N990"/>
  <c r="O990"/>
  <c r="P990"/>
  <c r="Q990"/>
  <c r="R990"/>
  <c r="U990"/>
  <c r="V990"/>
  <c r="W990"/>
  <c r="X990"/>
  <c r="Y990"/>
  <c r="AB990"/>
  <c r="AC990"/>
  <c r="AD990"/>
  <c r="AE990"/>
  <c r="AF990"/>
  <c r="G991"/>
  <c r="H991"/>
  <c r="I991"/>
  <c r="J991"/>
  <c r="K991"/>
  <c r="N991"/>
  <c r="O991"/>
  <c r="P991"/>
  <c r="Q991"/>
  <c r="R991"/>
  <c r="U991"/>
  <c r="V991"/>
  <c r="W991"/>
  <c r="X991"/>
  <c r="Y991"/>
  <c r="AB991"/>
  <c r="AC991"/>
  <c r="AD991"/>
  <c r="AE991"/>
  <c r="AF991"/>
  <c r="G992"/>
  <c r="H992"/>
  <c r="I992"/>
  <c r="J992"/>
  <c r="K992"/>
  <c r="N992"/>
  <c r="O992"/>
  <c r="P992"/>
  <c r="Q992"/>
  <c r="R992"/>
  <c r="U992"/>
  <c r="V992"/>
  <c r="W992"/>
  <c r="X992"/>
  <c r="Y992"/>
  <c r="AB992"/>
  <c r="AC992"/>
  <c r="AD992"/>
  <c r="AE992"/>
  <c r="AF992"/>
  <c r="G993"/>
  <c r="H993"/>
  <c r="I993"/>
  <c r="J993"/>
  <c r="K993"/>
  <c r="N993"/>
  <c r="O993"/>
  <c r="P993"/>
  <c r="Q993"/>
  <c r="R993"/>
  <c r="U993"/>
  <c r="V993"/>
  <c r="W993"/>
  <c r="X993"/>
  <c r="Y993"/>
  <c r="AB993"/>
  <c r="AC993"/>
  <c r="AD993"/>
  <c r="AE993"/>
  <c r="AF993"/>
  <c r="F994"/>
  <c r="G994"/>
  <c r="H994"/>
  <c r="I994"/>
  <c r="J994"/>
  <c r="K994"/>
  <c r="N994"/>
  <c r="O994"/>
  <c r="P994"/>
  <c r="Q994"/>
  <c r="R994"/>
  <c r="U994"/>
  <c r="V994"/>
  <c r="W994"/>
  <c r="X994"/>
  <c r="Y994"/>
  <c r="AB994"/>
  <c r="AC994"/>
  <c r="AD994"/>
  <c r="AE994"/>
  <c r="AF994"/>
  <c r="AN994"/>
  <c r="AO994"/>
  <c r="AP994"/>
  <c r="AQ994"/>
  <c r="F995"/>
  <c r="L995"/>
  <c r="S995"/>
  <c r="Z995"/>
  <c r="AG995"/>
  <c r="AN995"/>
  <c r="AO995"/>
  <c r="AP995"/>
  <c r="AQ995"/>
  <c r="F996"/>
  <c r="L996"/>
  <c r="S996"/>
  <c r="Z996"/>
  <c r="AG996"/>
  <c r="AN996"/>
  <c r="AO996"/>
  <c r="AP996"/>
  <c r="AQ996"/>
  <c r="F997"/>
  <c r="L997"/>
  <c r="S997"/>
  <c r="Z997"/>
  <c r="AG997"/>
  <c r="AN997"/>
  <c r="AO997"/>
  <c r="AP997"/>
  <c r="AQ997"/>
  <c r="F998"/>
  <c r="L998"/>
  <c r="S998"/>
  <c r="Z998"/>
  <c r="AG998"/>
  <c r="AN998"/>
  <c r="AO998"/>
  <c r="AP998"/>
  <c r="AQ998"/>
  <c r="F999"/>
  <c r="L999"/>
  <c r="S999"/>
  <c r="Z999"/>
  <c r="AG999"/>
  <c r="AN999"/>
  <c r="AO999"/>
  <c r="AP999"/>
  <c r="AQ999"/>
  <c r="F1000"/>
  <c r="L1000"/>
  <c r="S1000"/>
  <c r="Z1000"/>
  <c r="AG1000"/>
  <c r="AN1000"/>
  <c r="AO1000"/>
  <c r="AP1000"/>
  <c r="AQ1000"/>
  <c r="G1002"/>
  <c r="H1002"/>
  <c r="I1002"/>
  <c r="J1002"/>
  <c r="K1002"/>
  <c r="N1002"/>
  <c r="O1002"/>
  <c r="P1002"/>
  <c r="Q1002"/>
  <c r="R1002"/>
  <c r="U1002"/>
  <c r="V1002"/>
  <c r="W1002"/>
  <c r="X1002"/>
  <c r="Y1002"/>
  <c r="AB1002"/>
  <c r="AC1002"/>
  <c r="AD1002"/>
  <c r="AE1002"/>
  <c r="AF1002"/>
  <c r="AJ1002"/>
  <c r="AK1002"/>
  <c r="AL1002"/>
  <c r="G1003"/>
  <c r="H1003"/>
  <c r="I1003"/>
  <c r="J1003"/>
  <c r="K1003"/>
  <c r="N1003"/>
  <c r="O1003"/>
  <c r="P1003"/>
  <c r="Q1003"/>
  <c r="R1003"/>
  <c r="U1003"/>
  <c r="V1003"/>
  <c r="W1003"/>
  <c r="X1003"/>
  <c r="Y1003"/>
  <c r="AB1003"/>
  <c r="AC1003"/>
  <c r="AD1003"/>
  <c r="AE1003"/>
  <c r="AF1003"/>
  <c r="G1004"/>
  <c r="H1004"/>
  <c r="I1004"/>
  <c r="J1004"/>
  <c r="K1004"/>
  <c r="N1004"/>
  <c r="O1004"/>
  <c r="P1004"/>
  <c r="Q1004"/>
  <c r="R1004"/>
  <c r="U1004"/>
  <c r="V1004"/>
  <c r="W1004"/>
  <c r="X1004"/>
  <c r="Y1004"/>
  <c r="AB1004"/>
  <c r="AC1004"/>
  <c r="AD1004"/>
  <c r="AE1004"/>
  <c r="AF1004"/>
  <c r="G1005"/>
  <c r="H1005"/>
  <c r="I1005"/>
  <c r="J1005"/>
  <c r="K1005"/>
  <c r="N1005"/>
  <c r="O1005"/>
  <c r="P1005"/>
  <c r="Q1005"/>
  <c r="R1005"/>
  <c r="U1005"/>
  <c r="V1005"/>
  <c r="W1005"/>
  <c r="X1005"/>
  <c r="Y1005"/>
  <c r="AB1005"/>
  <c r="AC1005"/>
  <c r="AD1005"/>
  <c r="AE1005"/>
  <c r="AF1005"/>
  <c r="G1006"/>
  <c r="H1006"/>
  <c r="I1006"/>
  <c r="J1006"/>
  <c r="K1006"/>
  <c r="N1006"/>
  <c r="O1006"/>
  <c r="P1006"/>
  <c r="Q1006"/>
  <c r="R1006"/>
  <c r="U1006"/>
  <c r="V1006"/>
  <c r="W1006"/>
  <c r="X1006"/>
  <c r="Y1006"/>
  <c r="AB1006"/>
  <c r="AC1006"/>
  <c r="AD1006"/>
  <c r="AE1006"/>
  <c r="AF1006"/>
  <c r="F1007"/>
  <c r="G1007"/>
  <c r="H1007"/>
  <c r="I1007"/>
  <c r="J1007"/>
  <c r="K1007"/>
  <c r="N1007"/>
  <c r="O1007"/>
  <c r="P1007"/>
  <c r="Q1007"/>
  <c r="R1007"/>
  <c r="U1007"/>
  <c r="V1007"/>
  <c r="W1007"/>
  <c r="X1007"/>
  <c r="Y1007"/>
  <c r="AB1007"/>
  <c r="AC1007"/>
  <c r="AD1007"/>
  <c r="AE1007"/>
  <c r="AF1007"/>
  <c r="AN1007"/>
  <c r="AO1007"/>
  <c r="AP1007"/>
  <c r="AQ1007"/>
  <c r="F1008"/>
  <c r="L1008"/>
  <c r="S1008"/>
  <c r="Z1008"/>
  <c r="AG1008"/>
  <c r="AN1008"/>
  <c r="AO1008"/>
  <c r="AP1008"/>
  <c r="AQ1008"/>
  <c r="F1009"/>
  <c r="L1009"/>
  <c r="S1009"/>
  <c r="Z1009"/>
  <c r="AG1009"/>
  <c r="AN1009"/>
  <c r="AO1009"/>
  <c r="AP1009"/>
  <c r="AQ1009"/>
  <c r="F1010"/>
  <c r="L1010"/>
  <c r="S1010"/>
  <c r="Z1010"/>
  <c r="AG1010"/>
  <c r="AN1010"/>
  <c r="AO1010"/>
  <c r="AP1010"/>
  <c r="AQ1010"/>
  <c r="F1011"/>
  <c r="L1011"/>
  <c r="S1011"/>
  <c r="Z1011"/>
  <c r="AG1011"/>
  <c r="AN1011"/>
  <c r="AO1011"/>
  <c r="AP1011"/>
  <c r="AQ1011"/>
  <c r="F1012"/>
  <c r="L1012"/>
  <c r="S1012"/>
  <c r="Z1012"/>
  <c r="AG1012"/>
  <c r="AN1012"/>
  <c r="AO1012"/>
  <c r="AP1012"/>
  <c r="AQ1012"/>
  <c r="F1013"/>
  <c r="L1013"/>
  <c r="S1013"/>
  <c r="Z1013"/>
  <c r="AG1013"/>
  <c r="AN1013"/>
  <c r="AO1013"/>
  <c r="AP1013"/>
  <c r="AQ1013"/>
  <c r="G1015"/>
  <c r="H1015"/>
  <c r="I1015"/>
  <c r="J1015"/>
  <c r="K1015"/>
  <c r="N1015"/>
  <c r="O1015"/>
  <c r="P1015"/>
  <c r="Q1015"/>
  <c r="R1015"/>
  <c r="U1015"/>
  <c r="V1015"/>
  <c r="W1015"/>
  <c r="X1015"/>
  <c r="Y1015"/>
  <c r="AB1015"/>
  <c r="AC1015"/>
  <c r="AD1015"/>
  <c r="AE1015"/>
  <c r="AF1015"/>
  <c r="AJ1015"/>
  <c r="AK1015"/>
  <c r="AL1015"/>
  <c r="G1016"/>
  <c r="H1016"/>
  <c r="I1016"/>
  <c r="J1016"/>
  <c r="K1016"/>
  <c r="N1016"/>
  <c r="O1016"/>
  <c r="P1016"/>
  <c r="Q1016"/>
  <c r="R1016"/>
  <c r="U1016"/>
  <c r="V1016"/>
  <c r="W1016"/>
  <c r="X1016"/>
  <c r="Y1016"/>
  <c r="AB1016"/>
  <c r="AC1016"/>
  <c r="AD1016"/>
  <c r="AE1016"/>
  <c r="AF1016"/>
  <c r="G1017"/>
  <c r="H1017"/>
  <c r="I1017"/>
  <c r="J1017"/>
  <c r="K1017"/>
  <c r="N1017"/>
  <c r="O1017"/>
  <c r="P1017"/>
  <c r="Q1017"/>
  <c r="R1017"/>
  <c r="U1017"/>
  <c r="V1017"/>
  <c r="W1017"/>
  <c r="X1017"/>
  <c r="Y1017"/>
  <c r="AB1017"/>
  <c r="AC1017"/>
  <c r="AD1017"/>
  <c r="AE1017"/>
  <c r="AF1017"/>
  <c r="G1018"/>
  <c r="H1018"/>
  <c r="I1018"/>
  <c r="J1018"/>
  <c r="K1018"/>
  <c r="N1018"/>
  <c r="O1018"/>
  <c r="P1018"/>
  <c r="Q1018"/>
  <c r="R1018"/>
  <c r="U1018"/>
  <c r="V1018"/>
  <c r="W1018"/>
  <c r="X1018"/>
  <c r="Y1018"/>
  <c r="AB1018"/>
  <c r="AC1018"/>
  <c r="AD1018"/>
  <c r="AE1018"/>
  <c r="AF1018"/>
  <c r="G1019"/>
  <c r="H1019"/>
  <c r="I1019"/>
  <c r="J1019"/>
  <c r="K1019"/>
  <c r="N1019"/>
  <c r="O1019"/>
  <c r="P1019"/>
  <c r="Q1019"/>
  <c r="R1019"/>
  <c r="U1019"/>
  <c r="V1019"/>
  <c r="W1019"/>
  <c r="X1019"/>
  <c r="Y1019"/>
  <c r="AB1019"/>
  <c r="AC1019"/>
  <c r="AD1019"/>
  <c r="AE1019"/>
  <c r="AF1019"/>
  <c r="F1020"/>
  <c r="G1020"/>
  <c r="H1020"/>
  <c r="I1020"/>
  <c r="J1020"/>
  <c r="K1020"/>
  <c r="N1020"/>
  <c r="O1020"/>
  <c r="P1020"/>
  <c r="Q1020"/>
  <c r="R1020"/>
  <c r="U1020"/>
  <c r="V1020"/>
  <c r="W1020"/>
  <c r="X1020"/>
  <c r="Y1020"/>
  <c r="AB1020"/>
  <c r="AC1020"/>
  <c r="AD1020"/>
  <c r="AE1020"/>
  <c r="AF1020"/>
  <c r="AN1020"/>
  <c r="AO1020"/>
  <c r="AP1020"/>
  <c r="AQ1020"/>
  <c r="F1021"/>
  <c r="L1021"/>
  <c r="S1021"/>
  <c r="Z1021"/>
  <c r="AG1021"/>
  <c r="AN1021"/>
  <c r="AO1021"/>
  <c r="AP1021"/>
  <c r="AQ1021"/>
  <c r="F1022"/>
  <c r="L1022"/>
  <c r="S1022"/>
  <c r="Z1022"/>
  <c r="AG1022"/>
  <c r="AN1022"/>
  <c r="AO1022"/>
  <c r="AP1022"/>
  <c r="AQ1022"/>
  <c r="F1023"/>
  <c r="L1023"/>
  <c r="S1023"/>
  <c r="Z1023"/>
  <c r="AG1023"/>
  <c r="AN1023"/>
  <c r="AO1023"/>
  <c r="AP1023"/>
  <c r="AQ1023"/>
  <c r="F1024"/>
  <c r="L1024"/>
  <c r="S1024"/>
  <c r="Z1024"/>
  <c r="AG1024"/>
  <c r="AN1024"/>
  <c r="AO1024"/>
  <c r="AP1024"/>
  <c r="AQ1024"/>
  <c r="F1025"/>
  <c r="L1025"/>
  <c r="S1025"/>
  <c r="Z1025"/>
  <c r="AG1025"/>
  <c r="AN1025"/>
  <c r="AO1025"/>
  <c r="AP1025"/>
  <c r="AQ1025"/>
  <c r="F1026"/>
  <c r="L1026"/>
  <c r="S1026"/>
  <c r="Z1026"/>
  <c r="AG1026"/>
  <c r="AN1026"/>
  <c r="AO1026"/>
  <c r="AP1026"/>
  <c r="AQ1026"/>
  <c r="G1028"/>
  <c r="H1028"/>
  <c r="I1028"/>
  <c r="J1028"/>
  <c r="K1028"/>
  <c r="N1028"/>
  <c r="O1028"/>
  <c r="P1028"/>
  <c r="Q1028"/>
  <c r="R1028"/>
  <c r="U1028"/>
  <c r="V1028"/>
  <c r="W1028"/>
  <c r="X1028"/>
  <c r="Y1028"/>
  <c r="AB1028"/>
  <c r="AC1028"/>
  <c r="AD1028"/>
  <c r="AE1028"/>
  <c r="AF1028"/>
  <c r="AJ1028"/>
  <c r="AK1028"/>
  <c r="AL1028"/>
  <c r="G1029"/>
  <c r="H1029"/>
  <c r="I1029"/>
  <c r="J1029"/>
  <c r="K1029"/>
  <c r="N1029"/>
  <c r="O1029"/>
  <c r="P1029"/>
  <c r="Q1029"/>
  <c r="R1029"/>
  <c r="U1029"/>
  <c r="V1029"/>
  <c r="W1029"/>
  <c r="X1029"/>
  <c r="Y1029"/>
  <c r="AB1029"/>
  <c r="AC1029"/>
  <c r="AD1029"/>
  <c r="AE1029"/>
  <c r="AF1029"/>
  <c r="G1030"/>
  <c r="H1030"/>
  <c r="I1030"/>
  <c r="J1030"/>
  <c r="K1030"/>
  <c r="N1030"/>
  <c r="O1030"/>
  <c r="P1030"/>
  <c r="Q1030"/>
  <c r="R1030"/>
  <c r="U1030"/>
  <c r="V1030"/>
  <c r="W1030"/>
  <c r="X1030"/>
  <c r="Y1030"/>
  <c r="AB1030"/>
  <c r="AC1030"/>
  <c r="AD1030"/>
  <c r="AE1030"/>
  <c r="AF1030"/>
  <c r="G1031"/>
  <c r="H1031"/>
  <c r="I1031"/>
  <c r="J1031"/>
  <c r="K1031"/>
  <c r="N1031"/>
  <c r="O1031"/>
  <c r="P1031"/>
  <c r="Q1031"/>
  <c r="R1031"/>
  <c r="U1031"/>
  <c r="V1031"/>
  <c r="W1031"/>
  <c r="X1031"/>
  <c r="Y1031"/>
  <c r="AB1031"/>
  <c r="AC1031"/>
  <c r="AD1031"/>
  <c r="AE1031"/>
  <c r="AF1031"/>
  <c r="G1032"/>
  <c r="H1032"/>
  <c r="I1032"/>
  <c r="J1032"/>
  <c r="K1032"/>
  <c r="N1032"/>
  <c r="O1032"/>
  <c r="P1032"/>
  <c r="Q1032"/>
  <c r="R1032"/>
  <c r="U1032"/>
  <c r="V1032"/>
  <c r="W1032"/>
  <c r="X1032"/>
  <c r="Y1032"/>
  <c r="AB1032"/>
  <c r="AC1032"/>
  <c r="AD1032"/>
  <c r="AE1032"/>
  <c r="AF1032"/>
  <c r="F1033"/>
  <c r="G1033"/>
  <c r="H1033"/>
  <c r="I1033"/>
  <c r="J1033"/>
  <c r="K1033"/>
  <c r="N1033"/>
  <c r="O1033"/>
  <c r="P1033"/>
  <c r="Q1033"/>
  <c r="R1033"/>
  <c r="U1033"/>
  <c r="V1033"/>
  <c r="W1033"/>
  <c r="X1033"/>
  <c r="Y1033"/>
  <c r="AB1033"/>
  <c r="AC1033"/>
  <c r="AD1033"/>
  <c r="AE1033"/>
  <c r="AF1033"/>
  <c r="AN1033"/>
  <c r="AO1033"/>
  <c r="AP1033"/>
  <c r="AQ1033"/>
  <c r="F1034"/>
  <c r="L1034"/>
  <c r="S1034"/>
  <c r="Z1034"/>
  <c r="AG1034"/>
  <c r="AN1034"/>
  <c r="AO1034"/>
  <c r="AP1034"/>
  <c r="AQ1034"/>
  <c r="F1035"/>
  <c r="L1035"/>
  <c r="S1035"/>
  <c r="Z1035"/>
  <c r="AG1035"/>
  <c r="AN1035"/>
  <c r="AO1035"/>
  <c r="AP1035"/>
  <c r="AQ1035"/>
  <c r="F1036"/>
  <c r="L1036"/>
  <c r="S1036"/>
  <c r="Z1036"/>
  <c r="AG1036"/>
  <c r="AN1036"/>
  <c r="AO1036"/>
  <c r="AP1036"/>
  <c r="AQ1036"/>
  <c r="F1037"/>
  <c r="L1037"/>
  <c r="S1037"/>
  <c r="Z1037"/>
  <c r="AG1037"/>
  <c r="AN1037"/>
  <c r="AO1037"/>
  <c r="AP1037"/>
  <c r="AQ1037"/>
  <c r="F1038"/>
  <c r="L1038"/>
  <c r="S1038"/>
  <c r="Z1038"/>
  <c r="AG1038"/>
  <c r="AN1038"/>
  <c r="AO1038"/>
  <c r="AP1038"/>
  <c r="AQ1038"/>
  <c r="F1039"/>
  <c r="L1039"/>
  <c r="S1039"/>
  <c r="Z1039"/>
  <c r="AG1039"/>
  <c r="AN1039"/>
  <c r="AO1039"/>
  <c r="AP1039"/>
  <c r="AQ1039"/>
  <c r="G1041"/>
  <c r="H1041"/>
  <c r="I1041"/>
  <c r="J1041"/>
  <c r="K1041"/>
  <c r="N1041"/>
  <c r="O1041"/>
  <c r="P1041"/>
  <c r="Q1041"/>
  <c r="R1041"/>
  <c r="U1041"/>
  <c r="V1041"/>
  <c r="W1041"/>
  <c r="X1041"/>
  <c r="Y1041"/>
  <c r="AB1041"/>
  <c r="AC1041"/>
  <c r="AD1041"/>
  <c r="AE1041"/>
  <c r="AF1041"/>
  <c r="AJ1041"/>
  <c r="AK1041"/>
  <c r="AL1041"/>
  <c r="G1042"/>
  <c r="H1042"/>
  <c r="I1042"/>
  <c r="J1042"/>
  <c r="K1042"/>
  <c r="N1042"/>
  <c r="O1042"/>
  <c r="P1042"/>
  <c r="Q1042"/>
  <c r="R1042"/>
  <c r="U1042"/>
  <c r="V1042"/>
  <c r="W1042"/>
  <c r="X1042"/>
  <c r="Y1042"/>
  <c r="AB1042"/>
  <c r="AC1042"/>
  <c r="AD1042"/>
  <c r="AE1042"/>
  <c r="AF1042"/>
  <c r="G1043"/>
  <c r="H1043"/>
  <c r="I1043"/>
  <c r="J1043"/>
  <c r="K1043"/>
  <c r="N1043"/>
  <c r="O1043"/>
  <c r="P1043"/>
  <c r="Q1043"/>
  <c r="R1043"/>
  <c r="U1043"/>
  <c r="V1043"/>
  <c r="W1043"/>
  <c r="X1043"/>
  <c r="Y1043"/>
  <c r="AB1043"/>
  <c r="AC1043"/>
  <c r="AD1043"/>
  <c r="AE1043"/>
  <c r="AF1043"/>
  <c r="G1044"/>
  <c r="H1044"/>
  <c r="I1044"/>
  <c r="J1044"/>
  <c r="K1044"/>
  <c r="N1044"/>
  <c r="O1044"/>
  <c r="P1044"/>
  <c r="Q1044"/>
  <c r="R1044"/>
  <c r="U1044"/>
  <c r="V1044"/>
  <c r="W1044"/>
  <c r="X1044"/>
  <c r="Y1044"/>
  <c r="AB1044"/>
  <c r="AC1044"/>
  <c r="AD1044"/>
  <c r="AE1044"/>
  <c r="AF1044"/>
  <c r="G1045"/>
  <c r="H1045"/>
  <c r="I1045"/>
  <c r="J1045"/>
  <c r="K1045"/>
  <c r="N1045"/>
  <c r="O1045"/>
  <c r="P1045"/>
  <c r="Q1045"/>
  <c r="R1045"/>
  <c r="U1045"/>
  <c r="V1045"/>
  <c r="W1045"/>
  <c r="X1045"/>
  <c r="Y1045"/>
  <c r="AB1045"/>
  <c r="AC1045"/>
  <c r="AD1045"/>
  <c r="AE1045"/>
  <c r="AF1045"/>
  <c r="F1046"/>
  <c r="G1046"/>
  <c r="H1046"/>
  <c r="I1046"/>
  <c r="J1046"/>
  <c r="K1046"/>
  <c r="N1046"/>
  <c r="O1046"/>
  <c r="P1046"/>
  <c r="Q1046"/>
  <c r="R1046"/>
  <c r="U1046"/>
  <c r="V1046"/>
  <c r="W1046"/>
  <c r="X1046"/>
  <c r="Y1046"/>
  <c r="AB1046"/>
  <c r="AC1046"/>
  <c r="AD1046"/>
  <c r="AE1046"/>
  <c r="AF1046"/>
  <c r="AN1046"/>
  <c r="AO1046"/>
  <c r="AP1046"/>
  <c r="AQ1046"/>
  <c r="F1047"/>
  <c r="L1047"/>
  <c r="S1047"/>
  <c r="Z1047"/>
  <c r="AG1047"/>
  <c r="AN1047"/>
  <c r="AO1047"/>
  <c r="AP1047"/>
  <c r="AQ1047"/>
  <c r="F1048"/>
  <c r="L1048"/>
  <c r="S1048"/>
  <c r="Z1048"/>
  <c r="AG1048"/>
  <c r="AN1048"/>
  <c r="AO1048"/>
  <c r="AP1048"/>
  <c r="AQ1048"/>
  <c r="F1049"/>
  <c r="L1049"/>
  <c r="S1049"/>
  <c r="Z1049"/>
  <c r="AG1049"/>
  <c r="AN1049"/>
  <c r="AO1049"/>
  <c r="AP1049"/>
  <c r="AQ1049"/>
  <c r="F1050"/>
  <c r="L1050"/>
  <c r="S1050"/>
  <c r="Z1050"/>
  <c r="AG1050"/>
  <c r="AN1050"/>
  <c r="AO1050"/>
  <c r="AP1050"/>
  <c r="AQ1050"/>
  <c r="F1051"/>
  <c r="L1051"/>
  <c r="S1051"/>
  <c r="Z1051"/>
  <c r="AG1051"/>
  <c r="AN1051"/>
  <c r="AO1051"/>
  <c r="AP1051"/>
  <c r="AQ1051"/>
  <c r="F1052"/>
  <c r="L1052"/>
  <c r="S1052"/>
  <c r="Z1052"/>
  <c r="AG1052"/>
  <c r="AN1052"/>
  <c r="AO1052"/>
  <c r="AP1052"/>
  <c r="AQ1052"/>
  <c r="G1054"/>
  <c r="H1054"/>
  <c r="I1054"/>
  <c r="J1054"/>
  <c r="K1054"/>
  <c r="N1054"/>
  <c r="O1054"/>
  <c r="P1054"/>
  <c r="Q1054"/>
  <c r="R1054"/>
  <c r="U1054"/>
  <c r="V1054"/>
  <c r="W1054"/>
  <c r="X1054"/>
  <c r="Y1054"/>
  <c r="AB1054"/>
  <c r="AC1054"/>
  <c r="AD1054"/>
  <c r="AE1054"/>
  <c r="AF1054"/>
  <c r="AJ1054"/>
  <c r="AK1054"/>
  <c r="AL1054"/>
  <c r="G1055"/>
  <c r="H1055"/>
  <c r="I1055"/>
  <c r="J1055"/>
  <c r="K1055"/>
  <c r="N1055"/>
  <c r="O1055"/>
  <c r="P1055"/>
  <c r="Q1055"/>
  <c r="R1055"/>
  <c r="U1055"/>
  <c r="V1055"/>
  <c r="W1055"/>
  <c r="X1055"/>
  <c r="Y1055"/>
  <c r="AB1055"/>
  <c r="AC1055"/>
  <c r="AD1055"/>
  <c r="AE1055"/>
  <c r="AF1055"/>
  <c r="G1056"/>
  <c r="H1056"/>
  <c r="I1056"/>
  <c r="J1056"/>
  <c r="K1056"/>
  <c r="N1056"/>
  <c r="O1056"/>
  <c r="P1056"/>
  <c r="Q1056"/>
  <c r="R1056"/>
  <c r="U1056"/>
  <c r="V1056"/>
  <c r="W1056"/>
  <c r="X1056"/>
  <c r="Y1056"/>
  <c r="AB1056"/>
  <c r="AC1056"/>
  <c r="AD1056"/>
  <c r="AE1056"/>
  <c r="AF1056"/>
  <c r="G1057"/>
  <c r="H1057"/>
  <c r="I1057"/>
  <c r="J1057"/>
  <c r="K1057"/>
  <c r="N1057"/>
  <c r="O1057"/>
  <c r="P1057"/>
  <c r="Q1057"/>
  <c r="R1057"/>
  <c r="U1057"/>
  <c r="V1057"/>
  <c r="W1057"/>
  <c r="X1057"/>
  <c r="Y1057"/>
  <c r="AB1057"/>
  <c r="AC1057"/>
  <c r="AD1057"/>
  <c r="AE1057"/>
  <c r="AF1057"/>
  <c r="G1058"/>
  <c r="H1058"/>
  <c r="I1058"/>
  <c r="J1058"/>
  <c r="K1058"/>
  <c r="N1058"/>
  <c r="O1058"/>
  <c r="P1058"/>
  <c r="Q1058"/>
  <c r="R1058"/>
  <c r="U1058"/>
  <c r="V1058"/>
  <c r="W1058"/>
  <c r="X1058"/>
  <c r="Y1058"/>
  <c r="AB1058"/>
  <c r="AC1058"/>
  <c r="AD1058"/>
  <c r="AE1058"/>
  <c r="AF1058"/>
  <c r="F1059"/>
  <c r="G1059"/>
  <c r="H1059"/>
  <c r="I1059"/>
  <c r="J1059"/>
  <c r="K1059"/>
  <c r="N1059"/>
  <c r="O1059"/>
  <c r="P1059"/>
  <c r="Q1059"/>
  <c r="R1059"/>
  <c r="U1059"/>
  <c r="V1059"/>
  <c r="W1059"/>
  <c r="X1059"/>
  <c r="Y1059"/>
  <c r="AB1059"/>
  <c r="AC1059"/>
  <c r="AD1059"/>
  <c r="AE1059"/>
  <c r="AF1059"/>
  <c r="AN1059"/>
  <c r="AO1059"/>
  <c r="AP1059"/>
  <c r="AQ1059"/>
  <c r="F1060"/>
  <c r="L1060"/>
  <c r="S1060"/>
  <c r="Z1060"/>
  <c r="AG1060"/>
  <c r="AN1060"/>
  <c r="AO1060"/>
  <c r="AP1060"/>
  <c r="AQ1060"/>
  <c r="F1061"/>
  <c r="L1061"/>
  <c r="S1061"/>
  <c r="Z1061"/>
  <c r="AG1061"/>
  <c r="AN1061"/>
  <c r="AO1061"/>
  <c r="AP1061"/>
  <c r="AQ1061"/>
  <c r="F1062"/>
  <c r="L1062"/>
  <c r="S1062"/>
  <c r="Z1062"/>
  <c r="AG1062"/>
  <c r="AN1062"/>
  <c r="AO1062"/>
  <c r="AP1062"/>
  <c r="AQ1062"/>
  <c r="F1063"/>
  <c r="L1063"/>
  <c r="S1063"/>
  <c r="Z1063"/>
  <c r="AG1063"/>
  <c r="AN1063"/>
  <c r="AO1063"/>
  <c r="AP1063"/>
  <c r="AQ1063"/>
  <c r="F1064"/>
  <c r="L1064"/>
  <c r="S1064"/>
  <c r="Z1064"/>
  <c r="AG1064"/>
  <c r="AN1064"/>
  <c r="AO1064"/>
  <c r="AP1064"/>
  <c r="AQ1064"/>
  <c r="F1065"/>
  <c r="L1065"/>
  <c r="S1065"/>
  <c r="Z1065"/>
  <c r="AG1065"/>
  <c r="AN1065"/>
  <c r="AO1065"/>
  <c r="AP1065"/>
  <c r="AQ1065"/>
  <c r="G1067"/>
  <c r="H1067"/>
  <c r="I1067"/>
  <c r="J1067"/>
  <c r="K1067"/>
  <c r="N1067"/>
  <c r="O1067"/>
  <c r="P1067"/>
  <c r="Q1067"/>
  <c r="R1067"/>
  <c r="U1067"/>
  <c r="V1067"/>
  <c r="W1067"/>
  <c r="X1067"/>
  <c r="Y1067"/>
  <c r="AB1067"/>
  <c r="AC1067"/>
  <c r="AD1067"/>
  <c r="AE1067"/>
  <c r="AF1067"/>
  <c r="AJ1067"/>
  <c r="AK1067"/>
  <c r="AL1067"/>
  <c r="G1068"/>
  <c r="H1068"/>
  <c r="I1068"/>
  <c r="J1068"/>
  <c r="K1068"/>
  <c r="N1068"/>
  <c r="O1068"/>
  <c r="P1068"/>
  <c r="Q1068"/>
  <c r="R1068"/>
  <c r="U1068"/>
  <c r="V1068"/>
  <c r="W1068"/>
  <c r="X1068"/>
  <c r="Y1068"/>
  <c r="AB1068"/>
  <c r="AC1068"/>
  <c r="AD1068"/>
  <c r="AE1068"/>
  <c r="AF1068"/>
  <c r="G1069"/>
  <c r="H1069"/>
  <c r="I1069"/>
  <c r="J1069"/>
  <c r="K1069"/>
  <c r="N1069"/>
  <c r="O1069"/>
  <c r="P1069"/>
  <c r="Q1069"/>
  <c r="R1069"/>
  <c r="U1069"/>
  <c r="V1069"/>
  <c r="W1069"/>
  <c r="X1069"/>
  <c r="Y1069"/>
  <c r="AB1069"/>
  <c r="AC1069"/>
  <c r="AD1069"/>
  <c r="AE1069"/>
  <c r="AF1069"/>
  <c r="G1070"/>
  <c r="H1070"/>
  <c r="I1070"/>
  <c r="J1070"/>
  <c r="K1070"/>
  <c r="N1070"/>
  <c r="O1070"/>
  <c r="P1070"/>
  <c r="Q1070"/>
  <c r="R1070"/>
  <c r="U1070"/>
  <c r="V1070"/>
  <c r="W1070"/>
  <c r="X1070"/>
  <c r="Y1070"/>
  <c r="AB1070"/>
  <c r="AC1070"/>
  <c r="AD1070"/>
  <c r="AE1070"/>
  <c r="AF1070"/>
  <c r="G1071"/>
  <c r="H1071"/>
  <c r="I1071"/>
  <c r="J1071"/>
  <c r="K1071"/>
  <c r="N1071"/>
  <c r="O1071"/>
  <c r="P1071"/>
  <c r="Q1071"/>
  <c r="R1071"/>
  <c r="U1071"/>
  <c r="V1071"/>
  <c r="W1071"/>
  <c r="X1071"/>
  <c r="Y1071"/>
  <c r="AB1071"/>
  <c r="AC1071"/>
  <c r="AD1071"/>
  <c r="AE1071"/>
  <c r="AF1071"/>
  <c r="F1072"/>
  <c r="G1072"/>
  <c r="H1072"/>
  <c r="I1072"/>
  <c r="J1072"/>
  <c r="K1072"/>
  <c r="N1072"/>
  <c r="O1072"/>
  <c r="P1072"/>
  <c r="Q1072"/>
  <c r="R1072"/>
  <c r="U1072"/>
  <c r="V1072"/>
  <c r="W1072"/>
  <c r="X1072"/>
  <c r="Y1072"/>
  <c r="AB1072"/>
  <c r="AC1072"/>
  <c r="AD1072"/>
  <c r="AE1072"/>
  <c r="AF1072"/>
  <c r="AN1072"/>
  <c r="AO1072"/>
  <c r="AP1072"/>
  <c r="AQ1072"/>
  <c r="F1073"/>
  <c r="L1073"/>
  <c r="S1073"/>
  <c r="Z1073"/>
  <c r="AG1073"/>
  <c r="AN1073"/>
  <c r="AO1073"/>
  <c r="AP1073"/>
  <c r="AQ1073"/>
  <c r="F1074"/>
  <c r="L1074"/>
  <c r="S1074"/>
  <c r="Z1074"/>
  <c r="AG1074"/>
  <c r="AN1074"/>
  <c r="AO1074"/>
  <c r="AP1074"/>
  <c r="AQ1074"/>
  <c r="F1075"/>
  <c r="L1075"/>
  <c r="S1075"/>
  <c r="Z1075"/>
  <c r="AG1075"/>
  <c r="AN1075"/>
  <c r="AO1075"/>
  <c r="AP1075"/>
  <c r="AQ1075"/>
  <c r="F1076"/>
  <c r="L1076"/>
  <c r="S1076"/>
  <c r="Z1076"/>
  <c r="AG1076"/>
  <c r="AN1076"/>
  <c r="AO1076"/>
  <c r="AP1076"/>
  <c r="AQ1076"/>
  <c r="F1077"/>
  <c r="L1077"/>
  <c r="S1077"/>
  <c r="Z1077"/>
  <c r="AG1077"/>
  <c r="AN1077"/>
  <c r="AO1077"/>
  <c r="AP1077"/>
  <c r="AQ1077"/>
  <c r="F1078"/>
  <c r="L1078"/>
  <c r="S1078"/>
  <c r="Z1078"/>
  <c r="AG1078"/>
  <c r="AN1078"/>
  <c r="AO1078"/>
  <c r="AP1078"/>
  <c r="AQ1078"/>
  <c r="G1080"/>
  <c r="H1080"/>
  <c r="I1080"/>
  <c r="J1080"/>
  <c r="K1080"/>
  <c r="N1080"/>
  <c r="O1080"/>
  <c r="P1080"/>
  <c r="Q1080"/>
  <c r="R1080"/>
  <c r="U1080"/>
  <c r="V1080"/>
  <c r="W1080"/>
  <c r="X1080"/>
  <c r="Y1080"/>
  <c r="AB1080"/>
  <c r="AC1080"/>
  <c r="AD1080"/>
  <c r="AE1080"/>
  <c r="AF1080"/>
  <c r="AJ1080"/>
  <c r="AK1080"/>
  <c r="AL1080"/>
  <c r="G1081"/>
  <c r="H1081"/>
  <c r="I1081"/>
  <c r="J1081"/>
  <c r="K1081"/>
  <c r="N1081"/>
  <c r="O1081"/>
  <c r="P1081"/>
  <c r="Q1081"/>
  <c r="R1081"/>
  <c r="U1081"/>
  <c r="V1081"/>
  <c r="W1081"/>
  <c r="X1081"/>
  <c r="Y1081"/>
  <c r="AB1081"/>
  <c r="AC1081"/>
  <c r="AD1081"/>
  <c r="AE1081"/>
  <c r="AF1081"/>
  <c r="G1082"/>
  <c r="H1082"/>
  <c r="I1082"/>
  <c r="J1082"/>
  <c r="K1082"/>
  <c r="N1082"/>
  <c r="O1082"/>
  <c r="P1082"/>
  <c r="Q1082"/>
  <c r="R1082"/>
  <c r="U1082"/>
  <c r="V1082"/>
  <c r="W1082"/>
  <c r="X1082"/>
  <c r="Y1082"/>
  <c r="AB1082"/>
  <c r="AC1082"/>
  <c r="AD1082"/>
  <c r="AE1082"/>
  <c r="AF1082"/>
  <c r="G1083"/>
  <c r="H1083"/>
  <c r="I1083"/>
  <c r="J1083"/>
  <c r="K1083"/>
  <c r="N1083"/>
  <c r="O1083"/>
  <c r="P1083"/>
  <c r="Q1083"/>
  <c r="R1083"/>
  <c r="U1083"/>
  <c r="V1083"/>
  <c r="W1083"/>
  <c r="X1083"/>
  <c r="Y1083"/>
  <c r="AB1083"/>
  <c r="AC1083"/>
  <c r="AD1083"/>
  <c r="AE1083"/>
  <c r="AF1083"/>
  <c r="G1084"/>
  <c r="H1084"/>
  <c r="I1084"/>
  <c r="J1084"/>
  <c r="K1084"/>
  <c r="N1084"/>
  <c r="O1084"/>
  <c r="P1084"/>
  <c r="Q1084"/>
  <c r="R1084"/>
  <c r="U1084"/>
  <c r="V1084"/>
  <c r="W1084"/>
  <c r="X1084"/>
  <c r="Y1084"/>
  <c r="AB1084"/>
  <c r="AC1084"/>
  <c r="AD1084"/>
  <c r="AE1084"/>
  <c r="AF1084"/>
  <c r="F1085"/>
  <c r="G1085"/>
  <c r="H1085"/>
  <c r="I1085"/>
  <c r="J1085"/>
  <c r="K1085"/>
  <c r="N1085"/>
  <c r="O1085"/>
  <c r="P1085"/>
  <c r="Q1085"/>
  <c r="R1085"/>
  <c r="U1085"/>
  <c r="V1085"/>
  <c r="W1085"/>
  <c r="X1085"/>
  <c r="Y1085"/>
  <c r="AB1085"/>
  <c r="AC1085"/>
  <c r="AD1085"/>
  <c r="AE1085"/>
  <c r="AF1085"/>
  <c r="AN1085"/>
  <c r="AO1085"/>
  <c r="AP1085"/>
  <c r="AQ1085"/>
  <c r="F1086"/>
  <c r="L1086"/>
  <c r="S1086"/>
  <c r="Z1086"/>
  <c r="AG1086"/>
  <c r="AN1086"/>
  <c r="AO1086"/>
  <c r="AP1086"/>
  <c r="AQ1086"/>
  <c r="F1087"/>
  <c r="L1087"/>
  <c r="S1087"/>
  <c r="Z1087"/>
  <c r="AG1087"/>
  <c r="AN1087"/>
  <c r="AO1087"/>
  <c r="AP1087"/>
  <c r="AQ1087"/>
  <c r="F1088"/>
  <c r="L1088"/>
  <c r="S1088"/>
  <c r="Z1088"/>
  <c r="AG1088"/>
  <c r="AN1088"/>
  <c r="AO1088"/>
  <c r="AP1088"/>
  <c r="AQ1088"/>
  <c r="F1089"/>
  <c r="L1089"/>
  <c r="S1089"/>
  <c r="Z1089"/>
  <c r="AG1089"/>
  <c r="AN1089"/>
  <c r="AO1089"/>
  <c r="AP1089"/>
  <c r="AQ1089"/>
  <c r="F1090"/>
  <c r="L1090"/>
  <c r="S1090"/>
  <c r="Z1090"/>
  <c r="AG1090"/>
  <c r="AN1090"/>
  <c r="AO1090"/>
  <c r="AP1090"/>
  <c r="AQ1090"/>
  <c r="F1091"/>
  <c r="L1091"/>
  <c r="S1091"/>
  <c r="Z1091"/>
  <c r="AG1091"/>
  <c r="AN1091"/>
  <c r="AO1091"/>
  <c r="AP1091"/>
  <c r="AQ1091"/>
  <c r="G1093"/>
  <c r="H1093"/>
  <c r="I1093"/>
  <c r="J1093"/>
  <c r="K1093"/>
  <c r="N1093"/>
  <c r="O1093"/>
  <c r="P1093"/>
  <c r="Q1093"/>
  <c r="R1093"/>
  <c r="U1093"/>
  <c r="V1093"/>
  <c r="W1093"/>
  <c r="X1093"/>
  <c r="Y1093"/>
  <c r="AB1093"/>
  <c r="AC1093"/>
  <c r="AD1093"/>
  <c r="AE1093"/>
  <c r="AF1093"/>
  <c r="AJ1093"/>
  <c r="AK1093"/>
  <c r="AL1093"/>
  <c r="G1094"/>
  <c r="H1094"/>
  <c r="I1094"/>
  <c r="J1094"/>
  <c r="K1094"/>
  <c r="N1094"/>
  <c r="O1094"/>
  <c r="P1094"/>
  <c r="Q1094"/>
  <c r="R1094"/>
  <c r="U1094"/>
  <c r="V1094"/>
  <c r="W1094"/>
  <c r="X1094"/>
  <c r="Y1094"/>
  <c r="AB1094"/>
  <c r="AC1094"/>
  <c r="AD1094"/>
  <c r="AE1094"/>
  <c r="AF1094"/>
  <c r="G1095"/>
  <c r="H1095"/>
  <c r="I1095"/>
  <c r="J1095"/>
  <c r="K1095"/>
  <c r="N1095"/>
  <c r="O1095"/>
  <c r="P1095"/>
  <c r="Q1095"/>
  <c r="R1095"/>
  <c r="U1095"/>
  <c r="V1095"/>
  <c r="W1095"/>
  <c r="X1095"/>
  <c r="Y1095"/>
  <c r="AB1095"/>
  <c r="AC1095"/>
  <c r="AD1095"/>
  <c r="AE1095"/>
  <c r="AF1095"/>
  <c r="G1096"/>
  <c r="H1096"/>
  <c r="I1096"/>
  <c r="J1096"/>
  <c r="K1096"/>
  <c r="N1096"/>
  <c r="O1096"/>
  <c r="P1096"/>
  <c r="Q1096"/>
  <c r="R1096"/>
  <c r="U1096"/>
  <c r="V1096"/>
  <c r="W1096"/>
  <c r="X1096"/>
  <c r="Y1096"/>
  <c r="AB1096"/>
  <c r="AC1096"/>
  <c r="AD1096"/>
  <c r="AE1096"/>
  <c r="AF1096"/>
  <c r="G1097"/>
  <c r="H1097"/>
  <c r="I1097"/>
  <c r="J1097"/>
  <c r="K1097"/>
  <c r="N1097"/>
  <c r="O1097"/>
  <c r="P1097"/>
  <c r="Q1097"/>
  <c r="R1097"/>
  <c r="U1097"/>
  <c r="V1097"/>
  <c r="W1097"/>
  <c r="X1097"/>
  <c r="Y1097"/>
  <c r="AB1097"/>
  <c r="AC1097"/>
  <c r="AD1097"/>
  <c r="AE1097"/>
  <c r="AF1097"/>
  <c r="F1098"/>
  <c r="G1098"/>
  <c r="H1098"/>
  <c r="I1098"/>
  <c r="J1098"/>
  <c r="K1098"/>
  <c r="N1098"/>
  <c r="O1098"/>
  <c r="P1098"/>
  <c r="Q1098"/>
  <c r="R1098"/>
  <c r="U1098"/>
  <c r="V1098"/>
  <c r="W1098"/>
  <c r="X1098"/>
  <c r="Y1098"/>
  <c r="AB1098"/>
  <c r="AC1098"/>
  <c r="AD1098"/>
  <c r="AE1098"/>
  <c r="AF1098"/>
  <c r="AN1098"/>
  <c r="AO1098"/>
  <c r="AP1098"/>
  <c r="AQ1098"/>
  <c r="F1099"/>
  <c r="L1099"/>
  <c r="S1099"/>
  <c r="Z1099"/>
  <c r="AG1099"/>
  <c r="AN1099"/>
  <c r="AO1099"/>
  <c r="AP1099"/>
  <c r="AQ1099"/>
  <c r="F1100"/>
  <c r="L1100"/>
  <c r="S1100"/>
  <c r="Z1100"/>
  <c r="AG1100"/>
  <c r="AN1100"/>
  <c r="AO1100"/>
  <c r="AP1100"/>
  <c r="AQ1100"/>
  <c r="F1101"/>
  <c r="L1101"/>
  <c r="S1101"/>
  <c r="Z1101"/>
  <c r="AG1101"/>
  <c r="AN1101"/>
  <c r="AO1101"/>
  <c r="AP1101"/>
  <c r="AQ1101"/>
  <c r="F1102"/>
  <c r="L1102"/>
  <c r="S1102"/>
  <c r="Z1102"/>
  <c r="AG1102"/>
  <c r="AN1102"/>
  <c r="AO1102"/>
  <c r="AP1102"/>
  <c r="AQ1102"/>
  <c r="F1103"/>
  <c r="L1103"/>
  <c r="S1103"/>
  <c r="Z1103"/>
  <c r="AG1103"/>
  <c r="AN1103"/>
  <c r="AO1103"/>
  <c r="AP1103"/>
  <c r="AQ1103"/>
  <c r="F1104"/>
  <c r="L1104"/>
  <c r="S1104"/>
  <c r="Z1104"/>
  <c r="AG1104"/>
  <c r="AN1104"/>
  <c r="AO1104"/>
  <c r="AP1104"/>
  <c r="AQ1104"/>
  <c r="G1106"/>
  <c r="H1106"/>
  <c r="I1106"/>
  <c r="J1106"/>
  <c r="K1106"/>
  <c r="N1106"/>
  <c r="O1106"/>
  <c r="P1106"/>
  <c r="Q1106"/>
  <c r="R1106"/>
  <c r="U1106"/>
  <c r="V1106"/>
  <c r="W1106"/>
  <c r="X1106"/>
  <c r="Y1106"/>
  <c r="AB1106"/>
  <c r="AC1106"/>
  <c r="AD1106"/>
  <c r="AE1106"/>
  <c r="AF1106"/>
  <c r="AJ1106"/>
  <c r="AK1106"/>
  <c r="AL1106"/>
  <c r="G1107"/>
  <c r="H1107"/>
  <c r="I1107"/>
  <c r="J1107"/>
  <c r="K1107"/>
  <c r="N1107"/>
  <c r="O1107"/>
  <c r="P1107"/>
  <c r="Q1107"/>
  <c r="R1107"/>
  <c r="U1107"/>
  <c r="V1107"/>
  <c r="W1107"/>
  <c r="X1107"/>
  <c r="Y1107"/>
  <c r="AB1107"/>
  <c r="AC1107"/>
  <c r="AD1107"/>
  <c r="AE1107"/>
  <c r="AF1107"/>
  <c r="G1108"/>
  <c r="H1108"/>
  <c r="I1108"/>
  <c r="J1108"/>
  <c r="K1108"/>
  <c r="N1108"/>
  <c r="O1108"/>
  <c r="P1108"/>
  <c r="Q1108"/>
  <c r="R1108"/>
  <c r="U1108"/>
  <c r="V1108"/>
  <c r="W1108"/>
  <c r="X1108"/>
  <c r="Y1108"/>
  <c r="AB1108"/>
  <c r="AC1108"/>
  <c r="AD1108"/>
  <c r="AE1108"/>
  <c r="AF1108"/>
  <c r="G1109"/>
  <c r="H1109"/>
  <c r="I1109"/>
  <c r="J1109"/>
  <c r="K1109"/>
  <c r="N1109"/>
  <c r="O1109"/>
  <c r="P1109"/>
  <c r="Q1109"/>
  <c r="R1109"/>
  <c r="U1109"/>
  <c r="V1109"/>
  <c r="W1109"/>
  <c r="X1109"/>
  <c r="Y1109"/>
  <c r="AB1109"/>
  <c r="AC1109"/>
  <c r="AD1109"/>
  <c r="AE1109"/>
  <c r="AF1109"/>
  <c r="G1110"/>
  <c r="H1110"/>
  <c r="I1110"/>
  <c r="J1110"/>
  <c r="K1110"/>
  <c r="N1110"/>
  <c r="O1110"/>
  <c r="P1110"/>
  <c r="Q1110"/>
  <c r="R1110"/>
  <c r="U1110"/>
  <c r="V1110"/>
  <c r="W1110"/>
  <c r="X1110"/>
  <c r="Y1110"/>
  <c r="AB1110"/>
  <c r="AC1110"/>
  <c r="AD1110"/>
  <c r="AE1110"/>
  <c r="AF1110"/>
  <c r="F1111"/>
  <c r="G1111"/>
  <c r="H1111"/>
  <c r="I1111"/>
  <c r="J1111"/>
  <c r="K1111"/>
  <c r="N1111"/>
  <c r="O1111"/>
  <c r="P1111"/>
  <c r="Q1111"/>
  <c r="R1111"/>
  <c r="U1111"/>
  <c r="V1111"/>
  <c r="W1111"/>
  <c r="X1111"/>
  <c r="Y1111"/>
  <c r="AB1111"/>
  <c r="AC1111"/>
  <c r="AD1111"/>
  <c r="AE1111"/>
  <c r="AF1111"/>
  <c r="AN1111"/>
  <c r="AO1111"/>
  <c r="AP1111"/>
  <c r="AQ1111"/>
  <c r="F1112"/>
  <c r="L1112"/>
  <c r="S1112"/>
  <c r="Z1112"/>
  <c r="AG1112"/>
  <c r="AN1112"/>
  <c r="AO1112"/>
  <c r="AP1112"/>
  <c r="AQ1112"/>
  <c r="F1113"/>
  <c r="L1113"/>
  <c r="S1113"/>
  <c r="Z1113"/>
  <c r="AG1113"/>
  <c r="AN1113"/>
  <c r="AO1113"/>
  <c r="AP1113"/>
  <c r="AQ1113"/>
  <c r="F1114"/>
  <c r="L1114"/>
  <c r="S1114"/>
  <c r="Z1114"/>
  <c r="AG1114"/>
  <c r="AN1114"/>
  <c r="AO1114"/>
  <c r="AP1114"/>
  <c r="AQ1114"/>
  <c r="F1115"/>
  <c r="L1115"/>
  <c r="S1115"/>
  <c r="Z1115"/>
  <c r="AG1115"/>
  <c r="AN1115"/>
  <c r="AO1115"/>
  <c r="AP1115"/>
  <c r="AQ1115"/>
  <c r="F1116"/>
  <c r="L1116"/>
  <c r="S1116"/>
  <c r="Z1116"/>
  <c r="AG1116"/>
  <c r="AN1116"/>
  <c r="AO1116"/>
  <c r="AP1116"/>
  <c r="AQ1116"/>
  <c r="F1117"/>
  <c r="L1117"/>
  <c r="S1117"/>
  <c r="Z1117"/>
  <c r="AG1117"/>
  <c r="AN1117"/>
  <c r="AO1117"/>
  <c r="AP1117"/>
  <c r="AQ1117"/>
  <c r="G1119"/>
  <c r="H1119"/>
  <c r="I1119"/>
  <c r="J1119"/>
  <c r="K1119"/>
  <c r="N1119"/>
  <c r="O1119"/>
  <c r="P1119"/>
  <c r="Q1119"/>
  <c r="R1119"/>
  <c r="U1119"/>
  <c r="V1119"/>
  <c r="W1119"/>
  <c r="X1119"/>
  <c r="Y1119"/>
  <c r="AB1119"/>
  <c r="AC1119"/>
  <c r="AD1119"/>
  <c r="AE1119"/>
  <c r="AF1119"/>
  <c r="AJ1119"/>
  <c r="AK1119"/>
  <c r="AL1119"/>
  <c r="G1120"/>
  <c r="H1120"/>
  <c r="I1120"/>
  <c r="J1120"/>
  <c r="K1120"/>
  <c r="N1120"/>
  <c r="O1120"/>
  <c r="P1120"/>
  <c r="Q1120"/>
  <c r="R1120"/>
  <c r="U1120"/>
  <c r="V1120"/>
  <c r="W1120"/>
  <c r="X1120"/>
  <c r="Y1120"/>
  <c r="AB1120"/>
  <c r="AC1120"/>
  <c r="AD1120"/>
  <c r="AE1120"/>
  <c r="AF1120"/>
  <c r="G1121"/>
  <c r="H1121"/>
  <c r="I1121"/>
  <c r="J1121"/>
  <c r="K1121"/>
  <c r="N1121"/>
  <c r="O1121"/>
  <c r="P1121"/>
  <c r="Q1121"/>
  <c r="R1121"/>
  <c r="U1121"/>
  <c r="V1121"/>
  <c r="W1121"/>
  <c r="X1121"/>
  <c r="Y1121"/>
  <c r="AB1121"/>
  <c r="AC1121"/>
  <c r="AD1121"/>
  <c r="AE1121"/>
  <c r="AF1121"/>
  <c r="G1122"/>
  <c r="H1122"/>
  <c r="I1122"/>
  <c r="J1122"/>
  <c r="K1122"/>
  <c r="N1122"/>
  <c r="O1122"/>
  <c r="P1122"/>
  <c r="Q1122"/>
  <c r="R1122"/>
  <c r="U1122"/>
  <c r="V1122"/>
  <c r="W1122"/>
  <c r="X1122"/>
  <c r="Y1122"/>
  <c r="AB1122"/>
  <c r="AC1122"/>
  <c r="AD1122"/>
  <c r="AE1122"/>
  <c r="AF1122"/>
  <c r="G1123"/>
  <c r="H1123"/>
  <c r="I1123"/>
  <c r="J1123"/>
  <c r="K1123"/>
  <c r="N1123"/>
  <c r="O1123"/>
  <c r="P1123"/>
  <c r="Q1123"/>
  <c r="R1123"/>
  <c r="U1123"/>
  <c r="V1123"/>
  <c r="W1123"/>
  <c r="X1123"/>
  <c r="Y1123"/>
  <c r="AB1123"/>
  <c r="AC1123"/>
  <c r="AD1123"/>
  <c r="AE1123"/>
  <c r="AF1123"/>
  <c r="F1124"/>
  <c r="G1124"/>
  <c r="H1124"/>
  <c r="I1124"/>
  <c r="J1124"/>
  <c r="K1124"/>
  <c r="N1124"/>
  <c r="O1124"/>
  <c r="P1124"/>
  <c r="Q1124"/>
  <c r="R1124"/>
  <c r="U1124"/>
  <c r="V1124"/>
  <c r="W1124"/>
  <c r="X1124"/>
  <c r="Y1124"/>
  <c r="AB1124"/>
  <c r="AC1124"/>
  <c r="AD1124"/>
  <c r="AE1124"/>
  <c r="AF1124"/>
  <c r="AN1124"/>
  <c r="AO1124"/>
  <c r="AP1124"/>
  <c r="AQ1124"/>
  <c r="F1125"/>
  <c r="L1125"/>
  <c r="S1125"/>
  <c r="Z1125"/>
  <c r="AG1125"/>
  <c r="AN1125"/>
  <c r="AO1125"/>
  <c r="AP1125"/>
  <c r="AQ1125"/>
  <c r="F1126"/>
  <c r="L1126"/>
  <c r="S1126"/>
  <c r="Z1126"/>
  <c r="AG1126"/>
  <c r="AN1126"/>
  <c r="AO1126"/>
  <c r="AP1126"/>
  <c r="AQ1126"/>
  <c r="F1127"/>
  <c r="L1127"/>
  <c r="S1127"/>
  <c r="Z1127"/>
  <c r="AG1127"/>
  <c r="AN1127"/>
  <c r="AO1127"/>
  <c r="AP1127"/>
  <c r="AQ1127"/>
  <c r="F1128"/>
  <c r="L1128"/>
  <c r="S1128"/>
  <c r="Z1128"/>
  <c r="AG1128"/>
  <c r="AN1128"/>
  <c r="AO1128"/>
  <c r="AP1128"/>
  <c r="AQ1128"/>
  <c r="F1129"/>
  <c r="L1129"/>
  <c r="S1129"/>
  <c r="Z1129"/>
  <c r="AG1129"/>
  <c r="AN1129"/>
  <c r="AO1129"/>
  <c r="AP1129"/>
  <c r="AQ1129"/>
  <c r="F1130"/>
  <c r="L1130"/>
  <c r="S1130"/>
  <c r="Z1130"/>
  <c r="AG1130"/>
  <c r="AN1130"/>
  <c r="AO1130"/>
  <c r="AP1130"/>
  <c r="AQ1130"/>
  <c r="G1132"/>
  <c r="H1132"/>
  <c r="I1132"/>
  <c r="J1132"/>
  <c r="K1132"/>
  <c r="N1132"/>
  <c r="O1132"/>
  <c r="P1132"/>
  <c r="Q1132"/>
  <c r="R1132"/>
  <c r="U1132"/>
  <c r="V1132"/>
  <c r="W1132"/>
  <c r="X1132"/>
  <c r="Y1132"/>
  <c r="AB1132"/>
  <c r="AC1132"/>
  <c r="AD1132"/>
  <c r="AE1132"/>
  <c r="AF1132"/>
  <c r="AJ1132"/>
  <c r="AK1132"/>
  <c r="AL1132"/>
  <c r="G1133"/>
  <c r="H1133"/>
  <c r="I1133"/>
  <c r="J1133"/>
  <c r="K1133"/>
  <c r="N1133"/>
  <c r="O1133"/>
  <c r="P1133"/>
  <c r="Q1133"/>
  <c r="R1133"/>
  <c r="U1133"/>
  <c r="V1133"/>
  <c r="W1133"/>
  <c r="X1133"/>
  <c r="Y1133"/>
  <c r="AB1133"/>
  <c r="AC1133"/>
  <c r="AD1133"/>
  <c r="AE1133"/>
  <c r="AF1133"/>
  <c r="G1134"/>
  <c r="H1134"/>
  <c r="I1134"/>
  <c r="J1134"/>
  <c r="K1134"/>
  <c r="N1134"/>
  <c r="O1134"/>
  <c r="P1134"/>
  <c r="Q1134"/>
  <c r="R1134"/>
  <c r="U1134"/>
  <c r="V1134"/>
  <c r="W1134"/>
  <c r="X1134"/>
  <c r="Y1134"/>
  <c r="AB1134"/>
  <c r="AC1134"/>
  <c r="AD1134"/>
  <c r="AE1134"/>
  <c r="AF1134"/>
  <c r="G1135"/>
  <c r="H1135"/>
  <c r="I1135"/>
  <c r="J1135"/>
  <c r="K1135"/>
  <c r="N1135"/>
  <c r="O1135"/>
  <c r="P1135"/>
  <c r="Q1135"/>
  <c r="R1135"/>
  <c r="U1135"/>
  <c r="V1135"/>
  <c r="W1135"/>
  <c r="X1135"/>
  <c r="Y1135"/>
  <c r="AB1135"/>
  <c r="AC1135"/>
  <c r="AD1135"/>
  <c r="AE1135"/>
  <c r="AF1135"/>
  <c r="G1136"/>
  <c r="H1136"/>
  <c r="I1136"/>
  <c r="J1136"/>
  <c r="K1136"/>
  <c r="N1136"/>
  <c r="O1136"/>
  <c r="P1136"/>
  <c r="Q1136"/>
  <c r="R1136"/>
  <c r="U1136"/>
  <c r="V1136"/>
  <c r="W1136"/>
  <c r="X1136"/>
  <c r="Y1136"/>
  <c r="AB1136"/>
  <c r="AC1136"/>
  <c r="AD1136"/>
  <c r="AE1136"/>
  <c r="AF1136"/>
  <c r="F1137"/>
  <c r="G1137"/>
  <c r="H1137"/>
  <c r="I1137"/>
  <c r="J1137"/>
  <c r="K1137"/>
  <c r="N1137"/>
  <c r="O1137"/>
  <c r="P1137"/>
  <c r="Q1137"/>
  <c r="R1137"/>
  <c r="U1137"/>
  <c r="V1137"/>
  <c r="W1137"/>
  <c r="X1137"/>
  <c r="Y1137"/>
  <c r="AB1137"/>
  <c r="AC1137"/>
  <c r="AD1137"/>
  <c r="AE1137"/>
  <c r="AF1137"/>
  <c r="AN1137"/>
  <c r="AO1137"/>
  <c r="AP1137"/>
  <c r="AQ1137"/>
  <c r="F1138"/>
  <c r="L1138"/>
  <c r="S1138"/>
  <c r="Z1138"/>
  <c r="AG1138"/>
  <c r="AN1138"/>
  <c r="AO1138"/>
  <c r="AP1138"/>
  <c r="AQ1138"/>
  <c r="F1139"/>
  <c r="L1139"/>
  <c r="S1139"/>
  <c r="Z1139"/>
  <c r="AG1139"/>
  <c r="AN1139"/>
  <c r="AO1139"/>
  <c r="AP1139"/>
  <c r="AQ1139"/>
  <c r="F1140"/>
  <c r="L1140"/>
  <c r="S1140"/>
  <c r="Z1140"/>
  <c r="AG1140"/>
  <c r="AN1140"/>
  <c r="AO1140"/>
  <c r="AP1140"/>
  <c r="AQ1140"/>
  <c r="F1141"/>
  <c r="L1141"/>
  <c r="S1141"/>
  <c r="Z1141"/>
  <c r="AG1141"/>
  <c r="AN1141"/>
  <c r="AO1141"/>
  <c r="AP1141"/>
  <c r="AQ1141"/>
  <c r="F1142"/>
  <c r="L1142"/>
  <c r="S1142"/>
  <c r="Z1142"/>
  <c r="AG1142"/>
  <c r="AN1142"/>
  <c r="AO1142"/>
  <c r="AP1142"/>
  <c r="AQ1142"/>
  <c r="F1143"/>
  <c r="L1143"/>
  <c r="S1143"/>
  <c r="Z1143"/>
  <c r="AG1143"/>
  <c r="AN1143"/>
  <c r="AO1143"/>
  <c r="AP1143"/>
  <c r="AQ1143"/>
  <c r="G1145"/>
  <c r="H1145"/>
  <c r="I1145"/>
  <c r="J1145"/>
  <c r="K1145"/>
  <c r="N1145"/>
  <c r="O1145"/>
  <c r="P1145"/>
  <c r="Q1145"/>
  <c r="R1145"/>
  <c r="U1145"/>
  <c r="V1145"/>
  <c r="W1145"/>
  <c r="X1145"/>
  <c r="Y1145"/>
  <c r="AB1145"/>
  <c r="AC1145"/>
  <c r="AD1145"/>
  <c r="AE1145"/>
  <c r="AF1145"/>
  <c r="AJ1145"/>
  <c r="AK1145"/>
  <c r="AL1145"/>
  <c r="G1146"/>
  <c r="H1146"/>
  <c r="I1146"/>
  <c r="J1146"/>
  <c r="K1146"/>
  <c r="N1146"/>
  <c r="O1146"/>
  <c r="P1146"/>
  <c r="Q1146"/>
  <c r="R1146"/>
  <c r="U1146"/>
  <c r="V1146"/>
  <c r="W1146"/>
  <c r="X1146"/>
  <c r="Y1146"/>
  <c r="AB1146"/>
  <c r="AC1146"/>
  <c r="AD1146"/>
  <c r="AE1146"/>
  <c r="AF1146"/>
  <c r="G1147"/>
  <c r="H1147"/>
  <c r="I1147"/>
  <c r="J1147"/>
  <c r="K1147"/>
  <c r="N1147"/>
  <c r="O1147"/>
  <c r="P1147"/>
  <c r="Q1147"/>
  <c r="R1147"/>
  <c r="U1147"/>
  <c r="V1147"/>
  <c r="W1147"/>
  <c r="X1147"/>
  <c r="Y1147"/>
  <c r="AB1147"/>
  <c r="AC1147"/>
  <c r="AD1147"/>
  <c r="AE1147"/>
  <c r="AF1147"/>
  <c r="G1148"/>
  <c r="H1148"/>
  <c r="I1148"/>
  <c r="J1148"/>
  <c r="K1148"/>
  <c r="N1148"/>
  <c r="O1148"/>
  <c r="P1148"/>
  <c r="Q1148"/>
  <c r="R1148"/>
  <c r="U1148"/>
  <c r="V1148"/>
  <c r="W1148"/>
  <c r="X1148"/>
  <c r="Y1148"/>
  <c r="AB1148"/>
  <c r="AC1148"/>
  <c r="AD1148"/>
  <c r="AE1148"/>
  <c r="AF1148"/>
  <c r="G1149"/>
  <c r="H1149"/>
  <c r="I1149"/>
  <c r="J1149"/>
  <c r="K1149"/>
  <c r="N1149"/>
  <c r="O1149"/>
  <c r="P1149"/>
  <c r="Q1149"/>
  <c r="R1149"/>
  <c r="U1149"/>
  <c r="V1149"/>
  <c r="W1149"/>
  <c r="X1149"/>
  <c r="Y1149"/>
  <c r="AB1149"/>
  <c r="AC1149"/>
  <c r="AD1149"/>
  <c r="AE1149"/>
  <c r="AF1149"/>
  <c r="F1150"/>
  <c r="G1150"/>
  <c r="H1150"/>
  <c r="I1150"/>
  <c r="J1150"/>
  <c r="K1150"/>
  <c r="N1150"/>
  <c r="O1150"/>
  <c r="P1150"/>
  <c r="Q1150"/>
  <c r="R1150"/>
  <c r="U1150"/>
  <c r="V1150"/>
  <c r="W1150"/>
  <c r="X1150"/>
  <c r="Y1150"/>
  <c r="AB1150"/>
  <c r="AC1150"/>
  <c r="AD1150"/>
  <c r="AE1150"/>
  <c r="AF1150"/>
  <c r="AN1150"/>
  <c r="AO1150"/>
  <c r="AP1150"/>
  <c r="AQ1150"/>
  <c r="F1151"/>
  <c r="L1151"/>
  <c r="S1151"/>
  <c r="Z1151"/>
  <c r="AG1151"/>
  <c r="AN1151"/>
  <c r="AO1151"/>
  <c r="AP1151"/>
  <c r="AQ1151"/>
  <c r="F1152"/>
  <c r="L1152"/>
  <c r="S1152"/>
  <c r="Z1152"/>
  <c r="AG1152"/>
  <c r="AN1152"/>
  <c r="AO1152"/>
  <c r="AP1152"/>
  <c r="AQ1152"/>
  <c r="F1153"/>
  <c r="L1153"/>
  <c r="S1153"/>
  <c r="Z1153"/>
  <c r="AG1153"/>
  <c r="AN1153"/>
  <c r="AO1153"/>
  <c r="AP1153"/>
  <c r="AQ1153"/>
  <c r="F1154"/>
  <c r="L1154"/>
  <c r="S1154"/>
  <c r="Z1154"/>
  <c r="AG1154"/>
  <c r="AN1154"/>
  <c r="AO1154"/>
  <c r="AP1154"/>
  <c r="AQ1154"/>
  <c r="F1155"/>
  <c r="L1155"/>
  <c r="S1155"/>
  <c r="Z1155"/>
  <c r="AG1155"/>
  <c r="AN1155"/>
  <c r="AO1155"/>
  <c r="AP1155"/>
  <c r="AQ1155"/>
  <c r="F1156"/>
  <c r="L1156"/>
  <c r="S1156"/>
  <c r="Z1156"/>
  <c r="AG1156"/>
  <c r="AN1156"/>
  <c r="AO1156"/>
  <c r="AP1156"/>
  <c r="AQ1156"/>
  <c r="G1158"/>
  <c r="H1158"/>
  <c r="I1158"/>
  <c r="J1158"/>
  <c r="K1158"/>
  <c r="N1158"/>
  <c r="O1158"/>
  <c r="P1158"/>
  <c r="Q1158"/>
  <c r="R1158"/>
  <c r="U1158"/>
  <c r="V1158"/>
  <c r="W1158"/>
  <c r="X1158"/>
  <c r="Y1158"/>
  <c r="AB1158"/>
  <c r="AC1158"/>
  <c r="AD1158"/>
  <c r="AE1158"/>
  <c r="AF1158"/>
  <c r="AJ1158"/>
  <c r="AK1158"/>
  <c r="AL1158"/>
  <c r="G1159"/>
  <c r="H1159"/>
  <c r="I1159"/>
  <c r="J1159"/>
  <c r="K1159"/>
  <c r="N1159"/>
  <c r="O1159"/>
  <c r="P1159"/>
  <c r="Q1159"/>
  <c r="R1159"/>
  <c r="U1159"/>
  <c r="V1159"/>
  <c r="W1159"/>
  <c r="X1159"/>
  <c r="Y1159"/>
  <c r="AB1159"/>
  <c r="AC1159"/>
  <c r="AD1159"/>
  <c r="AE1159"/>
  <c r="AF1159"/>
  <c r="G1160"/>
  <c r="H1160"/>
  <c r="I1160"/>
  <c r="J1160"/>
  <c r="K1160"/>
  <c r="N1160"/>
  <c r="O1160"/>
  <c r="P1160"/>
  <c r="Q1160"/>
  <c r="R1160"/>
  <c r="U1160"/>
  <c r="V1160"/>
  <c r="W1160"/>
  <c r="X1160"/>
  <c r="Y1160"/>
  <c r="AB1160"/>
  <c r="AC1160"/>
  <c r="AD1160"/>
  <c r="AE1160"/>
  <c r="AF1160"/>
  <c r="G1161"/>
  <c r="H1161"/>
  <c r="I1161"/>
  <c r="J1161"/>
  <c r="K1161"/>
  <c r="N1161"/>
  <c r="O1161"/>
  <c r="P1161"/>
  <c r="Q1161"/>
  <c r="R1161"/>
  <c r="U1161"/>
  <c r="V1161"/>
  <c r="W1161"/>
  <c r="X1161"/>
  <c r="Y1161"/>
  <c r="AB1161"/>
  <c r="AC1161"/>
  <c r="AD1161"/>
  <c r="AE1161"/>
  <c r="AF1161"/>
  <c r="G1162"/>
  <c r="H1162"/>
  <c r="I1162"/>
  <c r="J1162"/>
  <c r="K1162"/>
  <c r="N1162"/>
  <c r="O1162"/>
  <c r="P1162"/>
  <c r="Q1162"/>
  <c r="R1162"/>
  <c r="U1162"/>
  <c r="V1162"/>
  <c r="W1162"/>
  <c r="X1162"/>
  <c r="Y1162"/>
  <c r="AB1162"/>
  <c r="AC1162"/>
  <c r="AD1162"/>
  <c r="AE1162"/>
  <c r="AF1162"/>
  <c r="F1163"/>
  <c r="G1163"/>
  <c r="H1163"/>
  <c r="I1163"/>
  <c r="J1163"/>
  <c r="K1163"/>
  <c r="N1163"/>
  <c r="O1163"/>
  <c r="P1163"/>
  <c r="Q1163"/>
  <c r="R1163"/>
  <c r="U1163"/>
  <c r="V1163"/>
  <c r="W1163"/>
  <c r="X1163"/>
  <c r="Y1163"/>
  <c r="AB1163"/>
  <c r="AC1163"/>
  <c r="AD1163"/>
  <c r="AE1163"/>
  <c r="AF1163"/>
  <c r="AN1163"/>
  <c r="AO1163"/>
  <c r="AP1163"/>
  <c r="AQ1163"/>
  <c r="F1164"/>
  <c r="L1164"/>
  <c r="S1164"/>
  <c r="Z1164"/>
  <c r="AG1164"/>
  <c r="AN1164"/>
  <c r="AO1164"/>
  <c r="AP1164"/>
  <c r="AQ1164"/>
  <c r="F1165"/>
  <c r="L1165"/>
  <c r="S1165"/>
  <c r="Z1165"/>
  <c r="AG1165"/>
  <c r="AN1165"/>
  <c r="AO1165"/>
  <c r="AP1165"/>
  <c r="AQ1165"/>
  <c r="F1166"/>
  <c r="L1166"/>
  <c r="S1166"/>
  <c r="Z1166"/>
  <c r="AG1166"/>
  <c r="AN1166"/>
  <c r="AO1166"/>
  <c r="AP1166"/>
  <c r="AQ1166"/>
  <c r="F1167"/>
  <c r="L1167"/>
  <c r="S1167"/>
  <c r="Z1167"/>
  <c r="AG1167"/>
  <c r="AN1167"/>
  <c r="AO1167"/>
  <c r="AP1167"/>
  <c r="AQ1167"/>
  <c r="F1168"/>
  <c r="L1168"/>
  <c r="S1168"/>
  <c r="Z1168"/>
  <c r="AG1168"/>
  <c r="AN1168"/>
  <c r="AO1168"/>
  <c r="AP1168"/>
  <c r="AQ1168"/>
  <c r="F1169"/>
  <c r="L1169"/>
  <c r="S1169"/>
  <c r="Z1169"/>
  <c r="AG1169"/>
  <c r="AN1169"/>
  <c r="AO1169"/>
  <c r="AP1169"/>
  <c r="AQ1169"/>
  <c r="G1171"/>
  <c r="H1171"/>
  <c r="I1171"/>
  <c r="J1171"/>
  <c r="K1171"/>
  <c r="N1171"/>
  <c r="O1171"/>
  <c r="P1171"/>
  <c r="Q1171"/>
  <c r="R1171"/>
  <c r="U1171"/>
  <c r="V1171"/>
  <c r="W1171"/>
  <c r="X1171"/>
  <c r="Y1171"/>
  <c r="AB1171"/>
  <c r="AC1171"/>
  <c r="AD1171"/>
  <c r="AE1171"/>
  <c r="AF1171"/>
  <c r="AJ1171"/>
  <c r="AK1171"/>
  <c r="AL1171"/>
  <c r="G1172"/>
  <c r="H1172"/>
  <c r="I1172"/>
  <c r="J1172"/>
  <c r="K1172"/>
  <c r="N1172"/>
  <c r="O1172"/>
  <c r="P1172"/>
  <c r="Q1172"/>
  <c r="R1172"/>
  <c r="U1172"/>
  <c r="V1172"/>
  <c r="W1172"/>
  <c r="X1172"/>
  <c r="Y1172"/>
  <c r="AB1172"/>
  <c r="AC1172"/>
  <c r="AD1172"/>
  <c r="AE1172"/>
  <c r="AF1172"/>
  <c r="G1173"/>
  <c r="H1173"/>
  <c r="I1173"/>
  <c r="J1173"/>
  <c r="K1173"/>
  <c r="N1173"/>
  <c r="O1173"/>
  <c r="P1173"/>
  <c r="Q1173"/>
  <c r="R1173"/>
  <c r="U1173"/>
  <c r="V1173"/>
  <c r="W1173"/>
  <c r="X1173"/>
  <c r="Y1173"/>
  <c r="AB1173"/>
  <c r="AC1173"/>
  <c r="AD1173"/>
  <c r="AE1173"/>
  <c r="AF1173"/>
  <c r="G1174"/>
  <c r="H1174"/>
  <c r="I1174"/>
  <c r="J1174"/>
  <c r="K1174"/>
  <c r="N1174"/>
  <c r="O1174"/>
  <c r="P1174"/>
  <c r="Q1174"/>
  <c r="R1174"/>
  <c r="U1174"/>
  <c r="V1174"/>
  <c r="W1174"/>
  <c r="X1174"/>
  <c r="Y1174"/>
  <c r="AB1174"/>
  <c r="AC1174"/>
  <c r="AD1174"/>
  <c r="AE1174"/>
  <c r="AF1174"/>
  <c r="G1175"/>
  <c r="H1175"/>
  <c r="I1175"/>
  <c r="J1175"/>
  <c r="K1175"/>
  <c r="N1175"/>
  <c r="O1175"/>
  <c r="P1175"/>
  <c r="Q1175"/>
  <c r="R1175"/>
  <c r="U1175"/>
  <c r="V1175"/>
  <c r="W1175"/>
  <c r="X1175"/>
  <c r="Y1175"/>
  <c r="AB1175"/>
  <c r="AC1175"/>
  <c r="AD1175"/>
  <c r="AE1175"/>
  <c r="AF1175"/>
  <c r="F1176"/>
  <c r="G1176"/>
  <c r="H1176"/>
  <c r="I1176"/>
  <c r="J1176"/>
  <c r="K1176"/>
  <c r="N1176"/>
  <c r="O1176"/>
  <c r="P1176"/>
  <c r="Q1176"/>
  <c r="R1176"/>
  <c r="U1176"/>
  <c r="V1176"/>
  <c r="W1176"/>
  <c r="X1176"/>
  <c r="Y1176"/>
  <c r="AB1176"/>
  <c r="AC1176"/>
  <c r="AD1176"/>
  <c r="AE1176"/>
  <c r="AF1176"/>
  <c r="AN1176"/>
  <c r="AO1176"/>
  <c r="AP1176"/>
  <c r="AQ1176"/>
  <c r="F1177"/>
  <c r="L1177"/>
  <c r="S1177"/>
  <c r="Z1177"/>
  <c r="AG1177"/>
  <c r="AN1177"/>
  <c r="AO1177"/>
  <c r="AP1177"/>
  <c r="AQ1177"/>
  <c r="F1178"/>
  <c r="L1178"/>
  <c r="S1178"/>
  <c r="Z1178"/>
  <c r="AG1178"/>
  <c r="AN1178"/>
  <c r="AO1178"/>
  <c r="AP1178"/>
  <c r="AQ1178"/>
  <c r="F1179"/>
  <c r="L1179"/>
  <c r="S1179"/>
  <c r="Z1179"/>
  <c r="AG1179"/>
  <c r="AN1179"/>
  <c r="AO1179"/>
  <c r="AP1179"/>
  <c r="AQ1179"/>
  <c r="F1180"/>
  <c r="L1180"/>
  <c r="S1180"/>
  <c r="Z1180"/>
  <c r="AG1180"/>
  <c r="AN1180"/>
  <c r="AO1180"/>
  <c r="AP1180"/>
  <c r="AQ1180"/>
  <c r="F1181"/>
  <c r="L1181"/>
  <c r="S1181"/>
  <c r="Z1181"/>
  <c r="AG1181"/>
  <c r="AN1181"/>
  <c r="AO1181"/>
  <c r="AP1181"/>
  <c r="AQ1181"/>
  <c r="F1182"/>
  <c r="L1182"/>
  <c r="S1182"/>
  <c r="Z1182"/>
  <c r="AG1182"/>
  <c r="AN1182"/>
  <c r="AO1182"/>
  <c r="AP1182"/>
  <c r="AQ1182"/>
  <c r="G1184"/>
  <c r="H1184"/>
  <c r="I1184"/>
  <c r="J1184"/>
  <c r="K1184"/>
  <c r="N1184"/>
  <c r="O1184"/>
  <c r="P1184"/>
  <c r="Q1184"/>
  <c r="R1184"/>
  <c r="U1184"/>
  <c r="V1184"/>
  <c r="W1184"/>
  <c r="X1184"/>
  <c r="Y1184"/>
  <c r="AB1184"/>
  <c r="AC1184"/>
  <c r="AD1184"/>
  <c r="AE1184"/>
  <c r="AF1184"/>
  <c r="AJ1184"/>
  <c r="AK1184"/>
  <c r="AL1184"/>
  <c r="G1185"/>
  <c r="H1185"/>
  <c r="I1185"/>
  <c r="J1185"/>
  <c r="K1185"/>
  <c r="N1185"/>
  <c r="O1185"/>
  <c r="P1185"/>
  <c r="Q1185"/>
  <c r="R1185"/>
  <c r="U1185"/>
  <c r="V1185"/>
  <c r="W1185"/>
  <c r="X1185"/>
  <c r="Y1185"/>
  <c r="AB1185"/>
  <c r="AC1185"/>
  <c r="AD1185"/>
  <c r="AE1185"/>
  <c r="AF1185"/>
  <c r="G1186"/>
  <c r="H1186"/>
  <c r="I1186"/>
  <c r="J1186"/>
  <c r="K1186"/>
  <c r="N1186"/>
  <c r="O1186"/>
  <c r="P1186"/>
  <c r="Q1186"/>
  <c r="R1186"/>
  <c r="U1186"/>
  <c r="V1186"/>
  <c r="W1186"/>
  <c r="X1186"/>
  <c r="Y1186"/>
  <c r="AB1186"/>
  <c r="AC1186"/>
  <c r="AD1186"/>
  <c r="AE1186"/>
  <c r="AF1186"/>
  <c r="G1187"/>
  <c r="H1187"/>
  <c r="I1187"/>
  <c r="J1187"/>
  <c r="K1187"/>
  <c r="N1187"/>
  <c r="O1187"/>
  <c r="P1187"/>
  <c r="Q1187"/>
  <c r="R1187"/>
  <c r="U1187"/>
  <c r="V1187"/>
  <c r="W1187"/>
  <c r="X1187"/>
  <c r="Y1187"/>
  <c r="AB1187"/>
  <c r="AC1187"/>
  <c r="AD1187"/>
  <c r="AE1187"/>
  <c r="AF1187"/>
  <c r="G1188"/>
  <c r="H1188"/>
  <c r="I1188"/>
  <c r="J1188"/>
  <c r="K1188"/>
  <c r="N1188"/>
  <c r="O1188"/>
  <c r="P1188"/>
  <c r="Q1188"/>
  <c r="R1188"/>
  <c r="U1188"/>
  <c r="V1188"/>
  <c r="W1188"/>
  <c r="X1188"/>
  <c r="Y1188"/>
  <c r="AB1188"/>
  <c r="AC1188"/>
  <c r="AD1188"/>
  <c r="AE1188"/>
  <c r="AF1188"/>
  <c r="F1189"/>
  <c r="G1189"/>
  <c r="H1189"/>
  <c r="I1189"/>
  <c r="J1189"/>
  <c r="K1189"/>
  <c r="N1189"/>
  <c r="O1189"/>
  <c r="P1189"/>
  <c r="Q1189"/>
  <c r="R1189"/>
  <c r="U1189"/>
  <c r="V1189"/>
  <c r="W1189"/>
  <c r="X1189"/>
  <c r="Y1189"/>
  <c r="AB1189"/>
  <c r="AC1189"/>
  <c r="AD1189"/>
  <c r="AE1189"/>
  <c r="AF1189"/>
  <c r="AN1189"/>
  <c r="AO1189"/>
  <c r="AP1189"/>
  <c r="AQ1189"/>
  <c r="F1190"/>
  <c r="L1190"/>
  <c r="S1190"/>
  <c r="Z1190"/>
  <c r="AG1190"/>
  <c r="AN1190"/>
  <c r="AO1190"/>
  <c r="AP1190"/>
  <c r="AQ1190"/>
  <c r="F1191"/>
  <c r="L1191"/>
  <c r="S1191"/>
  <c r="Z1191"/>
  <c r="AG1191"/>
  <c r="AN1191"/>
  <c r="AO1191"/>
  <c r="AP1191"/>
  <c r="AQ1191"/>
  <c r="F1192"/>
  <c r="L1192"/>
  <c r="S1192"/>
  <c r="Z1192"/>
  <c r="AG1192"/>
  <c r="AN1192"/>
  <c r="AO1192"/>
  <c r="AP1192"/>
  <c r="AQ1192"/>
  <c r="F1193"/>
  <c r="L1193"/>
  <c r="S1193"/>
  <c r="Z1193"/>
  <c r="AG1193"/>
  <c r="AN1193"/>
  <c r="AO1193"/>
  <c r="AP1193"/>
  <c r="AQ1193"/>
  <c r="F1194"/>
  <c r="L1194"/>
  <c r="S1194"/>
  <c r="Z1194"/>
  <c r="AG1194"/>
  <c r="AN1194"/>
  <c r="AO1194"/>
  <c r="AP1194"/>
  <c r="AQ1194"/>
  <c r="F1195"/>
  <c r="L1195"/>
  <c r="S1195"/>
  <c r="Z1195"/>
  <c r="AG1195"/>
  <c r="AN1195"/>
  <c r="AO1195"/>
  <c r="AP1195"/>
  <c r="AQ1195"/>
  <c r="G1197"/>
  <c r="H1197"/>
  <c r="I1197"/>
  <c r="J1197"/>
  <c r="K1197"/>
  <c r="N1197"/>
  <c r="O1197"/>
  <c r="P1197"/>
  <c r="Q1197"/>
  <c r="R1197"/>
  <c r="U1197"/>
  <c r="V1197"/>
  <c r="W1197"/>
  <c r="X1197"/>
  <c r="Y1197"/>
  <c r="AB1197"/>
  <c r="AC1197"/>
  <c r="AD1197"/>
  <c r="AE1197"/>
  <c r="AF1197"/>
  <c r="AJ1197"/>
  <c r="AK1197"/>
  <c r="AL1197"/>
  <c r="G1198"/>
  <c r="H1198"/>
  <c r="I1198"/>
  <c r="J1198"/>
  <c r="K1198"/>
  <c r="N1198"/>
  <c r="O1198"/>
  <c r="P1198"/>
  <c r="Q1198"/>
  <c r="R1198"/>
  <c r="U1198"/>
  <c r="V1198"/>
  <c r="W1198"/>
  <c r="X1198"/>
  <c r="Y1198"/>
  <c r="AB1198"/>
  <c r="AC1198"/>
  <c r="AD1198"/>
  <c r="AE1198"/>
  <c r="AF1198"/>
  <c r="G1199"/>
  <c r="H1199"/>
  <c r="I1199"/>
  <c r="J1199"/>
  <c r="K1199"/>
  <c r="N1199"/>
  <c r="O1199"/>
  <c r="P1199"/>
  <c r="Q1199"/>
  <c r="R1199"/>
  <c r="U1199"/>
  <c r="V1199"/>
  <c r="W1199"/>
  <c r="X1199"/>
  <c r="Y1199"/>
  <c r="AB1199"/>
  <c r="AC1199"/>
  <c r="AD1199"/>
  <c r="AE1199"/>
  <c r="AF1199"/>
  <c r="G1200"/>
  <c r="H1200"/>
  <c r="I1200"/>
  <c r="J1200"/>
  <c r="K1200"/>
  <c r="N1200"/>
  <c r="O1200"/>
  <c r="P1200"/>
  <c r="Q1200"/>
  <c r="R1200"/>
  <c r="U1200"/>
  <c r="V1200"/>
  <c r="W1200"/>
  <c r="X1200"/>
  <c r="Y1200"/>
  <c r="AB1200"/>
  <c r="AC1200"/>
  <c r="AD1200"/>
  <c r="AE1200"/>
  <c r="AF1200"/>
  <c r="G1201"/>
  <c r="H1201"/>
  <c r="I1201"/>
  <c r="J1201"/>
  <c r="K1201"/>
  <c r="N1201"/>
  <c r="O1201"/>
  <c r="P1201"/>
  <c r="Q1201"/>
  <c r="R1201"/>
  <c r="U1201"/>
  <c r="V1201"/>
  <c r="W1201"/>
  <c r="X1201"/>
  <c r="Y1201"/>
  <c r="AB1201"/>
  <c r="AC1201"/>
  <c r="AD1201"/>
  <c r="AE1201"/>
  <c r="AF1201"/>
  <c r="F1202"/>
  <c r="G1202"/>
  <c r="H1202"/>
  <c r="I1202"/>
  <c r="J1202"/>
  <c r="K1202"/>
  <c r="N1202"/>
  <c r="O1202"/>
  <c r="P1202"/>
  <c r="Q1202"/>
  <c r="R1202"/>
  <c r="U1202"/>
  <c r="V1202"/>
  <c r="W1202"/>
  <c r="X1202"/>
  <c r="Y1202"/>
  <c r="AB1202"/>
  <c r="AC1202"/>
  <c r="AD1202"/>
  <c r="AE1202"/>
  <c r="AF1202"/>
  <c r="AN1202"/>
  <c r="AO1202"/>
  <c r="AP1202"/>
  <c r="AQ1202"/>
  <c r="F1203"/>
  <c r="L1203"/>
  <c r="S1203"/>
  <c r="Z1203"/>
  <c r="AG1203"/>
  <c r="AN1203"/>
  <c r="AO1203"/>
  <c r="AP1203"/>
  <c r="AQ1203"/>
  <c r="F1204"/>
  <c r="L1204"/>
  <c r="S1204"/>
  <c r="Z1204"/>
  <c r="AG1204"/>
  <c r="AN1204"/>
  <c r="AO1204"/>
  <c r="AP1204"/>
  <c r="AQ1204"/>
  <c r="F1205"/>
  <c r="L1205"/>
  <c r="S1205"/>
  <c r="Z1205"/>
  <c r="AG1205"/>
  <c r="AN1205"/>
  <c r="AO1205"/>
  <c r="AP1205"/>
  <c r="AQ1205"/>
  <c r="F1206"/>
  <c r="L1206"/>
  <c r="S1206"/>
  <c r="Z1206"/>
  <c r="AG1206"/>
  <c r="AN1206"/>
  <c r="AO1206"/>
  <c r="AP1206"/>
  <c r="AQ1206"/>
  <c r="F1207"/>
  <c r="L1207"/>
  <c r="S1207"/>
  <c r="Z1207"/>
  <c r="AG1207"/>
  <c r="AN1207"/>
  <c r="AO1207"/>
  <c r="AP1207"/>
  <c r="AQ1207"/>
  <c r="F1208"/>
  <c r="L1208"/>
  <c r="S1208"/>
  <c r="Z1208"/>
  <c r="AG1208"/>
  <c r="AN1208"/>
  <c r="AO1208"/>
  <c r="AP1208"/>
  <c r="AQ1208"/>
  <c r="G1210"/>
  <c r="H1210"/>
  <c r="I1210"/>
  <c r="J1210"/>
  <c r="K1210"/>
  <c r="N1210"/>
  <c r="O1210"/>
  <c r="P1210"/>
  <c r="Q1210"/>
  <c r="R1210"/>
  <c r="U1210"/>
  <c r="V1210"/>
  <c r="W1210"/>
  <c r="X1210"/>
  <c r="Y1210"/>
  <c r="AB1210"/>
  <c r="AC1210"/>
  <c r="AD1210"/>
  <c r="AE1210"/>
  <c r="AF1210"/>
  <c r="AJ1210"/>
  <c r="AK1210"/>
  <c r="AL1210"/>
  <c r="G1211"/>
  <c r="H1211"/>
  <c r="I1211"/>
  <c r="J1211"/>
  <c r="K1211"/>
  <c r="N1211"/>
  <c r="O1211"/>
  <c r="P1211"/>
  <c r="Q1211"/>
  <c r="R1211"/>
  <c r="U1211"/>
  <c r="V1211"/>
  <c r="W1211"/>
  <c r="X1211"/>
  <c r="Y1211"/>
  <c r="AB1211"/>
  <c r="AC1211"/>
  <c r="AD1211"/>
  <c r="AE1211"/>
  <c r="AF1211"/>
  <c r="G1212"/>
  <c r="H1212"/>
  <c r="I1212"/>
  <c r="J1212"/>
  <c r="K1212"/>
  <c r="N1212"/>
  <c r="O1212"/>
  <c r="P1212"/>
  <c r="Q1212"/>
  <c r="R1212"/>
  <c r="U1212"/>
  <c r="V1212"/>
  <c r="W1212"/>
  <c r="X1212"/>
  <c r="Y1212"/>
  <c r="AB1212"/>
  <c r="AC1212"/>
  <c r="AD1212"/>
  <c r="AE1212"/>
  <c r="AF1212"/>
  <c r="G1213"/>
  <c r="H1213"/>
  <c r="I1213"/>
  <c r="J1213"/>
  <c r="K1213"/>
  <c r="N1213"/>
  <c r="O1213"/>
  <c r="P1213"/>
  <c r="Q1213"/>
  <c r="R1213"/>
  <c r="U1213"/>
  <c r="V1213"/>
  <c r="W1213"/>
  <c r="X1213"/>
  <c r="Y1213"/>
  <c r="AB1213"/>
  <c r="AC1213"/>
  <c r="AD1213"/>
  <c r="AE1213"/>
  <c r="AF1213"/>
  <c r="G1214"/>
  <c r="H1214"/>
  <c r="I1214"/>
  <c r="J1214"/>
  <c r="K1214"/>
  <c r="N1214"/>
  <c r="O1214"/>
  <c r="P1214"/>
  <c r="Q1214"/>
  <c r="R1214"/>
  <c r="U1214"/>
  <c r="V1214"/>
  <c r="W1214"/>
  <c r="X1214"/>
  <c r="Y1214"/>
  <c r="AB1214"/>
  <c r="AC1214"/>
  <c r="AD1214"/>
  <c r="AE1214"/>
  <c r="AF1214"/>
  <c r="F1215"/>
  <c r="G1215"/>
  <c r="H1215"/>
  <c r="I1215"/>
  <c r="J1215"/>
  <c r="K1215"/>
  <c r="N1215"/>
  <c r="O1215"/>
  <c r="P1215"/>
  <c r="Q1215"/>
  <c r="R1215"/>
  <c r="U1215"/>
  <c r="V1215"/>
  <c r="W1215"/>
  <c r="X1215"/>
  <c r="Y1215"/>
  <c r="AB1215"/>
  <c r="AC1215"/>
  <c r="AD1215"/>
  <c r="AE1215"/>
  <c r="AF1215"/>
  <c r="AN1215"/>
  <c r="AO1215"/>
  <c r="AP1215"/>
  <c r="AQ1215"/>
  <c r="F1216"/>
  <c r="L1216"/>
  <c r="S1216"/>
  <c r="Z1216"/>
  <c r="AG1216"/>
  <c r="AN1216"/>
  <c r="AO1216"/>
  <c r="AP1216"/>
  <c r="AQ1216"/>
  <c r="F1217"/>
  <c r="L1217"/>
  <c r="S1217"/>
  <c r="Z1217"/>
  <c r="AG1217"/>
  <c r="AN1217"/>
  <c r="AO1217"/>
  <c r="AP1217"/>
  <c r="AQ1217"/>
  <c r="F1218"/>
  <c r="L1218"/>
  <c r="S1218"/>
  <c r="Z1218"/>
  <c r="AG1218"/>
  <c r="AN1218"/>
  <c r="AO1218"/>
  <c r="AP1218"/>
  <c r="AQ1218"/>
  <c r="F1219"/>
  <c r="L1219"/>
  <c r="S1219"/>
  <c r="Z1219"/>
  <c r="AG1219"/>
  <c r="AN1219"/>
  <c r="AO1219"/>
  <c r="AP1219"/>
  <c r="AQ1219"/>
  <c r="F1220"/>
  <c r="L1220"/>
  <c r="S1220"/>
  <c r="Z1220"/>
  <c r="AG1220"/>
  <c r="AN1220"/>
  <c r="AO1220"/>
  <c r="AP1220"/>
  <c r="AQ1220"/>
  <c r="F1221"/>
  <c r="L1221"/>
  <c r="S1221"/>
  <c r="Z1221"/>
  <c r="AG1221"/>
  <c r="AN1221"/>
  <c r="AO1221"/>
  <c r="AP1221"/>
  <c r="AQ1221"/>
  <c r="G1223"/>
  <c r="H1223"/>
  <c r="I1223"/>
  <c r="J1223"/>
  <c r="K1223"/>
  <c r="N1223"/>
  <c r="O1223"/>
  <c r="P1223"/>
  <c r="Q1223"/>
  <c r="R1223"/>
  <c r="U1223"/>
  <c r="V1223"/>
  <c r="W1223"/>
  <c r="X1223"/>
  <c r="Y1223"/>
  <c r="AB1223"/>
  <c r="AC1223"/>
  <c r="AD1223"/>
  <c r="AE1223"/>
  <c r="AF1223"/>
  <c r="AJ1223"/>
  <c r="AK1223"/>
  <c r="AL1223"/>
  <c r="G1224"/>
  <c r="H1224"/>
  <c r="I1224"/>
  <c r="J1224"/>
  <c r="K1224"/>
  <c r="N1224"/>
  <c r="O1224"/>
  <c r="P1224"/>
  <c r="Q1224"/>
  <c r="R1224"/>
  <c r="U1224"/>
  <c r="V1224"/>
  <c r="W1224"/>
  <c r="X1224"/>
  <c r="Y1224"/>
  <c r="AB1224"/>
  <c r="AC1224"/>
  <c r="AD1224"/>
  <c r="AE1224"/>
  <c r="AF1224"/>
  <c r="G1225"/>
  <c r="H1225"/>
  <c r="I1225"/>
  <c r="J1225"/>
  <c r="K1225"/>
  <c r="N1225"/>
  <c r="O1225"/>
  <c r="P1225"/>
  <c r="Q1225"/>
  <c r="R1225"/>
  <c r="U1225"/>
  <c r="V1225"/>
  <c r="W1225"/>
  <c r="X1225"/>
  <c r="Y1225"/>
  <c r="AB1225"/>
  <c r="AC1225"/>
  <c r="AD1225"/>
  <c r="AE1225"/>
  <c r="AF1225"/>
  <c r="G1226"/>
  <c r="H1226"/>
  <c r="I1226"/>
  <c r="J1226"/>
  <c r="K1226"/>
  <c r="N1226"/>
  <c r="O1226"/>
  <c r="P1226"/>
  <c r="Q1226"/>
  <c r="R1226"/>
  <c r="U1226"/>
  <c r="V1226"/>
  <c r="W1226"/>
  <c r="X1226"/>
  <c r="Y1226"/>
  <c r="AB1226"/>
  <c r="AC1226"/>
  <c r="AD1226"/>
  <c r="AE1226"/>
  <c r="AF1226"/>
  <c r="G1227"/>
  <c r="H1227"/>
  <c r="I1227"/>
  <c r="J1227"/>
  <c r="K1227"/>
  <c r="N1227"/>
  <c r="O1227"/>
  <c r="P1227"/>
  <c r="Q1227"/>
  <c r="R1227"/>
  <c r="U1227"/>
  <c r="V1227"/>
  <c r="W1227"/>
  <c r="X1227"/>
  <c r="Y1227"/>
  <c r="AB1227"/>
  <c r="AC1227"/>
  <c r="AD1227"/>
  <c r="AE1227"/>
  <c r="AF1227"/>
  <c r="F1228"/>
  <c r="G1228"/>
  <c r="H1228"/>
  <c r="I1228"/>
  <c r="J1228"/>
  <c r="K1228"/>
  <c r="N1228"/>
  <c r="O1228"/>
  <c r="P1228"/>
  <c r="Q1228"/>
  <c r="R1228"/>
  <c r="U1228"/>
  <c r="V1228"/>
  <c r="W1228"/>
  <c r="X1228"/>
  <c r="Y1228"/>
  <c r="AB1228"/>
  <c r="AC1228"/>
  <c r="AD1228"/>
  <c r="AE1228"/>
  <c r="AF1228"/>
  <c r="AN1228"/>
  <c r="AO1228"/>
  <c r="AP1228"/>
  <c r="AQ1228"/>
  <c r="F1229"/>
  <c r="L1229"/>
  <c r="S1229"/>
  <c r="Z1229"/>
  <c r="AG1229"/>
  <c r="AN1229"/>
  <c r="AO1229"/>
  <c r="AP1229"/>
  <c r="AQ1229"/>
  <c r="F1230"/>
  <c r="L1230"/>
  <c r="S1230"/>
  <c r="Z1230"/>
  <c r="AG1230"/>
  <c r="AN1230"/>
  <c r="AO1230"/>
  <c r="AP1230"/>
  <c r="AQ1230"/>
  <c r="F1231"/>
  <c r="L1231"/>
  <c r="S1231"/>
  <c r="Z1231"/>
  <c r="AG1231"/>
  <c r="AN1231"/>
  <c r="AO1231"/>
  <c r="AP1231"/>
  <c r="AQ1231"/>
  <c r="F1232"/>
  <c r="L1232"/>
  <c r="S1232"/>
  <c r="Z1232"/>
  <c r="AG1232"/>
  <c r="AN1232"/>
  <c r="AO1232"/>
  <c r="AP1232"/>
  <c r="AQ1232"/>
  <c r="F1233"/>
  <c r="L1233"/>
  <c r="S1233"/>
  <c r="Z1233"/>
  <c r="AG1233"/>
  <c r="AN1233"/>
  <c r="AO1233"/>
  <c r="AP1233"/>
  <c r="AQ1233"/>
  <c r="F1234"/>
  <c r="L1234"/>
  <c r="S1234"/>
  <c r="Z1234"/>
  <c r="AG1234"/>
  <c r="AN1234"/>
  <c r="AO1234"/>
  <c r="AP1234"/>
  <c r="AQ1234"/>
  <c r="G1236"/>
  <c r="H1236"/>
  <c r="I1236"/>
  <c r="J1236"/>
  <c r="K1236"/>
  <c r="N1236"/>
  <c r="O1236"/>
  <c r="P1236"/>
  <c r="Q1236"/>
  <c r="R1236"/>
  <c r="U1236"/>
  <c r="V1236"/>
  <c r="W1236"/>
  <c r="X1236"/>
  <c r="Y1236"/>
  <c r="AB1236"/>
  <c r="AC1236"/>
  <c r="AD1236"/>
  <c r="AE1236"/>
  <c r="AF1236"/>
  <c r="AJ1236"/>
  <c r="AK1236"/>
  <c r="AL1236"/>
  <c r="G1237"/>
  <c r="H1237"/>
  <c r="I1237"/>
  <c r="J1237"/>
  <c r="K1237"/>
  <c r="N1237"/>
  <c r="O1237"/>
  <c r="P1237"/>
  <c r="Q1237"/>
  <c r="R1237"/>
  <c r="U1237"/>
  <c r="V1237"/>
  <c r="W1237"/>
  <c r="X1237"/>
  <c r="Y1237"/>
  <c r="AB1237"/>
  <c r="AC1237"/>
  <c r="AD1237"/>
  <c r="AE1237"/>
  <c r="AF1237"/>
  <c r="G1238"/>
  <c r="H1238"/>
  <c r="I1238"/>
  <c r="J1238"/>
  <c r="K1238"/>
  <c r="N1238"/>
  <c r="O1238"/>
  <c r="P1238"/>
  <c r="Q1238"/>
  <c r="R1238"/>
  <c r="U1238"/>
  <c r="V1238"/>
  <c r="W1238"/>
  <c r="X1238"/>
  <c r="Y1238"/>
  <c r="AB1238"/>
  <c r="AC1238"/>
  <c r="AD1238"/>
  <c r="AE1238"/>
  <c r="AF1238"/>
  <c r="G1239"/>
  <c r="H1239"/>
  <c r="I1239"/>
  <c r="J1239"/>
  <c r="K1239"/>
  <c r="N1239"/>
  <c r="O1239"/>
  <c r="P1239"/>
  <c r="Q1239"/>
  <c r="R1239"/>
  <c r="U1239"/>
  <c r="Z1239"/>
  <c r="V1239"/>
  <c r="W1239"/>
  <c r="X1239"/>
  <c r="Y1239"/>
  <c r="AB1239"/>
  <c r="AC1239"/>
  <c r="AD1239"/>
  <c r="AE1239"/>
  <c r="AF1239"/>
  <c r="G1240"/>
  <c r="H1240"/>
  <c r="I1240"/>
  <c r="J1240"/>
  <c r="K1240"/>
  <c r="N1240"/>
  <c r="O1240"/>
  <c r="P1240"/>
  <c r="Q1240"/>
  <c r="R1240"/>
  <c r="U1240"/>
  <c r="V1240"/>
  <c r="W1240"/>
  <c r="X1240"/>
  <c r="Y1240"/>
  <c r="AB1240"/>
  <c r="AC1240"/>
  <c r="AD1240"/>
  <c r="AE1240"/>
  <c r="AF1240"/>
  <c r="F1241"/>
  <c r="G1241"/>
  <c r="H1241"/>
  <c r="I1241"/>
  <c r="J1241"/>
  <c r="K1241"/>
  <c r="N1241"/>
  <c r="O1241"/>
  <c r="P1241"/>
  <c r="Q1241"/>
  <c r="R1241"/>
  <c r="U1241"/>
  <c r="V1241"/>
  <c r="W1241"/>
  <c r="X1241"/>
  <c r="Y1241"/>
  <c r="AB1241"/>
  <c r="AC1241"/>
  <c r="AD1241"/>
  <c r="AE1241"/>
  <c r="AF1241"/>
  <c r="AN1241"/>
  <c r="AO1241"/>
  <c r="AP1241"/>
  <c r="AQ1241"/>
  <c r="F1242"/>
  <c r="L1242"/>
  <c r="S1242"/>
  <c r="Z1242"/>
  <c r="AG1242"/>
  <c r="AN1242"/>
  <c r="AO1242"/>
  <c r="AP1242"/>
  <c r="AQ1242"/>
  <c r="F1243"/>
  <c r="L1243"/>
  <c r="S1243"/>
  <c r="Z1243"/>
  <c r="AG1243"/>
  <c r="AN1243"/>
  <c r="AO1243"/>
  <c r="AP1243"/>
  <c r="AQ1243"/>
  <c r="F1244"/>
  <c r="L1244"/>
  <c r="S1244"/>
  <c r="Z1244"/>
  <c r="AG1244"/>
  <c r="AN1244"/>
  <c r="AO1244"/>
  <c r="AP1244"/>
  <c r="AQ1244"/>
  <c r="F1245"/>
  <c r="L1245"/>
  <c r="S1245"/>
  <c r="Z1245"/>
  <c r="AG1245"/>
  <c r="AN1245"/>
  <c r="AO1245"/>
  <c r="AP1245"/>
  <c r="AQ1245"/>
  <c r="F1246"/>
  <c r="L1246"/>
  <c r="S1246"/>
  <c r="Z1246"/>
  <c r="AG1246"/>
  <c r="AN1246"/>
  <c r="AO1246"/>
  <c r="AP1246"/>
  <c r="AQ1246"/>
  <c r="F1247"/>
  <c r="L1247"/>
  <c r="S1247"/>
  <c r="Z1247"/>
  <c r="AG1247"/>
  <c r="AN1247"/>
  <c r="AO1247"/>
  <c r="AP1247"/>
  <c r="AQ1247"/>
  <c r="G1249"/>
  <c r="H1249"/>
  <c r="I1249"/>
  <c r="J1249"/>
  <c r="K1249"/>
  <c r="N1249"/>
  <c r="O1249"/>
  <c r="P1249"/>
  <c r="Q1249"/>
  <c r="R1249"/>
  <c r="U1249"/>
  <c r="V1249"/>
  <c r="W1249"/>
  <c r="X1249"/>
  <c r="Y1249"/>
  <c r="AB1249"/>
  <c r="AC1249"/>
  <c r="AD1249"/>
  <c r="AE1249"/>
  <c r="AF1249"/>
  <c r="AJ1249"/>
  <c r="AK1249"/>
  <c r="AL1249"/>
  <c r="G1250"/>
  <c r="H1250"/>
  <c r="I1250"/>
  <c r="J1250"/>
  <c r="K1250"/>
  <c r="N1250"/>
  <c r="O1250"/>
  <c r="P1250"/>
  <c r="Q1250"/>
  <c r="R1250"/>
  <c r="U1250"/>
  <c r="V1250"/>
  <c r="W1250"/>
  <c r="X1250"/>
  <c r="Y1250"/>
  <c r="AB1250"/>
  <c r="AC1250"/>
  <c r="AD1250"/>
  <c r="AE1250"/>
  <c r="AF1250"/>
  <c r="G1251"/>
  <c r="H1251"/>
  <c r="I1251"/>
  <c r="J1251"/>
  <c r="K1251"/>
  <c r="N1251"/>
  <c r="O1251"/>
  <c r="P1251"/>
  <c r="Q1251"/>
  <c r="R1251"/>
  <c r="U1251"/>
  <c r="V1251"/>
  <c r="W1251"/>
  <c r="X1251"/>
  <c r="Y1251"/>
  <c r="AB1251"/>
  <c r="AC1251"/>
  <c r="AD1251"/>
  <c r="AE1251"/>
  <c r="AF1251"/>
  <c r="G1252"/>
  <c r="H1252"/>
  <c r="I1252"/>
  <c r="J1252"/>
  <c r="K1252"/>
  <c r="N1252"/>
  <c r="O1252"/>
  <c r="P1252"/>
  <c r="Q1252"/>
  <c r="R1252"/>
  <c r="U1252"/>
  <c r="V1252"/>
  <c r="W1252"/>
  <c r="X1252"/>
  <c r="Y1252"/>
  <c r="AB1252"/>
  <c r="AC1252"/>
  <c r="AD1252"/>
  <c r="AE1252"/>
  <c r="AF1252"/>
  <c r="G1253"/>
  <c r="H1253"/>
  <c r="I1253"/>
  <c r="J1253"/>
  <c r="K1253"/>
  <c r="N1253"/>
  <c r="O1253"/>
  <c r="P1253"/>
  <c r="Q1253"/>
  <c r="R1253"/>
  <c r="U1253"/>
  <c r="V1253"/>
  <c r="W1253"/>
  <c r="X1253"/>
  <c r="Y1253"/>
  <c r="AB1253"/>
  <c r="AC1253"/>
  <c r="AD1253"/>
  <c r="AE1253"/>
  <c r="AF1253"/>
  <c r="F1254"/>
  <c r="G1254"/>
  <c r="H1254"/>
  <c r="I1254"/>
  <c r="J1254"/>
  <c r="K1254"/>
  <c r="N1254"/>
  <c r="O1254"/>
  <c r="P1254"/>
  <c r="Q1254"/>
  <c r="R1254"/>
  <c r="U1254"/>
  <c r="V1254"/>
  <c r="W1254"/>
  <c r="X1254"/>
  <c r="Y1254"/>
  <c r="AB1254"/>
  <c r="AC1254"/>
  <c r="AD1254"/>
  <c r="AE1254"/>
  <c r="AF1254"/>
  <c r="AN1254"/>
  <c r="AO1254"/>
  <c r="AP1254"/>
  <c r="AQ1254"/>
  <c r="F1255"/>
  <c r="L1255"/>
  <c r="S1255"/>
  <c r="Z1255"/>
  <c r="AG1255"/>
  <c r="AN1255"/>
  <c r="AO1255"/>
  <c r="AP1255"/>
  <c r="AQ1255"/>
  <c r="F1256"/>
  <c r="L1256"/>
  <c r="S1256"/>
  <c r="Z1256"/>
  <c r="AG1256"/>
  <c r="AN1256"/>
  <c r="AO1256"/>
  <c r="AP1256"/>
  <c r="AQ1256"/>
  <c r="F1257"/>
  <c r="L1257"/>
  <c r="S1257"/>
  <c r="Z1257"/>
  <c r="AG1257"/>
  <c r="AN1257"/>
  <c r="AO1257"/>
  <c r="AP1257"/>
  <c r="AQ1257"/>
  <c r="F1258"/>
  <c r="L1258"/>
  <c r="S1258"/>
  <c r="Z1258"/>
  <c r="AG1258"/>
  <c r="AN1258"/>
  <c r="AO1258"/>
  <c r="AP1258"/>
  <c r="AQ1258"/>
  <c r="F1259"/>
  <c r="L1259"/>
  <c r="S1259"/>
  <c r="Z1259"/>
  <c r="AG1259"/>
  <c r="AN1259"/>
  <c r="AO1259"/>
  <c r="AP1259"/>
  <c r="AQ1259"/>
  <c r="F1260"/>
  <c r="L1260"/>
  <c r="S1260"/>
  <c r="Z1260"/>
  <c r="AG1260"/>
  <c r="AN1260"/>
  <c r="AO1260"/>
  <c r="AP1260"/>
  <c r="AQ1260"/>
  <c r="G1262"/>
  <c r="H1262"/>
  <c r="I1262"/>
  <c r="J1262"/>
  <c r="K1262"/>
  <c r="N1262"/>
  <c r="O1262"/>
  <c r="P1262"/>
  <c r="Q1262"/>
  <c r="R1262"/>
  <c r="U1262"/>
  <c r="V1262"/>
  <c r="W1262"/>
  <c r="X1262"/>
  <c r="Y1262"/>
  <c r="AB1262"/>
  <c r="AC1262"/>
  <c r="AD1262"/>
  <c r="AE1262"/>
  <c r="AF1262"/>
  <c r="AJ1262"/>
  <c r="AK1262"/>
  <c r="AL1262"/>
  <c r="G1263"/>
  <c r="H1263"/>
  <c r="I1263"/>
  <c r="J1263"/>
  <c r="K1263"/>
  <c r="N1263"/>
  <c r="O1263"/>
  <c r="P1263"/>
  <c r="Q1263"/>
  <c r="R1263"/>
  <c r="U1263"/>
  <c r="V1263"/>
  <c r="W1263"/>
  <c r="X1263"/>
  <c r="Y1263"/>
  <c r="AB1263"/>
  <c r="AC1263"/>
  <c r="AD1263"/>
  <c r="AE1263"/>
  <c r="AF1263"/>
  <c r="G1264"/>
  <c r="H1264"/>
  <c r="I1264"/>
  <c r="J1264"/>
  <c r="K1264"/>
  <c r="N1264"/>
  <c r="O1264"/>
  <c r="P1264"/>
  <c r="Q1264"/>
  <c r="R1264"/>
  <c r="U1264"/>
  <c r="V1264"/>
  <c r="W1264"/>
  <c r="X1264"/>
  <c r="Y1264"/>
  <c r="AB1264"/>
  <c r="AC1264"/>
  <c r="AD1264"/>
  <c r="AE1264"/>
  <c r="AF1264"/>
  <c r="G1265"/>
  <c r="H1265"/>
  <c r="I1265"/>
  <c r="J1265"/>
  <c r="K1265"/>
  <c r="N1265"/>
  <c r="O1265"/>
  <c r="P1265"/>
  <c r="Q1265"/>
  <c r="R1265"/>
  <c r="U1265"/>
  <c r="V1265"/>
  <c r="W1265"/>
  <c r="X1265"/>
  <c r="Y1265"/>
  <c r="AB1265"/>
  <c r="AC1265"/>
  <c r="AD1265"/>
  <c r="AE1265"/>
  <c r="AF1265"/>
  <c r="G1266"/>
  <c r="H1266"/>
  <c r="I1266"/>
  <c r="J1266"/>
  <c r="K1266"/>
  <c r="N1266"/>
  <c r="O1266"/>
  <c r="P1266"/>
  <c r="Q1266"/>
  <c r="R1266"/>
  <c r="U1266"/>
  <c r="V1266"/>
  <c r="W1266"/>
  <c r="X1266"/>
  <c r="Y1266"/>
  <c r="AB1266"/>
  <c r="AC1266"/>
  <c r="AD1266"/>
  <c r="AE1266"/>
  <c r="AF1266"/>
  <c r="F1267"/>
  <c r="G1267"/>
  <c r="H1267"/>
  <c r="I1267"/>
  <c r="J1267"/>
  <c r="K1267"/>
  <c r="N1267"/>
  <c r="O1267"/>
  <c r="P1267"/>
  <c r="Q1267"/>
  <c r="R1267"/>
  <c r="U1267"/>
  <c r="V1267"/>
  <c r="W1267"/>
  <c r="X1267"/>
  <c r="Y1267"/>
  <c r="AB1267"/>
  <c r="AC1267"/>
  <c r="AD1267"/>
  <c r="AE1267"/>
  <c r="AF1267"/>
  <c r="AN1267"/>
  <c r="AO1267"/>
  <c r="AP1267"/>
  <c r="AQ1267"/>
  <c r="F1268"/>
  <c r="L1268"/>
  <c r="S1268"/>
  <c r="Z1268"/>
  <c r="AG1268"/>
  <c r="AN1268"/>
  <c r="AO1268"/>
  <c r="AP1268"/>
  <c r="AQ1268"/>
  <c r="F1269"/>
  <c r="L1269"/>
  <c r="S1269"/>
  <c r="Z1269"/>
  <c r="AG1269"/>
  <c r="AN1269"/>
  <c r="AO1269"/>
  <c r="AP1269"/>
  <c r="AQ1269"/>
  <c r="F1270"/>
  <c r="L1270"/>
  <c r="S1270"/>
  <c r="Z1270"/>
  <c r="AG1270"/>
  <c r="AN1270"/>
  <c r="AO1270"/>
  <c r="AP1270"/>
  <c r="AQ1270"/>
  <c r="F1271"/>
  <c r="L1271"/>
  <c r="S1271"/>
  <c r="Z1271"/>
  <c r="AG1271"/>
  <c r="AN1271"/>
  <c r="AO1271"/>
  <c r="AP1271"/>
  <c r="AQ1271"/>
  <c r="F1272"/>
  <c r="L1272"/>
  <c r="S1272"/>
  <c r="Z1272"/>
  <c r="AG1272"/>
  <c r="AN1272"/>
  <c r="AO1272"/>
  <c r="AP1272"/>
  <c r="AQ1272"/>
  <c r="F1273"/>
  <c r="L1273"/>
  <c r="S1273"/>
  <c r="Z1273"/>
  <c r="AG1273"/>
  <c r="AN1273"/>
  <c r="AO1273"/>
  <c r="AP1273"/>
  <c r="AQ1273"/>
  <c r="G1275"/>
  <c r="H1275"/>
  <c r="I1275"/>
  <c r="J1275"/>
  <c r="K1275"/>
  <c r="N1275"/>
  <c r="O1275"/>
  <c r="P1275"/>
  <c r="Q1275"/>
  <c r="R1275"/>
  <c r="U1275"/>
  <c r="V1275"/>
  <c r="W1275"/>
  <c r="X1275"/>
  <c r="Y1275"/>
  <c r="AB1275"/>
  <c r="AC1275"/>
  <c r="AD1275"/>
  <c r="AE1275"/>
  <c r="AF1275"/>
  <c r="AJ1275"/>
  <c r="AK1275"/>
  <c r="AL1275"/>
  <c r="G1276"/>
  <c r="H1276"/>
  <c r="I1276"/>
  <c r="J1276"/>
  <c r="K1276"/>
  <c r="N1276"/>
  <c r="O1276"/>
  <c r="P1276"/>
  <c r="Q1276"/>
  <c r="R1276"/>
  <c r="U1276"/>
  <c r="V1276"/>
  <c r="W1276"/>
  <c r="X1276"/>
  <c r="Y1276"/>
  <c r="AB1276"/>
  <c r="AC1276"/>
  <c r="AD1276"/>
  <c r="AE1276"/>
  <c r="AF1276"/>
  <c r="G1277"/>
  <c r="H1277"/>
  <c r="I1277"/>
  <c r="J1277"/>
  <c r="K1277"/>
  <c r="N1277"/>
  <c r="O1277"/>
  <c r="P1277"/>
  <c r="Q1277"/>
  <c r="R1277"/>
  <c r="U1277"/>
  <c r="V1277"/>
  <c r="W1277"/>
  <c r="X1277"/>
  <c r="Y1277"/>
  <c r="AB1277"/>
  <c r="AC1277"/>
  <c r="AD1277"/>
  <c r="AE1277"/>
  <c r="AF1277"/>
  <c r="G1278"/>
  <c r="H1278"/>
  <c r="I1278"/>
  <c r="J1278"/>
  <c r="K1278"/>
  <c r="N1278"/>
  <c r="O1278"/>
  <c r="P1278"/>
  <c r="Q1278"/>
  <c r="R1278"/>
  <c r="U1278"/>
  <c r="V1278"/>
  <c r="W1278"/>
  <c r="X1278"/>
  <c r="Y1278"/>
  <c r="AB1278"/>
  <c r="AC1278"/>
  <c r="AD1278"/>
  <c r="AE1278"/>
  <c r="AF1278"/>
  <c r="G1279"/>
  <c r="H1279"/>
  <c r="I1279"/>
  <c r="J1279"/>
  <c r="K1279"/>
  <c r="N1279"/>
  <c r="O1279"/>
  <c r="P1279"/>
  <c r="Q1279"/>
  <c r="R1279"/>
  <c r="U1279"/>
  <c r="V1279"/>
  <c r="W1279"/>
  <c r="X1279"/>
  <c r="Y1279"/>
  <c r="AB1279"/>
  <c r="AC1279"/>
  <c r="AD1279"/>
  <c r="AE1279"/>
  <c r="AF1279"/>
  <c r="F1280"/>
  <c r="G1280"/>
  <c r="H1280"/>
  <c r="I1280"/>
  <c r="J1280"/>
  <c r="K1280"/>
  <c r="N1280"/>
  <c r="O1280"/>
  <c r="P1280"/>
  <c r="Q1280"/>
  <c r="R1280"/>
  <c r="U1280"/>
  <c r="V1280"/>
  <c r="W1280"/>
  <c r="X1280"/>
  <c r="Y1280"/>
  <c r="AB1280"/>
  <c r="AC1280"/>
  <c r="AD1280"/>
  <c r="AE1280"/>
  <c r="AF1280"/>
  <c r="AN1280"/>
  <c r="AO1280"/>
  <c r="AP1280"/>
  <c r="AQ1280"/>
  <c r="F1281"/>
  <c r="L1281"/>
  <c r="S1281"/>
  <c r="Z1281"/>
  <c r="AG1281"/>
  <c r="AN1281"/>
  <c r="AO1281"/>
  <c r="AP1281"/>
  <c r="AQ1281"/>
  <c r="F1282"/>
  <c r="L1282"/>
  <c r="S1282"/>
  <c r="Z1282"/>
  <c r="AG1282"/>
  <c r="AN1282"/>
  <c r="AO1282"/>
  <c r="AP1282"/>
  <c r="AQ1282"/>
  <c r="F1283"/>
  <c r="L1283"/>
  <c r="S1283"/>
  <c r="Z1283"/>
  <c r="AG1283"/>
  <c r="AN1283"/>
  <c r="AO1283"/>
  <c r="AP1283"/>
  <c r="AQ1283"/>
  <c r="F1284"/>
  <c r="L1284"/>
  <c r="S1284"/>
  <c r="Z1284"/>
  <c r="AG1284"/>
  <c r="AN1284"/>
  <c r="AO1284"/>
  <c r="AP1284"/>
  <c r="AQ1284"/>
  <c r="F1285"/>
  <c r="L1285"/>
  <c r="S1285"/>
  <c r="Z1285"/>
  <c r="AG1285"/>
  <c r="AN1285"/>
  <c r="AO1285"/>
  <c r="AP1285"/>
  <c r="AQ1285"/>
  <c r="F1286"/>
  <c r="L1286"/>
  <c r="S1286"/>
  <c r="Z1286"/>
  <c r="AG1286"/>
  <c r="AN1286"/>
  <c r="AO1286"/>
  <c r="AP1286"/>
  <c r="AQ1286"/>
  <c r="G1288"/>
  <c r="H1288"/>
  <c r="I1288"/>
  <c r="J1288"/>
  <c r="K1288"/>
  <c r="N1288"/>
  <c r="O1288"/>
  <c r="P1288"/>
  <c r="Q1288"/>
  <c r="R1288"/>
  <c r="U1288"/>
  <c r="V1288"/>
  <c r="W1288"/>
  <c r="X1288"/>
  <c r="Y1288"/>
  <c r="AB1288"/>
  <c r="AC1288"/>
  <c r="AD1288"/>
  <c r="AE1288"/>
  <c r="AF1288"/>
  <c r="AJ1288"/>
  <c r="AK1288"/>
  <c r="AL1288"/>
  <c r="G1289"/>
  <c r="H1289"/>
  <c r="I1289"/>
  <c r="J1289"/>
  <c r="K1289"/>
  <c r="N1289"/>
  <c r="O1289"/>
  <c r="P1289"/>
  <c r="Q1289"/>
  <c r="R1289"/>
  <c r="U1289"/>
  <c r="V1289"/>
  <c r="W1289"/>
  <c r="X1289"/>
  <c r="Y1289"/>
  <c r="AB1289"/>
  <c r="AC1289"/>
  <c r="AD1289"/>
  <c r="AE1289"/>
  <c r="AF1289"/>
  <c r="G1290"/>
  <c r="H1290"/>
  <c r="I1290"/>
  <c r="J1290"/>
  <c r="K1290"/>
  <c r="N1290"/>
  <c r="O1290"/>
  <c r="P1290"/>
  <c r="Q1290"/>
  <c r="R1290"/>
  <c r="U1290"/>
  <c r="V1290"/>
  <c r="W1290"/>
  <c r="X1290"/>
  <c r="Y1290"/>
  <c r="AB1290"/>
  <c r="AC1290"/>
  <c r="AD1290"/>
  <c r="AE1290"/>
  <c r="AF1290"/>
  <c r="G1291"/>
  <c r="H1291"/>
  <c r="I1291"/>
  <c r="J1291"/>
  <c r="K1291"/>
  <c r="N1291"/>
  <c r="O1291"/>
  <c r="P1291"/>
  <c r="Q1291"/>
  <c r="R1291"/>
  <c r="U1291"/>
  <c r="V1291"/>
  <c r="W1291"/>
  <c r="X1291"/>
  <c r="Y1291"/>
  <c r="AB1291"/>
  <c r="AC1291"/>
  <c r="AD1291"/>
  <c r="AE1291"/>
  <c r="AF1291"/>
  <c r="G1292"/>
  <c r="H1292"/>
  <c r="I1292"/>
  <c r="J1292"/>
  <c r="K1292"/>
  <c r="N1292"/>
  <c r="O1292"/>
  <c r="P1292"/>
  <c r="Q1292"/>
  <c r="R1292"/>
  <c r="U1292"/>
  <c r="V1292"/>
  <c r="W1292"/>
  <c r="X1292"/>
  <c r="Y1292"/>
  <c r="AB1292"/>
  <c r="AC1292"/>
  <c r="AD1292"/>
  <c r="AE1292"/>
  <c r="AF1292"/>
  <c r="F1293"/>
  <c r="G1293"/>
  <c r="H1293"/>
  <c r="I1293"/>
  <c r="J1293"/>
  <c r="K1293"/>
  <c r="N1293"/>
  <c r="O1293"/>
  <c r="P1293"/>
  <c r="Q1293"/>
  <c r="R1293"/>
  <c r="U1293"/>
  <c r="V1293"/>
  <c r="W1293"/>
  <c r="X1293"/>
  <c r="Y1293"/>
  <c r="AB1293"/>
  <c r="AC1293"/>
  <c r="AD1293"/>
  <c r="AE1293"/>
  <c r="AF1293"/>
  <c r="AN1293"/>
  <c r="AO1293"/>
  <c r="AP1293"/>
  <c r="AQ1293"/>
  <c r="F1294"/>
  <c r="L1294"/>
  <c r="S1294"/>
  <c r="Z1294"/>
  <c r="AG1294"/>
  <c r="AN1294"/>
  <c r="AO1294"/>
  <c r="AP1294"/>
  <c r="AQ1294"/>
  <c r="F1295"/>
  <c r="L1295"/>
  <c r="S1295"/>
  <c r="Z1295"/>
  <c r="AG1295"/>
  <c r="AN1295"/>
  <c r="AO1295"/>
  <c r="AP1295"/>
  <c r="AQ1295"/>
  <c r="F1296"/>
  <c r="L1296"/>
  <c r="S1296"/>
  <c r="Z1296"/>
  <c r="AG1296"/>
  <c r="AN1296"/>
  <c r="AO1296"/>
  <c r="AP1296"/>
  <c r="AQ1296"/>
  <c r="F1297"/>
  <c r="L1297"/>
  <c r="S1297"/>
  <c r="Z1297"/>
  <c r="AG1297"/>
  <c r="AN1297"/>
  <c r="AO1297"/>
  <c r="AP1297"/>
  <c r="AQ1297"/>
  <c r="F1298"/>
  <c r="L1298"/>
  <c r="S1298"/>
  <c r="Z1298"/>
  <c r="AG1298"/>
  <c r="AN1298"/>
  <c r="AO1298"/>
  <c r="AP1298"/>
  <c r="AQ1298"/>
  <c r="F1299"/>
  <c r="L1299"/>
  <c r="S1299"/>
  <c r="Z1299"/>
  <c r="AG1299"/>
  <c r="AN1299"/>
  <c r="AO1299"/>
  <c r="AP1299"/>
  <c r="AQ1299"/>
  <c r="G1301"/>
  <c r="H1301"/>
  <c r="I1301"/>
  <c r="J1301"/>
  <c r="K1301"/>
  <c r="N1301"/>
  <c r="O1301"/>
  <c r="P1301"/>
  <c r="Q1301"/>
  <c r="R1301"/>
  <c r="U1301"/>
  <c r="V1301"/>
  <c r="W1301"/>
  <c r="X1301"/>
  <c r="Y1301"/>
  <c r="AB1301"/>
  <c r="AC1301"/>
  <c r="AD1301"/>
  <c r="AE1301"/>
  <c r="AF1301"/>
  <c r="AJ1301"/>
  <c r="AK1301"/>
  <c r="AL1301"/>
  <c r="G1302"/>
  <c r="H1302"/>
  <c r="I1302"/>
  <c r="J1302"/>
  <c r="K1302"/>
  <c r="N1302"/>
  <c r="O1302"/>
  <c r="P1302"/>
  <c r="Q1302"/>
  <c r="R1302"/>
  <c r="U1302"/>
  <c r="V1302"/>
  <c r="W1302"/>
  <c r="X1302"/>
  <c r="Y1302"/>
  <c r="AB1302"/>
  <c r="AC1302"/>
  <c r="AD1302"/>
  <c r="AE1302"/>
  <c r="AF1302"/>
  <c r="G1303"/>
  <c r="H1303"/>
  <c r="I1303"/>
  <c r="J1303"/>
  <c r="K1303"/>
  <c r="N1303"/>
  <c r="O1303"/>
  <c r="P1303"/>
  <c r="Q1303"/>
  <c r="R1303"/>
  <c r="U1303"/>
  <c r="V1303"/>
  <c r="W1303"/>
  <c r="X1303"/>
  <c r="Y1303"/>
  <c r="AB1303"/>
  <c r="AC1303"/>
  <c r="AD1303"/>
  <c r="AE1303"/>
  <c r="AF1303"/>
  <c r="G1304"/>
  <c r="H1304"/>
  <c r="I1304"/>
  <c r="J1304"/>
  <c r="K1304"/>
  <c r="N1304"/>
  <c r="O1304"/>
  <c r="P1304"/>
  <c r="Q1304"/>
  <c r="R1304"/>
  <c r="U1304"/>
  <c r="V1304"/>
  <c r="W1304"/>
  <c r="X1304"/>
  <c r="Y1304"/>
  <c r="AB1304"/>
  <c r="AC1304"/>
  <c r="AD1304"/>
  <c r="AE1304"/>
  <c r="AF1304"/>
  <c r="G1305"/>
  <c r="H1305"/>
  <c r="I1305"/>
  <c r="J1305"/>
  <c r="K1305"/>
  <c r="N1305"/>
  <c r="O1305"/>
  <c r="P1305"/>
  <c r="Q1305"/>
  <c r="R1305"/>
  <c r="U1305"/>
  <c r="V1305"/>
  <c r="W1305"/>
  <c r="X1305"/>
  <c r="Y1305"/>
  <c r="AB1305"/>
  <c r="AC1305"/>
  <c r="AD1305"/>
  <c r="AE1305"/>
  <c r="AF1305"/>
  <c r="F1306"/>
  <c r="G1306"/>
  <c r="H1306"/>
  <c r="I1306"/>
  <c r="J1306"/>
  <c r="K1306"/>
  <c r="N1306"/>
  <c r="O1306"/>
  <c r="P1306"/>
  <c r="Q1306"/>
  <c r="R1306"/>
  <c r="U1306"/>
  <c r="V1306"/>
  <c r="W1306"/>
  <c r="X1306"/>
  <c r="Y1306"/>
  <c r="AB1306"/>
  <c r="AC1306"/>
  <c r="AD1306"/>
  <c r="AE1306"/>
  <c r="AF1306"/>
  <c r="AN1306"/>
  <c r="AO1306"/>
  <c r="AP1306"/>
  <c r="AQ1306"/>
  <c r="F1307"/>
  <c r="L1307"/>
  <c r="S1307"/>
  <c r="Z1307"/>
  <c r="AG1307"/>
  <c r="AN1307"/>
  <c r="AO1307"/>
  <c r="AP1307"/>
  <c r="AQ1307"/>
  <c r="F1308"/>
  <c r="L1308"/>
  <c r="S1308"/>
  <c r="Z1308"/>
  <c r="AG1308"/>
  <c r="AN1308"/>
  <c r="AO1308"/>
  <c r="AP1308"/>
  <c r="AQ1308"/>
  <c r="F1309"/>
  <c r="L1309"/>
  <c r="S1309"/>
  <c r="Z1309"/>
  <c r="AG1309"/>
  <c r="AN1309"/>
  <c r="AO1309"/>
  <c r="AP1309"/>
  <c r="AQ1309"/>
  <c r="F1310"/>
  <c r="L1310"/>
  <c r="S1310"/>
  <c r="Z1310"/>
  <c r="AG1310"/>
  <c r="AN1310"/>
  <c r="AO1310"/>
  <c r="AP1310"/>
  <c r="AQ1310"/>
  <c r="F1311"/>
  <c r="L1311"/>
  <c r="S1311"/>
  <c r="Z1311"/>
  <c r="AG1311"/>
  <c r="AN1311"/>
  <c r="AO1311"/>
  <c r="AP1311"/>
  <c r="AQ1311"/>
  <c r="F1312"/>
  <c r="L1312"/>
  <c r="S1312"/>
  <c r="Z1312"/>
  <c r="AG1312"/>
  <c r="AN1312"/>
  <c r="AO1312"/>
  <c r="AP1312"/>
  <c r="AQ1312"/>
  <c r="G1314"/>
  <c r="H1314"/>
  <c r="I1314"/>
  <c r="J1314"/>
  <c r="K1314"/>
  <c r="N1314"/>
  <c r="O1314"/>
  <c r="P1314"/>
  <c r="Q1314"/>
  <c r="R1314"/>
  <c r="U1314"/>
  <c r="V1314"/>
  <c r="W1314"/>
  <c r="X1314"/>
  <c r="Y1314"/>
  <c r="AB1314"/>
  <c r="AC1314"/>
  <c r="AD1314"/>
  <c r="AE1314"/>
  <c r="AF1314"/>
  <c r="AJ1314"/>
  <c r="AK1314"/>
  <c r="AL1314"/>
  <c r="G1315"/>
  <c r="H1315"/>
  <c r="I1315"/>
  <c r="J1315"/>
  <c r="K1315"/>
  <c r="N1315"/>
  <c r="O1315"/>
  <c r="P1315"/>
  <c r="Q1315"/>
  <c r="R1315"/>
  <c r="U1315"/>
  <c r="V1315"/>
  <c r="W1315"/>
  <c r="X1315"/>
  <c r="Y1315"/>
  <c r="AB1315"/>
  <c r="AC1315"/>
  <c r="AD1315"/>
  <c r="AE1315"/>
  <c r="AF1315"/>
  <c r="G1316"/>
  <c r="H1316"/>
  <c r="I1316"/>
  <c r="J1316"/>
  <c r="K1316"/>
  <c r="N1316"/>
  <c r="O1316"/>
  <c r="P1316"/>
  <c r="Q1316"/>
  <c r="R1316"/>
  <c r="U1316"/>
  <c r="V1316"/>
  <c r="W1316"/>
  <c r="X1316"/>
  <c r="Y1316"/>
  <c r="AB1316"/>
  <c r="AC1316"/>
  <c r="AD1316"/>
  <c r="AE1316"/>
  <c r="AF1316"/>
  <c r="G1317"/>
  <c r="H1317"/>
  <c r="I1317"/>
  <c r="J1317"/>
  <c r="K1317"/>
  <c r="N1317"/>
  <c r="O1317"/>
  <c r="P1317"/>
  <c r="Q1317"/>
  <c r="R1317"/>
  <c r="U1317"/>
  <c r="V1317"/>
  <c r="W1317"/>
  <c r="X1317"/>
  <c r="Y1317"/>
  <c r="AB1317"/>
  <c r="AC1317"/>
  <c r="AD1317"/>
  <c r="AE1317"/>
  <c r="AF1317"/>
  <c r="G1318"/>
  <c r="H1318"/>
  <c r="I1318"/>
  <c r="J1318"/>
  <c r="K1318"/>
  <c r="N1318"/>
  <c r="O1318"/>
  <c r="P1318"/>
  <c r="Q1318"/>
  <c r="R1318"/>
  <c r="U1318"/>
  <c r="V1318"/>
  <c r="W1318"/>
  <c r="X1318"/>
  <c r="Y1318"/>
  <c r="AB1318"/>
  <c r="AC1318"/>
  <c r="AD1318"/>
  <c r="AE1318"/>
  <c r="AF1318"/>
  <c r="F1319"/>
  <c r="G1319"/>
  <c r="H1319"/>
  <c r="I1319"/>
  <c r="J1319"/>
  <c r="K1319"/>
  <c r="N1319"/>
  <c r="O1319"/>
  <c r="P1319"/>
  <c r="Q1319"/>
  <c r="R1319"/>
  <c r="U1319"/>
  <c r="V1319"/>
  <c r="W1319"/>
  <c r="X1319"/>
  <c r="Y1319"/>
  <c r="AB1319"/>
  <c r="AC1319"/>
  <c r="AD1319"/>
  <c r="AE1319"/>
  <c r="AF1319"/>
  <c r="AN1319"/>
  <c r="AO1319"/>
  <c r="AP1319"/>
  <c r="AQ1319"/>
  <c r="F1320"/>
  <c r="L1320"/>
  <c r="S1320"/>
  <c r="Z1320"/>
  <c r="AG1320"/>
  <c r="AN1320"/>
  <c r="AO1320"/>
  <c r="AP1320"/>
  <c r="AQ1320"/>
  <c r="F1321"/>
  <c r="L1321"/>
  <c r="S1321"/>
  <c r="Z1321"/>
  <c r="AG1321"/>
  <c r="AN1321"/>
  <c r="AO1321"/>
  <c r="AP1321"/>
  <c r="AQ1321"/>
  <c r="F1322"/>
  <c r="L1322"/>
  <c r="S1322"/>
  <c r="Z1322"/>
  <c r="AG1322"/>
  <c r="AN1322"/>
  <c r="AO1322"/>
  <c r="AP1322"/>
  <c r="AQ1322"/>
  <c r="F1323"/>
  <c r="L1323"/>
  <c r="S1323"/>
  <c r="Z1323"/>
  <c r="AG1323"/>
  <c r="AN1323"/>
  <c r="AO1323"/>
  <c r="AP1323"/>
  <c r="AQ1323"/>
  <c r="F1324"/>
  <c r="L1324"/>
  <c r="S1324"/>
  <c r="Z1324"/>
  <c r="AG1324"/>
  <c r="AN1324"/>
  <c r="AO1324"/>
  <c r="AP1324"/>
  <c r="AQ1324"/>
  <c r="F1325"/>
  <c r="L1325"/>
  <c r="S1325"/>
  <c r="Z1325"/>
  <c r="AG1325"/>
  <c r="AN1325"/>
  <c r="AO1325"/>
  <c r="AP1325"/>
  <c r="AQ1325"/>
  <c r="G1327"/>
  <c r="H1327"/>
  <c r="I1327"/>
  <c r="J1327"/>
  <c r="K1327"/>
  <c r="N1327"/>
  <c r="O1327"/>
  <c r="P1327"/>
  <c r="Q1327"/>
  <c r="R1327"/>
  <c r="U1327"/>
  <c r="V1327"/>
  <c r="W1327"/>
  <c r="X1327"/>
  <c r="Y1327"/>
  <c r="AB1327"/>
  <c r="AC1327"/>
  <c r="AD1327"/>
  <c r="AE1327"/>
  <c r="AF1327"/>
  <c r="AJ1327"/>
  <c r="AK1327"/>
  <c r="AL1327"/>
  <c r="G1328"/>
  <c r="H1328"/>
  <c r="I1328"/>
  <c r="J1328"/>
  <c r="K1328"/>
  <c r="N1328"/>
  <c r="O1328"/>
  <c r="P1328"/>
  <c r="Q1328"/>
  <c r="R1328"/>
  <c r="U1328"/>
  <c r="V1328"/>
  <c r="W1328"/>
  <c r="X1328"/>
  <c r="Y1328"/>
  <c r="AB1328"/>
  <c r="AC1328"/>
  <c r="AD1328"/>
  <c r="AE1328"/>
  <c r="AF1328"/>
  <c r="G1329"/>
  <c r="H1329"/>
  <c r="I1329"/>
  <c r="J1329"/>
  <c r="K1329"/>
  <c r="N1329"/>
  <c r="O1329"/>
  <c r="P1329"/>
  <c r="Q1329"/>
  <c r="R1329"/>
  <c r="U1329"/>
  <c r="V1329"/>
  <c r="W1329"/>
  <c r="X1329"/>
  <c r="Y1329"/>
  <c r="AB1329"/>
  <c r="AC1329"/>
  <c r="AD1329"/>
  <c r="AE1329"/>
  <c r="AF1329"/>
  <c r="G1330"/>
  <c r="H1330"/>
  <c r="I1330"/>
  <c r="J1330"/>
  <c r="K1330"/>
  <c r="N1330"/>
  <c r="O1330"/>
  <c r="P1330"/>
  <c r="Q1330"/>
  <c r="R1330"/>
  <c r="U1330"/>
  <c r="V1330"/>
  <c r="W1330"/>
  <c r="X1330"/>
  <c r="Y1330"/>
  <c r="AB1330"/>
  <c r="AC1330"/>
  <c r="AD1330"/>
  <c r="AE1330"/>
  <c r="AF1330"/>
  <c r="G1331"/>
  <c r="H1331"/>
  <c r="I1331"/>
  <c r="J1331"/>
  <c r="K1331"/>
  <c r="N1331"/>
  <c r="O1331"/>
  <c r="P1331"/>
  <c r="Q1331"/>
  <c r="R1331"/>
  <c r="U1331"/>
  <c r="V1331"/>
  <c r="W1331"/>
  <c r="X1331"/>
  <c r="Y1331"/>
  <c r="AB1331"/>
  <c r="AC1331"/>
  <c r="AD1331"/>
  <c r="AE1331"/>
  <c r="AF1331"/>
  <c r="F1332"/>
  <c r="G1332"/>
  <c r="H1332"/>
  <c r="I1332"/>
  <c r="J1332"/>
  <c r="K1332"/>
  <c r="N1332"/>
  <c r="O1332"/>
  <c r="P1332"/>
  <c r="Q1332"/>
  <c r="R1332"/>
  <c r="U1332"/>
  <c r="V1332"/>
  <c r="W1332"/>
  <c r="X1332"/>
  <c r="Y1332"/>
  <c r="AB1332"/>
  <c r="AC1332"/>
  <c r="AD1332"/>
  <c r="AE1332"/>
  <c r="AF1332"/>
  <c r="AN1332"/>
  <c r="AO1332"/>
  <c r="AP1332"/>
  <c r="AQ1332"/>
  <c r="F1333"/>
  <c r="L1333"/>
  <c r="S1333"/>
  <c r="Z1333"/>
  <c r="AG1333"/>
  <c r="AN1333"/>
  <c r="AO1333"/>
  <c r="AP1333"/>
  <c r="AQ1333"/>
  <c r="F1334"/>
  <c r="L1334"/>
  <c r="S1334"/>
  <c r="Z1334"/>
  <c r="AG1334"/>
  <c r="AN1334"/>
  <c r="AO1334"/>
  <c r="AP1334"/>
  <c r="AQ1334"/>
  <c r="F1335"/>
  <c r="L1335"/>
  <c r="S1335"/>
  <c r="Z1335"/>
  <c r="AG1335"/>
  <c r="AN1335"/>
  <c r="AO1335"/>
  <c r="AP1335"/>
  <c r="AQ1335"/>
  <c r="F1336"/>
  <c r="L1336"/>
  <c r="S1336"/>
  <c r="Z1336"/>
  <c r="AG1336"/>
  <c r="AN1336"/>
  <c r="AO1336"/>
  <c r="AP1336"/>
  <c r="AQ1336"/>
  <c r="F1337"/>
  <c r="L1337"/>
  <c r="S1337"/>
  <c r="Z1337"/>
  <c r="AG1337"/>
  <c r="AN1337"/>
  <c r="I21"/>
  <c r="AO1337"/>
  <c r="AP1337"/>
  <c r="AQ1337"/>
  <c r="F1338"/>
  <c r="L1338"/>
  <c r="S1338"/>
  <c r="Z1338"/>
  <c r="AG1338"/>
  <c r="AN1338"/>
  <c r="AO1338"/>
  <c r="AP1338"/>
  <c r="AQ1338"/>
  <c r="Z394"/>
  <c r="AR1234"/>
  <c r="S1254"/>
  <c r="Z1213"/>
  <c r="AR1208"/>
  <c r="Z1186"/>
  <c r="Z1097"/>
  <c r="S642"/>
  <c r="AG629"/>
  <c r="AR1156"/>
  <c r="L991"/>
  <c r="L939"/>
  <c r="L926"/>
  <c r="Z915"/>
  <c r="AR906"/>
  <c r="AR905"/>
  <c r="Z889"/>
  <c r="Z887"/>
  <c r="AR883"/>
  <c r="L798"/>
  <c r="L796"/>
  <c r="L759"/>
  <c r="S447"/>
  <c r="Z407"/>
  <c r="AR1139"/>
  <c r="Z1135"/>
  <c r="Z1108"/>
  <c r="S615"/>
  <c r="AR553"/>
  <c r="S550"/>
  <c r="AR540"/>
  <c r="AR505"/>
  <c r="S1253"/>
  <c r="AG706"/>
  <c r="AR660"/>
  <c r="AR659"/>
  <c r="Z642"/>
  <c r="AR583"/>
  <c r="AG577"/>
  <c r="AG473"/>
  <c r="Z381"/>
  <c r="Z1306"/>
  <c r="S1251"/>
  <c r="AR1091"/>
  <c r="L1134"/>
  <c r="AR1113"/>
  <c r="L967"/>
  <c r="L965"/>
  <c r="AR960"/>
  <c r="Z953"/>
  <c r="L822"/>
  <c r="L811"/>
  <c r="L809"/>
  <c r="AR803"/>
  <c r="L745"/>
  <c r="S692"/>
  <c r="AR618"/>
  <c r="AG563"/>
  <c r="S486"/>
  <c r="S485"/>
  <c r="Z420"/>
  <c r="S1306"/>
  <c r="S1252"/>
  <c r="L784"/>
  <c r="Z1226"/>
  <c r="AG1200"/>
  <c r="L1174"/>
  <c r="AR1078"/>
  <c r="L1032"/>
  <c r="Z991"/>
  <c r="AG863"/>
  <c r="AR698"/>
  <c r="S601"/>
  <c r="AR592"/>
  <c r="AG460"/>
  <c r="Z368"/>
  <c r="BL33" i="17"/>
  <c r="L849" i="4"/>
  <c r="S667"/>
  <c r="S640"/>
  <c r="AG603"/>
  <c r="AR516"/>
  <c r="AG458"/>
  <c r="L1188"/>
  <c r="Z1084"/>
  <c r="Z1071"/>
  <c r="Z1006"/>
  <c r="S668"/>
  <c r="S523"/>
  <c r="S497"/>
  <c r="AG471"/>
  <c r="Z460"/>
  <c r="AR424"/>
  <c r="AG368"/>
  <c r="AR1221"/>
  <c r="Z1200"/>
  <c r="AR1195"/>
  <c r="L1162"/>
  <c r="Z1095"/>
  <c r="L1045"/>
  <c r="L1043"/>
  <c r="L1017"/>
  <c r="Z939"/>
  <c r="L862"/>
  <c r="L836"/>
  <c r="AR773"/>
  <c r="L771"/>
  <c r="AR747"/>
  <c r="Z745"/>
  <c r="AR711"/>
  <c r="S707"/>
  <c r="AG681"/>
  <c r="S680"/>
  <c r="AG497"/>
  <c r="S484"/>
  <c r="AG381"/>
  <c r="S1305"/>
  <c r="S1304"/>
  <c r="S1303"/>
  <c r="Z796"/>
  <c r="AR751"/>
  <c r="AG654"/>
  <c r="S537"/>
  <c r="AR402"/>
  <c r="AR385"/>
  <c r="AR376"/>
  <c r="AR359"/>
  <c r="L356"/>
  <c r="Z354"/>
  <c r="S1280"/>
  <c r="AG1176"/>
  <c r="AG1098"/>
  <c r="S968"/>
  <c r="S929"/>
  <c r="AG890"/>
  <c r="AR622"/>
  <c r="Z591"/>
  <c r="L461"/>
  <c r="AR449"/>
  <c r="AR415"/>
  <c r="S1293"/>
  <c r="S1267"/>
  <c r="AR1021"/>
  <c r="AR956"/>
  <c r="S942"/>
  <c r="S825"/>
  <c r="L474"/>
  <c r="AR411"/>
  <c r="AR1296"/>
  <c r="AR1243"/>
  <c r="AR1217"/>
  <c r="AR1204"/>
  <c r="AR1191"/>
  <c r="AR1182"/>
  <c r="AR1130"/>
  <c r="AR1129"/>
  <c r="AR1077"/>
  <c r="AR931"/>
  <c r="AR792"/>
  <c r="AR764"/>
  <c r="AR762"/>
  <c r="AR700"/>
  <c r="AR696"/>
  <c r="AR646"/>
  <c r="AR594"/>
  <c r="AR555"/>
  <c r="AR504"/>
  <c r="AR466"/>
  <c r="AR462"/>
  <c r="AR398"/>
  <c r="AR389"/>
  <c r="AR372"/>
  <c r="AR363"/>
  <c r="AR1230"/>
  <c r="AR1141"/>
  <c r="AR1061"/>
  <c r="AR1039"/>
  <c r="AR1035"/>
  <c r="AR1022"/>
  <c r="AR961"/>
  <c r="AR957"/>
  <c r="AR944"/>
  <c r="AR853"/>
  <c r="AR840"/>
  <c r="AR805"/>
  <c r="AR802"/>
  <c r="AR790"/>
  <c r="AR789"/>
  <c r="AR722"/>
  <c r="AR670"/>
  <c r="AR661"/>
  <c r="AR542"/>
  <c r="AR492"/>
  <c r="AR479"/>
  <c r="AR475"/>
  <c r="AR1020"/>
  <c r="AR838"/>
  <c r="AR851"/>
  <c r="AR1150"/>
  <c r="AR1046"/>
  <c r="AR422"/>
  <c r="Z1045"/>
  <c r="S446"/>
  <c r="Z435"/>
  <c r="AR1335"/>
  <c r="AG1332"/>
  <c r="Z1332"/>
  <c r="S1319"/>
  <c r="L1319"/>
  <c r="S1318"/>
  <c r="S1317"/>
  <c r="S1316"/>
  <c r="AR1309"/>
  <c r="AG1293"/>
  <c r="S1266"/>
  <c r="S1265"/>
  <c r="S1264"/>
  <c r="AR1257"/>
  <c r="Z1238"/>
  <c r="Z1225"/>
  <c r="Z1212"/>
  <c r="Z1199"/>
  <c r="AG1186"/>
  <c r="AR1178"/>
  <c r="AR1165"/>
  <c r="S1163"/>
  <c r="L1161"/>
  <c r="S694"/>
  <c r="AG602"/>
  <c r="L1149"/>
  <c r="S1277"/>
  <c r="S1215"/>
  <c r="L1214"/>
  <c r="S1202"/>
  <c r="L1201"/>
  <c r="S1188"/>
  <c r="AR1180"/>
  <c r="L1175"/>
  <c r="S1174"/>
  <c r="L1122"/>
  <c r="Z1057"/>
  <c r="AR1052"/>
  <c r="Z1031"/>
  <c r="S628"/>
  <c r="Z1280"/>
  <c r="S1278"/>
  <c r="AR1270"/>
  <c r="AR1241"/>
  <c r="S1241"/>
  <c r="L1240"/>
  <c r="S1228"/>
  <c r="L1227"/>
  <c r="AR1333"/>
  <c r="AR1283"/>
  <c r="AR1245"/>
  <c r="AR1232"/>
  <c r="AR1219"/>
  <c r="AR1206"/>
  <c r="AR1193"/>
  <c r="AR1192"/>
  <c r="AR1181"/>
  <c r="AR1104"/>
  <c r="L1018"/>
  <c r="Z1004"/>
  <c r="L770"/>
  <c r="AR1167"/>
  <c r="Z1148"/>
  <c r="AR1143"/>
  <c r="AG1124"/>
  <c r="AR1117"/>
  <c r="AR1115"/>
  <c r="AR1114"/>
  <c r="AR1100"/>
  <c r="L1096"/>
  <c r="AG1085"/>
  <c r="AG1084"/>
  <c r="Z1082"/>
  <c r="S1082"/>
  <c r="AG1072"/>
  <c r="AG1071"/>
  <c r="Z1070"/>
  <c r="L1070"/>
  <c r="AG1069"/>
  <c r="L1058"/>
  <c r="AR1047"/>
  <c r="Z1032"/>
  <c r="Z1018"/>
  <c r="AQ924"/>
  <c r="Z927"/>
  <c r="Z926"/>
  <c r="S926"/>
  <c r="AR922"/>
  <c r="AN859"/>
  <c r="AP846"/>
  <c r="L823"/>
  <c r="AR812"/>
  <c r="L810"/>
  <c r="Z809"/>
  <c r="L783"/>
  <c r="AR777"/>
  <c r="Z772"/>
  <c r="Z757"/>
  <c r="AR749"/>
  <c r="Z744"/>
  <c r="S734"/>
  <c r="AR687"/>
  <c r="AR683"/>
  <c r="L682"/>
  <c r="AR644"/>
  <c r="AQ638"/>
  <c r="Z640"/>
  <c r="AG601"/>
  <c r="AG575"/>
  <c r="AG564"/>
  <c r="AR529"/>
  <c r="AG511"/>
  <c r="AG1175"/>
  <c r="Z1174"/>
  <c r="AR1169"/>
  <c r="Z1162"/>
  <c r="Z1161"/>
  <c r="Z1160"/>
  <c r="Z1149"/>
  <c r="Z1147"/>
  <c r="Z1134"/>
  <c r="AR1126"/>
  <c r="L1109"/>
  <c r="AR1102"/>
  <c r="Z1083"/>
  <c r="L1083"/>
  <c r="AG1082"/>
  <c r="S1059"/>
  <c r="L1057"/>
  <c r="Z1056"/>
  <c r="S1056"/>
  <c r="AR1037"/>
  <c r="AR1024"/>
  <c r="AG1007"/>
  <c r="AR998"/>
  <c r="L993"/>
  <c r="AR985"/>
  <c r="L979"/>
  <c r="Z965"/>
  <c r="AR946"/>
  <c r="AR943"/>
  <c r="Z940"/>
  <c r="S940"/>
  <c r="AR933"/>
  <c r="L900"/>
  <c r="L875"/>
  <c r="AR866"/>
  <c r="AP859"/>
  <c r="L863"/>
  <c r="Z862"/>
  <c r="AG861"/>
  <c r="L850"/>
  <c r="Z849"/>
  <c r="AR842"/>
  <c r="L837"/>
  <c r="AR829"/>
  <c r="AR827"/>
  <c r="AR826"/>
  <c r="AR816"/>
  <c r="S719"/>
  <c r="AR713"/>
  <c r="AR710"/>
  <c r="AG679"/>
  <c r="AG667"/>
  <c r="AR657"/>
  <c r="S655"/>
  <c r="S653"/>
  <c r="AR648"/>
  <c r="AG627"/>
  <c r="AR620"/>
  <c r="AR619"/>
  <c r="AN612"/>
  <c r="AR607"/>
  <c r="AR605"/>
  <c r="AN599"/>
  <c r="Z604"/>
  <c r="AG589"/>
  <c r="AG588"/>
  <c r="S588"/>
  <c r="AR582"/>
  <c r="AG576"/>
  <c r="AN534"/>
  <c r="S499"/>
  <c r="Z356"/>
  <c r="AR1154"/>
  <c r="AR1151"/>
  <c r="S1137"/>
  <c r="L1136"/>
  <c r="AR1128"/>
  <c r="L1123"/>
  <c r="AR1111"/>
  <c r="AR1089"/>
  <c r="AR1076"/>
  <c r="AR1065"/>
  <c r="AR1062"/>
  <c r="Z1044"/>
  <c r="Z1030"/>
  <c r="S1030"/>
  <c r="Z1019"/>
  <c r="L1019"/>
  <c r="AR1011"/>
  <c r="AR1010"/>
  <c r="L1005"/>
  <c r="AR987"/>
  <c r="AR972"/>
  <c r="AR970"/>
  <c r="AG953"/>
  <c r="L888"/>
  <c r="AR877"/>
  <c r="Z785"/>
  <c r="L785"/>
  <c r="Z783"/>
  <c r="L772"/>
  <c r="AR760"/>
  <c r="S720"/>
  <c r="AR674"/>
  <c r="S666"/>
  <c r="AN651"/>
  <c r="AG628"/>
  <c r="AG562"/>
  <c r="AG524"/>
  <c r="S563"/>
  <c r="AR557"/>
  <c r="AN547"/>
  <c r="AR544"/>
  <c r="AN521"/>
  <c r="Z526"/>
  <c r="Z513"/>
  <c r="AG510"/>
  <c r="AR477"/>
  <c r="AR464"/>
  <c r="Z458"/>
  <c r="S445"/>
  <c r="L432"/>
  <c r="Z421"/>
  <c r="Z408"/>
  <c r="Z395"/>
  <c r="Z382"/>
  <c r="Z369"/>
  <c r="AG354"/>
  <c r="L928"/>
  <c r="AG927"/>
  <c r="AG916"/>
  <c r="L902"/>
  <c r="AR896"/>
  <c r="AR892"/>
  <c r="AR879"/>
  <c r="L876"/>
  <c r="Z875"/>
  <c r="AR868"/>
  <c r="L861"/>
  <c r="AR857"/>
  <c r="L848"/>
  <c r="AR844"/>
  <c r="L835"/>
  <c r="AR831"/>
  <c r="Z824"/>
  <c r="L824"/>
  <c r="AR814"/>
  <c r="AR799"/>
  <c r="AR779"/>
  <c r="AR724"/>
  <c r="S705"/>
  <c r="AR685"/>
  <c r="L655"/>
  <c r="S641"/>
  <c r="AR631"/>
  <c r="L617"/>
  <c r="AR609"/>
  <c r="AR596"/>
  <c r="AQ573"/>
  <c r="AR566"/>
  <c r="L565"/>
  <c r="S551"/>
  <c r="S538"/>
  <c r="AR531"/>
  <c r="AR518"/>
  <c r="AR501"/>
  <c r="AG486"/>
  <c r="AG472"/>
  <c r="AG459"/>
  <c r="AR451"/>
  <c r="S422"/>
  <c r="Z419"/>
  <c r="S409"/>
  <c r="Z406"/>
  <c r="S396"/>
  <c r="Z393"/>
  <c r="S383"/>
  <c r="Z380"/>
  <c r="S370"/>
  <c r="Z367"/>
  <c r="S356"/>
  <c r="L978"/>
  <c r="AR971"/>
  <c r="AR955"/>
  <c r="L914"/>
  <c r="L913"/>
  <c r="AR909"/>
  <c r="Z902"/>
  <c r="L901"/>
  <c r="Z900"/>
  <c r="L874"/>
  <c r="AR870"/>
  <c r="AR818"/>
  <c r="AR815"/>
  <c r="AR801"/>
  <c r="L797"/>
  <c r="AR786"/>
  <c r="AR766"/>
  <c r="AR763"/>
  <c r="AR735"/>
  <c r="AG719"/>
  <c r="Z708"/>
  <c r="AG707"/>
  <c r="AG694"/>
  <c r="AR672"/>
  <c r="AG653"/>
  <c r="AR649"/>
  <c r="AR633"/>
  <c r="L628"/>
  <c r="S614"/>
  <c r="S603"/>
  <c r="AR581"/>
  <c r="S576"/>
  <c r="AR568"/>
  <c r="S549"/>
  <c r="S525"/>
  <c r="S512"/>
  <c r="AG499"/>
  <c r="S498"/>
  <c r="AR488"/>
  <c r="AG484"/>
  <c r="S472"/>
  <c r="AR467"/>
  <c r="S459"/>
  <c r="AR453"/>
  <c r="AR437"/>
  <c r="AP430"/>
  <c r="L433"/>
  <c r="AR426"/>
  <c r="AR425"/>
  <c r="L419"/>
  <c r="AR413"/>
  <c r="L406"/>
  <c r="AR400"/>
  <c r="L393"/>
  <c r="AR387"/>
  <c r="L380"/>
  <c r="AR374"/>
  <c r="L367"/>
  <c r="AR361"/>
  <c r="AN976"/>
  <c r="Z874"/>
  <c r="AR864"/>
  <c r="Z861"/>
  <c r="Z848"/>
  <c r="Z835"/>
  <c r="AQ820"/>
  <c r="AR825"/>
  <c r="Z797"/>
  <c r="AG783"/>
  <c r="AG498"/>
  <c r="S471"/>
  <c r="S458"/>
  <c r="L354"/>
  <c r="AN1249"/>
  <c r="AO1171"/>
  <c r="AR1176"/>
  <c r="AR1337"/>
  <c r="AP1327"/>
  <c r="AG1306"/>
  <c r="AN1262"/>
  <c r="AG1254"/>
  <c r="AQ1223"/>
  <c r="AR1228"/>
  <c r="AQ1210"/>
  <c r="AR1215"/>
  <c r="AQ1197"/>
  <c r="AR1202"/>
  <c r="AQ1132"/>
  <c r="AR1137"/>
  <c r="L1108"/>
  <c r="L1097"/>
  <c r="AR1087"/>
  <c r="AR1013"/>
  <c r="AQ937"/>
  <c r="AR942"/>
  <c r="L940"/>
  <c r="S914"/>
  <c r="Z1187"/>
  <c r="S1332"/>
  <c r="Z1331"/>
  <c r="AN1275"/>
  <c r="AG1267"/>
  <c r="L1239"/>
  <c r="L1238"/>
  <c r="L1226"/>
  <c r="L1225"/>
  <c r="L1213"/>
  <c r="L1212"/>
  <c r="L1200"/>
  <c r="L1199"/>
  <c r="AQ1158"/>
  <c r="AR1163"/>
  <c r="L1148"/>
  <c r="L1147"/>
  <c r="L1121"/>
  <c r="Z1110"/>
  <c r="Z1109"/>
  <c r="AO1093"/>
  <c r="AR1098"/>
  <c r="L1095"/>
  <c r="L1084"/>
  <c r="AR1074"/>
  <c r="AQ1054"/>
  <c r="Z1058"/>
  <c r="AR1050"/>
  <c r="L1044"/>
  <c r="Z1043"/>
  <c r="AG991"/>
  <c r="L953"/>
  <c r="AN1301"/>
  <c r="AO1067"/>
  <c r="AR1072"/>
  <c r="AN1327"/>
  <c r="AN1288"/>
  <c r="AG1280"/>
  <c r="Z1240"/>
  <c r="Z1227"/>
  <c r="Z1214"/>
  <c r="Z1201"/>
  <c r="Z1188"/>
  <c r="L1186"/>
  <c r="L1173"/>
  <c r="Z1136"/>
  <c r="AO1119"/>
  <c r="AR1124"/>
  <c r="Z1122"/>
  <c r="Z1096"/>
  <c r="AO1080"/>
  <c r="AR1085"/>
  <c r="L1082"/>
  <c r="L1071"/>
  <c r="L1069"/>
  <c r="L1030"/>
  <c r="AG1018"/>
  <c r="Z980"/>
  <c r="Z978"/>
  <c r="Z954"/>
  <c r="L1332"/>
  <c r="S1331"/>
  <c r="S1330"/>
  <c r="AR1322"/>
  <c r="AN1314"/>
  <c r="AG1319"/>
  <c r="Z1318"/>
  <c r="Z1316"/>
  <c r="Z1293"/>
  <c r="AR1286"/>
  <c r="AR1282"/>
  <c r="AR1273"/>
  <c r="AR1269"/>
  <c r="AR1231"/>
  <c r="AG1226"/>
  <c r="AR1218"/>
  <c r="AG1213"/>
  <c r="S1201"/>
  <c r="S1199"/>
  <c r="AR1194"/>
  <c r="AO1184"/>
  <c r="AG1188"/>
  <c r="L1187"/>
  <c r="AP1171"/>
  <c r="AG1174"/>
  <c r="AR1166"/>
  <c r="Z1163"/>
  <c r="S1162"/>
  <c r="AG1160"/>
  <c r="AR1152"/>
  <c r="AQ1145"/>
  <c r="S1150"/>
  <c r="AG1148"/>
  <c r="S1134"/>
  <c r="AP1119"/>
  <c r="AO1106"/>
  <c r="AG1111"/>
  <c r="AP1093"/>
  <c r="AG1097"/>
  <c r="AG1095"/>
  <c r="AP1080"/>
  <c r="AN1080"/>
  <c r="S1083"/>
  <c r="AP1067"/>
  <c r="S1070"/>
  <c r="AR1063"/>
  <c r="Z1059"/>
  <c r="AG1056"/>
  <c r="AR1048"/>
  <c r="AQ1041"/>
  <c r="S1046"/>
  <c r="AG1044"/>
  <c r="S1043"/>
  <c r="AO1028"/>
  <c r="AG1033"/>
  <c r="S1032"/>
  <c r="L1031"/>
  <c r="AG1030"/>
  <c r="AQ1015"/>
  <c r="S1020"/>
  <c r="AR1009"/>
  <c r="S1005"/>
  <c r="S993"/>
  <c r="L992"/>
  <c r="AR983"/>
  <c r="S978"/>
  <c r="Z966"/>
  <c r="L966"/>
  <c r="S965"/>
  <c r="Z928"/>
  <c r="S928"/>
  <c r="AG926"/>
  <c r="AR920"/>
  <c r="L915"/>
  <c r="Z914"/>
  <c r="L889"/>
  <c r="Z784"/>
  <c r="AG759"/>
  <c r="AG720"/>
  <c r="L718"/>
  <c r="S679"/>
  <c r="L668"/>
  <c r="S654"/>
  <c r="S629"/>
  <c r="S616"/>
  <c r="Z1330"/>
  <c r="Z1329"/>
  <c r="AR1325"/>
  <c r="AR1321"/>
  <c r="AG1318"/>
  <c r="AG1317"/>
  <c r="AG1316"/>
  <c r="AR1311"/>
  <c r="AR1307"/>
  <c r="AP1301"/>
  <c r="AG1305"/>
  <c r="AG1304"/>
  <c r="AG1303"/>
  <c r="AR1298"/>
  <c r="AR1294"/>
  <c r="AP1288"/>
  <c r="S1292"/>
  <c r="S1291"/>
  <c r="S1290"/>
  <c r="AR1285"/>
  <c r="AR1281"/>
  <c r="AP1275"/>
  <c r="AG1279"/>
  <c r="S1279"/>
  <c r="AG1278"/>
  <c r="AG1277"/>
  <c r="AR1272"/>
  <c r="AR1268"/>
  <c r="AP1262"/>
  <c r="AG1266"/>
  <c r="AG1265"/>
  <c r="AG1264"/>
  <c r="AR1259"/>
  <c r="AR1255"/>
  <c r="AP1249"/>
  <c r="AG1253"/>
  <c r="AG1252"/>
  <c r="AG1251"/>
  <c r="AR1246"/>
  <c r="AG1241"/>
  <c r="S1240"/>
  <c r="S1238"/>
  <c r="AR1233"/>
  <c r="AO1223"/>
  <c r="AG1228"/>
  <c r="S1227"/>
  <c r="S1225"/>
  <c r="AO1210"/>
  <c r="AG1215"/>
  <c r="AO1197"/>
  <c r="AG1202"/>
  <c r="AG1201"/>
  <c r="AG1199"/>
  <c r="AN1184"/>
  <c r="S1187"/>
  <c r="AQ1171"/>
  <c r="S1176"/>
  <c r="S1175"/>
  <c r="Z1173"/>
  <c r="S1173"/>
  <c r="AO1158"/>
  <c r="AG1163"/>
  <c r="AG1162"/>
  <c r="S1161"/>
  <c r="AR1153"/>
  <c r="S1149"/>
  <c r="AO1132"/>
  <c r="AG1137"/>
  <c r="S1136"/>
  <c r="L1135"/>
  <c r="AG1134"/>
  <c r="AQ1119"/>
  <c r="S1124"/>
  <c r="AG1122"/>
  <c r="Z1121"/>
  <c r="S1121"/>
  <c r="AP1106"/>
  <c r="S1109"/>
  <c r="AR1099"/>
  <c r="AQ1093"/>
  <c r="S1098"/>
  <c r="S1096"/>
  <c r="AQ1080"/>
  <c r="S1085"/>
  <c r="AG1083"/>
  <c r="AQ1067"/>
  <c r="S1072"/>
  <c r="AG1070"/>
  <c r="S1069"/>
  <c r="AO1054"/>
  <c r="AG1059"/>
  <c r="S1057"/>
  <c r="AR1049"/>
  <c r="S1045"/>
  <c r="AG1043"/>
  <c r="AR1038"/>
  <c r="AN1028"/>
  <c r="L1033"/>
  <c r="AG1032"/>
  <c r="AR1023"/>
  <c r="Z1017"/>
  <c r="Z1007"/>
  <c r="AG1006"/>
  <c r="Z1005"/>
  <c r="AR1000"/>
  <c r="AQ989"/>
  <c r="S994"/>
  <c r="Z993"/>
  <c r="L980"/>
  <c r="Z979"/>
  <c r="AQ963"/>
  <c r="Z952"/>
  <c r="L952"/>
  <c r="AR948"/>
  <c r="Z941"/>
  <c r="L941"/>
  <c r="AO911"/>
  <c r="AR903"/>
  <c r="AO885"/>
  <c r="AR890"/>
  <c r="AR881"/>
  <c r="AR855"/>
  <c r="Z822"/>
  <c r="Z811"/>
  <c r="AR788"/>
  <c r="Z771"/>
  <c r="Z770"/>
  <c r="Z759"/>
  <c r="L757"/>
  <c r="AR1338"/>
  <c r="AR1334"/>
  <c r="AG1331"/>
  <c r="AG1330"/>
  <c r="S1329"/>
  <c r="AR1324"/>
  <c r="AR1320"/>
  <c r="AP1314"/>
  <c r="AR1310"/>
  <c r="AR1306"/>
  <c r="L1306"/>
  <c r="AR1297"/>
  <c r="AR1293"/>
  <c r="L1293"/>
  <c r="L1292"/>
  <c r="L1280"/>
  <c r="L1267"/>
  <c r="AR1258"/>
  <c r="AP1236"/>
  <c r="AN1236"/>
  <c r="AG1240"/>
  <c r="AG1238"/>
  <c r="AP1223"/>
  <c r="AR1203"/>
  <c r="S1200"/>
  <c r="AQ1184"/>
  <c r="AG1189"/>
  <c r="AG1187"/>
  <c r="S1186"/>
  <c r="AR1179"/>
  <c r="Z1175"/>
  <c r="AG1173"/>
  <c r="AR1164"/>
  <c r="AG1161"/>
  <c r="L1160"/>
  <c r="AO1145"/>
  <c r="AG1150"/>
  <c r="AG1149"/>
  <c r="S1148"/>
  <c r="AP1132"/>
  <c r="AN1132"/>
  <c r="AG1136"/>
  <c r="AR1127"/>
  <c r="Z1123"/>
  <c r="S1123"/>
  <c r="AR1112"/>
  <c r="AQ1106"/>
  <c r="S1111"/>
  <c r="L1110"/>
  <c r="AG1109"/>
  <c r="S1095"/>
  <c r="AR1090"/>
  <c r="S1084"/>
  <c r="AR1075"/>
  <c r="S1071"/>
  <c r="Z1069"/>
  <c r="AR1060"/>
  <c r="AR1059"/>
  <c r="AG1057"/>
  <c r="L1056"/>
  <c r="AR1051"/>
  <c r="AO1041"/>
  <c r="AG1046"/>
  <c r="AG1045"/>
  <c r="S1044"/>
  <c r="AP1028"/>
  <c r="AQ1028"/>
  <c r="S1033"/>
  <c r="AR1026"/>
  <c r="AR1025"/>
  <c r="AO1015"/>
  <c r="AG1020"/>
  <c r="AO1002"/>
  <c r="AR1007"/>
  <c r="AR996"/>
  <c r="AR995"/>
  <c r="AG993"/>
  <c r="AO976"/>
  <c r="AG981"/>
  <c r="AG979"/>
  <c r="Z967"/>
  <c r="S967"/>
  <c r="AO950"/>
  <c r="AG955"/>
  <c r="AG954"/>
  <c r="S953"/>
  <c r="AP937"/>
  <c r="AG941"/>
  <c r="AR935"/>
  <c r="AR918"/>
  <c r="AR917"/>
  <c r="AR916"/>
  <c r="AR907"/>
  <c r="Z901"/>
  <c r="Z888"/>
  <c r="Z876"/>
  <c r="Z863"/>
  <c r="Z850"/>
  <c r="Z837"/>
  <c r="Z836"/>
  <c r="S824"/>
  <c r="Z810"/>
  <c r="Z798"/>
  <c r="AG785"/>
  <c r="AR775"/>
  <c r="Z758"/>
  <c r="AP1002"/>
  <c r="L1004"/>
  <c r="AO989"/>
  <c r="AG994"/>
  <c r="AP976"/>
  <c r="AQ976"/>
  <c r="S981"/>
  <c r="S980"/>
  <c r="AR974"/>
  <c r="AR973"/>
  <c r="AO963"/>
  <c r="AG968"/>
  <c r="AG967"/>
  <c r="S966"/>
  <c r="AR958"/>
  <c r="AQ950"/>
  <c r="S955"/>
  <c r="L954"/>
  <c r="AR934"/>
  <c r="AO924"/>
  <c r="AG929"/>
  <c r="AG928"/>
  <c r="L927"/>
  <c r="AR919"/>
  <c r="AQ911"/>
  <c r="S916"/>
  <c r="AR908"/>
  <c r="AG903"/>
  <c r="S901"/>
  <c r="AR878"/>
  <c r="AQ872"/>
  <c r="S877"/>
  <c r="S875"/>
  <c r="S874"/>
  <c r="AQ859"/>
  <c r="S864"/>
  <c r="AR852"/>
  <c r="AQ846"/>
  <c r="S851"/>
  <c r="S849"/>
  <c r="AQ833"/>
  <c r="S838"/>
  <c r="S823"/>
  <c r="AG812"/>
  <c r="AR804"/>
  <c r="AG799"/>
  <c r="S797"/>
  <c r="AG786"/>
  <c r="AG773"/>
  <c r="S771"/>
  <c r="AG760"/>
  <c r="L758"/>
  <c r="AG757"/>
  <c r="AQ742"/>
  <c r="L746"/>
  <c r="S744"/>
  <c r="AR737"/>
  <c r="AN729"/>
  <c r="AR734"/>
  <c r="AG734"/>
  <c r="AN716"/>
  <c r="AO716"/>
  <c r="AG718"/>
  <c r="S718"/>
  <c r="Z707"/>
  <c r="AG705"/>
  <c r="AG693"/>
  <c r="AG692"/>
  <c r="AG680"/>
  <c r="AG668"/>
  <c r="L666"/>
  <c r="AG655"/>
  <c r="AG642"/>
  <c r="AR635"/>
  <c r="S627"/>
  <c r="S602"/>
  <c r="S590"/>
  <c r="S577"/>
  <c r="S564"/>
  <c r="S1018"/>
  <c r="AQ1002"/>
  <c r="S1007"/>
  <c r="L1006"/>
  <c r="AG1004"/>
  <c r="AP989"/>
  <c r="AR994"/>
  <c r="Z992"/>
  <c r="S991"/>
  <c r="AP963"/>
  <c r="AR968"/>
  <c r="AG966"/>
  <c r="AR959"/>
  <c r="Z955"/>
  <c r="S954"/>
  <c r="AO937"/>
  <c r="AG942"/>
  <c r="AG939"/>
  <c r="AR930"/>
  <c r="AR929"/>
  <c r="AN924"/>
  <c r="L929"/>
  <c r="S927"/>
  <c r="AR921"/>
  <c r="Z913"/>
  <c r="AQ885"/>
  <c r="S890"/>
  <c r="L887"/>
  <c r="AR867"/>
  <c r="AG862"/>
  <c r="AR841"/>
  <c r="AG837"/>
  <c r="AG835"/>
  <c r="AG825"/>
  <c r="AP807"/>
  <c r="AN807"/>
  <c r="AG810"/>
  <c r="AP794"/>
  <c r="AP781"/>
  <c r="AP768"/>
  <c r="AP755"/>
  <c r="AN755"/>
  <c r="L760"/>
  <c r="AG758"/>
  <c r="Z746"/>
  <c r="S746"/>
  <c r="Z705"/>
  <c r="Z680"/>
  <c r="AN664"/>
  <c r="AO664"/>
  <c r="AG666"/>
  <c r="AG641"/>
  <c r="AG640"/>
  <c r="Z617"/>
  <c r="L614"/>
  <c r="S589"/>
  <c r="S903"/>
  <c r="AR894"/>
  <c r="AR893"/>
  <c r="Z890"/>
  <c r="AG889"/>
  <c r="AG887"/>
  <c r="AR882"/>
  <c r="AO872"/>
  <c r="AG877"/>
  <c r="S876"/>
  <c r="AO859"/>
  <c r="AG864"/>
  <c r="AR856"/>
  <c r="AO846"/>
  <c r="AG851"/>
  <c r="S850"/>
  <c r="S848"/>
  <c r="AO833"/>
  <c r="AG838"/>
  <c r="AR830"/>
  <c r="Z823"/>
  <c r="S822"/>
  <c r="AQ807"/>
  <c r="S812"/>
  <c r="AR800"/>
  <c r="AQ794"/>
  <c r="S799"/>
  <c r="AQ781"/>
  <c r="S786"/>
  <c r="AR774"/>
  <c r="AQ768"/>
  <c r="S773"/>
  <c r="S772"/>
  <c r="S770"/>
  <c r="AQ755"/>
  <c r="S760"/>
  <c r="AR753"/>
  <c r="AR752"/>
  <c r="AO742"/>
  <c r="AG747"/>
  <c r="S745"/>
  <c r="S733"/>
  <c r="S731"/>
  <c r="AR726"/>
  <c r="L720"/>
  <c r="AN703"/>
  <c r="AR709"/>
  <c r="S706"/>
  <c r="AQ690"/>
  <c r="S693"/>
  <c r="S681"/>
  <c r="L656"/>
  <c r="AG614"/>
  <c r="AG590"/>
  <c r="AR579"/>
  <c r="AR739"/>
  <c r="S732"/>
  <c r="Z721"/>
  <c r="Z720"/>
  <c r="Z718"/>
  <c r="AQ703"/>
  <c r="L706"/>
  <c r="AR701"/>
  <c r="AP690"/>
  <c r="L695"/>
  <c r="Z694"/>
  <c r="Z693"/>
  <c r="AO677"/>
  <c r="Z669"/>
  <c r="Z666"/>
  <c r="AQ651"/>
  <c r="Z655"/>
  <c r="Z653"/>
  <c r="Z643"/>
  <c r="L641"/>
  <c r="AR632"/>
  <c r="AO625"/>
  <c r="Z628"/>
  <c r="AR621"/>
  <c r="AR608"/>
  <c r="AQ599"/>
  <c r="L602"/>
  <c r="AR595"/>
  <c r="AQ586"/>
  <c r="L589"/>
  <c r="L578"/>
  <c r="S575"/>
  <c r="AR570"/>
  <c r="S562"/>
  <c r="L551"/>
  <c r="L538"/>
  <c r="AR527"/>
  <c r="S524"/>
  <c r="AG512"/>
  <c r="AR503"/>
  <c r="AN495"/>
  <c r="AG485"/>
  <c r="AG447"/>
  <c r="AG446"/>
  <c r="AR439"/>
  <c r="S421"/>
  <c r="S408"/>
  <c r="Z355"/>
  <c r="S747"/>
  <c r="AG745"/>
  <c r="AG733"/>
  <c r="L708"/>
  <c r="Z706"/>
  <c r="AN690"/>
  <c r="AO690"/>
  <c r="L694"/>
  <c r="AN677"/>
  <c r="AR684"/>
  <c r="Z682"/>
  <c r="Z681"/>
  <c r="Z679"/>
  <c r="AQ664"/>
  <c r="L654"/>
  <c r="AR645"/>
  <c r="AN638"/>
  <c r="AO638"/>
  <c r="Z641"/>
  <c r="AR634"/>
  <c r="AN625"/>
  <c r="L630"/>
  <c r="L629"/>
  <c r="L627"/>
  <c r="AR623"/>
  <c r="AQ612"/>
  <c r="S617"/>
  <c r="L615"/>
  <c r="L604"/>
  <c r="L591"/>
  <c r="AO573"/>
  <c r="AG551"/>
  <c r="AG550"/>
  <c r="L549"/>
  <c r="AG538"/>
  <c r="AG537"/>
  <c r="L536"/>
  <c r="AG525"/>
  <c r="AR514"/>
  <c r="S511"/>
  <c r="S510"/>
  <c r="AQ495"/>
  <c r="AR490"/>
  <c r="AN469"/>
  <c r="AO443"/>
  <c r="AG445"/>
  <c r="L421"/>
  <c r="S419"/>
  <c r="L408"/>
  <c r="S406"/>
  <c r="AQ391"/>
  <c r="L395"/>
  <c r="AQ378"/>
  <c r="L382"/>
  <c r="AQ365"/>
  <c r="AG370"/>
  <c r="L369"/>
  <c r="AG732"/>
  <c r="AG731"/>
  <c r="AR727"/>
  <c r="AP716"/>
  <c r="L721"/>
  <c r="Z719"/>
  <c r="AO703"/>
  <c r="Z695"/>
  <c r="Z692"/>
  <c r="AQ677"/>
  <c r="L680"/>
  <c r="AR675"/>
  <c r="AP664"/>
  <c r="L669"/>
  <c r="Z668"/>
  <c r="AR658"/>
  <c r="AO651"/>
  <c r="Z654"/>
  <c r="AR647"/>
  <c r="L642"/>
  <c r="L640"/>
  <c r="AR636"/>
  <c r="AQ625"/>
  <c r="Z629"/>
  <c r="Z627"/>
  <c r="AG617"/>
  <c r="AO599"/>
  <c r="L603"/>
  <c r="L601"/>
  <c r="AN586"/>
  <c r="AO586"/>
  <c r="L590"/>
  <c r="L588"/>
  <c r="AN573"/>
  <c r="Z578"/>
  <c r="AO547"/>
  <c r="AG549"/>
  <c r="AO534"/>
  <c r="AG536"/>
  <c r="S536"/>
  <c r="AG523"/>
  <c r="L498"/>
  <c r="AQ482"/>
  <c r="S473"/>
  <c r="S460"/>
  <c r="AN443"/>
  <c r="AQ430"/>
  <c r="L420"/>
  <c r="L407"/>
  <c r="L394"/>
  <c r="L381"/>
  <c r="L368"/>
  <c r="L577"/>
  <c r="L575"/>
  <c r="AN560"/>
  <c r="AO560"/>
  <c r="L564"/>
  <c r="L562"/>
  <c r="Z552"/>
  <c r="Z539"/>
  <c r="AR530"/>
  <c r="AQ521"/>
  <c r="L524"/>
  <c r="AQ508"/>
  <c r="L511"/>
  <c r="L500"/>
  <c r="Z498"/>
  <c r="L487"/>
  <c r="Z486"/>
  <c r="AO469"/>
  <c r="AN456"/>
  <c r="AO456"/>
  <c r="L459"/>
  <c r="AR450"/>
  <c r="AQ443"/>
  <c r="Z448"/>
  <c r="Z446"/>
  <c r="S435"/>
  <c r="Z434"/>
  <c r="Z433"/>
  <c r="AR428"/>
  <c r="AG421"/>
  <c r="AG419"/>
  <c r="AG408"/>
  <c r="AG406"/>
  <c r="AR386"/>
  <c r="S382"/>
  <c r="S369"/>
  <c r="S367"/>
  <c r="AO352"/>
  <c r="AG357"/>
  <c r="AG356"/>
  <c r="L355"/>
  <c r="Z565"/>
  <c r="AR556"/>
  <c r="AQ547"/>
  <c r="L550"/>
  <c r="AR543"/>
  <c r="AQ534"/>
  <c r="L537"/>
  <c r="L526"/>
  <c r="L513"/>
  <c r="AO495"/>
  <c r="AN482"/>
  <c r="AO482"/>
  <c r="L485"/>
  <c r="AR476"/>
  <c r="Z474"/>
  <c r="Z472"/>
  <c r="Z461"/>
  <c r="AR452"/>
  <c r="L447"/>
  <c r="L445"/>
  <c r="Z432"/>
  <c r="AQ417"/>
  <c r="AG422"/>
  <c r="S420"/>
  <c r="AQ404"/>
  <c r="AO404"/>
  <c r="AG409"/>
  <c r="AR401"/>
  <c r="AO391"/>
  <c r="AG396"/>
  <c r="S395"/>
  <c r="S393"/>
  <c r="AO378"/>
  <c r="AG383"/>
  <c r="AG382"/>
  <c r="AG380"/>
  <c r="AO365"/>
  <c r="AG369"/>
  <c r="AG367"/>
  <c r="AN352"/>
  <c r="S355"/>
  <c r="L576"/>
  <c r="AR569"/>
  <c r="AQ560"/>
  <c r="L563"/>
  <c r="L552"/>
  <c r="L539"/>
  <c r="AO521"/>
  <c r="L525"/>
  <c r="L523"/>
  <c r="AN508"/>
  <c r="AO508"/>
  <c r="L512"/>
  <c r="L510"/>
  <c r="Z500"/>
  <c r="Z487"/>
  <c r="AR478"/>
  <c r="AQ469"/>
  <c r="L473"/>
  <c r="L471"/>
  <c r="AQ456"/>
  <c r="L448"/>
  <c r="AR441"/>
  <c r="AR438"/>
  <c r="L434"/>
  <c r="AR423"/>
  <c r="AP404"/>
  <c r="AR409"/>
  <c r="AN404"/>
  <c r="AG407"/>
  <c r="AP391"/>
  <c r="AR396"/>
  <c r="AP378"/>
  <c r="AR383"/>
  <c r="S381"/>
  <c r="AR371"/>
  <c r="AR370"/>
  <c r="S368"/>
  <c r="AP352"/>
  <c r="AQ352"/>
  <c r="S357"/>
  <c r="AG355"/>
  <c r="L1305"/>
  <c r="L1304"/>
  <c r="L1303"/>
  <c r="AR1280"/>
  <c r="AQ1275"/>
  <c r="Z1279"/>
  <c r="Z1278"/>
  <c r="Z1277"/>
  <c r="AO1262"/>
  <c r="L1253"/>
  <c r="L1252"/>
  <c r="L1251"/>
  <c r="Z1215"/>
  <c r="AO1314"/>
  <c r="AQ1314"/>
  <c r="Z1319"/>
  <c r="L1291"/>
  <c r="L1290"/>
  <c r="AQ1262"/>
  <c r="Z1267"/>
  <c r="Z1266"/>
  <c r="Z1265"/>
  <c r="Z1264"/>
  <c r="L1254"/>
  <c r="AO1249"/>
  <c r="L1241"/>
  <c r="AQ1327"/>
  <c r="AO1301"/>
  <c r="AR1336"/>
  <c r="AR1332"/>
  <c r="L1331"/>
  <c r="L1330"/>
  <c r="L1329"/>
  <c r="AR1312"/>
  <c r="AR1308"/>
  <c r="AQ1301"/>
  <c r="Z1305"/>
  <c r="Z1304"/>
  <c r="Z1303"/>
  <c r="AG1292"/>
  <c r="AG1291"/>
  <c r="AG1290"/>
  <c r="AO1288"/>
  <c r="AR1284"/>
  <c r="L1279"/>
  <c r="L1278"/>
  <c r="L1277"/>
  <c r="AR1260"/>
  <c r="AR1256"/>
  <c r="AQ1249"/>
  <c r="Z1254"/>
  <c r="Z1253"/>
  <c r="Z1252"/>
  <c r="Z1251"/>
  <c r="AR1247"/>
  <c r="AP1210"/>
  <c r="AR1190"/>
  <c r="AP1184"/>
  <c r="Z1317"/>
  <c r="AG1329"/>
  <c r="AO1327"/>
  <c r="AR1323"/>
  <c r="AR1319"/>
  <c r="L1318"/>
  <c r="L1317"/>
  <c r="L1316"/>
  <c r="AR1299"/>
  <c r="AR1295"/>
  <c r="AQ1288"/>
  <c r="Z1292"/>
  <c r="Z1291"/>
  <c r="Z1290"/>
  <c r="AO1275"/>
  <c r="AR1271"/>
  <c r="AR1267"/>
  <c r="L1266"/>
  <c r="L1265"/>
  <c r="L1264"/>
  <c r="AR1189"/>
  <c r="L1137"/>
  <c r="L1085"/>
  <c r="L981"/>
  <c r="AR1242"/>
  <c r="AQ1236"/>
  <c r="S1239"/>
  <c r="AN1223"/>
  <c r="L1228"/>
  <c r="AG1227"/>
  <c r="AG1225"/>
  <c r="AR1220"/>
  <c r="S1214"/>
  <c r="S1212"/>
  <c r="AR1205"/>
  <c r="Z1202"/>
  <c r="AN1171"/>
  <c r="L1176"/>
  <c r="AR1168"/>
  <c r="S1160"/>
  <c r="Z1150"/>
  <c r="AR1138"/>
  <c r="S1135"/>
  <c r="AN1119"/>
  <c r="L1124"/>
  <c r="AG1123"/>
  <c r="AG1121"/>
  <c r="AR1116"/>
  <c r="S1110"/>
  <c r="S1108"/>
  <c r="AR1101"/>
  <c r="Z1098"/>
  <c r="AG1096"/>
  <c r="AR1086"/>
  <c r="AN1067"/>
  <c r="L1072"/>
  <c r="AR1064"/>
  <c r="S1058"/>
  <c r="Z1046"/>
  <c r="AR1034"/>
  <c r="S1031"/>
  <c r="AN1015"/>
  <c r="L1020"/>
  <c r="AG1019"/>
  <c r="AP1015"/>
  <c r="AR1012"/>
  <c r="AR997"/>
  <c r="Z994"/>
  <c r="AR982"/>
  <c r="AN963"/>
  <c r="L968"/>
  <c r="AG965"/>
  <c r="S952"/>
  <c r="AR945"/>
  <c r="Z942"/>
  <c r="AG940"/>
  <c r="AN911"/>
  <c r="L916"/>
  <c r="AG914"/>
  <c r="AP911"/>
  <c r="Z838"/>
  <c r="AP638"/>
  <c r="AR643"/>
  <c r="Z1111"/>
  <c r="AN742"/>
  <c r="L357"/>
  <c r="AR1244"/>
  <c r="Z1241"/>
  <c r="AG1239"/>
  <c r="AR1229"/>
  <c r="S1226"/>
  <c r="AN1210"/>
  <c r="L1215"/>
  <c r="AG1214"/>
  <c r="AG1212"/>
  <c r="AR1207"/>
  <c r="Z1189"/>
  <c r="AR1177"/>
  <c r="AN1158"/>
  <c r="L1163"/>
  <c r="AP1158"/>
  <c r="AR1155"/>
  <c r="S1147"/>
  <c r="AR1140"/>
  <c r="Z1137"/>
  <c r="AG1135"/>
  <c r="AR1125"/>
  <c r="S1122"/>
  <c r="AN1106"/>
  <c r="L1111"/>
  <c r="AG1110"/>
  <c r="AG1108"/>
  <c r="AR1103"/>
  <c r="S1097"/>
  <c r="AR1088"/>
  <c r="Z1085"/>
  <c r="AR1073"/>
  <c r="AN1054"/>
  <c r="L1059"/>
  <c r="AG1058"/>
  <c r="AP1054"/>
  <c r="AR1036"/>
  <c r="Z1033"/>
  <c r="AG1031"/>
  <c r="S1019"/>
  <c r="S1017"/>
  <c r="AN1002"/>
  <c r="L1007"/>
  <c r="AG1005"/>
  <c r="AR999"/>
  <c r="S992"/>
  <c r="AR984"/>
  <c r="Z981"/>
  <c r="AG980"/>
  <c r="AG978"/>
  <c r="AR969"/>
  <c r="AN950"/>
  <c r="L955"/>
  <c r="AG952"/>
  <c r="AP950"/>
  <c r="AR947"/>
  <c r="S941"/>
  <c r="S939"/>
  <c r="AR932"/>
  <c r="Z929"/>
  <c r="S915"/>
  <c r="S913"/>
  <c r="AR904"/>
  <c r="AP898"/>
  <c r="AN898"/>
  <c r="AP885"/>
  <c r="AP872"/>
  <c r="L864"/>
  <c r="Z786"/>
  <c r="L1189"/>
  <c r="AR1033"/>
  <c r="AR981"/>
  <c r="AP924"/>
  <c r="AR357"/>
  <c r="AR1254"/>
  <c r="AO1236"/>
  <c r="Z1228"/>
  <c r="AR1216"/>
  <c r="S1213"/>
  <c r="AN1197"/>
  <c r="L1202"/>
  <c r="AP1197"/>
  <c r="S1189"/>
  <c r="Z1176"/>
  <c r="AN1145"/>
  <c r="L1150"/>
  <c r="AG1147"/>
  <c r="AP1145"/>
  <c r="AR1142"/>
  <c r="Z1124"/>
  <c r="AN1093"/>
  <c r="L1098"/>
  <c r="Z1072"/>
  <c r="AN1041"/>
  <c r="L1046"/>
  <c r="AP1041"/>
  <c r="Z1020"/>
  <c r="AG1017"/>
  <c r="AR1008"/>
  <c r="S1006"/>
  <c r="S1004"/>
  <c r="AN989"/>
  <c r="L994"/>
  <c r="AG992"/>
  <c r="AR986"/>
  <c r="S979"/>
  <c r="Z968"/>
  <c r="AN937"/>
  <c r="L942"/>
  <c r="Z916"/>
  <c r="AG915"/>
  <c r="AG913"/>
  <c r="AP833"/>
  <c r="AP820"/>
  <c r="L812"/>
  <c r="AQ898"/>
  <c r="L903"/>
  <c r="AG901"/>
  <c r="AR895"/>
  <c r="S888"/>
  <c r="AR880"/>
  <c r="Z877"/>
  <c r="AG875"/>
  <c r="AR865"/>
  <c r="S862"/>
  <c r="AN846"/>
  <c r="L851"/>
  <c r="AG850"/>
  <c r="AG848"/>
  <c r="AR843"/>
  <c r="S836"/>
  <c r="S835"/>
  <c r="AR828"/>
  <c r="Z825"/>
  <c r="AG824"/>
  <c r="AG822"/>
  <c r="AR813"/>
  <c r="S811"/>
  <c r="S809"/>
  <c r="AN794"/>
  <c r="L799"/>
  <c r="AG797"/>
  <c r="AR791"/>
  <c r="S784"/>
  <c r="AR776"/>
  <c r="Z773"/>
  <c r="AG772"/>
  <c r="AG770"/>
  <c r="AR761"/>
  <c r="S759"/>
  <c r="L747"/>
  <c r="AG746"/>
  <c r="AG744"/>
  <c r="AO729"/>
  <c r="S902"/>
  <c r="S900"/>
  <c r="AN885"/>
  <c r="L890"/>
  <c r="AG888"/>
  <c r="Z864"/>
  <c r="AN833"/>
  <c r="L838"/>
  <c r="AG836"/>
  <c r="Z812"/>
  <c r="AG811"/>
  <c r="AG809"/>
  <c r="S798"/>
  <c r="S796"/>
  <c r="AN781"/>
  <c r="L786"/>
  <c r="AG784"/>
  <c r="AR778"/>
  <c r="Z760"/>
  <c r="AR748"/>
  <c r="AO898"/>
  <c r="Z903"/>
  <c r="AG902"/>
  <c r="AG900"/>
  <c r="AR891"/>
  <c r="S889"/>
  <c r="S887"/>
  <c r="AN872"/>
  <c r="L877"/>
  <c r="AG876"/>
  <c r="AG874"/>
  <c r="AR869"/>
  <c r="S863"/>
  <c r="S861"/>
  <c r="AR854"/>
  <c r="Z851"/>
  <c r="AG849"/>
  <c r="AR839"/>
  <c r="S837"/>
  <c r="AN820"/>
  <c r="L825"/>
  <c r="AG823"/>
  <c r="AR817"/>
  <c r="S810"/>
  <c r="Z799"/>
  <c r="AG798"/>
  <c r="AG796"/>
  <c r="AR787"/>
  <c r="S785"/>
  <c r="S783"/>
  <c r="AN768"/>
  <c r="L773"/>
  <c r="AG771"/>
  <c r="AR765"/>
  <c r="S758"/>
  <c r="S757"/>
  <c r="AR750"/>
  <c r="Z747"/>
  <c r="L744"/>
  <c r="L732"/>
  <c r="AO820"/>
  <c r="AO807"/>
  <c r="AO794"/>
  <c r="AO781"/>
  <c r="AO768"/>
  <c r="AO755"/>
  <c r="AR736"/>
  <c r="L734"/>
  <c r="Z732"/>
  <c r="S721"/>
  <c r="AR712"/>
  <c r="AG708"/>
  <c r="S695"/>
  <c r="L693"/>
  <c r="AR686"/>
  <c r="AG682"/>
  <c r="S669"/>
  <c r="L667"/>
  <c r="AG656"/>
  <c r="S643"/>
  <c r="AG630"/>
  <c r="AO612"/>
  <c r="AR617"/>
  <c r="S591"/>
  <c r="S565"/>
  <c r="S539"/>
  <c r="S513"/>
  <c r="S487"/>
  <c r="S461"/>
  <c r="L435"/>
  <c r="AP742"/>
  <c r="AR738"/>
  <c r="AQ729"/>
  <c r="Z734"/>
  <c r="L733"/>
  <c r="L731"/>
  <c r="AR723"/>
  <c r="AR714"/>
  <c r="AP703"/>
  <c r="AR697"/>
  <c r="AR688"/>
  <c r="AP677"/>
  <c r="AR682"/>
  <c r="AR671"/>
  <c r="Z667"/>
  <c r="AR662"/>
  <c r="AP651"/>
  <c r="AR656"/>
  <c r="Z656"/>
  <c r="L643"/>
  <c r="AP625"/>
  <c r="AR630"/>
  <c r="Z630"/>
  <c r="AG616"/>
  <c r="L616"/>
  <c r="AG604"/>
  <c r="AG578"/>
  <c r="AG552"/>
  <c r="AG526"/>
  <c r="AG500"/>
  <c r="AG474"/>
  <c r="AG448"/>
  <c r="AR740"/>
  <c r="AP729"/>
  <c r="Z733"/>
  <c r="Z731"/>
  <c r="AR725"/>
  <c r="AQ716"/>
  <c r="AG721"/>
  <c r="L719"/>
  <c r="S708"/>
  <c r="L707"/>
  <c r="L705"/>
  <c r="AR699"/>
  <c r="AG695"/>
  <c r="L692"/>
  <c r="S682"/>
  <c r="L681"/>
  <c r="L679"/>
  <c r="AR673"/>
  <c r="AG669"/>
  <c r="S656"/>
  <c r="L653"/>
  <c r="AG643"/>
  <c r="S630"/>
  <c r="AG615"/>
  <c r="Z616"/>
  <c r="Z614"/>
  <c r="AR610"/>
  <c r="AP599"/>
  <c r="Z602"/>
  <c r="AR593"/>
  <c r="Z590"/>
  <c r="Z588"/>
  <c r="AR584"/>
  <c r="AP573"/>
  <c r="Z576"/>
  <c r="AR567"/>
  <c r="Z564"/>
  <c r="Z562"/>
  <c r="AR558"/>
  <c r="AP547"/>
  <c r="Z550"/>
  <c r="AR541"/>
  <c r="Z538"/>
  <c r="Z536"/>
  <c r="AR532"/>
  <c r="AP521"/>
  <c r="Z524"/>
  <c r="AR515"/>
  <c r="Z512"/>
  <c r="Z510"/>
  <c r="AR506"/>
  <c r="AP495"/>
  <c r="AR489"/>
  <c r="Z485"/>
  <c r="AR480"/>
  <c r="AP469"/>
  <c r="Z473"/>
  <c r="Z471"/>
  <c r="AR463"/>
  <c r="Z459"/>
  <c r="AR454"/>
  <c r="AP443"/>
  <c r="Z447"/>
  <c r="Z445"/>
  <c r="AR721"/>
  <c r="AR708"/>
  <c r="AR695"/>
  <c r="AR669"/>
  <c r="S604"/>
  <c r="AG591"/>
  <c r="S578"/>
  <c r="AG565"/>
  <c r="S552"/>
  <c r="AG539"/>
  <c r="S526"/>
  <c r="AR517"/>
  <c r="AG513"/>
  <c r="S500"/>
  <c r="L499"/>
  <c r="L497"/>
  <c r="AR491"/>
  <c r="AG487"/>
  <c r="L486"/>
  <c r="L484"/>
  <c r="S474"/>
  <c r="L472"/>
  <c r="AR465"/>
  <c r="AG461"/>
  <c r="L460"/>
  <c r="L458"/>
  <c r="S448"/>
  <c r="L446"/>
  <c r="AG433"/>
  <c r="Z383"/>
  <c r="AP612"/>
  <c r="Z615"/>
  <c r="AR606"/>
  <c r="Z603"/>
  <c r="Z601"/>
  <c r="AR597"/>
  <c r="AP586"/>
  <c r="Z589"/>
  <c r="AR580"/>
  <c r="Z577"/>
  <c r="Z575"/>
  <c r="AR571"/>
  <c r="AP560"/>
  <c r="Z563"/>
  <c r="AR554"/>
  <c r="Z551"/>
  <c r="Z549"/>
  <c r="AR545"/>
  <c r="AP534"/>
  <c r="Z537"/>
  <c r="AR528"/>
  <c r="Z525"/>
  <c r="Z523"/>
  <c r="AR519"/>
  <c r="AP508"/>
  <c r="Z511"/>
  <c r="AR502"/>
  <c r="Z499"/>
  <c r="Z497"/>
  <c r="AR493"/>
  <c r="AP482"/>
  <c r="Z484"/>
  <c r="AP456"/>
  <c r="L409"/>
  <c r="AR440"/>
  <c r="AO430"/>
  <c r="AG435"/>
  <c r="S434"/>
  <c r="S432"/>
  <c r="Z422"/>
  <c r="AR410"/>
  <c r="AN391"/>
  <c r="L396"/>
  <c r="AG393"/>
  <c r="AR388"/>
  <c r="S380"/>
  <c r="AR373"/>
  <c r="Z370"/>
  <c r="AR358"/>
  <c r="AR604"/>
  <c r="AR591"/>
  <c r="AR578"/>
  <c r="AR565"/>
  <c r="AR552"/>
  <c r="AR539"/>
  <c r="AR526"/>
  <c r="AR513"/>
  <c r="AR500"/>
  <c r="AR487"/>
  <c r="AR474"/>
  <c r="AR461"/>
  <c r="AR448"/>
  <c r="AR435"/>
  <c r="AN430"/>
  <c r="AG434"/>
  <c r="AG432"/>
  <c r="AR427"/>
  <c r="AO417"/>
  <c r="AR412"/>
  <c r="Z409"/>
  <c r="AR397"/>
  <c r="S394"/>
  <c r="AN378"/>
  <c r="L383"/>
  <c r="AR375"/>
  <c r="AR360"/>
  <c r="Z357"/>
  <c r="AR436"/>
  <c r="S433"/>
  <c r="AN417"/>
  <c r="L422"/>
  <c r="AG420"/>
  <c r="AP417"/>
  <c r="AR414"/>
  <c r="S407"/>
  <c r="AR399"/>
  <c r="Z396"/>
  <c r="AG395"/>
  <c r="AG394"/>
  <c r="AR384"/>
  <c r="AN365"/>
  <c r="L370"/>
  <c r="AP365"/>
  <c r="AR362"/>
  <c r="S354"/>
  <c r="C148" i="13"/>
  <c r="I19" i="4"/>
  <c r="AR651"/>
  <c r="AR391"/>
  <c r="AR1106"/>
  <c r="AR430"/>
  <c r="AR1002"/>
  <c r="AR638"/>
  <c r="AR859"/>
  <c r="AR1093"/>
  <c r="AR1223"/>
  <c r="AR963"/>
  <c r="AR1080"/>
  <c r="AR456"/>
  <c r="AR482"/>
  <c r="AR534"/>
  <c r="AR586"/>
  <c r="AR625"/>
  <c r="AR703"/>
  <c r="AR1119"/>
  <c r="AR690"/>
  <c r="AR1028"/>
  <c r="AR1132"/>
  <c r="AR755"/>
  <c r="AR807"/>
  <c r="AR768"/>
  <c r="AR1041"/>
  <c r="AR1275"/>
  <c r="AR1327"/>
  <c r="AR1262"/>
  <c r="AR352"/>
  <c r="AR976"/>
  <c r="AR508"/>
  <c r="AR924"/>
  <c r="AR560"/>
  <c r="AR612"/>
  <c r="AR404"/>
  <c r="AR664"/>
  <c r="AR378"/>
  <c r="AR469"/>
  <c r="AR495"/>
  <c r="AR547"/>
  <c r="AR599"/>
  <c r="AR677"/>
  <c r="AR872"/>
  <c r="AR937"/>
  <c r="AR1236"/>
  <c r="AR1067"/>
  <c r="AR443"/>
  <c r="AR521"/>
  <c r="AR573"/>
  <c r="AR716"/>
  <c r="AR833"/>
  <c r="AR885"/>
  <c r="AR846"/>
  <c r="AR989"/>
  <c r="AR1210"/>
  <c r="AR1171"/>
  <c r="AR1184"/>
  <c r="AR1249"/>
  <c r="AR1158"/>
  <c r="AR1301"/>
  <c r="AR365"/>
  <c r="AR729"/>
  <c r="AR794"/>
  <c r="AR1054"/>
  <c r="AR1288"/>
  <c r="AR1314"/>
  <c r="AR898"/>
  <c r="AR781"/>
  <c r="AR1197"/>
  <c r="AR911"/>
  <c r="AR417"/>
  <c r="AR820"/>
  <c r="AR1145"/>
  <c r="AR950"/>
  <c r="AR742"/>
  <c r="AR1015"/>
  <c r="C163" i="13"/>
  <c r="C142"/>
  <c r="E76"/>
  <c r="E82"/>
  <c r="E81"/>
  <c r="E80"/>
  <c r="E79"/>
  <c r="E78"/>
  <c r="E77"/>
  <c r="E75"/>
  <c r="E74"/>
  <c r="E73"/>
  <c r="E72"/>
  <c r="E71"/>
  <c r="E64"/>
  <c r="E69"/>
  <c r="E68"/>
  <c r="E67"/>
  <c r="E66"/>
  <c r="E65"/>
  <c r="E63"/>
  <c r="E62"/>
  <c r="E61"/>
  <c r="E60"/>
  <c r="E59"/>
  <c r="E58"/>
  <c r="E57"/>
  <c r="E56"/>
  <c r="E55"/>
  <c r="E54"/>
  <c r="E53"/>
  <c r="E52"/>
  <c r="E51"/>
  <c r="E49"/>
  <c r="E46"/>
  <c r="E38"/>
  <c r="AQ345" i="4"/>
  <c r="AP345"/>
  <c r="AO345"/>
  <c r="AN345"/>
  <c r="AQ332"/>
  <c r="AP332"/>
  <c r="AO332"/>
  <c r="AN332"/>
  <c r="AQ319"/>
  <c r="AP319"/>
  <c r="AO319"/>
  <c r="AN319"/>
  <c r="C13" i="7"/>
  <c r="E106" i="13"/>
  <c r="X263" i="4"/>
  <c r="X186"/>
  <c r="V186"/>
  <c r="W186"/>
  <c r="Y186"/>
  <c r="W187"/>
  <c r="X187"/>
  <c r="U186"/>
  <c r="S185"/>
  <c r="R186"/>
  <c r="AE186"/>
  <c r="N186"/>
  <c r="V187"/>
  <c r="Y187"/>
  <c r="Z186"/>
  <c r="AC186"/>
  <c r="O186"/>
  <c r="P186"/>
  <c r="Q186"/>
  <c r="AB186"/>
  <c r="AF186"/>
  <c r="AD186"/>
  <c r="F29" i="7"/>
  <c r="E29"/>
  <c r="U187" i="4"/>
  <c r="Z187"/>
  <c r="Y188"/>
  <c r="S186"/>
  <c r="AE187"/>
  <c r="W188"/>
  <c r="U188"/>
  <c r="Z194"/>
  <c r="V188"/>
  <c r="AG186"/>
  <c r="D116" i="8"/>
  <c r="C116"/>
  <c r="D115"/>
  <c r="C115"/>
  <c r="D114"/>
  <c r="C114"/>
  <c r="D113"/>
  <c r="C113"/>
  <c r="D112"/>
  <c r="C112"/>
  <c r="D111"/>
  <c r="C111"/>
  <c r="D109"/>
  <c r="C109"/>
  <c r="D108"/>
  <c r="C108"/>
  <c r="D107"/>
  <c r="C107"/>
  <c r="F104"/>
  <c r="G104"/>
  <c r="H104"/>
  <c r="F102"/>
  <c r="G102"/>
  <c r="H102"/>
  <c r="F100"/>
  <c r="G100"/>
  <c r="H100"/>
  <c r="F93"/>
  <c r="G93"/>
  <c r="H93"/>
  <c r="F84"/>
  <c r="G84"/>
  <c r="H84"/>
  <c r="F83"/>
  <c r="G83"/>
  <c r="H83"/>
  <c r="F76"/>
  <c r="G76"/>
  <c r="H76"/>
  <c r="F75"/>
  <c r="G75"/>
  <c r="H75"/>
  <c r="F74"/>
  <c r="G74"/>
  <c r="H74"/>
  <c r="F72"/>
  <c r="G72"/>
  <c r="H72"/>
  <c r="E150" i="17"/>
  <c r="F66" i="8"/>
  <c r="G66"/>
  <c r="H66"/>
  <c r="F65"/>
  <c r="G65"/>
  <c r="H65"/>
  <c r="F64"/>
  <c r="G64"/>
  <c r="H64"/>
  <c r="F63"/>
  <c r="G63"/>
  <c r="H63"/>
  <c r="D153"/>
  <c r="C155" i="13"/>
  <c r="G172" i="17"/>
  <c r="G174"/>
  <c r="G162"/>
  <c r="G163"/>
  <c r="G150"/>
  <c r="G147"/>
  <c r="G144"/>
  <c r="G138"/>
  <c r="G68" i="8"/>
  <c r="V36" i="17"/>
  <c r="X188" i="4"/>
  <c r="AC187"/>
  <c r="G70" i="8"/>
  <c r="AB187" i="4"/>
  <c r="AD187"/>
  <c r="Z188"/>
  <c r="AF187"/>
  <c r="G69" i="8"/>
  <c r="AS53" i="17"/>
  <c r="AR34"/>
  <c r="AR123"/>
  <c r="AF51"/>
  <c r="AF31"/>
  <c r="V31"/>
  <c r="V32"/>
  <c r="V34"/>
  <c r="V35"/>
  <c r="V37"/>
  <c r="V38"/>
  <c r="V39"/>
  <c r="V40"/>
  <c r="V41"/>
  <c r="V42"/>
  <c r="V43"/>
  <c r="V45"/>
  <c r="V46"/>
  <c r="V47"/>
  <c r="V48"/>
  <c r="V49"/>
  <c r="V50"/>
  <c r="V51"/>
  <c r="V52"/>
  <c r="V53"/>
  <c r="V54"/>
  <c r="V55"/>
  <c r="V56"/>
  <c r="V57"/>
  <c r="V58"/>
  <c r="V59"/>
  <c r="V61"/>
  <c r="V62"/>
  <c r="V63"/>
  <c r="V64"/>
  <c r="V65"/>
  <c r="V66"/>
  <c r="V67"/>
  <c r="V68"/>
  <c r="V69"/>
  <c r="V70"/>
  <c r="V71"/>
  <c r="V72"/>
  <c r="V74"/>
  <c r="V75"/>
  <c r="V76"/>
  <c r="V77"/>
  <c r="V78"/>
  <c r="V79"/>
  <c r="V80"/>
  <c r="V81"/>
  <c r="V82"/>
  <c r="V83"/>
  <c r="V84"/>
  <c r="V85"/>
  <c r="V86"/>
  <c r="V87"/>
  <c r="V88"/>
  <c r="V89"/>
  <c r="V90"/>
  <c r="V91"/>
  <c r="V92"/>
  <c r="V93"/>
  <c r="V94"/>
  <c r="V95"/>
  <c r="V96"/>
  <c r="V97"/>
  <c r="V98"/>
  <c r="V99"/>
  <c r="V100"/>
  <c r="V102"/>
  <c r="V103"/>
  <c r="V104"/>
  <c r="V105"/>
  <c r="V106"/>
  <c r="V107"/>
  <c r="V108"/>
  <c r="V109"/>
  <c r="V110"/>
  <c r="V111"/>
  <c r="V112"/>
  <c r="V113"/>
  <c r="V114"/>
  <c r="V115"/>
  <c r="V116"/>
  <c r="V117"/>
  <c r="V118"/>
  <c r="V119"/>
  <c r="V120"/>
  <c r="V121"/>
  <c r="V122"/>
  <c r="V123"/>
  <c r="V124"/>
  <c r="V125"/>
  <c r="V126"/>
  <c r="X127"/>
  <c r="AC127"/>
  <c r="AH127"/>
  <c r="Q19"/>
  <c r="H1363" i="4"/>
  <c r="H1360"/>
  <c r="H1359"/>
  <c r="I42"/>
  <c r="J42"/>
  <c r="K42"/>
  <c r="G71" i="8"/>
  <c r="AG187" i="4"/>
  <c r="H1356"/>
  <c r="F82" i="8"/>
  <c r="F81"/>
  <c r="AE188" i="4"/>
  <c r="AD188"/>
  <c r="AC188"/>
  <c r="G82" i="8"/>
  <c r="G81"/>
  <c r="H82"/>
  <c r="H81"/>
  <c r="E82"/>
  <c r="AG194" i="4"/>
  <c r="AB188"/>
  <c r="AF188"/>
  <c r="E25"/>
  <c r="AG188"/>
  <c r="D82" i="8"/>
  <c r="C82"/>
  <c r="D18" i="10"/>
  <c r="E18"/>
  <c r="F18"/>
  <c r="D19"/>
  <c r="E19"/>
  <c r="F19"/>
  <c r="C10"/>
  <c r="C6"/>
  <c r="F162" i="17"/>
  <c r="F163"/>
  <c r="D207"/>
  <c r="D206"/>
  <c r="D205"/>
  <c r="D204"/>
  <c r="D203"/>
  <c r="D201"/>
  <c r="D202"/>
  <c r="D200"/>
  <c r="D199"/>
  <c r="D198"/>
  <c r="D197"/>
  <c r="D196"/>
  <c r="D195"/>
  <c r="D194"/>
  <c r="D193"/>
  <c r="D191"/>
  <c r="D190"/>
  <c r="D189"/>
  <c r="D188"/>
  <c r="D187"/>
  <c r="D186"/>
  <c r="D185"/>
  <c r="D184"/>
  <c r="D183"/>
  <c r="D182"/>
  <c r="AR54"/>
  <c r="AR19"/>
  <c r="V26"/>
  <c r="AI40" i="4"/>
  <c r="E6" i="18"/>
  <c r="D9" i="1"/>
  <c r="E9" i="13"/>
  <c r="E8"/>
  <c r="B8"/>
  <c r="E7"/>
  <c r="B7"/>
  <c r="F8" i="17"/>
  <c r="E8" i="4"/>
  <c r="E50" i="8"/>
  <c r="F50"/>
  <c r="G50"/>
  <c r="H50"/>
  <c r="E51"/>
  <c r="F51"/>
  <c r="G51"/>
  <c r="H51"/>
  <c r="E52"/>
  <c r="F52"/>
  <c r="G52"/>
  <c r="H52"/>
  <c r="E54"/>
  <c r="E110"/>
  <c r="F54"/>
  <c r="F110"/>
  <c r="G54"/>
  <c r="G110"/>
  <c r="H54"/>
  <c r="H110"/>
  <c r="E55"/>
  <c r="E53"/>
  <c r="F55"/>
  <c r="F53"/>
  <c r="G55"/>
  <c r="H55"/>
  <c r="E63"/>
  <c r="E64"/>
  <c r="D64"/>
  <c r="C64"/>
  <c r="E65"/>
  <c r="D65"/>
  <c r="C65"/>
  <c r="E66"/>
  <c r="E68"/>
  <c r="D72"/>
  <c r="C72"/>
  <c r="E73"/>
  <c r="F73"/>
  <c r="G73"/>
  <c r="G67"/>
  <c r="E17" i="10"/>
  <c r="H73" i="8"/>
  <c r="E74"/>
  <c r="D74"/>
  <c r="C74"/>
  <c r="E75"/>
  <c r="D75"/>
  <c r="C75"/>
  <c r="E76"/>
  <c r="D76"/>
  <c r="C76"/>
  <c r="E83"/>
  <c r="E84"/>
  <c r="D84"/>
  <c r="C84"/>
  <c r="E93"/>
  <c r="D93"/>
  <c r="C93"/>
  <c r="E97"/>
  <c r="F97"/>
  <c r="G97"/>
  <c r="H97"/>
  <c r="E100"/>
  <c r="E101"/>
  <c r="F101"/>
  <c r="G101"/>
  <c r="H101"/>
  <c r="E102"/>
  <c r="D102"/>
  <c r="C102"/>
  <c r="F103"/>
  <c r="G103"/>
  <c r="H103"/>
  <c r="E104"/>
  <c r="D104"/>
  <c r="C104"/>
  <c r="E49"/>
  <c r="D47"/>
  <c r="C47"/>
  <c r="D48"/>
  <c r="C48"/>
  <c r="D55"/>
  <c r="C55"/>
  <c r="D110"/>
  <c r="C110"/>
  <c r="D91"/>
  <c r="C91"/>
  <c r="D66"/>
  <c r="C66"/>
  <c r="C19" i="10"/>
  <c r="G19"/>
  <c r="D73" i="8"/>
  <c r="C73"/>
  <c r="D83"/>
  <c r="E81"/>
  <c r="D63"/>
  <c r="C63"/>
  <c r="C18" i="10"/>
  <c r="G18"/>
  <c r="D103" i="8"/>
  <c r="C103"/>
  <c r="F49"/>
  <c r="D52"/>
  <c r="C52"/>
  <c r="D50"/>
  <c r="C50"/>
  <c r="D46"/>
  <c r="C46"/>
  <c r="D54"/>
  <c r="C54"/>
  <c r="D51"/>
  <c r="C51"/>
  <c r="H53"/>
  <c r="H49"/>
  <c r="G53"/>
  <c r="G49"/>
  <c r="D100"/>
  <c r="C100"/>
  <c r="D101"/>
  <c r="C101"/>
  <c r="D97"/>
  <c r="C97"/>
  <c r="AF342" i="4"/>
  <c r="AE342"/>
  <c r="AD342"/>
  <c r="AC342"/>
  <c r="AB342"/>
  <c r="Y342"/>
  <c r="X342"/>
  <c r="W342"/>
  <c r="V342"/>
  <c r="U342"/>
  <c r="R342"/>
  <c r="Q342"/>
  <c r="P342"/>
  <c r="O342"/>
  <c r="N342"/>
  <c r="K342"/>
  <c r="J342"/>
  <c r="I342"/>
  <c r="H342"/>
  <c r="G342"/>
  <c r="AF329"/>
  <c r="AE329"/>
  <c r="AD329"/>
  <c r="AC329"/>
  <c r="AB329"/>
  <c r="Y329"/>
  <c r="X329"/>
  <c r="W329"/>
  <c r="V329"/>
  <c r="U329"/>
  <c r="R329"/>
  <c r="Q329"/>
  <c r="P329"/>
  <c r="O329"/>
  <c r="N329"/>
  <c r="K329"/>
  <c r="J329"/>
  <c r="I329"/>
  <c r="H329"/>
  <c r="G329"/>
  <c r="AF316"/>
  <c r="AE316"/>
  <c r="AD316"/>
  <c r="AC316"/>
  <c r="AB316"/>
  <c r="Y316"/>
  <c r="X316"/>
  <c r="W316"/>
  <c r="V316"/>
  <c r="U316"/>
  <c r="R316"/>
  <c r="Q316"/>
  <c r="P316"/>
  <c r="O316"/>
  <c r="N316"/>
  <c r="G316"/>
  <c r="K316"/>
  <c r="J316"/>
  <c r="I316"/>
  <c r="H316"/>
  <c r="D81" i="8"/>
  <c r="C81"/>
  <c r="C83"/>
  <c r="D49"/>
  <c r="C49"/>
  <c r="D53"/>
  <c r="C53"/>
  <c r="AF277" i="4"/>
  <c r="AE277"/>
  <c r="AD277"/>
  <c r="Y277"/>
  <c r="X277"/>
  <c r="W277"/>
  <c r="R277"/>
  <c r="Q277"/>
  <c r="P277"/>
  <c r="K277"/>
  <c r="J277"/>
  <c r="I277"/>
  <c r="AF264"/>
  <c r="AE264"/>
  <c r="AD264"/>
  <c r="Y264"/>
  <c r="X264"/>
  <c r="W264"/>
  <c r="R264"/>
  <c r="Q264"/>
  <c r="P264"/>
  <c r="K264"/>
  <c r="J264"/>
  <c r="I264"/>
  <c r="AC238"/>
  <c r="AB238"/>
  <c r="V238"/>
  <c r="U238"/>
  <c r="O238"/>
  <c r="N238"/>
  <c r="H238"/>
  <c r="G238"/>
  <c r="AC108"/>
  <c r="AB108"/>
  <c r="V108"/>
  <c r="U108"/>
  <c r="O108"/>
  <c r="N108"/>
  <c r="H108"/>
  <c r="G108"/>
  <c r="E163" i="13"/>
  <c r="D163"/>
  <c r="F163"/>
  <c r="F79" i="8"/>
  <c r="H79"/>
  <c r="G79"/>
  <c r="E79"/>
  <c r="D155" i="13"/>
  <c r="F98" i="8"/>
  <c r="E98"/>
  <c r="F155" i="13"/>
  <c r="H98" i="8"/>
  <c r="E155" i="13"/>
  <c r="G98" i="8"/>
  <c r="AZ127" i="17"/>
  <c r="AZ101"/>
  <c r="AZ73"/>
  <c r="AZ60"/>
  <c r="AQ103"/>
  <c r="AR103"/>
  <c r="AS103"/>
  <c r="AT103"/>
  <c r="AQ104"/>
  <c r="AR104"/>
  <c r="AS104"/>
  <c r="AT104"/>
  <c r="AQ105"/>
  <c r="AR105"/>
  <c r="AS105"/>
  <c r="AT105"/>
  <c r="AQ106"/>
  <c r="AR106"/>
  <c r="AS106"/>
  <c r="AT106"/>
  <c r="AQ107"/>
  <c r="AR107"/>
  <c r="AS107"/>
  <c r="AT107"/>
  <c r="AQ108"/>
  <c r="AR108"/>
  <c r="AS108"/>
  <c r="AT108"/>
  <c r="AQ109"/>
  <c r="AR109"/>
  <c r="AS109"/>
  <c r="AT109"/>
  <c r="AQ110"/>
  <c r="AR110"/>
  <c r="AS110"/>
  <c r="AT110"/>
  <c r="AQ111"/>
  <c r="AR111"/>
  <c r="AS111"/>
  <c r="AT111"/>
  <c r="AQ112"/>
  <c r="AR112"/>
  <c r="AS112"/>
  <c r="AT112"/>
  <c r="AQ113"/>
  <c r="AR113"/>
  <c r="AS113"/>
  <c r="AT113"/>
  <c r="AQ114"/>
  <c r="AR114"/>
  <c r="AS114"/>
  <c r="AT114"/>
  <c r="AQ115"/>
  <c r="AR115"/>
  <c r="AS115"/>
  <c r="AT115"/>
  <c r="AQ116"/>
  <c r="AR116"/>
  <c r="AS116"/>
  <c r="AT116"/>
  <c r="AQ117"/>
  <c r="AR117"/>
  <c r="AS117"/>
  <c r="AT117"/>
  <c r="AQ118"/>
  <c r="AR118"/>
  <c r="AS118"/>
  <c r="AT118"/>
  <c r="AQ119"/>
  <c r="AR119"/>
  <c r="AS119"/>
  <c r="AT119"/>
  <c r="AQ120"/>
  <c r="AR120"/>
  <c r="AS120"/>
  <c r="AT120"/>
  <c r="AQ121"/>
  <c r="AR121"/>
  <c r="AS121"/>
  <c r="AT121"/>
  <c r="AQ122"/>
  <c r="AR122"/>
  <c r="AS122"/>
  <c r="AT122"/>
  <c r="AQ123"/>
  <c r="AS123"/>
  <c r="AT123"/>
  <c r="AQ124"/>
  <c r="AR124"/>
  <c r="AS124"/>
  <c r="AT124"/>
  <c r="AQ125"/>
  <c r="AR125"/>
  <c r="AS125"/>
  <c r="AT125"/>
  <c r="AQ126"/>
  <c r="AR126"/>
  <c r="AS126"/>
  <c r="AT126"/>
  <c r="AR102"/>
  <c r="AS102"/>
  <c r="AT102"/>
  <c r="AQ102"/>
  <c r="AQ75"/>
  <c r="AR75"/>
  <c r="AS75"/>
  <c r="AT75"/>
  <c r="AQ76"/>
  <c r="AR76"/>
  <c r="AS76"/>
  <c r="AT76"/>
  <c r="AQ77"/>
  <c r="AR77"/>
  <c r="AS77"/>
  <c r="AT77"/>
  <c r="AQ78"/>
  <c r="AR78"/>
  <c r="AS78"/>
  <c r="AT78"/>
  <c r="AQ79"/>
  <c r="AR79"/>
  <c r="AS79"/>
  <c r="AT79"/>
  <c r="AQ80"/>
  <c r="AR80"/>
  <c r="AS80"/>
  <c r="AT80"/>
  <c r="AQ81"/>
  <c r="AR81"/>
  <c r="AS81"/>
  <c r="AT81"/>
  <c r="AQ82"/>
  <c r="AR82"/>
  <c r="AS82"/>
  <c r="AT82"/>
  <c r="AQ83"/>
  <c r="AR83"/>
  <c r="AS83"/>
  <c r="AT83"/>
  <c r="AQ84"/>
  <c r="AR84"/>
  <c r="AS84"/>
  <c r="AT84"/>
  <c r="AQ85"/>
  <c r="AR85"/>
  <c r="AS85"/>
  <c r="AT85"/>
  <c r="AQ86"/>
  <c r="AR86"/>
  <c r="AS86"/>
  <c r="AT86"/>
  <c r="AQ87"/>
  <c r="AR87"/>
  <c r="AS87"/>
  <c r="AT87"/>
  <c r="AQ88"/>
  <c r="AR88"/>
  <c r="AS88"/>
  <c r="AT88"/>
  <c r="AQ89"/>
  <c r="AR89"/>
  <c r="AS89"/>
  <c r="AT89"/>
  <c r="AQ90"/>
  <c r="AR90"/>
  <c r="AS90"/>
  <c r="AT90"/>
  <c r="AQ91"/>
  <c r="AR91"/>
  <c r="AS91"/>
  <c r="AT91"/>
  <c r="AQ92"/>
  <c r="AR92"/>
  <c r="AS92"/>
  <c r="AT92"/>
  <c r="AQ93"/>
  <c r="AR93"/>
  <c r="AS93"/>
  <c r="AT93"/>
  <c r="AQ94"/>
  <c r="AR94"/>
  <c r="AS94"/>
  <c r="AT94"/>
  <c r="AQ95"/>
  <c r="AR95"/>
  <c r="AS95"/>
  <c r="AT95"/>
  <c r="AQ96"/>
  <c r="AR96"/>
  <c r="AS96"/>
  <c r="AT96"/>
  <c r="AQ97"/>
  <c r="AR97"/>
  <c r="AS97"/>
  <c r="AT97"/>
  <c r="AQ98"/>
  <c r="AR98"/>
  <c r="AS98"/>
  <c r="AT98"/>
  <c r="AQ99"/>
  <c r="AR99"/>
  <c r="AS99"/>
  <c r="AT99"/>
  <c r="AQ100"/>
  <c r="AR100"/>
  <c r="AS100"/>
  <c r="AT100"/>
  <c r="AR74"/>
  <c r="AS74"/>
  <c r="AT74"/>
  <c r="AQ74"/>
  <c r="AQ62"/>
  <c r="AR62"/>
  <c r="AS62"/>
  <c r="AT62"/>
  <c r="AQ63"/>
  <c r="AR63"/>
  <c r="AS63"/>
  <c r="AT63"/>
  <c r="AQ64"/>
  <c r="AR64"/>
  <c r="AS64"/>
  <c r="AT64"/>
  <c r="AQ65"/>
  <c r="AR65"/>
  <c r="AS65"/>
  <c r="AT65"/>
  <c r="AQ66"/>
  <c r="AR66"/>
  <c r="AS66"/>
  <c r="AT66"/>
  <c r="AQ67"/>
  <c r="AR67"/>
  <c r="AS67"/>
  <c r="AT67"/>
  <c r="AQ68"/>
  <c r="AR68"/>
  <c r="AS68"/>
  <c r="AT68"/>
  <c r="AQ69"/>
  <c r="AR69"/>
  <c r="AS69"/>
  <c r="AT69"/>
  <c r="AQ70"/>
  <c r="AR70"/>
  <c r="AS70"/>
  <c r="AT70"/>
  <c r="AQ71"/>
  <c r="AR71"/>
  <c r="AS71"/>
  <c r="AT71"/>
  <c r="AQ72"/>
  <c r="AR72"/>
  <c r="AS72"/>
  <c r="AT72"/>
  <c r="AR61"/>
  <c r="AS61"/>
  <c r="AT61"/>
  <c r="AQ61"/>
  <c r="D79" i="8"/>
  <c r="C79"/>
  <c r="AQ46" i="17"/>
  <c r="AR46"/>
  <c r="AS46"/>
  <c r="AT46"/>
  <c r="AQ47"/>
  <c r="AR47"/>
  <c r="AS47"/>
  <c r="AT47"/>
  <c r="AQ48"/>
  <c r="AR48"/>
  <c r="AS48"/>
  <c r="AT48"/>
  <c r="AQ49"/>
  <c r="AR49"/>
  <c r="AS49"/>
  <c r="AT49"/>
  <c r="AQ50"/>
  <c r="AR50"/>
  <c r="AS50"/>
  <c r="AT50"/>
  <c r="AQ51"/>
  <c r="AR51"/>
  <c r="AS51"/>
  <c r="AT51"/>
  <c r="AQ52"/>
  <c r="AR52"/>
  <c r="AS52"/>
  <c r="AT52"/>
  <c r="AQ53"/>
  <c r="AR53"/>
  <c r="AT53"/>
  <c r="AQ54"/>
  <c r="AS54"/>
  <c r="AT54"/>
  <c r="AQ55"/>
  <c r="AR55"/>
  <c r="AS55"/>
  <c r="AT55"/>
  <c r="AQ56"/>
  <c r="AR56"/>
  <c r="AS56"/>
  <c r="AT56"/>
  <c r="AQ57"/>
  <c r="AR57"/>
  <c r="AS57"/>
  <c r="AT57"/>
  <c r="AQ58"/>
  <c r="AR58"/>
  <c r="AS58"/>
  <c r="AT58"/>
  <c r="AQ59"/>
  <c r="AR59"/>
  <c r="AS59"/>
  <c r="AT59"/>
  <c r="AR45"/>
  <c r="AS45"/>
  <c r="AT45"/>
  <c r="AQ30"/>
  <c r="AR30"/>
  <c r="AS30"/>
  <c r="AT30"/>
  <c r="AQ31"/>
  <c r="AR31"/>
  <c r="AS31"/>
  <c r="AT31"/>
  <c r="AQ32"/>
  <c r="AR32"/>
  <c r="AS32"/>
  <c r="AT32"/>
  <c r="AQ34"/>
  <c r="AS34"/>
  <c r="AT34"/>
  <c r="AQ35"/>
  <c r="AR35"/>
  <c r="AS35"/>
  <c r="AT35"/>
  <c r="AQ36"/>
  <c r="AR36"/>
  <c r="AS36"/>
  <c r="AT36"/>
  <c r="AQ37"/>
  <c r="AR37"/>
  <c r="AS37"/>
  <c r="AT37"/>
  <c r="AQ38"/>
  <c r="AR38"/>
  <c r="AS38"/>
  <c r="AT38"/>
  <c r="AQ39"/>
  <c r="AR39"/>
  <c r="AS39"/>
  <c r="AT39"/>
  <c r="AQ40"/>
  <c r="AR40"/>
  <c r="AS40"/>
  <c r="AT40"/>
  <c r="AQ41"/>
  <c r="AR41"/>
  <c r="AS41"/>
  <c r="AT41"/>
  <c r="AQ42"/>
  <c r="AR42"/>
  <c r="AS42"/>
  <c r="AT42"/>
  <c r="AQ43"/>
  <c r="AR43"/>
  <c r="AS43"/>
  <c r="AT43"/>
  <c r="AR29"/>
  <c r="AS29"/>
  <c r="AT29"/>
  <c r="AQ29"/>
  <c r="AQ19"/>
  <c r="AS19"/>
  <c r="AT19"/>
  <c r="AR20"/>
  <c r="AS20"/>
  <c r="AT20"/>
  <c r="AR21"/>
  <c r="AS21"/>
  <c r="AT21"/>
  <c r="AR22"/>
  <c r="AS22"/>
  <c r="AT22"/>
  <c r="AR23"/>
  <c r="AS23"/>
  <c r="AT23"/>
  <c r="AR24"/>
  <c r="AS24"/>
  <c r="AT24"/>
  <c r="AR25"/>
  <c r="AS25"/>
  <c r="AT25"/>
  <c r="AR26"/>
  <c r="AS26"/>
  <c r="AT26"/>
  <c r="AR27"/>
  <c r="AS27"/>
  <c r="AT27"/>
  <c r="AQ20"/>
  <c r="AQ21"/>
  <c r="AQ22"/>
  <c r="AQ23"/>
  <c r="AQ24"/>
  <c r="AQ25"/>
  <c r="AQ26"/>
  <c r="AQ27"/>
  <c r="BB27"/>
  <c r="AQ60"/>
  <c r="E142" i="8"/>
  <c r="AQ44" i="17"/>
  <c r="BC21"/>
  <c r="BI21"/>
  <c r="BB19"/>
  <c r="D98" i="8"/>
  <c r="C98"/>
  <c r="BH19" i="17"/>
  <c r="E141" i="8"/>
  <c r="D8" i="10"/>
  <c r="E8"/>
  <c r="F8"/>
  <c r="G8"/>
  <c r="C8"/>
  <c r="H1362" i="4"/>
  <c r="H1361"/>
  <c r="AF1342"/>
  <c r="AE1342"/>
  <c r="AD1342"/>
  <c r="AF1340"/>
  <c r="AE1340"/>
  <c r="AD1340"/>
  <c r="Y1342"/>
  <c r="X1342"/>
  <c r="W1342"/>
  <c r="Y1340"/>
  <c r="X1340"/>
  <c r="W1340"/>
  <c r="R1342"/>
  <c r="Q1342"/>
  <c r="P1342"/>
  <c r="R1340"/>
  <c r="Q1340"/>
  <c r="P1340"/>
  <c r="K1342"/>
  <c r="J1342"/>
  <c r="I1342"/>
  <c r="K1340"/>
  <c r="J1340"/>
  <c r="I1340"/>
  <c r="AQ350"/>
  <c r="AP350"/>
  <c r="AO350"/>
  <c r="AN350"/>
  <c r="AQ349"/>
  <c r="AP349"/>
  <c r="AO349"/>
  <c r="AN349"/>
  <c r="AQ348"/>
  <c r="AP348"/>
  <c r="AO348"/>
  <c r="AN348"/>
  <c r="AQ347"/>
  <c r="AP347"/>
  <c r="AO347"/>
  <c r="AN347"/>
  <c r="AQ346"/>
  <c r="AP346"/>
  <c r="AO346"/>
  <c r="AN346"/>
  <c r="AQ344"/>
  <c r="AP344"/>
  <c r="AO344"/>
  <c r="AN344"/>
  <c r="AQ337"/>
  <c r="AP337"/>
  <c r="AO337"/>
  <c r="AN337"/>
  <c r="AQ336"/>
  <c r="AP336"/>
  <c r="AO336"/>
  <c r="AN336"/>
  <c r="AQ335"/>
  <c r="AP335"/>
  <c r="AO335"/>
  <c r="AN335"/>
  <c r="AQ334"/>
  <c r="AP334"/>
  <c r="AO334"/>
  <c r="AN334"/>
  <c r="AQ333"/>
  <c r="AP333"/>
  <c r="AO333"/>
  <c r="AN333"/>
  <c r="AQ331"/>
  <c r="AP331"/>
  <c r="AO331"/>
  <c r="AN331"/>
  <c r="AQ324"/>
  <c r="AP324"/>
  <c r="AO324"/>
  <c r="AN324"/>
  <c r="AQ323"/>
  <c r="AP323"/>
  <c r="AO323"/>
  <c r="AN323"/>
  <c r="AQ322"/>
  <c r="AP322"/>
  <c r="AO322"/>
  <c r="AN322"/>
  <c r="AQ321"/>
  <c r="AP321"/>
  <c r="AO321"/>
  <c r="AN321"/>
  <c r="AQ320"/>
  <c r="AP320"/>
  <c r="AO320"/>
  <c r="AN320"/>
  <c r="AQ318"/>
  <c r="AP318"/>
  <c r="AO318"/>
  <c r="AN318"/>
  <c r="AQ194"/>
  <c r="AO313"/>
  <c r="AP339"/>
  <c r="AR337"/>
  <c r="AQ339"/>
  <c r="AR345"/>
  <c r="AN339"/>
  <c r="AR348"/>
  <c r="AR335"/>
  <c r="AR331"/>
  <c r="AO326"/>
  <c r="AR336"/>
  <c r="AR334"/>
  <c r="AR318"/>
  <c r="AR323"/>
  <c r="AR344"/>
  <c r="AR319"/>
  <c r="AR321"/>
  <c r="AO339"/>
  <c r="AN313"/>
  <c r="AR333"/>
  <c r="AR350"/>
  <c r="AR320"/>
  <c r="AR322"/>
  <c r="AQ326"/>
  <c r="AP326"/>
  <c r="AR349"/>
  <c r="AP313"/>
  <c r="AQ313"/>
  <c r="AR324"/>
  <c r="AR332"/>
  <c r="AR347"/>
  <c r="AR346"/>
  <c r="AN326"/>
  <c r="F6" i="17"/>
  <c r="AR339" i="4"/>
  <c r="AR326"/>
  <c r="AR313"/>
  <c r="AF341"/>
  <c r="AE341"/>
  <c r="AD341"/>
  <c r="AC341"/>
  <c r="AB341"/>
  <c r="Y341"/>
  <c r="X341"/>
  <c r="W341"/>
  <c r="V341"/>
  <c r="U341"/>
  <c r="R341"/>
  <c r="Q341"/>
  <c r="P341"/>
  <c r="O341"/>
  <c r="N341"/>
  <c r="K341"/>
  <c r="J341"/>
  <c r="I341"/>
  <c r="H341"/>
  <c r="G341"/>
  <c r="AF328"/>
  <c r="AE328"/>
  <c r="AD328"/>
  <c r="AC328"/>
  <c r="AB328"/>
  <c r="Y328"/>
  <c r="X328"/>
  <c r="W328"/>
  <c r="V328"/>
  <c r="U328"/>
  <c r="R328"/>
  <c r="Q328"/>
  <c r="P328"/>
  <c r="O328"/>
  <c r="N328"/>
  <c r="K328"/>
  <c r="J328"/>
  <c r="I328"/>
  <c r="H328"/>
  <c r="G328"/>
  <c r="AF315"/>
  <c r="AE315"/>
  <c r="AD315"/>
  <c r="AC315"/>
  <c r="AB315"/>
  <c r="Y315"/>
  <c r="X315"/>
  <c r="W315"/>
  <c r="V315"/>
  <c r="U315"/>
  <c r="R315"/>
  <c r="Q315"/>
  <c r="P315"/>
  <c r="O315"/>
  <c r="N315"/>
  <c r="K315"/>
  <c r="J315"/>
  <c r="I315"/>
  <c r="H315"/>
  <c r="G315"/>
  <c r="AF276"/>
  <c r="AE276"/>
  <c r="AD276"/>
  <c r="Y276"/>
  <c r="X276"/>
  <c r="W276"/>
  <c r="R276"/>
  <c r="Q276"/>
  <c r="P276"/>
  <c r="K276"/>
  <c r="J276"/>
  <c r="I276"/>
  <c r="AF263"/>
  <c r="AE263"/>
  <c r="AD263"/>
  <c r="Y263"/>
  <c r="W263"/>
  <c r="R263"/>
  <c r="Q263"/>
  <c r="P263"/>
  <c r="K263"/>
  <c r="J263"/>
  <c r="I263"/>
  <c r="AC237"/>
  <c r="AB237"/>
  <c r="V237"/>
  <c r="U237"/>
  <c r="O237"/>
  <c r="N237"/>
  <c r="H237"/>
  <c r="G237"/>
  <c r="I160"/>
  <c r="AC107"/>
  <c r="AB107"/>
  <c r="V107"/>
  <c r="U107"/>
  <c r="O107"/>
  <c r="N107"/>
  <c r="H107"/>
  <c r="G107"/>
  <c r="J160"/>
  <c r="G160"/>
  <c r="K160"/>
  <c r="H160"/>
  <c r="AL28" i="17"/>
  <c r="AM28"/>
  <c r="AN28"/>
  <c r="AO28"/>
  <c r="AF42" i="4"/>
  <c r="AE42"/>
  <c r="AD42"/>
  <c r="Y42"/>
  <c r="X42"/>
  <c r="W42"/>
  <c r="R42"/>
  <c r="Q42"/>
  <c r="P42"/>
  <c r="BC22" i="17"/>
  <c r="BC20"/>
  <c r="BC30"/>
  <c r="BC109"/>
  <c r="S28"/>
  <c r="X28"/>
  <c r="AC28"/>
  <c r="AH28"/>
  <c r="F138"/>
  <c r="D138"/>
  <c r="E1371" i="4"/>
  <c r="I127" i="17"/>
  <c r="J26" i="1"/>
  <c r="Q18"/>
  <c r="L127" i="17"/>
  <c r="O18" i="1"/>
  <c r="K127" i="17"/>
  <c r="G138" i="8"/>
  <c r="M18" i="1"/>
  <c r="J127" i="17"/>
  <c r="K18" i="1"/>
  <c r="L22"/>
  <c r="N22"/>
  <c r="P22"/>
  <c r="J23"/>
  <c r="L23"/>
  <c r="N23"/>
  <c r="P23"/>
  <c r="P21"/>
  <c r="N21"/>
  <c r="L21"/>
  <c r="Q23"/>
  <c r="O23"/>
  <c r="M23"/>
  <c r="K23"/>
  <c r="Q22"/>
  <c r="O22"/>
  <c r="M22"/>
  <c r="K22"/>
  <c r="R28" i="17"/>
  <c r="W28"/>
  <c r="AB28"/>
  <c r="AG28"/>
  <c r="BB30"/>
  <c r="T28"/>
  <c r="Y28"/>
  <c r="AD28"/>
  <c r="AI28"/>
  <c r="BJ30"/>
  <c r="U28"/>
  <c r="Z28"/>
  <c r="AE28"/>
  <c r="AJ28"/>
  <c r="BE30"/>
  <c r="BE109"/>
  <c r="G110" i="4"/>
  <c r="H110"/>
  <c r="AC110"/>
  <c r="AB110"/>
  <c r="V110"/>
  <c r="U110"/>
  <c r="N110"/>
  <c r="O110"/>
  <c r="H56"/>
  <c r="L68"/>
  <c r="I69"/>
  <c r="L81"/>
  <c r="G105"/>
  <c r="G106"/>
  <c r="G109"/>
  <c r="H105"/>
  <c r="H106"/>
  <c r="H109"/>
  <c r="L133"/>
  <c r="L172"/>
  <c r="L185"/>
  <c r="L198"/>
  <c r="L211"/>
  <c r="L224"/>
  <c r="L263"/>
  <c r="I261"/>
  <c r="I265"/>
  <c r="I262"/>
  <c r="K261"/>
  <c r="K262"/>
  <c r="L315"/>
  <c r="G313"/>
  <c r="G314"/>
  <c r="H313"/>
  <c r="H317"/>
  <c r="H314"/>
  <c r="I314"/>
  <c r="J313"/>
  <c r="J317"/>
  <c r="J314"/>
  <c r="K313"/>
  <c r="L328"/>
  <c r="G326"/>
  <c r="G330"/>
  <c r="G327"/>
  <c r="L329"/>
  <c r="I326"/>
  <c r="I330"/>
  <c r="I327"/>
  <c r="K326"/>
  <c r="K330"/>
  <c r="K327"/>
  <c r="L341"/>
  <c r="H340"/>
  <c r="H339"/>
  <c r="J339"/>
  <c r="L276"/>
  <c r="AD56"/>
  <c r="AF69"/>
  <c r="A53"/>
  <c r="AI53"/>
  <c r="AG341"/>
  <c r="AB339"/>
  <c r="AB343"/>
  <c r="AB340"/>
  <c r="AC340"/>
  <c r="AC339"/>
  <c r="AD339"/>
  <c r="AD343"/>
  <c r="AD340"/>
  <c r="AE340"/>
  <c r="AE339"/>
  <c r="AF339"/>
  <c r="AF343"/>
  <c r="AF340"/>
  <c r="Z341"/>
  <c r="U340"/>
  <c r="U343"/>
  <c r="U339"/>
  <c r="V339"/>
  <c r="V343"/>
  <c r="V340"/>
  <c r="W340"/>
  <c r="W343"/>
  <c r="W339"/>
  <c r="X339"/>
  <c r="X343"/>
  <c r="X340"/>
  <c r="Y340"/>
  <c r="Y343"/>
  <c r="Y339"/>
  <c r="S341"/>
  <c r="F350"/>
  <c r="F349"/>
  <c r="F348"/>
  <c r="F347"/>
  <c r="F346"/>
  <c r="F345"/>
  <c r="F344"/>
  <c r="AL339"/>
  <c r="AK339"/>
  <c r="AJ339"/>
  <c r="AG328"/>
  <c r="Z328"/>
  <c r="W326"/>
  <c r="Y326"/>
  <c r="S328"/>
  <c r="O327"/>
  <c r="Q327"/>
  <c r="F337"/>
  <c r="F336"/>
  <c r="F335"/>
  <c r="F334"/>
  <c r="F333"/>
  <c r="F332"/>
  <c r="F331"/>
  <c r="AL326"/>
  <c r="AK326"/>
  <c r="AJ326"/>
  <c r="S315"/>
  <c r="AG315"/>
  <c r="AB313"/>
  <c r="AB317"/>
  <c r="AC314"/>
  <c r="AD313"/>
  <c r="AD317"/>
  <c r="AE314"/>
  <c r="AF313"/>
  <c r="AF317"/>
  <c r="Z315"/>
  <c r="U314"/>
  <c r="V313"/>
  <c r="V317"/>
  <c r="W314"/>
  <c r="X314"/>
  <c r="X313"/>
  <c r="X317"/>
  <c r="Y314"/>
  <c r="N314"/>
  <c r="L316"/>
  <c r="F324"/>
  <c r="F323"/>
  <c r="F322"/>
  <c r="F321"/>
  <c r="F320"/>
  <c r="F319"/>
  <c r="F318"/>
  <c r="AL313"/>
  <c r="AK313"/>
  <c r="AJ313"/>
  <c r="AG302"/>
  <c r="F311"/>
  <c r="F310"/>
  <c r="F309"/>
  <c r="F308"/>
  <c r="F307"/>
  <c r="F306"/>
  <c r="F305"/>
  <c r="AL300"/>
  <c r="AK300"/>
  <c r="AJ300"/>
  <c r="S289"/>
  <c r="F298"/>
  <c r="F297"/>
  <c r="F296"/>
  <c r="F295"/>
  <c r="F294"/>
  <c r="F293"/>
  <c r="F292"/>
  <c r="AL287"/>
  <c r="AK287"/>
  <c r="AJ287"/>
  <c r="AG276"/>
  <c r="AC277"/>
  <c r="AD275"/>
  <c r="AF275"/>
  <c r="Z276"/>
  <c r="W275"/>
  <c r="W274"/>
  <c r="W278"/>
  <c r="X274"/>
  <c r="X278"/>
  <c r="X275"/>
  <c r="Y275"/>
  <c r="Y274"/>
  <c r="Y278"/>
  <c r="S276"/>
  <c r="F285"/>
  <c r="F284"/>
  <c r="F283"/>
  <c r="F282"/>
  <c r="F281"/>
  <c r="F280"/>
  <c r="F279"/>
  <c r="AL274"/>
  <c r="AK274"/>
  <c r="AJ274"/>
  <c r="AG263"/>
  <c r="Z263"/>
  <c r="W262"/>
  <c r="Y262"/>
  <c r="S263"/>
  <c r="P262"/>
  <c r="P261"/>
  <c r="P265"/>
  <c r="Q261"/>
  <c r="Q265"/>
  <c r="Q262"/>
  <c r="R262"/>
  <c r="R261"/>
  <c r="R265"/>
  <c r="F272"/>
  <c r="F271"/>
  <c r="F270"/>
  <c r="F269"/>
  <c r="F268"/>
  <c r="F267"/>
  <c r="F266"/>
  <c r="AL261"/>
  <c r="AK261"/>
  <c r="AJ261"/>
  <c r="Z250"/>
  <c r="F259"/>
  <c r="F258"/>
  <c r="F257"/>
  <c r="F256"/>
  <c r="F255"/>
  <c r="F254"/>
  <c r="F253"/>
  <c r="AL248"/>
  <c r="AK248"/>
  <c r="AJ248"/>
  <c r="AC236"/>
  <c r="U235"/>
  <c r="U239"/>
  <c r="U236"/>
  <c r="V236"/>
  <c r="V235"/>
  <c r="V239"/>
  <c r="N236"/>
  <c r="N239"/>
  <c r="N235"/>
  <c r="O235"/>
  <c r="O239"/>
  <c r="O236"/>
  <c r="F246"/>
  <c r="F245"/>
  <c r="F244"/>
  <c r="F243"/>
  <c r="F242"/>
  <c r="F241"/>
  <c r="F240"/>
  <c r="AL235"/>
  <c r="AK235"/>
  <c r="AJ235"/>
  <c r="F233"/>
  <c r="F232"/>
  <c r="F231"/>
  <c r="F230"/>
  <c r="F229"/>
  <c r="F228"/>
  <c r="F227"/>
  <c r="AL222"/>
  <c r="AK222"/>
  <c r="AJ222"/>
  <c r="AG211"/>
  <c r="Z211"/>
  <c r="S211"/>
  <c r="F220"/>
  <c r="F219"/>
  <c r="F218"/>
  <c r="F217"/>
  <c r="F216"/>
  <c r="F215"/>
  <c r="F214"/>
  <c r="AL209"/>
  <c r="AK209"/>
  <c r="AJ209"/>
  <c r="AG198"/>
  <c r="Z198"/>
  <c r="S198"/>
  <c r="F207"/>
  <c r="F206"/>
  <c r="F205"/>
  <c r="F204"/>
  <c r="F203"/>
  <c r="F202"/>
  <c r="F201"/>
  <c r="AL196"/>
  <c r="AK196"/>
  <c r="AJ196"/>
  <c r="AG172"/>
  <c r="Z172"/>
  <c r="S172"/>
  <c r="F194"/>
  <c r="F193"/>
  <c r="F192"/>
  <c r="F191"/>
  <c r="F190"/>
  <c r="F189"/>
  <c r="F188"/>
  <c r="AL183"/>
  <c r="AK183"/>
  <c r="AJ183"/>
  <c r="S68"/>
  <c r="P69"/>
  <c r="F181"/>
  <c r="F180"/>
  <c r="F179"/>
  <c r="F178"/>
  <c r="F177"/>
  <c r="F176"/>
  <c r="F175"/>
  <c r="AL170"/>
  <c r="AK170"/>
  <c r="AJ170"/>
  <c r="F168"/>
  <c r="F167"/>
  <c r="F166"/>
  <c r="F165"/>
  <c r="F164"/>
  <c r="F163"/>
  <c r="F162"/>
  <c r="AL157"/>
  <c r="AK157"/>
  <c r="AJ157"/>
  <c r="F155"/>
  <c r="F154"/>
  <c r="F153"/>
  <c r="F152"/>
  <c r="F151"/>
  <c r="F150"/>
  <c r="F149"/>
  <c r="AL144"/>
  <c r="AK144"/>
  <c r="AJ144"/>
  <c r="F142"/>
  <c r="F141"/>
  <c r="F140"/>
  <c r="F139"/>
  <c r="F138"/>
  <c r="F137"/>
  <c r="F136"/>
  <c r="AL131"/>
  <c r="AK131"/>
  <c r="AJ131"/>
  <c r="S120"/>
  <c r="F129"/>
  <c r="F128"/>
  <c r="F127"/>
  <c r="F126"/>
  <c r="F125"/>
  <c r="F124"/>
  <c r="F123"/>
  <c r="AL118"/>
  <c r="AK118"/>
  <c r="AJ118"/>
  <c r="S107"/>
  <c r="F116"/>
  <c r="F115"/>
  <c r="F114"/>
  <c r="F113"/>
  <c r="F112"/>
  <c r="F111"/>
  <c r="F110"/>
  <c r="AL105"/>
  <c r="AK105"/>
  <c r="AJ105"/>
  <c r="F103"/>
  <c r="F102"/>
  <c r="F101"/>
  <c r="F100"/>
  <c r="F99"/>
  <c r="F98"/>
  <c r="F97"/>
  <c r="AL92"/>
  <c r="AK92"/>
  <c r="AJ92"/>
  <c r="F90"/>
  <c r="F89"/>
  <c r="F88"/>
  <c r="F87"/>
  <c r="F86"/>
  <c r="F85"/>
  <c r="F84"/>
  <c r="AL79"/>
  <c r="AK79"/>
  <c r="AJ79"/>
  <c r="Z68"/>
  <c r="W69"/>
  <c r="W66"/>
  <c r="F77"/>
  <c r="F76"/>
  <c r="F75"/>
  <c r="F74"/>
  <c r="F73"/>
  <c r="F72"/>
  <c r="F71"/>
  <c r="AL66"/>
  <c r="AK66"/>
  <c r="AJ66"/>
  <c r="Z55"/>
  <c r="Y56"/>
  <c r="P56"/>
  <c r="F64"/>
  <c r="F63"/>
  <c r="F62"/>
  <c r="F61"/>
  <c r="F60"/>
  <c r="F59"/>
  <c r="F58"/>
  <c r="AL53"/>
  <c r="AK53"/>
  <c r="AJ53"/>
  <c r="F51"/>
  <c r="AC106"/>
  <c r="AB106"/>
  <c r="AB105"/>
  <c r="AC105"/>
  <c r="AC109"/>
  <c r="V106"/>
  <c r="V105"/>
  <c r="V109"/>
  <c r="AB109"/>
  <c r="O106"/>
  <c r="O105"/>
  <c r="O109"/>
  <c r="U106"/>
  <c r="U105"/>
  <c r="N105"/>
  <c r="N106"/>
  <c r="E100" i="13"/>
  <c r="E101"/>
  <c r="E102"/>
  <c r="E103"/>
  <c r="E104"/>
  <c r="E99"/>
  <c r="C143"/>
  <c r="E85"/>
  <c r="E90"/>
  <c r="E40"/>
  <c r="E41"/>
  <c r="E42"/>
  <c r="E43"/>
  <c r="E44"/>
  <c r="E45"/>
  <c r="E47"/>
  <c r="E48"/>
  <c r="E83"/>
  <c r="E84"/>
  <c r="E86"/>
  <c r="E87"/>
  <c r="E88"/>
  <c r="E89"/>
  <c r="AF20" i="17"/>
  <c r="U109" i="4"/>
  <c r="N109"/>
  <c r="Q109" i="17"/>
  <c r="AA109"/>
  <c r="AF109"/>
  <c r="AK109"/>
  <c r="AP109"/>
  <c r="J44"/>
  <c r="F134" i="8"/>
  <c r="K44" i="17"/>
  <c r="G134" i="8"/>
  <c r="L44" i="17"/>
  <c r="I44"/>
  <c r="E134" i="8"/>
  <c r="AA102" i="17"/>
  <c r="BH103"/>
  <c r="BI103"/>
  <c r="BD103"/>
  <c r="BE103"/>
  <c r="BB104"/>
  <c r="BC104"/>
  <c r="BJ104"/>
  <c r="BK104"/>
  <c r="BB105"/>
  <c r="BC105"/>
  <c r="BD105"/>
  <c r="BE105"/>
  <c r="BH106"/>
  <c r="BI106"/>
  <c r="BJ106"/>
  <c r="BK106"/>
  <c r="BB107"/>
  <c r="BI107"/>
  <c r="BJ107"/>
  <c r="BK107"/>
  <c r="BH108"/>
  <c r="BI108"/>
  <c r="BJ108"/>
  <c r="BK108"/>
  <c r="BB109"/>
  <c r="BD109"/>
  <c r="BK109"/>
  <c r="BH110"/>
  <c r="BC110"/>
  <c r="BJ110"/>
  <c r="BE110"/>
  <c r="BB111"/>
  <c r="BC111"/>
  <c r="BJ111"/>
  <c r="BK111"/>
  <c r="BH112"/>
  <c r="BI112"/>
  <c r="BJ112"/>
  <c r="BK112"/>
  <c r="BH113"/>
  <c r="BI113"/>
  <c r="BJ113"/>
  <c r="BK113"/>
  <c r="BH114"/>
  <c r="BC114"/>
  <c r="BD114"/>
  <c r="BK114"/>
  <c r="BB115"/>
  <c r="BI115"/>
  <c r="BJ115"/>
  <c r="BK115"/>
  <c r="BH116"/>
  <c r="BC116"/>
  <c r="BJ116"/>
  <c r="BE116"/>
  <c r="BH117"/>
  <c r="BC117"/>
  <c r="BD117"/>
  <c r="BE117"/>
  <c r="BH118"/>
  <c r="BI118"/>
  <c r="BD118"/>
  <c r="BE118"/>
  <c r="BH119"/>
  <c r="BC119"/>
  <c r="BD119"/>
  <c r="BE119"/>
  <c r="BH120"/>
  <c r="BI120"/>
  <c r="BD120"/>
  <c r="BK120"/>
  <c r="BH121"/>
  <c r="BI121"/>
  <c r="BJ121"/>
  <c r="BK121"/>
  <c r="BH122"/>
  <c r="BI122"/>
  <c r="BC122"/>
  <c r="BJ122"/>
  <c r="BK122"/>
  <c r="BH123"/>
  <c r="BI123"/>
  <c r="BJ123"/>
  <c r="BE123"/>
  <c r="BB124"/>
  <c r="BC124"/>
  <c r="BJ124"/>
  <c r="BK124"/>
  <c r="BH125"/>
  <c r="BC125"/>
  <c r="BJ125"/>
  <c r="BE125"/>
  <c r="BH126"/>
  <c r="BI126"/>
  <c r="BJ126"/>
  <c r="BE126"/>
  <c r="BJ102"/>
  <c r="BK102"/>
  <c r="AO127"/>
  <c r="AN127"/>
  <c r="AM127"/>
  <c r="AL127"/>
  <c r="AP126"/>
  <c r="AP125"/>
  <c r="AP124"/>
  <c r="AP123"/>
  <c r="AP122"/>
  <c r="AP121"/>
  <c r="AP120"/>
  <c r="AP119"/>
  <c r="AP118"/>
  <c r="AP117"/>
  <c r="AP116"/>
  <c r="AP115"/>
  <c r="AP114"/>
  <c r="AP113"/>
  <c r="AP112"/>
  <c r="AP111"/>
  <c r="AP110"/>
  <c r="AP108"/>
  <c r="AP107"/>
  <c r="AP106"/>
  <c r="AP105"/>
  <c r="AP104"/>
  <c r="AP103"/>
  <c r="AP102"/>
  <c r="AJ127"/>
  <c r="AI127"/>
  <c r="AG127"/>
  <c r="AK126"/>
  <c r="AK125"/>
  <c r="AK124"/>
  <c r="AK123"/>
  <c r="AK122"/>
  <c r="AK121"/>
  <c r="AK120"/>
  <c r="AK119"/>
  <c r="AK118"/>
  <c r="AK117"/>
  <c r="AK116"/>
  <c r="AK115"/>
  <c r="AK114"/>
  <c r="AK113"/>
  <c r="AK112"/>
  <c r="AK111"/>
  <c r="AK110"/>
  <c r="AK108"/>
  <c r="AK107"/>
  <c r="AK106"/>
  <c r="AK105"/>
  <c r="AK104"/>
  <c r="AK103"/>
  <c r="AK102"/>
  <c r="AE127"/>
  <c r="AD127"/>
  <c r="AB127"/>
  <c r="AF126"/>
  <c r="AF125"/>
  <c r="AF124"/>
  <c r="AF123"/>
  <c r="AF122"/>
  <c r="AF121"/>
  <c r="AF120"/>
  <c r="AF119"/>
  <c r="AF118"/>
  <c r="AF117"/>
  <c r="AF116"/>
  <c r="AF115"/>
  <c r="AF114"/>
  <c r="AF113"/>
  <c r="AF112"/>
  <c r="AF111"/>
  <c r="AF110"/>
  <c r="AF108"/>
  <c r="AF107"/>
  <c r="AF106"/>
  <c r="AF105"/>
  <c r="AF104"/>
  <c r="AF103"/>
  <c r="AF102"/>
  <c r="Z127"/>
  <c r="Y127"/>
  <c r="W127"/>
  <c r="AA126"/>
  <c r="AA125"/>
  <c r="AA124"/>
  <c r="AA123"/>
  <c r="AA122"/>
  <c r="AA121"/>
  <c r="AA120"/>
  <c r="AA119"/>
  <c r="AA118"/>
  <c r="AA117"/>
  <c r="AA116"/>
  <c r="AA115"/>
  <c r="AA114"/>
  <c r="AA113"/>
  <c r="AA112"/>
  <c r="AA111"/>
  <c r="AA110"/>
  <c r="AA108"/>
  <c r="AA107"/>
  <c r="AA106"/>
  <c r="AA105"/>
  <c r="AA104"/>
  <c r="AA103"/>
  <c r="U127"/>
  <c r="T127"/>
  <c r="S127"/>
  <c r="R127"/>
  <c r="Q103"/>
  <c r="Q104"/>
  <c r="Q105"/>
  <c r="Q106"/>
  <c r="Q107"/>
  <c r="Q108"/>
  <c r="Q110"/>
  <c r="Q111"/>
  <c r="Q112"/>
  <c r="Q113"/>
  <c r="Q114"/>
  <c r="Q115"/>
  <c r="Q116"/>
  <c r="Q117"/>
  <c r="Q118"/>
  <c r="Q119"/>
  <c r="Q120"/>
  <c r="Q121"/>
  <c r="Q122"/>
  <c r="Q123"/>
  <c r="Q124"/>
  <c r="Q125"/>
  <c r="Q126"/>
  <c r="Q102"/>
  <c r="BB75"/>
  <c r="BI75"/>
  <c r="BJ75"/>
  <c r="BK75"/>
  <c r="BH76"/>
  <c r="BI76"/>
  <c r="BJ76"/>
  <c r="BK76"/>
  <c r="BH77"/>
  <c r="BI77"/>
  <c r="BJ77"/>
  <c r="BK77"/>
  <c r="BB78"/>
  <c r="BI78"/>
  <c r="BJ78"/>
  <c r="BK78"/>
  <c r="BH79"/>
  <c r="BI79"/>
  <c r="BJ79"/>
  <c r="BK79"/>
  <c r="BH80"/>
  <c r="BI80"/>
  <c r="BJ80"/>
  <c r="BK80"/>
  <c r="BB81"/>
  <c r="BC81"/>
  <c r="BJ81"/>
  <c r="BK81"/>
  <c r="BB82"/>
  <c r="BI82"/>
  <c r="BJ82"/>
  <c r="BK82"/>
  <c r="BB83"/>
  <c r="BC83"/>
  <c r="BJ83"/>
  <c r="BK83"/>
  <c r="BB84"/>
  <c r="BC84"/>
  <c r="BD84"/>
  <c r="BE84"/>
  <c r="BB85"/>
  <c r="BC85"/>
  <c r="BD85"/>
  <c r="BE85"/>
  <c r="BH86"/>
  <c r="BC86"/>
  <c r="BD86"/>
  <c r="BE86"/>
  <c r="BB87"/>
  <c r="BC87"/>
  <c r="BD87"/>
  <c r="BK87"/>
  <c r="BH88"/>
  <c r="BI88"/>
  <c r="BJ88"/>
  <c r="BK88"/>
  <c r="BH89"/>
  <c r="BC89"/>
  <c r="BD89"/>
  <c r="BE89"/>
  <c r="BB90"/>
  <c r="BI90"/>
  <c r="BJ90"/>
  <c r="BK90"/>
  <c r="BH91"/>
  <c r="BI91"/>
  <c r="BJ91"/>
  <c r="BE91"/>
  <c r="BH92"/>
  <c r="BI92"/>
  <c r="BJ92"/>
  <c r="BK92"/>
  <c r="BH93"/>
  <c r="BC93"/>
  <c r="BD93"/>
  <c r="BE93"/>
  <c r="BH94"/>
  <c r="BI94"/>
  <c r="BJ94"/>
  <c r="BK94"/>
  <c r="BB95"/>
  <c r="BC95"/>
  <c r="BD95"/>
  <c r="BE95"/>
  <c r="BH96"/>
  <c r="BI96"/>
  <c r="BD96"/>
  <c r="BE96"/>
  <c r="BB97"/>
  <c r="BC97"/>
  <c r="BD97"/>
  <c r="BK97"/>
  <c r="BB98"/>
  <c r="BC98"/>
  <c r="BD98"/>
  <c r="BE98"/>
  <c r="BB99"/>
  <c r="BC99"/>
  <c r="BD99"/>
  <c r="BE99"/>
  <c r="BH100"/>
  <c r="BI100"/>
  <c r="BJ100"/>
  <c r="BK100"/>
  <c r="BI74"/>
  <c r="BJ74"/>
  <c r="BE74"/>
  <c r="BH74"/>
  <c r="AO101"/>
  <c r="AN101"/>
  <c r="AM101"/>
  <c r="AL101"/>
  <c r="AP100"/>
  <c r="AP99"/>
  <c r="AP98"/>
  <c r="AP97"/>
  <c r="AP96"/>
  <c r="AP95"/>
  <c r="AP94"/>
  <c r="AP93"/>
  <c r="AP92"/>
  <c r="AP91"/>
  <c r="AP90"/>
  <c r="AP89"/>
  <c r="AP88"/>
  <c r="AP87"/>
  <c r="AP86"/>
  <c r="AP85"/>
  <c r="AP84"/>
  <c r="AP83"/>
  <c r="AP82"/>
  <c r="AP81"/>
  <c r="AP80"/>
  <c r="AP79"/>
  <c r="AP78"/>
  <c r="AP77"/>
  <c r="AP76"/>
  <c r="AP75"/>
  <c r="AP74"/>
  <c r="AJ101"/>
  <c r="AI101"/>
  <c r="AH101"/>
  <c r="AG101"/>
  <c r="AK100"/>
  <c r="AK99"/>
  <c r="AK98"/>
  <c r="AK97"/>
  <c r="AK96"/>
  <c r="AK95"/>
  <c r="AK94"/>
  <c r="AK93"/>
  <c r="AK92"/>
  <c r="AK91"/>
  <c r="AK90"/>
  <c r="AK89"/>
  <c r="AK88"/>
  <c r="AK87"/>
  <c r="AK86"/>
  <c r="AK85"/>
  <c r="AK84"/>
  <c r="AK83"/>
  <c r="AK82"/>
  <c r="AK81"/>
  <c r="AK80"/>
  <c r="AK79"/>
  <c r="AK78"/>
  <c r="AK77"/>
  <c r="AK76"/>
  <c r="AK75"/>
  <c r="AK74"/>
  <c r="AE101"/>
  <c r="AD101"/>
  <c r="AC101"/>
  <c r="AB101"/>
  <c r="AF100"/>
  <c r="AF99"/>
  <c r="AF98"/>
  <c r="AF97"/>
  <c r="AF96"/>
  <c r="AF95"/>
  <c r="AF94"/>
  <c r="AF93"/>
  <c r="AF92"/>
  <c r="AF91"/>
  <c r="AF90"/>
  <c r="AF89"/>
  <c r="AF88"/>
  <c r="AF87"/>
  <c r="AF86"/>
  <c r="AF85"/>
  <c r="AF84"/>
  <c r="AF83"/>
  <c r="AF82"/>
  <c r="AF81"/>
  <c r="AF80"/>
  <c r="AF79"/>
  <c r="AF78"/>
  <c r="AF77"/>
  <c r="AF76"/>
  <c r="AF75"/>
  <c r="AF74"/>
  <c r="Z101"/>
  <c r="Y101"/>
  <c r="X101"/>
  <c r="W101"/>
  <c r="AA100"/>
  <c r="AA99"/>
  <c r="AA98"/>
  <c r="AA97"/>
  <c r="AA96"/>
  <c r="AA95"/>
  <c r="AA94"/>
  <c r="AA93"/>
  <c r="AA92"/>
  <c r="AA91"/>
  <c r="AA90"/>
  <c r="AA89"/>
  <c r="AA88"/>
  <c r="AA87"/>
  <c r="AA86"/>
  <c r="AA85"/>
  <c r="AA84"/>
  <c r="AA83"/>
  <c r="AA82"/>
  <c r="AA81"/>
  <c r="AA80"/>
  <c r="AA79"/>
  <c r="AA78"/>
  <c r="AA77"/>
  <c r="AA76"/>
  <c r="AA75"/>
  <c r="AA74"/>
  <c r="U101"/>
  <c r="T101"/>
  <c r="S101"/>
  <c r="R101"/>
  <c r="Q75"/>
  <c r="Q76"/>
  <c r="Q77"/>
  <c r="Q78"/>
  <c r="Q79"/>
  <c r="Q80"/>
  <c r="Q81"/>
  <c r="Q82"/>
  <c r="Q83"/>
  <c r="Q84"/>
  <c r="Q85"/>
  <c r="Q86"/>
  <c r="Q87"/>
  <c r="Q88"/>
  <c r="Q89"/>
  <c r="Q90"/>
  <c r="Q91"/>
  <c r="Q92"/>
  <c r="Q93"/>
  <c r="Q94"/>
  <c r="Q95"/>
  <c r="Q96"/>
  <c r="Q97"/>
  <c r="Q98"/>
  <c r="Q99"/>
  <c r="Q100"/>
  <c r="Q74"/>
  <c r="M101"/>
  <c r="N101"/>
  <c r="O101"/>
  <c r="P101"/>
  <c r="BH62"/>
  <c r="BI62"/>
  <c r="BJ62"/>
  <c r="BK62"/>
  <c r="BB63"/>
  <c r="BC63"/>
  <c r="BJ63"/>
  <c r="BK63"/>
  <c r="BH64"/>
  <c r="BC64"/>
  <c r="BJ64"/>
  <c r="BK64"/>
  <c r="BH65"/>
  <c r="BI65"/>
  <c r="BJ65"/>
  <c r="BE65"/>
  <c r="BH66"/>
  <c r="BD66"/>
  <c r="BE66"/>
  <c r="BB67"/>
  <c r="BI67"/>
  <c r="BJ67"/>
  <c r="BK67"/>
  <c r="BH68"/>
  <c r="BC68"/>
  <c r="BD68"/>
  <c r="BE68"/>
  <c r="BH69"/>
  <c r="BI69"/>
  <c r="BJ69"/>
  <c r="BK69"/>
  <c r="BB70"/>
  <c r="BC70"/>
  <c r="BJ70"/>
  <c r="BK70"/>
  <c r="BH71"/>
  <c r="BI71"/>
  <c r="BD71"/>
  <c r="BE71"/>
  <c r="BB72"/>
  <c r="BI72"/>
  <c r="BJ72"/>
  <c r="BK72"/>
  <c r="BD61"/>
  <c r="BK61"/>
  <c r="BH61"/>
  <c r="AO73"/>
  <c r="AN73"/>
  <c r="AM73"/>
  <c r="AL73"/>
  <c r="AP72"/>
  <c r="AP71"/>
  <c r="AP70"/>
  <c r="AP69"/>
  <c r="AP68"/>
  <c r="AP67"/>
  <c r="AP66"/>
  <c r="AP65"/>
  <c r="AP64"/>
  <c r="AP63"/>
  <c r="AP62"/>
  <c r="AP61"/>
  <c r="AJ73"/>
  <c r="AI73"/>
  <c r="AH73"/>
  <c r="AG73"/>
  <c r="AK72"/>
  <c r="AK71"/>
  <c r="AK70"/>
  <c r="AK69"/>
  <c r="AK68"/>
  <c r="AK67"/>
  <c r="AK66"/>
  <c r="AK65"/>
  <c r="AK64"/>
  <c r="AK63"/>
  <c r="AK62"/>
  <c r="AE73"/>
  <c r="AD73"/>
  <c r="AC73"/>
  <c r="AB73"/>
  <c r="AF72"/>
  <c r="AF71"/>
  <c r="AF70"/>
  <c r="AF69"/>
  <c r="AF68"/>
  <c r="AF67"/>
  <c r="AF66"/>
  <c r="AF65"/>
  <c r="AF64"/>
  <c r="AF63"/>
  <c r="AF62"/>
  <c r="AF61"/>
  <c r="Z73"/>
  <c r="Y73"/>
  <c r="X73"/>
  <c r="W73"/>
  <c r="AA72"/>
  <c r="AA71"/>
  <c r="AA70"/>
  <c r="AA69"/>
  <c r="AA68"/>
  <c r="AA67"/>
  <c r="AA66"/>
  <c r="AA65"/>
  <c r="AA64"/>
  <c r="AA63"/>
  <c r="AA62"/>
  <c r="U73"/>
  <c r="T73"/>
  <c r="S73"/>
  <c r="R73"/>
  <c r="Q62"/>
  <c r="Q63"/>
  <c r="Q64"/>
  <c r="Q65"/>
  <c r="Q66"/>
  <c r="Q67"/>
  <c r="Q68"/>
  <c r="Q69"/>
  <c r="Q70"/>
  <c r="Q71"/>
  <c r="Q72"/>
  <c r="Q61"/>
  <c r="M73"/>
  <c r="N73"/>
  <c r="O73"/>
  <c r="P73"/>
  <c r="L73"/>
  <c r="BD122"/>
  <c r="BI124"/>
  <c r="BB119"/>
  <c r="BJ120"/>
  <c r="BC123"/>
  <c r="BE121"/>
  <c r="BK119"/>
  <c r="BJ117"/>
  <c r="BE124"/>
  <c r="BB123"/>
  <c r="BJ119"/>
  <c r="BI117"/>
  <c r="BD124"/>
  <c r="BC121"/>
  <c r="BB121"/>
  <c r="BE97"/>
  <c r="BB96"/>
  <c r="BC91"/>
  <c r="BH99"/>
  <c r="BI97"/>
  <c r="BK93"/>
  <c r="BK91"/>
  <c r="BE100"/>
  <c r="BE92"/>
  <c r="BB91"/>
  <c r="BH97"/>
  <c r="BB94"/>
  <c r="BK98"/>
  <c r="BH95"/>
  <c r="BI93"/>
  <c r="BC92"/>
  <c r="BK96"/>
  <c r="BB100"/>
  <c r="BK99"/>
  <c r="BH98"/>
  <c r="BE108"/>
  <c r="BE78"/>
  <c r="BD116"/>
  <c r="BD111"/>
  <c r="BD110"/>
  <c r="BD106"/>
  <c r="BC106"/>
  <c r="BI110"/>
  <c r="BC113"/>
  <c r="BC115"/>
  <c r="BB118"/>
  <c r="BH115"/>
  <c r="BB113"/>
  <c r="BH111"/>
  <c r="BH107"/>
  <c r="BC102"/>
  <c r="BI83"/>
  <c r="BC79"/>
  <c r="BC78"/>
  <c r="BC77"/>
  <c r="BE82"/>
  <c r="BE81"/>
  <c r="BE79"/>
  <c r="BE87"/>
  <c r="BE90"/>
  <c r="BH90"/>
  <c r="BH83"/>
  <c r="BH75"/>
  <c r="BD63"/>
  <c r="BH67"/>
  <c r="BH63"/>
  <c r="BD115"/>
  <c r="BJ109"/>
  <c r="BI109"/>
  <c r="BH109"/>
  <c r="BE106"/>
  <c r="BK103"/>
  <c r="BJ103"/>
  <c r="BB103"/>
  <c r="BE102"/>
  <c r="BB102"/>
  <c r="BE104"/>
  <c r="BD104"/>
  <c r="BH104"/>
  <c r="BK105"/>
  <c r="BJ105"/>
  <c r="BI105"/>
  <c r="BH105"/>
  <c r="BD108"/>
  <c r="BC108"/>
  <c r="BB108"/>
  <c r="BD107"/>
  <c r="BC107"/>
  <c r="BJ114"/>
  <c r="BB114"/>
  <c r="BD112"/>
  <c r="BC112"/>
  <c r="BB112"/>
  <c r="BI116"/>
  <c r="BB116"/>
  <c r="BK110"/>
  <c r="BB110"/>
  <c r="BB89"/>
  <c r="BK89"/>
  <c r="BI89"/>
  <c r="BE88"/>
  <c r="BC88"/>
  <c r="BB88"/>
  <c r="BK85"/>
  <c r="BI85"/>
  <c r="BH85"/>
  <c r="BK84"/>
  <c r="BI84"/>
  <c r="BH84"/>
  <c r="BC82"/>
  <c r="BH82"/>
  <c r="BE80"/>
  <c r="BC80"/>
  <c r="BB80"/>
  <c r="BB77"/>
  <c r="BB79"/>
  <c r="BE77"/>
  <c r="BE76"/>
  <c r="BC76"/>
  <c r="BB76"/>
  <c r="BC90"/>
  <c r="BI87"/>
  <c r="BH87"/>
  <c r="BK86"/>
  <c r="BI86"/>
  <c r="BB86"/>
  <c r="BE83"/>
  <c r="BI81"/>
  <c r="BH81"/>
  <c r="BH78"/>
  <c r="BE75"/>
  <c r="BC75"/>
  <c r="BC74"/>
  <c r="BB74"/>
  <c r="AQ101"/>
  <c r="E144" i="8"/>
  <c r="BD62" i="17"/>
  <c r="BC62"/>
  <c r="BB62"/>
  <c r="BE61"/>
  <c r="BI61"/>
  <c r="BC61"/>
  <c r="BB61"/>
  <c r="BH46"/>
  <c r="BD46"/>
  <c r="BH47"/>
  <c r="BK47"/>
  <c r="BH48"/>
  <c r="BD48"/>
  <c r="BK48"/>
  <c r="BH49"/>
  <c r="BK49"/>
  <c r="BB50"/>
  <c r="BI50"/>
  <c r="BJ50"/>
  <c r="BK50"/>
  <c r="BB51"/>
  <c r="BC51"/>
  <c r="BD51"/>
  <c r="BE51"/>
  <c r="BB52"/>
  <c r="BI52"/>
  <c r="BD52"/>
  <c r="BE52"/>
  <c r="BB53"/>
  <c r="BI53"/>
  <c r="BJ53"/>
  <c r="BK53"/>
  <c r="BH54"/>
  <c r="BC54"/>
  <c r="BD54"/>
  <c r="BE54"/>
  <c r="BB55"/>
  <c r="BC55"/>
  <c r="BJ55"/>
  <c r="BE55"/>
  <c r="BB56"/>
  <c r="BD56"/>
  <c r="BE56"/>
  <c r="BB57"/>
  <c r="BI57"/>
  <c r="BD57"/>
  <c r="BE57"/>
  <c r="BB58"/>
  <c r="BI58"/>
  <c r="BJ58"/>
  <c r="BE58"/>
  <c r="BB59"/>
  <c r="BC59"/>
  <c r="BD59"/>
  <c r="BE59"/>
  <c r="BC45"/>
  <c r="BE45"/>
  <c r="BH45"/>
  <c r="AO60"/>
  <c r="AN60"/>
  <c r="AM60"/>
  <c r="AL60"/>
  <c r="AP59"/>
  <c r="AP58"/>
  <c r="AP57"/>
  <c r="AP56"/>
  <c r="AP55"/>
  <c r="AP54"/>
  <c r="AP53"/>
  <c r="AP52"/>
  <c r="AP51"/>
  <c r="AP50"/>
  <c r="AP49"/>
  <c r="AP48"/>
  <c r="AP47"/>
  <c r="AP46"/>
  <c r="AP45"/>
  <c r="AJ60"/>
  <c r="AI60"/>
  <c r="AH60"/>
  <c r="AG60"/>
  <c r="AK59"/>
  <c r="AK58"/>
  <c r="AK57"/>
  <c r="AK56"/>
  <c r="AK55"/>
  <c r="AK54"/>
  <c r="AK53"/>
  <c r="AK52"/>
  <c r="AK51"/>
  <c r="AK50"/>
  <c r="AK49"/>
  <c r="AK48"/>
  <c r="AK47"/>
  <c r="AK46"/>
  <c r="AK45"/>
  <c r="AE60"/>
  <c r="AD60"/>
  <c r="AC60"/>
  <c r="AB60"/>
  <c r="AF59"/>
  <c r="AF58"/>
  <c r="AF57"/>
  <c r="AF56"/>
  <c r="AF55"/>
  <c r="AF54"/>
  <c r="AF53"/>
  <c r="AF52"/>
  <c r="AF50"/>
  <c r="AF49"/>
  <c r="AF48"/>
  <c r="AF47"/>
  <c r="AF46"/>
  <c r="AF45"/>
  <c r="Z60"/>
  <c r="Y60"/>
  <c r="X60"/>
  <c r="W60"/>
  <c r="AA59"/>
  <c r="AA58"/>
  <c r="AA57"/>
  <c r="AA56"/>
  <c r="AA55"/>
  <c r="AA54"/>
  <c r="AA53"/>
  <c r="AA52"/>
  <c r="AA51"/>
  <c r="AA50"/>
  <c r="AA49"/>
  <c r="U60"/>
  <c r="T60"/>
  <c r="S60"/>
  <c r="R60"/>
  <c r="Q46"/>
  <c r="Q47"/>
  <c r="Q48"/>
  <c r="Q49"/>
  <c r="Q50"/>
  <c r="Q51"/>
  <c r="Q52"/>
  <c r="Q53"/>
  <c r="Q54"/>
  <c r="Q55"/>
  <c r="Q56"/>
  <c r="Q57"/>
  <c r="Q58"/>
  <c r="Q59"/>
  <c r="Q45"/>
  <c r="AU45"/>
  <c r="M60"/>
  <c r="M128"/>
  <c r="N60"/>
  <c r="N128"/>
  <c r="O60"/>
  <c r="P60"/>
  <c r="I60"/>
  <c r="E135" i="8"/>
  <c r="BB31" i="17"/>
  <c r="BJ31"/>
  <c r="BE31"/>
  <c r="BC32"/>
  <c r="BD32"/>
  <c r="BE32"/>
  <c r="BH34"/>
  <c r="BC34"/>
  <c r="BD34"/>
  <c r="BE34"/>
  <c r="BH35"/>
  <c r="BC35"/>
  <c r="BJ35"/>
  <c r="BK35"/>
  <c r="BB36"/>
  <c r="BC36"/>
  <c r="BJ36"/>
  <c r="BE36"/>
  <c r="BB37"/>
  <c r="BC37"/>
  <c r="BJ37"/>
  <c r="BK37"/>
  <c r="BH38"/>
  <c r="BC38"/>
  <c r="BD38"/>
  <c r="BE38"/>
  <c r="BB39"/>
  <c r="BC39"/>
  <c r="BJ39"/>
  <c r="BK39"/>
  <c r="BB40"/>
  <c r="BC40"/>
  <c r="BJ40"/>
  <c r="BE40"/>
  <c r="BB41"/>
  <c r="BI41"/>
  <c r="BD41"/>
  <c r="BK41"/>
  <c r="BH42"/>
  <c r="BI42"/>
  <c r="BJ42"/>
  <c r="BE42"/>
  <c r="BB43"/>
  <c r="BC43"/>
  <c r="BD43"/>
  <c r="BK43"/>
  <c r="BD29"/>
  <c r="BE29"/>
  <c r="BB29"/>
  <c r="AO44"/>
  <c r="AN44"/>
  <c r="AM44"/>
  <c r="AL44"/>
  <c r="AP43"/>
  <c r="AP42"/>
  <c r="AP41"/>
  <c r="AP40"/>
  <c r="AP39"/>
  <c r="AP38"/>
  <c r="AP37"/>
  <c r="AP36"/>
  <c r="AP35"/>
  <c r="AP34"/>
  <c r="AP32"/>
  <c r="AP31"/>
  <c r="AP30"/>
  <c r="AP29"/>
  <c r="AJ44"/>
  <c r="AI44"/>
  <c r="AH44"/>
  <c r="AG44"/>
  <c r="AK43"/>
  <c r="AK42"/>
  <c r="AK41"/>
  <c r="AK40"/>
  <c r="AK39"/>
  <c r="AK38"/>
  <c r="AK37"/>
  <c r="AK36"/>
  <c r="AK35"/>
  <c r="AK34"/>
  <c r="AK32"/>
  <c r="AK31"/>
  <c r="AK30"/>
  <c r="AE44"/>
  <c r="AD44"/>
  <c r="AC44"/>
  <c r="AB44"/>
  <c r="AF43"/>
  <c r="AF42"/>
  <c r="AF41"/>
  <c r="AF40"/>
  <c r="AF39"/>
  <c r="AF38"/>
  <c r="AF37"/>
  <c r="AF36"/>
  <c r="AF35"/>
  <c r="AF34"/>
  <c r="AF32"/>
  <c r="AF30"/>
  <c r="AF29"/>
  <c r="AA43"/>
  <c r="AA42"/>
  <c r="AA41"/>
  <c r="AA40"/>
  <c r="AA39"/>
  <c r="AA38"/>
  <c r="AA37"/>
  <c r="AA36"/>
  <c r="AA35"/>
  <c r="AA34"/>
  <c r="AA32"/>
  <c r="AA31"/>
  <c r="AA30"/>
  <c r="AA29"/>
  <c r="V29"/>
  <c r="V30"/>
  <c r="Q43"/>
  <c r="Q40"/>
  <c r="Q41"/>
  <c r="Q42"/>
  <c r="Q29"/>
  <c r="BI48"/>
  <c r="BC48"/>
  <c r="BJ47"/>
  <c r="BD47"/>
  <c r="BI47"/>
  <c r="BC47"/>
  <c r="BJ49"/>
  <c r="BD49"/>
  <c r="BI49"/>
  <c r="BC49"/>
  <c r="BK46"/>
  <c r="BE46"/>
  <c r="BJ46"/>
  <c r="BI46"/>
  <c r="BC46"/>
  <c r="BJ45"/>
  <c r="BD45"/>
  <c r="BI35"/>
  <c r="BB34"/>
  <c r="BJ32"/>
  <c r="BB32"/>
  <c r="BH32"/>
  <c r="BI31"/>
  <c r="BC31"/>
  <c r="BI29"/>
  <c r="BC29"/>
  <c r="BI19"/>
  <c r="BD19"/>
  <c r="BK19"/>
  <c r="BJ20"/>
  <c r="BK20"/>
  <c r="BJ21"/>
  <c r="BK21"/>
  <c r="BI22"/>
  <c r="BD22"/>
  <c r="BE22"/>
  <c r="BI23"/>
  <c r="BJ23"/>
  <c r="BK23"/>
  <c r="BC24"/>
  <c r="BJ24"/>
  <c r="BK24"/>
  <c r="BC25"/>
  <c r="BD25"/>
  <c r="BE25"/>
  <c r="BI26"/>
  <c r="BJ26"/>
  <c r="BE26"/>
  <c r="BC27"/>
  <c r="BJ27"/>
  <c r="BE27"/>
  <c r="BH20"/>
  <c r="BH21"/>
  <c r="BH22"/>
  <c r="BH23"/>
  <c r="BH24"/>
  <c r="BB25"/>
  <c r="BH26"/>
  <c r="BE23"/>
  <c r="BC23"/>
  <c r="BD21"/>
  <c r="BD20"/>
  <c r="BI20"/>
  <c r="V27"/>
  <c r="V25"/>
  <c r="V24"/>
  <c r="V23"/>
  <c r="V22"/>
  <c r="V21"/>
  <c r="V20"/>
  <c r="V19"/>
  <c r="AP27"/>
  <c r="AP26"/>
  <c r="AP25"/>
  <c r="AP24"/>
  <c r="AP23"/>
  <c r="AP22"/>
  <c r="AP21"/>
  <c r="AP20"/>
  <c r="AP19"/>
  <c r="AK27"/>
  <c r="AK26"/>
  <c r="AK25"/>
  <c r="AK24"/>
  <c r="AK23"/>
  <c r="AK22"/>
  <c r="AK21"/>
  <c r="AK20"/>
  <c r="AK19"/>
  <c r="AF27"/>
  <c r="AF26"/>
  <c r="AF25"/>
  <c r="AF24"/>
  <c r="AF23"/>
  <c r="AF22"/>
  <c r="AF21"/>
  <c r="AF19"/>
  <c r="AA27"/>
  <c r="AA26"/>
  <c r="AA25"/>
  <c r="AA24"/>
  <c r="AA23"/>
  <c r="AA22"/>
  <c r="AA21"/>
  <c r="AA20"/>
  <c r="AA19"/>
  <c r="Q20"/>
  <c r="Q21"/>
  <c r="Q22"/>
  <c r="Q23"/>
  <c r="Q24"/>
  <c r="Q25"/>
  <c r="Q26"/>
  <c r="Q27"/>
  <c r="O127"/>
  <c r="P127"/>
  <c r="I101"/>
  <c r="J73"/>
  <c r="F136" i="8"/>
  <c r="K73" i="17"/>
  <c r="G136" i="8"/>
  <c r="I73" i="17"/>
  <c r="J60"/>
  <c r="K60"/>
  <c r="L60"/>
  <c r="I28"/>
  <c r="E133" i="8"/>
  <c r="E4" i="18"/>
  <c r="E5"/>
  <c r="B5"/>
  <c r="B4"/>
  <c r="G1371" i="4"/>
  <c r="H25"/>
  <c r="C5" i="10"/>
  <c r="B5"/>
  <c r="C4"/>
  <c r="B4"/>
  <c r="B9"/>
  <c r="B10"/>
  <c r="B11"/>
  <c r="B8"/>
  <c r="E144" i="17"/>
  <c r="H172"/>
  <c r="H174"/>
  <c r="F172"/>
  <c r="F174"/>
  <c r="E172"/>
  <c r="E174"/>
  <c r="D171"/>
  <c r="H162"/>
  <c r="H163"/>
  <c r="D161"/>
  <c r="D155"/>
  <c r="H150"/>
  <c r="F150"/>
  <c r="D149"/>
  <c r="H147"/>
  <c r="F147"/>
  <c r="E147"/>
  <c r="D146"/>
  <c r="H144"/>
  <c r="F144"/>
  <c r="D143"/>
  <c r="H68" i="8"/>
  <c r="D137" i="17"/>
  <c r="J101"/>
  <c r="K101"/>
  <c r="L101"/>
  <c r="BE19"/>
  <c r="J28"/>
  <c r="F133" i="8"/>
  <c r="K28" i="17"/>
  <c r="G133" i="8"/>
  <c r="L28" i="17"/>
  <c r="F7"/>
  <c r="C7"/>
  <c r="C6"/>
  <c r="E136" i="13"/>
  <c r="E135"/>
  <c r="E134"/>
  <c r="E133"/>
  <c r="E132"/>
  <c r="E131"/>
  <c r="E130"/>
  <c r="E129"/>
  <c r="E128"/>
  <c r="E127"/>
  <c r="E126"/>
  <c r="E124"/>
  <c r="E123"/>
  <c r="E122"/>
  <c r="E121"/>
  <c r="E120"/>
  <c r="E118"/>
  <c r="E117"/>
  <c r="E116"/>
  <c r="E115"/>
  <c r="E114"/>
  <c r="E113"/>
  <c r="E112"/>
  <c r="E111"/>
  <c r="E110"/>
  <c r="E109"/>
  <c r="E108"/>
  <c r="E107"/>
  <c r="E97"/>
  <c r="E94"/>
  <c r="E93"/>
  <c r="E37"/>
  <c r="E36"/>
  <c r="E35"/>
  <c r="E34"/>
  <c r="E33"/>
  <c r="E32"/>
  <c r="E31"/>
  <c r="E30"/>
  <c r="E29"/>
  <c r="E28"/>
  <c r="E27"/>
  <c r="E26"/>
  <c r="E25"/>
  <c r="E24"/>
  <c r="C147"/>
  <c r="E23"/>
  <c r="C149"/>
  <c r="E95"/>
  <c r="E92"/>
  <c r="E96"/>
  <c r="D8" i="1"/>
  <c r="C8"/>
  <c r="D7"/>
  <c r="C7"/>
  <c r="AL40" i="4"/>
  <c r="AK40"/>
  <c r="AJ40"/>
  <c r="AL38"/>
  <c r="AK38"/>
  <c r="AJ38"/>
  <c r="E7"/>
  <c r="B7"/>
  <c r="E6"/>
  <c r="B6"/>
  <c r="H1365"/>
  <c r="H1364"/>
  <c r="F50"/>
  <c r="F49"/>
  <c r="F48"/>
  <c r="F47"/>
  <c r="F46"/>
  <c r="F45"/>
  <c r="E23" i="7"/>
  <c r="F19"/>
  <c r="F23"/>
  <c r="G29"/>
  <c r="H29"/>
  <c r="I29"/>
  <c r="G23"/>
  <c r="H23"/>
  <c r="I23"/>
  <c r="D13"/>
  <c r="E13"/>
  <c r="F13"/>
  <c r="G13"/>
  <c r="F11"/>
  <c r="G11"/>
  <c r="I27"/>
  <c r="H27"/>
  <c r="G27"/>
  <c r="F27"/>
  <c r="E27"/>
  <c r="E28"/>
  <c r="I19"/>
  <c r="H19"/>
  <c r="G19"/>
  <c r="E19"/>
  <c r="E20"/>
  <c r="P128" i="17"/>
  <c r="AG128"/>
  <c r="AI128"/>
  <c r="W128"/>
  <c r="Z128"/>
  <c r="AE128"/>
  <c r="U128"/>
  <c r="AB128"/>
  <c r="R128"/>
  <c r="AC128"/>
  <c r="S128"/>
  <c r="O128"/>
  <c r="AH128"/>
  <c r="AJ128"/>
  <c r="Y128"/>
  <c r="AD128"/>
  <c r="T128"/>
  <c r="X128"/>
  <c r="F10" i="10"/>
  <c r="D150" i="17"/>
  <c r="D147"/>
  <c r="I150"/>
  <c r="C141" i="13"/>
  <c r="E154"/>
  <c r="C162"/>
  <c r="E78" i="8"/>
  <c r="E162" i="13"/>
  <c r="G78" i="8"/>
  <c r="D162" i="13"/>
  <c r="F78" i="8"/>
  <c r="F162" i="13"/>
  <c r="H78" i="8"/>
  <c r="L128" i="17"/>
  <c r="G135" i="8"/>
  <c r="K128" i="17"/>
  <c r="F135" i="8"/>
  <c r="J128" i="17"/>
  <c r="AU71"/>
  <c r="AU63"/>
  <c r="AU126"/>
  <c r="AU122"/>
  <c r="BF122"/>
  <c r="AU118"/>
  <c r="BF118"/>
  <c r="F68" i="8"/>
  <c r="D174" i="17"/>
  <c r="I128"/>
  <c r="F156" i="13"/>
  <c r="C156"/>
  <c r="E156"/>
  <c r="D156"/>
  <c r="D154"/>
  <c r="AA44" i="17"/>
  <c r="D163"/>
  <c r="AU114"/>
  <c r="BF114"/>
  <c r="H20" i="7"/>
  <c r="AU110" i="17"/>
  <c r="AU106"/>
  <c r="BF106"/>
  <c r="J25" i="1"/>
  <c r="AU125" i="17"/>
  <c r="BF125"/>
  <c r="AU117"/>
  <c r="I28" i="7"/>
  <c r="AU31" i="17"/>
  <c r="AU37"/>
  <c r="AU48"/>
  <c r="AU39"/>
  <c r="G24" i="7"/>
  <c r="Z191" i="4"/>
  <c r="AP191"/>
  <c r="AG191"/>
  <c r="AQ191"/>
  <c r="Z190"/>
  <c r="AP190"/>
  <c r="AG190"/>
  <c r="AQ190"/>
  <c r="I24" i="7"/>
  <c r="Z193" i="4"/>
  <c r="AP193"/>
  <c r="AG193"/>
  <c r="AQ193"/>
  <c r="E24" i="7"/>
  <c r="Z189" i="4"/>
  <c r="AP189"/>
  <c r="AG189"/>
  <c r="AQ189"/>
  <c r="E164" i="13"/>
  <c r="F164"/>
  <c r="C164"/>
  <c r="D164"/>
  <c r="AU70" i="17"/>
  <c r="AU66"/>
  <c r="BF66"/>
  <c r="AU62"/>
  <c r="AU96"/>
  <c r="BF96"/>
  <c r="AU88"/>
  <c r="BF88"/>
  <c r="H24" i="7"/>
  <c r="Z192" i="4"/>
  <c r="AP192"/>
  <c r="AG192"/>
  <c r="AQ192"/>
  <c r="D162" i="17"/>
  <c r="AU95"/>
  <c r="BF95"/>
  <c r="AU87"/>
  <c r="BF87"/>
  <c r="AU81"/>
  <c r="BF81"/>
  <c r="E136" i="8"/>
  <c r="AU108" i="17"/>
  <c r="BF108"/>
  <c r="V101"/>
  <c r="V44"/>
  <c r="E69" i="8"/>
  <c r="F69"/>
  <c r="AU40" i="17"/>
  <c r="AU57"/>
  <c r="AU49"/>
  <c r="BL81"/>
  <c r="BL105"/>
  <c r="AU21"/>
  <c r="AU20"/>
  <c r="AS28"/>
  <c r="AQ188" i="4"/>
  <c r="AP188"/>
  <c r="R69"/>
  <c r="O69"/>
  <c r="O66"/>
  <c r="G69"/>
  <c r="G66"/>
  <c r="AB56"/>
  <c r="AD57"/>
  <c r="AF56"/>
  <c r="AE56"/>
  <c r="U56"/>
  <c r="P57"/>
  <c r="P303"/>
  <c r="R303"/>
  <c r="Q303"/>
  <c r="N303"/>
  <c r="O303"/>
  <c r="G303"/>
  <c r="K303"/>
  <c r="H303"/>
  <c r="J303"/>
  <c r="I303"/>
  <c r="AC303"/>
  <c r="AB303"/>
  <c r="AF303"/>
  <c r="AD303"/>
  <c r="AE303"/>
  <c r="X303"/>
  <c r="U303"/>
  <c r="Y303"/>
  <c r="V303"/>
  <c r="W303"/>
  <c r="H290"/>
  <c r="G290"/>
  <c r="AC290"/>
  <c r="AB290"/>
  <c r="N290"/>
  <c r="O290"/>
  <c r="U290"/>
  <c r="V290"/>
  <c r="X290"/>
  <c r="Y290"/>
  <c r="W290"/>
  <c r="I290"/>
  <c r="J290"/>
  <c r="K290"/>
  <c r="R290"/>
  <c r="Q290"/>
  <c r="P290"/>
  <c r="AD290"/>
  <c r="AF290"/>
  <c r="AE290"/>
  <c r="U277"/>
  <c r="V277"/>
  <c r="AB277"/>
  <c r="H277"/>
  <c r="G277"/>
  <c r="O277"/>
  <c r="N277"/>
  <c r="N264"/>
  <c r="O264"/>
  <c r="V264"/>
  <c r="U264"/>
  <c r="AC264"/>
  <c r="AB264"/>
  <c r="H264"/>
  <c r="G264"/>
  <c r="W251"/>
  <c r="U251"/>
  <c r="X251"/>
  <c r="Y251"/>
  <c r="V251"/>
  <c r="AB251"/>
  <c r="AD251"/>
  <c r="AE251"/>
  <c r="AC251"/>
  <c r="AF251"/>
  <c r="O251"/>
  <c r="N251"/>
  <c r="Q251"/>
  <c r="P251"/>
  <c r="R251"/>
  <c r="H251"/>
  <c r="G251"/>
  <c r="J251"/>
  <c r="K251"/>
  <c r="I251"/>
  <c r="Q238"/>
  <c r="P238"/>
  <c r="R238"/>
  <c r="K238"/>
  <c r="I238"/>
  <c r="J238"/>
  <c r="AF238"/>
  <c r="AD238"/>
  <c r="AE238"/>
  <c r="W238"/>
  <c r="X238"/>
  <c r="Y238"/>
  <c r="R225"/>
  <c r="P225"/>
  <c r="N225"/>
  <c r="Q225"/>
  <c r="O225"/>
  <c r="AF225"/>
  <c r="AC225"/>
  <c r="AE225"/>
  <c r="AD225"/>
  <c r="AB225"/>
  <c r="J225"/>
  <c r="K225"/>
  <c r="I225"/>
  <c r="G225"/>
  <c r="H225"/>
  <c r="Y225"/>
  <c r="W225"/>
  <c r="X225"/>
  <c r="U225"/>
  <c r="V225"/>
  <c r="J212"/>
  <c r="H212"/>
  <c r="I212"/>
  <c r="G212"/>
  <c r="K212"/>
  <c r="Y212"/>
  <c r="X212"/>
  <c r="V212"/>
  <c r="U212"/>
  <c r="W212"/>
  <c r="R212"/>
  <c r="N212"/>
  <c r="Q212"/>
  <c r="O212"/>
  <c r="P212"/>
  <c r="AF212"/>
  <c r="AB212"/>
  <c r="AC212"/>
  <c r="AE212"/>
  <c r="AD212"/>
  <c r="N199"/>
  <c r="Q199"/>
  <c r="P199"/>
  <c r="R199"/>
  <c r="O199"/>
  <c r="AE199"/>
  <c r="AB199"/>
  <c r="AF199"/>
  <c r="AD199"/>
  <c r="AC199"/>
  <c r="J199"/>
  <c r="H199"/>
  <c r="I199"/>
  <c r="G199"/>
  <c r="K199"/>
  <c r="W199"/>
  <c r="U199"/>
  <c r="X199"/>
  <c r="V199"/>
  <c r="Y199"/>
  <c r="G186"/>
  <c r="J186"/>
  <c r="I186"/>
  <c r="K186"/>
  <c r="H186"/>
  <c r="AD173"/>
  <c r="AB173"/>
  <c r="AE173"/>
  <c r="AC173"/>
  <c r="AF173"/>
  <c r="O173"/>
  <c r="N173"/>
  <c r="P173"/>
  <c r="Q173"/>
  <c r="R173"/>
  <c r="V173"/>
  <c r="W173"/>
  <c r="Y173"/>
  <c r="U173"/>
  <c r="X173"/>
  <c r="H173"/>
  <c r="G173"/>
  <c r="I173"/>
  <c r="K173"/>
  <c r="J173"/>
  <c r="Q160"/>
  <c r="P160"/>
  <c r="R160"/>
  <c r="O160"/>
  <c r="N160"/>
  <c r="X160"/>
  <c r="V160"/>
  <c r="Y160"/>
  <c r="U160"/>
  <c r="W160"/>
  <c r="AE160"/>
  <c r="AD160"/>
  <c r="AB160"/>
  <c r="AC160"/>
  <c r="AF160"/>
  <c r="W147"/>
  <c r="Y147"/>
  <c r="V147"/>
  <c r="X147"/>
  <c r="U147"/>
  <c r="AD147"/>
  <c r="AE147"/>
  <c r="AB147"/>
  <c r="AC147"/>
  <c r="AF147"/>
  <c r="P147"/>
  <c r="N147"/>
  <c r="O147"/>
  <c r="R147"/>
  <c r="Q147"/>
  <c r="J147"/>
  <c r="G147"/>
  <c r="H147"/>
  <c r="K147"/>
  <c r="I147"/>
  <c r="Y121"/>
  <c r="W121"/>
  <c r="U121"/>
  <c r="V121"/>
  <c r="X121"/>
  <c r="R121"/>
  <c r="P121"/>
  <c r="Q121"/>
  <c r="O121"/>
  <c r="N121"/>
  <c r="AF121"/>
  <c r="AB121"/>
  <c r="AC121"/>
  <c r="AE121"/>
  <c r="AD121"/>
  <c r="J121"/>
  <c r="K121"/>
  <c r="I121"/>
  <c r="H121"/>
  <c r="G121"/>
  <c r="Q108"/>
  <c r="R108"/>
  <c r="P108"/>
  <c r="Y108"/>
  <c r="X108"/>
  <c r="W108"/>
  <c r="AD108"/>
  <c r="AE108"/>
  <c r="AF108"/>
  <c r="J108"/>
  <c r="I108"/>
  <c r="K108"/>
  <c r="X95"/>
  <c r="V95"/>
  <c r="Y95"/>
  <c r="U95"/>
  <c r="W95"/>
  <c r="AE95"/>
  <c r="AD95"/>
  <c r="AB95"/>
  <c r="AF95"/>
  <c r="AC95"/>
  <c r="K95"/>
  <c r="G95"/>
  <c r="J95"/>
  <c r="H95"/>
  <c r="I95"/>
  <c r="R95"/>
  <c r="Q95"/>
  <c r="N95"/>
  <c r="P95"/>
  <c r="O95"/>
  <c r="J82"/>
  <c r="G82"/>
  <c r="H82"/>
  <c r="K82"/>
  <c r="I82"/>
  <c r="Y69"/>
  <c r="Y67"/>
  <c r="W67"/>
  <c r="W70"/>
  <c r="J69"/>
  <c r="J66"/>
  <c r="K69"/>
  <c r="AD69"/>
  <c r="H69"/>
  <c r="AE69"/>
  <c r="V69"/>
  <c r="V67"/>
  <c r="AC69"/>
  <c r="AB69"/>
  <c r="X69"/>
  <c r="Q69"/>
  <c r="Q66"/>
  <c r="U69"/>
  <c r="U67"/>
  <c r="N69"/>
  <c r="N67"/>
  <c r="X56"/>
  <c r="N56"/>
  <c r="R56"/>
  <c r="W56"/>
  <c r="V56"/>
  <c r="AC56"/>
  <c r="K56"/>
  <c r="J56"/>
  <c r="Q56"/>
  <c r="O56"/>
  <c r="G56"/>
  <c r="I56"/>
  <c r="E119" i="13"/>
  <c r="P26" i="1"/>
  <c r="H138" i="8"/>
  <c r="D138"/>
  <c r="C138"/>
  <c r="AU30" i="17"/>
  <c r="AU116"/>
  <c r="BF116"/>
  <c r="H137" i="8"/>
  <c r="P25" i="1"/>
  <c r="D137" i="8"/>
  <c r="C137"/>
  <c r="H69"/>
  <c r="AU27" i="17"/>
  <c r="AU38"/>
  <c r="AU43"/>
  <c r="AU55"/>
  <c r="AU72"/>
  <c r="BF72"/>
  <c r="AU64"/>
  <c r="BF64"/>
  <c r="AU94"/>
  <c r="BF94"/>
  <c r="AU86"/>
  <c r="BF86"/>
  <c r="AU80"/>
  <c r="BF80"/>
  <c r="AU123"/>
  <c r="BF123"/>
  <c r="AU115"/>
  <c r="BF115"/>
  <c r="AU109"/>
  <c r="BF109"/>
  <c r="AT28"/>
  <c r="E138" i="8"/>
  <c r="D68"/>
  <c r="C68"/>
  <c r="AU56" i="17"/>
  <c r="AU107"/>
  <c r="BF107"/>
  <c r="I20" i="7"/>
  <c r="N25" i="1"/>
  <c r="G137" i="8"/>
  <c r="AU26" i="17"/>
  <c r="AU29"/>
  <c r="AU36"/>
  <c r="AU54"/>
  <c r="AU74"/>
  <c r="AU93"/>
  <c r="BF93"/>
  <c r="AU85"/>
  <c r="BF85"/>
  <c r="AU79"/>
  <c r="BF79"/>
  <c r="H134" i="8"/>
  <c r="D134"/>
  <c r="C134"/>
  <c r="AU25" i="17"/>
  <c r="AU78"/>
  <c r="BF78"/>
  <c r="AU113"/>
  <c r="BF113"/>
  <c r="L26" i="1"/>
  <c r="F138" i="8"/>
  <c r="AU61" i="17"/>
  <c r="BF61"/>
  <c r="L25" i="1"/>
  <c r="F137" i="8"/>
  <c r="H136"/>
  <c r="D136"/>
  <c r="C136"/>
  <c r="AU92" i="17"/>
  <c r="BF92"/>
  <c r="AU121"/>
  <c r="BF121"/>
  <c r="AU24"/>
  <c r="V28"/>
  <c r="AU19"/>
  <c r="AU41"/>
  <c r="AU34"/>
  <c r="AU52"/>
  <c r="AU46"/>
  <c r="AU69"/>
  <c r="BF69"/>
  <c r="V73"/>
  <c r="AU99"/>
  <c r="BF99"/>
  <c r="AU91"/>
  <c r="BF91"/>
  <c r="AU84"/>
  <c r="BF84"/>
  <c r="AU77"/>
  <c r="BF77"/>
  <c r="AU120"/>
  <c r="BF120"/>
  <c r="AU112"/>
  <c r="BF112"/>
  <c r="AU104"/>
  <c r="BF104"/>
  <c r="H135" i="8"/>
  <c r="D135"/>
  <c r="C135"/>
  <c r="AU65" i="17"/>
  <c r="BF65"/>
  <c r="AU124"/>
  <c r="BF124"/>
  <c r="AU35"/>
  <c r="AU53"/>
  <c r="AU105"/>
  <c r="BF105"/>
  <c r="H133" i="8"/>
  <c r="D133"/>
  <c r="C133"/>
  <c r="H70"/>
  <c r="E137"/>
  <c r="AU23" i="17"/>
  <c r="AU59"/>
  <c r="AU51"/>
  <c r="V60"/>
  <c r="AU68"/>
  <c r="BF68"/>
  <c r="AU98"/>
  <c r="BF98"/>
  <c r="AU90"/>
  <c r="BF90"/>
  <c r="AU76"/>
  <c r="BF76"/>
  <c r="AU102"/>
  <c r="AU119"/>
  <c r="BF119"/>
  <c r="AU111"/>
  <c r="BF111"/>
  <c r="AU103"/>
  <c r="BF103"/>
  <c r="BF110"/>
  <c r="AQ28"/>
  <c r="AU82"/>
  <c r="BF82"/>
  <c r="AU42"/>
  <c r="AU47"/>
  <c r="AU100"/>
  <c r="BF100"/>
  <c r="AU22"/>
  <c r="AU32"/>
  <c r="AU58"/>
  <c r="AU50"/>
  <c r="AU67"/>
  <c r="BF67"/>
  <c r="AU97"/>
  <c r="BF97"/>
  <c r="AU89"/>
  <c r="BF89"/>
  <c r="AU83"/>
  <c r="BF83"/>
  <c r="AU75"/>
  <c r="BF75"/>
  <c r="AR28"/>
  <c r="E21" i="13"/>
  <c r="E105"/>
  <c r="A66" i="4"/>
  <c r="F25"/>
  <c r="F28" i="7"/>
  <c r="H28"/>
  <c r="F20"/>
  <c r="AF134" i="4"/>
  <c r="AD134"/>
  <c r="AE134"/>
  <c r="K134"/>
  <c r="I134"/>
  <c r="J134"/>
  <c r="Q134"/>
  <c r="R134"/>
  <c r="P134"/>
  <c r="Y134"/>
  <c r="X134"/>
  <c r="W134"/>
  <c r="H134"/>
  <c r="G134"/>
  <c r="O134"/>
  <c r="N134"/>
  <c r="V134"/>
  <c r="U134"/>
  <c r="AB134"/>
  <c r="AC134"/>
  <c r="G20" i="7"/>
  <c r="F24"/>
  <c r="G28"/>
  <c r="L42" i="4"/>
  <c r="G43"/>
  <c r="E125" i="13"/>
  <c r="BL109" i="17"/>
  <c r="BL67"/>
  <c r="AT101"/>
  <c r="H144" i="8"/>
  <c r="BE107" i="17"/>
  <c r="BB125"/>
  <c r="BB117"/>
  <c r="N26" i="1"/>
  <c r="BD75" i="17"/>
  <c r="BE112"/>
  <c r="BB66"/>
  <c r="D172"/>
  <c r="D159"/>
  <c r="BJ22"/>
  <c r="BJ34"/>
  <c r="BB64"/>
  <c r="BD121"/>
  <c r="D144"/>
  <c r="BI114"/>
  <c r="BL114"/>
  <c r="BE120"/>
  <c r="BJ68"/>
  <c r="BF71"/>
  <c r="AP101"/>
  <c r="BD125"/>
  <c r="Q60"/>
  <c r="BE24"/>
  <c r="BC103"/>
  <c r="BJ61"/>
  <c r="BL61"/>
  <c r="BK74"/>
  <c r="BL74"/>
  <c r="BJ95"/>
  <c r="BC120"/>
  <c r="AC148" i="4"/>
  <c r="BC19" i="17"/>
  <c r="BF19"/>
  <c r="BJ96"/>
  <c r="BL96"/>
  <c r="BL69"/>
  <c r="BF126"/>
  <c r="AQ127"/>
  <c r="E145" i="8"/>
  <c r="BD72" i="17"/>
  <c r="BK125"/>
  <c r="AF44"/>
  <c r="AK44"/>
  <c r="BD76"/>
  <c r="BD100"/>
  <c r="BF63"/>
  <c r="AA101"/>
  <c r="AF101"/>
  <c r="BF117"/>
  <c r="BC69"/>
  <c r="BL115"/>
  <c r="BK32"/>
  <c r="BK34"/>
  <c r="BI104"/>
  <c r="BL104"/>
  <c r="BI111"/>
  <c r="BL111"/>
  <c r="BF70"/>
  <c r="AT127"/>
  <c r="H145" i="8"/>
  <c r="BI119" i="17"/>
  <c r="BL119"/>
  <c r="BD67"/>
  <c r="BD82"/>
  <c r="BJ98"/>
  <c r="BL83"/>
  <c r="BE64"/>
  <c r="AA127"/>
  <c r="BB22"/>
  <c r="BF22"/>
  <c r="BI30"/>
  <c r="AF60"/>
  <c r="BL110"/>
  <c r="BD94"/>
  <c r="BD126"/>
  <c r="AA73"/>
  <c r="AF73"/>
  <c r="AK73"/>
  <c r="AP73"/>
  <c r="AR73"/>
  <c r="AK101"/>
  <c r="AR127"/>
  <c r="F145" i="8"/>
  <c r="BL112" i="17"/>
  <c r="BD123"/>
  <c r="AA28"/>
  <c r="AF28"/>
  <c r="AS73"/>
  <c r="BJ118"/>
  <c r="BJ127"/>
  <c r="BL91"/>
  <c r="BL79"/>
  <c r="BL77"/>
  <c r="Q127"/>
  <c r="V127"/>
  <c r="AF127"/>
  <c r="BI125"/>
  <c r="BB120"/>
  <c r="BL113"/>
  <c r="BJ71"/>
  <c r="AK28"/>
  <c r="BB106"/>
  <c r="BD113"/>
  <c r="AK127"/>
  <c r="AP127"/>
  <c r="BH124"/>
  <c r="BL124"/>
  <c r="BH70"/>
  <c r="F1371" i="4"/>
  <c r="H1371"/>
  <c r="AG342"/>
  <c r="Z342"/>
  <c r="AG316"/>
  <c r="AD314"/>
  <c r="AC313"/>
  <c r="AC317"/>
  <c r="AF314"/>
  <c r="AB314"/>
  <c r="AE313"/>
  <c r="AE317"/>
  <c r="U313"/>
  <c r="U317"/>
  <c r="W313"/>
  <c r="W317"/>
  <c r="Z316"/>
  <c r="V314"/>
  <c r="Y313"/>
  <c r="Y317"/>
  <c r="I313"/>
  <c r="Z277"/>
  <c r="AB252"/>
  <c r="AB236"/>
  <c r="AB235"/>
  <c r="AC343"/>
  <c r="O339"/>
  <c r="O343"/>
  <c r="O340"/>
  <c r="V326"/>
  <c r="V327"/>
  <c r="AD261"/>
  <c r="AD262"/>
  <c r="AC326"/>
  <c r="AC330"/>
  <c r="AC327"/>
  <c r="AE343"/>
  <c r="Q313"/>
  <c r="Q317"/>
  <c r="Q314"/>
  <c r="N326"/>
  <c r="N327"/>
  <c r="Z343"/>
  <c r="AE239"/>
  <c r="AC235"/>
  <c r="AC239"/>
  <c r="R252"/>
  <c r="P252"/>
  <c r="Y261"/>
  <c r="Y265"/>
  <c r="W261"/>
  <c r="W265"/>
  <c r="AF274"/>
  <c r="AF278"/>
  <c r="AD274"/>
  <c r="AD278"/>
  <c r="O291"/>
  <c r="AE304"/>
  <c r="N313"/>
  <c r="N317"/>
  <c r="Q326"/>
  <c r="Q330"/>
  <c r="O326"/>
  <c r="O330"/>
  <c r="Y291"/>
  <c r="Y327"/>
  <c r="Y330"/>
  <c r="W327"/>
  <c r="W330"/>
  <c r="U327"/>
  <c r="U291"/>
  <c r="U326"/>
  <c r="U330"/>
  <c r="V1340"/>
  <c r="O1340"/>
  <c r="H343"/>
  <c r="K314"/>
  <c r="K317"/>
  <c r="J261"/>
  <c r="J262"/>
  <c r="G339"/>
  <c r="G343"/>
  <c r="G340"/>
  <c r="H326"/>
  <c r="H327"/>
  <c r="G317"/>
  <c r="J340"/>
  <c r="J343"/>
  <c r="I317"/>
  <c r="J326"/>
  <c r="J327"/>
  <c r="K265"/>
  <c r="U213"/>
  <c r="AG212"/>
  <c r="AG199"/>
  <c r="P161"/>
  <c r="W148"/>
  <c r="O148"/>
  <c r="Y148"/>
  <c r="Q161"/>
  <c r="N161"/>
  <c r="AE161"/>
  <c r="U161"/>
  <c r="V161"/>
  <c r="L160"/>
  <c r="G27" i="1"/>
  <c r="BL121" i="17"/>
  <c r="BL103"/>
  <c r="BL120"/>
  <c r="BL108"/>
  <c r="BL106"/>
  <c r="BL122"/>
  <c r="BL107"/>
  <c r="BE115"/>
  <c r="BI102"/>
  <c r="BB126"/>
  <c r="BE122"/>
  <c r="BB122"/>
  <c r="BE114"/>
  <c r="BC126"/>
  <c r="BK123"/>
  <c r="BL123"/>
  <c r="BK118"/>
  <c r="BK116"/>
  <c r="BL116"/>
  <c r="BE111"/>
  <c r="BH102"/>
  <c r="BK126"/>
  <c r="BL126"/>
  <c r="BC118"/>
  <c r="BD102"/>
  <c r="BK117"/>
  <c r="BL117"/>
  <c r="AS127"/>
  <c r="G145" i="8"/>
  <c r="BE113" i="17"/>
  <c r="BL90"/>
  <c r="BL100"/>
  <c r="BL94"/>
  <c r="BL92"/>
  <c r="BL88"/>
  <c r="BL80"/>
  <c r="BL76"/>
  <c r="BL82"/>
  <c r="BH101"/>
  <c r="BL75"/>
  <c r="BL78"/>
  <c r="BC96"/>
  <c r="BD74"/>
  <c r="BD92"/>
  <c r="BE94"/>
  <c r="BE101"/>
  <c r="BJ97"/>
  <c r="BL97"/>
  <c r="BI99"/>
  <c r="AS101"/>
  <c r="G144" i="8"/>
  <c r="BD79" i="17"/>
  <c r="BC94"/>
  <c r="BB93"/>
  <c r="BK95"/>
  <c r="BK101"/>
  <c r="BJ87"/>
  <c r="BL87"/>
  <c r="BD80"/>
  <c r="BJ84"/>
  <c r="BL84"/>
  <c r="BJ85"/>
  <c r="BL85"/>
  <c r="BJ89"/>
  <c r="BL89"/>
  <c r="BD90"/>
  <c r="BC100"/>
  <c r="BB92"/>
  <c r="BD91"/>
  <c r="Q101"/>
  <c r="BJ93"/>
  <c r="BL93"/>
  <c r="BI98"/>
  <c r="BI95"/>
  <c r="BJ99"/>
  <c r="AR101"/>
  <c r="F144" i="8"/>
  <c r="BD83" i="17"/>
  <c r="BD77"/>
  <c r="BD81"/>
  <c r="BJ86"/>
  <c r="BL86"/>
  <c r="BD88"/>
  <c r="BD78"/>
  <c r="BL62"/>
  <c r="BC71"/>
  <c r="BE69"/>
  <c r="BB68"/>
  <c r="BD65"/>
  <c r="BH72"/>
  <c r="BL72"/>
  <c r="BI70"/>
  <c r="BK68"/>
  <c r="BK66"/>
  <c r="BI64"/>
  <c r="BL64"/>
  <c r="BI66"/>
  <c r="BE63"/>
  <c r="BB65"/>
  <c r="BE62"/>
  <c r="BE72"/>
  <c r="BB71"/>
  <c r="BD69"/>
  <c r="BE67"/>
  <c r="BC65"/>
  <c r="BK71"/>
  <c r="BJ66"/>
  <c r="AQ73"/>
  <c r="AQ131"/>
  <c r="BC72"/>
  <c r="BE70"/>
  <c r="BB69"/>
  <c r="BC67"/>
  <c r="BD64"/>
  <c r="BI68"/>
  <c r="BK65"/>
  <c r="BL65"/>
  <c r="BD70"/>
  <c r="BI63"/>
  <c r="BL63"/>
  <c r="Q73"/>
  <c r="BC66"/>
  <c r="AT73"/>
  <c r="BJ48"/>
  <c r="BL48"/>
  <c r="BK45"/>
  <c r="AP60"/>
  <c r="BB45"/>
  <c r="BF45"/>
  <c r="BE48"/>
  <c r="AK60"/>
  <c r="BB49"/>
  <c r="BB47"/>
  <c r="AA60"/>
  <c r="BH57"/>
  <c r="BL47"/>
  <c r="BC52"/>
  <c r="BF52"/>
  <c r="BI55"/>
  <c r="BE50"/>
  <c r="BB46"/>
  <c r="BF46"/>
  <c r="BD55"/>
  <c r="BF55"/>
  <c r="BI45"/>
  <c r="AR60"/>
  <c r="F142" i="8"/>
  <c r="BB54" i="17"/>
  <c r="BF54"/>
  <c r="BK58"/>
  <c r="BB48"/>
  <c r="AT60"/>
  <c r="H142" i="8"/>
  <c r="BL46" i="17"/>
  <c r="BC57"/>
  <c r="BF57"/>
  <c r="BF59"/>
  <c r="BF51"/>
  <c r="BL49"/>
  <c r="BE49"/>
  <c r="BE47"/>
  <c r="BD58"/>
  <c r="BE53"/>
  <c r="BD50"/>
  <c r="BK56"/>
  <c r="BH52"/>
  <c r="BC58"/>
  <c r="BD53"/>
  <c r="BC50"/>
  <c r="BJ56"/>
  <c r="BH55"/>
  <c r="BC53"/>
  <c r="BK59"/>
  <c r="BH58"/>
  <c r="BK54"/>
  <c r="BK51"/>
  <c r="BH50"/>
  <c r="BJ59"/>
  <c r="BK57"/>
  <c r="BI56"/>
  <c r="BJ54"/>
  <c r="BH53"/>
  <c r="BL53"/>
  <c r="BJ51"/>
  <c r="AS60"/>
  <c r="G142" i="8"/>
  <c r="BC56" i="17"/>
  <c r="BF56"/>
  <c r="BI59"/>
  <c r="BJ57"/>
  <c r="BH56"/>
  <c r="BI54"/>
  <c r="BK52"/>
  <c r="BI51"/>
  <c r="BH59"/>
  <c r="BK55"/>
  <c r="BJ52"/>
  <c r="BH51"/>
  <c r="BK30"/>
  <c r="AP44"/>
  <c r="BD30"/>
  <c r="BF30"/>
  <c r="BK29"/>
  <c r="BI39"/>
  <c r="BH30"/>
  <c r="BI32"/>
  <c r="AR44"/>
  <c r="BJ29"/>
  <c r="BI34"/>
  <c r="BC42"/>
  <c r="BB38"/>
  <c r="BF38"/>
  <c r="BF34"/>
  <c r="AS44"/>
  <c r="BH31"/>
  <c r="BL35"/>
  <c r="BE43"/>
  <c r="BF43"/>
  <c r="BD39"/>
  <c r="BD42"/>
  <c r="AT44"/>
  <c r="BB42"/>
  <c r="BE37"/>
  <c r="BD36"/>
  <c r="BF36"/>
  <c r="BI36"/>
  <c r="BF32"/>
  <c r="BH36"/>
  <c r="BB35"/>
  <c r="BE39"/>
  <c r="BF29"/>
  <c r="BK40"/>
  <c r="BJ43"/>
  <c r="BH39"/>
  <c r="BD31"/>
  <c r="BE35"/>
  <c r="BE41"/>
  <c r="BD40"/>
  <c r="BF40"/>
  <c r="BD37"/>
  <c r="BI43"/>
  <c r="BJ41"/>
  <c r="BI40"/>
  <c r="BK38"/>
  <c r="BI37"/>
  <c r="BH43"/>
  <c r="BJ38"/>
  <c r="BH37"/>
  <c r="BK31"/>
  <c r="BC41"/>
  <c r="BK42"/>
  <c r="BL42"/>
  <c r="BH40"/>
  <c r="BI38"/>
  <c r="BK36"/>
  <c r="BD35"/>
  <c r="BH29"/>
  <c r="BH41"/>
  <c r="Q44"/>
  <c r="AP28"/>
  <c r="BD24"/>
  <c r="BE21"/>
  <c r="BI27"/>
  <c r="BJ19"/>
  <c r="BB20"/>
  <c r="BD23"/>
  <c r="BB21"/>
  <c r="BE20"/>
  <c r="BL21"/>
  <c r="BH27"/>
  <c r="BI25"/>
  <c r="BH25"/>
  <c r="BL23"/>
  <c r="BD27"/>
  <c r="BB26"/>
  <c r="BL20"/>
  <c r="BF25"/>
  <c r="BK22"/>
  <c r="BL22"/>
  <c r="BD26"/>
  <c r="BK27"/>
  <c r="BK25"/>
  <c r="Q28"/>
  <c r="BB23"/>
  <c r="BI24"/>
  <c r="BC26"/>
  <c r="BJ25"/>
  <c r="BK26"/>
  <c r="BL26"/>
  <c r="BB24"/>
  <c r="P66" i="4"/>
  <c r="P67"/>
  <c r="I67"/>
  <c r="I66"/>
  <c r="Y66"/>
  <c r="Y70"/>
  <c r="AF70"/>
  <c r="V66"/>
  <c r="V70"/>
  <c r="G67"/>
  <c r="O67"/>
  <c r="AG42"/>
  <c r="AC43"/>
  <c r="S42"/>
  <c r="N43"/>
  <c r="Z42"/>
  <c r="V43"/>
  <c r="F140" i="8"/>
  <c r="F147"/>
  <c r="F60"/>
  <c r="H140"/>
  <c r="H60"/>
  <c r="G140"/>
  <c r="G60"/>
  <c r="H141"/>
  <c r="H57"/>
  <c r="F141"/>
  <c r="F57"/>
  <c r="G141"/>
  <c r="G57"/>
  <c r="E140"/>
  <c r="E60"/>
  <c r="Q128" i="17"/>
  <c r="AA128"/>
  <c r="V128"/>
  <c r="S108" i="4"/>
  <c r="S238"/>
  <c r="C154" i="13"/>
  <c r="C157"/>
  <c r="M207" i="17"/>
  <c r="AF128"/>
  <c r="AK128"/>
  <c r="H143" i="8"/>
  <c r="AT128" i="17"/>
  <c r="AR128"/>
  <c r="F143" i="8"/>
  <c r="G143"/>
  <c r="AS128" i="17"/>
  <c r="E57" i="8"/>
  <c r="E143"/>
  <c r="AQ128" i="17"/>
  <c r="AU60"/>
  <c r="G132" i="8"/>
  <c r="BL71" i="17"/>
  <c r="F154" i="13"/>
  <c r="D78" i="8"/>
  <c r="C78"/>
  <c r="E132"/>
  <c r="F132"/>
  <c r="BC28" i="17"/>
  <c r="F61" i="8"/>
  <c r="H132"/>
  <c r="D132"/>
  <c r="C132"/>
  <c r="F157" i="13"/>
  <c r="H62" i="8"/>
  <c r="D157" i="13"/>
  <c r="F62" i="8"/>
  <c r="E157" i="13"/>
  <c r="G62" i="8"/>
  <c r="E16" i="10"/>
  <c r="E70" i="8"/>
  <c r="E71"/>
  <c r="H278" i="4"/>
  <c r="O278"/>
  <c r="AC278"/>
  <c r="Z238"/>
  <c r="Z173"/>
  <c r="AC200"/>
  <c r="Z69"/>
  <c r="S121"/>
  <c r="S173"/>
  <c r="S225"/>
  <c r="AC161"/>
  <c r="D69" i="8"/>
  <c r="C69"/>
  <c r="L56" i="4"/>
  <c r="Z160"/>
  <c r="S147"/>
  <c r="Z147"/>
  <c r="AQ183"/>
  <c r="E80" i="8"/>
  <c r="C165" i="13"/>
  <c r="E99" i="8"/>
  <c r="AF161" i="4"/>
  <c r="V213"/>
  <c r="K304"/>
  <c r="W291"/>
  <c r="X252"/>
  <c r="Y57"/>
  <c r="Z108"/>
  <c r="Z212"/>
  <c r="H80" i="8"/>
  <c r="F165" i="13"/>
  <c r="H99" i="8"/>
  <c r="H96"/>
  <c r="F80"/>
  <c r="D165" i="13"/>
  <c r="F99" i="8"/>
  <c r="F96"/>
  <c r="R161" i="4"/>
  <c r="G200"/>
  <c r="S95"/>
  <c r="Z121"/>
  <c r="BJ73" i="17"/>
  <c r="AB200" i="4"/>
  <c r="AC304"/>
  <c r="Z56"/>
  <c r="AB57"/>
  <c r="L69"/>
  <c r="AG173"/>
  <c r="Z199"/>
  <c r="L199"/>
  <c r="S199"/>
  <c r="L225"/>
  <c r="AG225"/>
  <c r="L251"/>
  <c r="Z290"/>
  <c r="Z303"/>
  <c r="G80" i="8"/>
  <c r="E165" i="13"/>
  <c r="G99" i="8"/>
  <c r="G96"/>
  <c r="N213" i="4"/>
  <c r="BB101" i="17"/>
  <c r="E151" i="8"/>
  <c r="BL99" i="17"/>
  <c r="H71" i="8"/>
  <c r="H67"/>
  <c r="F17" i="10"/>
  <c r="BF48" i="17"/>
  <c r="N291" i="4"/>
  <c r="U278"/>
  <c r="N265"/>
  <c r="S264"/>
  <c r="K252"/>
  <c r="AC252"/>
  <c r="AG251"/>
  <c r="N252"/>
  <c r="O252"/>
  <c r="V226"/>
  <c r="N226"/>
  <c r="H226"/>
  <c r="AD213"/>
  <c r="AB213"/>
  <c r="AF213"/>
  <c r="AC213"/>
  <c r="S212"/>
  <c r="Q213"/>
  <c r="O213"/>
  <c r="N200"/>
  <c r="L186"/>
  <c r="AD161"/>
  <c r="X161"/>
  <c r="S160"/>
  <c r="AE148"/>
  <c r="V148"/>
  <c r="L147"/>
  <c r="AB135"/>
  <c r="AE135"/>
  <c r="W135"/>
  <c r="O135"/>
  <c r="Q135"/>
  <c r="AF109"/>
  <c r="R109"/>
  <c r="L108"/>
  <c r="L95"/>
  <c r="AG69"/>
  <c r="U66"/>
  <c r="U70"/>
  <c r="P70"/>
  <c r="O70"/>
  <c r="S69"/>
  <c r="N66"/>
  <c r="N70"/>
  <c r="I70"/>
  <c r="J67"/>
  <c r="J70"/>
  <c r="G70"/>
  <c r="AG56"/>
  <c r="U57"/>
  <c r="H57"/>
  <c r="S303"/>
  <c r="Q291"/>
  <c r="AB278"/>
  <c r="AG277"/>
  <c r="L264"/>
  <c r="S251"/>
  <c r="AE213"/>
  <c r="L173"/>
  <c r="O161"/>
  <c r="S161"/>
  <c r="Y161"/>
  <c r="AG147"/>
  <c r="Q148"/>
  <c r="AB148"/>
  <c r="U135"/>
  <c r="Y135"/>
  <c r="L121"/>
  <c r="AG121"/>
  <c r="Z95"/>
  <c r="AG95"/>
  <c r="K80"/>
  <c r="K79"/>
  <c r="H79"/>
  <c r="H80"/>
  <c r="L82"/>
  <c r="G80"/>
  <c r="G79"/>
  <c r="I80"/>
  <c r="I79"/>
  <c r="J79"/>
  <c r="J80"/>
  <c r="Q67"/>
  <c r="Q70"/>
  <c r="X66"/>
  <c r="X67"/>
  <c r="K67"/>
  <c r="K66"/>
  <c r="H67"/>
  <c r="H66"/>
  <c r="S56"/>
  <c r="AU28" i="17"/>
  <c r="D140" i="8"/>
  <c r="BB28" i="17"/>
  <c r="H151" i="8"/>
  <c r="F70"/>
  <c r="F71"/>
  <c r="BL32" i="17"/>
  <c r="L134" i="4"/>
  <c r="AG317"/>
  <c r="D10" i="10"/>
  <c r="AI66" i="4"/>
  <c r="A79"/>
  <c r="N1340"/>
  <c r="U1340"/>
  <c r="Z134"/>
  <c r="S134"/>
  <c r="N135"/>
  <c r="V135"/>
  <c r="G25"/>
  <c r="E10" i="10"/>
  <c r="AF43" i="4"/>
  <c r="AF41"/>
  <c r="Q43"/>
  <c r="Q40"/>
  <c r="Q44"/>
  <c r="P43"/>
  <c r="AE43"/>
  <c r="AE40"/>
  <c r="AE44"/>
  <c r="AD43"/>
  <c r="AD40"/>
  <c r="AD44"/>
  <c r="Y43"/>
  <c r="Y41"/>
  <c r="K43"/>
  <c r="K40"/>
  <c r="J43"/>
  <c r="J41"/>
  <c r="I43"/>
  <c r="I41"/>
  <c r="W43"/>
  <c r="R43"/>
  <c r="X43"/>
  <c r="X41"/>
  <c r="H43"/>
  <c r="AB43"/>
  <c r="U43"/>
  <c r="O43"/>
  <c r="D16" i="10"/>
  <c r="F16"/>
  <c r="E62" i="8"/>
  <c r="J40" i="4"/>
  <c r="I40"/>
  <c r="BB127" i="17"/>
  <c r="E152" i="8"/>
  <c r="BI127" i="17"/>
  <c r="BD127"/>
  <c r="G152" i="8"/>
  <c r="BK127" i="17"/>
  <c r="BE127"/>
  <c r="H152" i="8"/>
  <c r="BL125" i="17"/>
  <c r="BC127"/>
  <c r="F152" i="8"/>
  <c r="BL95" i="17"/>
  <c r="BC101"/>
  <c r="F151" i="8"/>
  <c r="BL70" i="17"/>
  <c r="BL66"/>
  <c r="AG134" i="4"/>
  <c r="AC135"/>
  <c r="BD73" i="17"/>
  <c r="G150" i="8"/>
  <c r="BL118" i="17"/>
  <c r="BL30"/>
  <c r="BB73"/>
  <c r="E150" i="8"/>
  <c r="BL34" i="17"/>
  <c r="BL68"/>
  <c r="BL98"/>
  <c r="BF23"/>
  <c r="BC73"/>
  <c r="F150" i="8"/>
  <c r="AG343" i="4"/>
  <c r="Z317"/>
  <c r="AG303"/>
  <c r="AG238"/>
  <c r="AC344"/>
  <c r="AE344"/>
  <c r="AD344"/>
  <c r="AF344"/>
  <c r="AB344"/>
  <c r="AG349"/>
  <c r="AG345"/>
  <c r="AG346"/>
  <c r="AG347"/>
  <c r="AG348"/>
  <c r="P266"/>
  <c r="Q266"/>
  <c r="R266"/>
  <c r="W279"/>
  <c r="X279"/>
  <c r="Y279"/>
  <c r="AC1340"/>
  <c r="R313"/>
  <c r="R317"/>
  <c r="R314"/>
  <c r="L290"/>
  <c r="L303"/>
  <c r="G291"/>
  <c r="J274"/>
  <c r="J278"/>
  <c r="J275"/>
  <c r="AB1340"/>
  <c r="AE326"/>
  <c r="AE330"/>
  <c r="AE327"/>
  <c r="Q339"/>
  <c r="Q343"/>
  <c r="Q340"/>
  <c r="AG290"/>
  <c r="X326"/>
  <c r="X327"/>
  <c r="AF261"/>
  <c r="AF265"/>
  <c r="AF262"/>
  <c r="V330"/>
  <c r="Z329"/>
  <c r="I339"/>
  <c r="I343"/>
  <c r="I340"/>
  <c r="L342"/>
  <c r="J330"/>
  <c r="G304"/>
  <c r="H265"/>
  <c r="G278"/>
  <c r="L277"/>
  <c r="Q274"/>
  <c r="Q275"/>
  <c r="P326"/>
  <c r="P330"/>
  <c r="P327"/>
  <c r="AE274"/>
  <c r="AE278"/>
  <c r="AE275"/>
  <c r="V344"/>
  <c r="W344"/>
  <c r="X344"/>
  <c r="Y344"/>
  <c r="U344"/>
  <c r="Z348"/>
  <c r="Z349"/>
  <c r="Z345"/>
  <c r="Z346"/>
  <c r="Z347"/>
  <c r="AB304"/>
  <c r="AC291"/>
  <c r="V291"/>
  <c r="AB239"/>
  <c r="K339"/>
  <c r="K340"/>
  <c r="J265"/>
  <c r="I275"/>
  <c r="I274"/>
  <c r="R326"/>
  <c r="R330"/>
  <c r="R327"/>
  <c r="X261"/>
  <c r="X265"/>
  <c r="X262"/>
  <c r="Z264"/>
  <c r="P313"/>
  <c r="P314"/>
  <c r="S329"/>
  <c r="L317"/>
  <c r="K275"/>
  <c r="K274"/>
  <c r="O313"/>
  <c r="O314"/>
  <c r="AG329"/>
  <c r="AB327"/>
  <c r="AB326"/>
  <c r="AB330"/>
  <c r="S277"/>
  <c r="I304"/>
  <c r="S316"/>
  <c r="H235"/>
  <c r="H239"/>
  <c r="H236"/>
  <c r="AD327"/>
  <c r="AD326"/>
  <c r="AD330"/>
  <c r="P275"/>
  <c r="P274"/>
  <c r="P278"/>
  <c r="N339"/>
  <c r="N340"/>
  <c r="S342"/>
  <c r="Z251"/>
  <c r="G235"/>
  <c r="G236"/>
  <c r="L238"/>
  <c r="N330"/>
  <c r="AD265"/>
  <c r="W318"/>
  <c r="X318"/>
  <c r="Y318"/>
  <c r="V318"/>
  <c r="U318"/>
  <c r="Z320"/>
  <c r="Z321"/>
  <c r="Z322"/>
  <c r="Z323"/>
  <c r="Z319"/>
  <c r="N240"/>
  <c r="O240"/>
  <c r="H252"/>
  <c r="H330"/>
  <c r="AF327"/>
  <c r="AF326"/>
  <c r="R275"/>
  <c r="R274"/>
  <c r="P339"/>
  <c r="P340"/>
  <c r="AE261"/>
  <c r="AE262"/>
  <c r="V240"/>
  <c r="U240"/>
  <c r="R339"/>
  <c r="R340"/>
  <c r="AG264"/>
  <c r="S290"/>
  <c r="AC318"/>
  <c r="AD318"/>
  <c r="AE318"/>
  <c r="AF318"/>
  <c r="AB318"/>
  <c r="AG321"/>
  <c r="AG322"/>
  <c r="AG323"/>
  <c r="AG319"/>
  <c r="AG320"/>
  <c r="Z225"/>
  <c r="L212"/>
  <c r="W213"/>
  <c r="AB161"/>
  <c r="AG161"/>
  <c r="AG160"/>
  <c r="AD109"/>
  <c r="AG108"/>
  <c r="BH127" i="17"/>
  <c r="BL102"/>
  <c r="AU127"/>
  <c r="D145" i="8"/>
  <c r="BF102" i="17"/>
  <c r="BF127"/>
  <c r="BF74"/>
  <c r="BF101"/>
  <c r="AU101"/>
  <c r="D144" i="8"/>
  <c r="BD101" i="17"/>
  <c r="G151" i="8"/>
  <c r="BI101" i="17"/>
  <c r="BJ101"/>
  <c r="BF62"/>
  <c r="BF73"/>
  <c r="AU73"/>
  <c r="D143" i="8"/>
  <c r="BI73" i="17"/>
  <c r="BE73"/>
  <c r="H150" i="8"/>
  <c r="BK73" i="17"/>
  <c r="BH73"/>
  <c r="BF49"/>
  <c r="BL54"/>
  <c r="BL45"/>
  <c r="BL58"/>
  <c r="BF58"/>
  <c r="D142" i="8"/>
  <c r="BL59" i="17"/>
  <c r="BI60"/>
  <c r="BB60"/>
  <c r="E149" i="8"/>
  <c r="BL57" i="17"/>
  <c r="BJ60"/>
  <c r="BK60"/>
  <c r="BF53"/>
  <c r="BD60"/>
  <c r="G149" i="8"/>
  <c r="BL50" i="17"/>
  <c r="BH60"/>
  <c r="BC60"/>
  <c r="F149" i="8"/>
  <c r="BF47" i="17"/>
  <c r="BE60"/>
  <c r="H149" i="8"/>
  <c r="BL56" i="17"/>
  <c r="BL52"/>
  <c r="BL51"/>
  <c r="BF50"/>
  <c r="BL55"/>
  <c r="BL37"/>
  <c r="BL39"/>
  <c r="BL36"/>
  <c r="BF39"/>
  <c r="BF37"/>
  <c r="BF35"/>
  <c r="BL38"/>
  <c r="BL43"/>
  <c r="BB44"/>
  <c r="E58" i="8"/>
  <c r="BF42" i="17"/>
  <c r="BL40"/>
  <c r="BF41"/>
  <c r="BE44"/>
  <c r="H58" i="8"/>
  <c r="BK44" i="17"/>
  <c r="BD44"/>
  <c r="BJ44"/>
  <c r="BL31"/>
  <c r="AU44"/>
  <c r="D141" i="8"/>
  <c r="BC44" i="17"/>
  <c r="BI44"/>
  <c r="BL41"/>
  <c r="BF31"/>
  <c r="BL29"/>
  <c r="BH44"/>
  <c r="BF24"/>
  <c r="BF21"/>
  <c r="BI28"/>
  <c r="BD28"/>
  <c r="BF20"/>
  <c r="BE28"/>
  <c r="H61" i="8"/>
  <c r="BH28" i="17"/>
  <c r="BL19"/>
  <c r="BF27"/>
  <c r="BL24"/>
  <c r="BF26"/>
  <c r="BK28"/>
  <c r="BL27"/>
  <c r="BL25"/>
  <c r="BJ28"/>
  <c r="S81" i="4"/>
  <c r="Z81"/>
  <c r="R66"/>
  <c r="R67"/>
  <c r="Y40"/>
  <c r="Y44"/>
  <c r="AF40"/>
  <c r="AF44"/>
  <c r="E61" i="8"/>
  <c r="BB128" i="17"/>
  <c r="BK128"/>
  <c r="G61" i="8"/>
  <c r="E139"/>
  <c r="AP128" i="17"/>
  <c r="BJ128"/>
  <c r="BH128"/>
  <c r="BI128"/>
  <c r="F58" i="8"/>
  <c r="G58"/>
  <c r="G90"/>
  <c r="AU128" i="17"/>
  <c r="D149" i="8"/>
  <c r="D139"/>
  <c r="C139"/>
  <c r="H92"/>
  <c r="G92"/>
  <c r="D150"/>
  <c r="C143"/>
  <c r="C150"/>
  <c r="D152"/>
  <c r="C145"/>
  <c r="C152"/>
  <c r="D151"/>
  <c r="C144"/>
  <c r="C151"/>
  <c r="H90"/>
  <c r="C142"/>
  <c r="C149"/>
  <c r="D148"/>
  <c r="C141"/>
  <c r="C148"/>
  <c r="E90"/>
  <c r="F90"/>
  <c r="F92"/>
  <c r="E147"/>
  <c r="E92"/>
  <c r="D147"/>
  <c r="C140"/>
  <c r="C147"/>
  <c r="E67"/>
  <c r="C17" i="10"/>
  <c r="E96" i="8"/>
  <c r="E77"/>
  <c r="D71"/>
  <c r="C71"/>
  <c r="G226" i="4"/>
  <c r="AC226"/>
  <c r="Q109"/>
  <c r="P109"/>
  <c r="N122"/>
  <c r="I122"/>
  <c r="W174"/>
  <c r="J122"/>
  <c r="O174"/>
  <c r="V174"/>
  <c r="K174"/>
  <c r="P96"/>
  <c r="X148"/>
  <c r="Q174"/>
  <c r="V278"/>
  <c r="Z278"/>
  <c r="Z283"/>
  <c r="AP283"/>
  <c r="K57"/>
  <c r="V57"/>
  <c r="AE96"/>
  <c r="H291"/>
  <c r="O304"/>
  <c r="P226"/>
  <c r="AE226"/>
  <c r="Q226"/>
  <c r="R70"/>
  <c r="J252"/>
  <c r="Y174"/>
  <c r="D80" i="8"/>
  <c r="C80"/>
  <c r="AC265" i="4"/>
  <c r="N148"/>
  <c r="W57"/>
  <c r="J57"/>
  <c r="O57"/>
  <c r="R57"/>
  <c r="W96"/>
  <c r="V96"/>
  <c r="K187"/>
  <c r="AF200"/>
  <c r="Q239"/>
  <c r="U226"/>
  <c r="O226"/>
  <c r="K70"/>
  <c r="AD148"/>
  <c r="R174"/>
  <c r="AC174"/>
  <c r="I187"/>
  <c r="AD200"/>
  <c r="Q200"/>
  <c r="Y200"/>
  <c r="W304"/>
  <c r="Y304"/>
  <c r="X304"/>
  <c r="V304"/>
  <c r="Y213"/>
  <c r="X213"/>
  <c r="R213"/>
  <c r="BL73" i="17"/>
  <c r="H27" i="1"/>
  <c r="C14" i="10"/>
  <c r="AF304" i="4"/>
  <c r="N304"/>
  <c r="U304"/>
  <c r="R304"/>
  <c r="P304"/>
  <c r="Q304"/>
  <c r="J304"/>
  <c r="R291"/>
  <c r="P291"/>
  <c r="J291"/>
  <c r="O265"/>
  <c r="S265"/>
  <c r="G265"/>
  <c r="L265"/>
  <c r="AD252"/>
  <c r="Y252"/>
  <c r="I252"/>
  <c r="AE252"/>
  <c r="V252"/>
  <c r="U252"/>
  <c r="G252"/>
  <c r="Y239"/>
  <c r="W239"/>
  <c r="X239"/>
  <c r="P239"/>
  <c r="R239"/>
  <c r="X226"/>
  <c r="AB226"/>
  <c r="AD226"/>
  <c r="AF226"/>
  <c r="W226"/>
  <c r="Y226"/>
  <c r="R226"/>
  <c r="I226"/>
  <c r="K226"/>
  <c r="J226"/>
  <c r="AG213"/>
  <c r="P213"/>
  <c r="S213"/>
  <c r="AE200"/>
  <c r="V200"/>
  <c r="W200"/>
  <c r="U200"/>
  <c r="X200"/>
  <c r="O200"/>
  <c r="P200"/>
  <c r="R200"/>
  <c r="J200"/>
  <c r="K200"/>
  <c r="H200"/>
  <c r="I200"/>
  <c r="J187"/>
  <c r="G187"/>
  <c r="H187"/>
  <c r="AF174"/>
  <c r="AD174"/>
  <c r="AB174"/>
  <c r="AE174"/>
  <c r="U174"/>
  <c r="X174"/>
  <c r="P174"/>
  <c r="N174"/>
  <c r="J174"/>
  <c r="G174"/>
  <c r="I174"/>
  <c r="H174"/>
  <c r="W161"/>
  <c r="Z161"/>
  <c r="W162"/>
  <c r="N162"/>
  <c r="S166"/>
  <c r="AO166"/>
  <c r="P162"/>
  <c r="Q162"/>
  <c r="S167"/>
  <c r="AO167"/>
  <c r="R162"/>
  <c r="R148"/>
  <c r="AF148"/>
  <c r="U148"/>
  <c r="P148"/>
  <c r="AF135"/>
  <c r="X135"/>
  <c r="Z135"/>
  <c r="P135"/>
  <c r="R135"/>
  <c r="AD135"/>
  <c r="AG135"/>
  <c r="AF122"/>
  <c r="AE122"/>
  <c r="AD122"/>
  <c r="AB122"/>
  <c r="AC122"/>
  <c r="V122"/>
  <c r="Y122"/>
  <c r="W122"/>
  <c r="U122"/>
  <c r="X122"/>
  <c r="P122"/>
  <c r="Q122"/>
  <c r="O122"/>
  <c r="R122"/>
  <c r="G122"/>
  <c r="K122"/>
  <c r="H122"/>
  <c r="AE109"/>
  <c r="W109"/>
  <c r="X109"/>
  <c r="Y109"/>
  <c r="U96"/>
  <c r="Y96"/>
  <c r="X96"/>
  <c r="R96"/>
  <c r="Q96"/>
  <c r="O96"/>
  <c r="N96"/>
  <c r="K83"/>
  <c r="J83"/>
  <c r="I83"/>
  <c r="H83"/>
  <c r="AB70"/>
  <c r="X70"/>
  <c r="Z70"/>
  <c r="Z73"/>
  <c r="AP73"/>
  <c r="S70"/>
  <c r="P71"/>
  <c r="H70"/>
  <c r="AF57"/>
  <c r="AE57"/>
  <c r="AC57"/>
  <c r="X57"/>
  <c r="Q57"/>
  <c r="N57"/>
  <c r="I57"/>
  <c r="G57"/>
  <c r="H44"/>
  <c r="AF252"/>
  <c r="S163"/>
  <c r="AO163"/>
  <c r="AB82"/>
  <c r="AC82"/>
  <c r="AE82"/>
  <c r="AF82"/>
  <c r="AD82"/>
  <c r="N82"/>
  <c r="N79"/>
  <c r="R82"/>
  <c r="P82"/>
  <c r="O82"/>
  <c r="Q82"/>
  <c r="G83"/>
  <c r="Y82"/>
  <c r="X82"/>
  <c r="U82"/>
  <c r="U79"/>
  <c r="V82"/>
  <c r="W82"/>
  <c r="S73"/>
  <c r="AO73"/>
  <c r="S76"/>
  <c r="AO76"/>
  <c r="R71"/>
  <c r="S72"/>
  <c r="AO72"/>
  <c r="AD41"/>
  <c r="X40"/>
  <c r="X44"/>
  <c r="E148" i="8"/>
  <c r="D70"/>
  <c r="C70"/>
  <c r="F67"/>
  <c r="D67"/>
  <c r="C67"/>
  <c r="G147"/>
  <c r="E14" i="10"/>
  <c r="H147" i="8"/>
  <c r="G148"/>
  <c r="D14" i="10"/>
  <c r="F148" i="8"/>
  <c r="D57"/>
  <c r="C57"/>
  <c r="F14" i="10"/>
  <c r="D60" i="8"/>
  <c r="C60"/>
  <c r="H148"/>
  <c r="Q41" i="4"/>
  <c r="AG278"/>
  <c r="AG280"/>
  <c r="AQ280"/>
  <c r="AI79"/>
  <c r="A92"/>
  <c r="L330"/>
  <c r="I25"/>
  <c r="G10" i="10"/>
  <c r="K41" i="4"/>
  <c r="G16" i="10"/>
  <c r="D62" i="8"/>
  <c r="C62"/>
  <c r="H77"/>
  <c r="G77"/>
  <c r="F77"/>
  <c r="D20" i="10"/>
  <c r="G44" i="4"/>
  <c r="I44"/>
  <c r="O1342"/>
  <c r="G1340"/>
  <c r="AE41"/>
  <c r="L43"/>
  <c r="D99" i="8"/>
  <c r="C99"/>
  <c r="BL127" i="17"/>
  <c r="BL101"/>
  <c r="S135" i="4"/>
  <c r="K44"/>
  <c r="J44"/>
  <c r="Z344"/>
  <c r="Z350"/>
  <c r="S330"/>
  <c r="AG318"/>
  <c r="AG324"/>
  <c r="W266"/>
  <c r="X266"/>
  <c r="Y266"/>
  <c r="AD279"/>
  <c r="AE279"/>
  <c r="AF279"/>
  <c r="AG282"/>
  <c r="AQ282"/>
  <c r="AG284"/>
  <c r="AQ284"/>
  <c r="AD304"/>
  <c r="K291"/>
  <c r="G239"/>
  <c r="AD239"/>
  <c r="Q252"/>
  <c r="S252"/>
  <c r="P317"/>
  <c r="K343"/>
  <c r="L343"/>
  <c r="I291"/>
  <c r="AB265"/>
  <c r="W252"/>
  <c r="R278"/>
  <c r="H1340"/>
  <c r="Z318"/>
  <c r="Z324"/>
  <c r="AE291"/>
  <c r="N278"/>
  <c r="O317"/>
  <c r="K278"/>
  <c r="AB291"/>
  <c r="I266"/>
  <c r="J266"/>
  <c r="K266"/>
  <c r="N331"/>
  <c r="O331"/>
  <c r="P331"/>
  <c r="Q331"/>
  <c r="R331"/>
  <c r="S333"/>
  <c r="S334"/>
  <c r="S335"/>
  <c r="S336"/>
  <c r="S332"/>
  <c r="I278"/>
  <c r="X291"/>
  <c r="Z291"/>
  <c r="AD291"/>
  <c r="AE265"/>
  <c r="AF330"/>
  <c r="AG330"/>
  <c r="H331"/>
  <c r="I331"/>
  <c r="G331"/>
  <c r="J331"/>
  <c r="K331"/>
  <c r="L332"/>
  <c r="L333"/>
  <c r="L334"/>
  <c r="L335"/>
  <c r="L336"/>
  <c r="R343"/>
  <c r="P343"/>
  <c r="AF239"/>
  <c r="N343"/>
  <c r="L321"/>
  <c r="L322"/>
  <c r="I318"/>
  <c r="J318"/>
  <c r="K318"/>
  <c r="L319"/>
  <c r="L320"/>
  <c r="L323"/>
  <c r="G318"/>
  <c r="H318"/>
  <c r="AF291"/>
  <c r="Q278"/>
  <c r="X330"/>
  <c r="Z330"/>
  <c r="H304"/>
  <c r="AG344"/>
  <c r="AG350"/>
  <c r="AG163"/>
  <c r="AQ163"/>
  <c r="AC162"/>
  <c r="AG164"/>
  <c r="AQ164"/>
  <c r="AB162"/>
  <c r="AG165"/>
  <c r="AQ165"/>
  <c r="AG167"/>
  <c r="AQ167"/>
  <c r="AG166"/>
  <c r="AQ166"/>
  <c r="S165"/>
  <c r="AO165"/>
  <c r="O162"/>
  <c r="S164"/>
  <c r="AO164"/>
  <c r="X162"/>
  <c r="Y162"/>
  <c r="AD162"/>
  <c r="AF162"/>
  <c r="AE162"/>
  <c r="V162"/>
  <c r="U162"/>
  <c r="Z163"/>
  <c r="AP163"/>
  <c r="Z166"/>
  <c r="AP166"/>
  <c r="AG109"/>
  <c r="AG115"/>
  <c r="AQ115"/>
  <c r="BF60" i="17"/>
  <c r="BL60"/>
  <c r="BF44"/>
  <c r="BL44"/>
  <c r="BF28"/>
  <c r="BL28"/>
  <c r="O79" i="4"/>
  <c r="O80"/>
  <c r="U80"/>
  <c r="P40"/>
  <c r="P44"/>
  <c r="P41"/>
  <c r="R40"/>
  <c r="R44"/>
  <c r="R41"/>
  <c r="W40"/>
  <c r="W44"/>
  <c r="W41"/>
  <c r="D58" i="8"/>
  <c r="BL128" i="17"/>
  <c r="N80" i="4"/>
  <c r="Z164"/>
  <c r="AP164"/>
  <c r="Z165"/>
  <c r="AP165"/>
  <c r="Z167"/>
  <c r="AP167"/>
  <c r="AG283"/>
  <c r="AQ283"/>
  <c r="AG281"/>
  <c r="AQ281"/>
  <c r="S75"/>
  <c r="AO75"/>
  <c r="N71"/>
  <c r="Q71"/>
  <c r="S77"/>
  <c r="L70"/>
  <c r="AG200"/>
  <c r="S109"/>
  <c r="E86" i="8"/>
  <c r="E27" i="1"/>
  <c r="H42"/>
  <c r="S291" i="4"/>
  <c r="Z213"/>
  <c r="AG304"/>
  <c r="L304"/>
  <c r="L306"/>
  <c r="AN306"/>
  <c r="P292"/>
  <c r="S297"/>
  <c r="AO297"/>
  <c r="S293"/>
  <c r="AO293"/>
  <c r="O292"/>
  <c r="R292"/>
  <c r="Q292"/>
  <c r="N292"/>
  <c r="S295"/>
  <c r="AO295"/>
  <c r="AB279"/>
  <c r="AC279"/>
  <c r="Z280"/>
  <c r="AP280"/>
  <c r="U279"/>
  <c r="V279"/>
  <c r="Z284"/>
  <c r="AP284"/>
  <c r="Z282"/>
  <c r="AP282"/>
  <c r="Z281"/>
  <c r="AP281"/>
  <c r="Z148"/>
  <c r="S111"/>
  <c r="AO111"/>
  <c r="S113"/>
  <c r="AO113"/>
  <c r="P110"/>
  <c r="S114"/>
  <c r="AO114"/>
  <c r="R110"/>
  <c r="S112"/>
  <c r="AO112"/>
  <c r="Z57"/>
  <c r="Z252"/>
  <c r="X253"/>
  <c r="L252"/>
  <c r="L254"/>
  <c r="AN254"/>
  <c r="I253"/>
  <c r="Z155"/>
  <c r="Z226"/>
  <c r="Z230"/>
  <c r="AP230"/>
  <c r="AG111"/>
  <c r="AQ111"/>
  <c r="Z152"/>
  <c r="AP152"/>
  <c r="Z153"/>
  <c r="AP153"/>
  <c r="AG148"/>
  <c r="L122"/>
  <c r="L127"/>
  <c r="AN127"/>
  <c r="L174"/>
  <c r="G175"/>
  <c r="S226"/>
  <c r="P227"/>
  <c r="Z304"/>
  <c r="D90" i="8"/>
  <c r="C90"/>
  <c r="U71" i="4"/>
  <c r="E15" i="10"/>
  <c r="AG113" i="4"/>
  <c r="AQ113"/>
  <c r="AG114"/>
  <c r="AQ114"/>
  <c r="S57"/>
  <c r="S74"/>
  <c r="AO74"/>
  <c r="L200"/>
  <c r="H201"/>
  <c r="AG252"/>
  <c r="AG258"/>
  <c r="AQ258"/>
  <c r="AF110"/>
  <c r="L57"/>
  <c r="L63"/>
  <c r="AN63"/>
  <c r="W71"/>
  <c r="S148"/>
  <c r="S200"/>
  <c r="AD110"/>
  <c r="O71"/>
  <c r="S71"/>
  <c r="S96"/>
  <c r="S98"/>
  <c r="AO98"/>
  <c r="Z96"/>
  <c r="V97"/>
  <c r="S304"/>
  <c r="N305"/>
  <c r="Z310"/>
  <c r="AP310"/>
  <c r="Z307"/>
  <c r="AP307"/>
  <c r="F139" i="8"/>
  <c r="G14" i="10"/>
  <c r="E42" i="1"/>
  <c r="H86" i="8"/>
  <c r="V305" i="4"/>
  <c r="X305"/>
  <c r="Z309"/>
  <c r="AP309"/>
  <c r="Y305"/>
  <c r="L291"/>
  <c r="L296"/>
  <c r="AN296"/>
  <c r="N266"/>
  <c r="S269"/>
  <c r="AO269"/>
  <c r="S267"/>
  <c r="AO267"/>
  <c r="S268"/>
  <c r="AO268"/>
  <c r="O266"/>
  <c r="S271"/>
  <c r="AO271"/>
  <c r="S270"/>
  <c r="AO270"/>
  <c r="L270"/>
  <c r="AN270"/>
  <c r="H266"/>
  <c r="L267"/>
  <c r="AN267"/>
  <c r="L268"/>
  <c r="AN268"/>
  <c r="L271"/>
  <c r="AN271"/>
  <c r="G266"/>
  <c r="AN266"/>
  <c r="L269"/>
  <c r="AN269"/>
  <c r="K253"/>
  <c r="J253"/>
  <c r="AG239"/>
  <c r="AF240"/>
  <c r="Z239"/>
  <c r="S239"/>
  <c r="L226"/>
  <c r="L228"/>
  <c r="AN228"/>
  <c r="AG226"/>
  <c r="X227"/>
  <c r="Z232"/>
  <c r="AP232"/>
  <c r="W227"/>
  <c r="U227"/>
  <c r="Z233"/>
  <c r="Y227"/>
  <c r="Z228"/>
  <c r="AP228"/>
  <c r="Z231"/>
  <c r="AP231"/>
  <c r="Z229"/>
  <c r="AP229"/>
  <c r="V227"/>
  <c r="S230"/>
  <c r="AO230"/>
  <c r="S229"/>
  <c r="AO229"/>
  <c r="Q227"/>
  <c r="S231"/>
  <c r="AO231"/>
  <c r="N227"/>
  <c r="AG220"/>
  <c r="AQ220"/>
  <c r="AC214"/>
  <c r="AG215"/>
  <c r="AQ215"/>
  <c r="AF214"/>
  <c r="AG219"/>
  <c r="AQ219"/>
  <c r="AD214"/>
  <c r="AG218"/>
  <c r="AQ218"/>
  <c r="AB214"/>
  <c r="AE214"/>
  <c r="AG217"/>
  <c r="AQ217"/>
  <c r="AG216"/>
  <c r="AQ216"/>
  <c r="Q214"/>
  <c r="S218"/>
  <c r="AO218"/>
  <c r="S215"/>
  <c r="AO215"/>
  <c r="R214"/>
  <c r="S219"/>
  <c r="AO219"/>
  <c r="S216"/>
  <c r="AO216"/>
  <c r="P214"/>
  <c r="S220"/>
  <c r="S217"/>
  <c r="AO217"/>
  <c r="O214"/>
  <c r="N214"/>
  <c r="AC201"/>
  <c r="AG206"/>
  <c r="AQ206"/>
  <c r="AG207"/>
  <c r="AQ207"/>
  <c r="AD201"/>
  <c r="AG203"/>
  <c r="AQ203"/>
  <c r="AF201"/>
  <c r="AB201"/>
  <c r="AG204"/>
  <c r="AQ204"/>
  <c r="AG205"/>
  <c r="AQ205"/>
  <c r="AE201"/>
  <c r="AG202"/>
  <c r="AQ202"/>
  <c r="Z200"/>
  <c r="O201"/>
  <c r="S206"/>
  <c r="AO206"/>
  <c r="Q201"/>
  <c r="S204"/>
  <c r="AO204"/>
  <c r="S207"/>
  <c r="R201"/>
  <c r="S203"/>
  <c r="AO203"/>
  <c r="P201"/>
  <c r="S202"/>
  <c r="AO202"/>
  <c r="N201"/>
  <c r="S205"/>
  <c r="AO205"/>
  <c r="L187"/>
  <c r="L192"/>
  <c r="AN192"/>
  <c r="AG174"/>
  <c r="AG177"/>
  <c r="AQ177"/>
  <c r="Z174"/>
  <c r="S174"/>
  <c r="S162"/>
  <c r="S168"/>
  <c r="AP168"/>
  <c r="AG152"/>
  <c r="AQ152"/>
  <c r="AC149"/>
  <c r="AE149"/>
  <c r="AD149"/>
  <c r="AF149"/>
  <c r="AB149"/>
  <c r="AG150"/>
  <c r="AG151"/>
  <c r="AQ151"/>
  <c r="AG153"/>
  <c r="AQ153"/>
  <c r="AG154"/>
  <c r="AQ154"/>
  <c r="AG155"/>
  <c r="AQ155"/>
  <c r="P149"/>
  <c r="N149"/>
  <c r="O149"/>
  <c r="R149"/>
  <c r="S151"/>
  <c r="AO151"/>
  <c r="S154"/>
  <c r="AO154"/>
  <c r="S150"/>
  <c r="AO150"/>
  <c r="S153"/>
  <c r="AO153"/>
  <c r="Q149"/>
  <c r="S152"/>
  <c r="AO152"/>
  <c r="S155"/>
  <c r="AP155"/>
  <c r="AG122"/>
  <c r="AF123"/>
  <c r="AG127"/>
  <c r="AQ127"/>
  <c r="AD123"/>
  <c r="AE123"/>
  <c r="Z122"/>
  <c r="S122"/>
  <c r="S125"/>
  <c r="AO125"/>
  <c r="Z109"/>
  <c r="S116"/>
  <c r="S115"/>
  <c r="AO115"/>
  <c r="Q110"/>
  <c r="O97"/>
  <c r="R97"/>
  <c r="S103"/>
  <c r="AO103"/>
  <c r="S101"/>
  <c r="AO101"/>
  <c r="P97"/>
  <c r="N97"/>
  <c r="S99"/>
  <c r="AO99"/>
  <c r="S102"/>
  <c r="AO102"/>
  <c r="Q97"/>
  <c r="S100"/>
  <c r="AO100"/>
  <c r="U83"/>
  <c r="N83"/>
  <c r="O83"/>
  <c r="L83"/>
  <c r="X71"/>
  <c r="Z72"/>
  <c r="AP72"/>
  <c r="V71"/>
  <c r="Y71"/>
  <c r="Z74"/>
  <c r="AP74"/>
  <c r="Z75"/>
  <c r="AP75"/>
  <c r="Z77"/>
  <c r="Z76"/>
  <c r="AP76"/>
  <c r="K71"/>
  <c r="L77"/>
  <c r="AN77"/>
  <c r="L75"/>
  <c r="AN75"/>
  <c r="I71"/>
  <c r="L74"/>
  <c r="AN74"/>
  <c r="J71"/>
  <c r="H71"/>
  <c r="L73"/>
  <c r="AN73"/>
  <c r="G71"/>
  <c r="L76"/>
  <c r="AN76"/>
  <c r="L72"/>
  <c r="AN72"/>
  <c r="AG57"/>
  <c r="AG60"/>
  <c r="AQ60"/>
  <c r="V58"/>
  <c r="Z60"/>
  <c r="AP60"/>
  <c r="Z61"/>
  <c r="AP61"/>
  <c r="Z59"/>
  <c r="AP59"/>
  <c r="U58"/>
  <c r="Z64"/>
  <c r="Z63"/>
  <c r="AP63"/>
  <c r="Z62"/>
  <c r="AP62"/>
  <c r="Y58"/>
  <c r="W58"/>
  <c r="X58"/>
  <c r="S60"/>
  <c r="AO60"/>
  <c r="N58"/>
  <c r="S62"/>
  <c r="AO62"/>
  <c r="P58"/>
  <c r="O58"/>
  <c r="Q58"/>
  <c r="S64"/>
  <c r="AO64"/>
  <c r="L62"/>
  <c r="AN62"/>
  <c r="Z296"/>
  <c r="AP296"/>
  <c r="X292"/>
  <c r="S298"/>
  <c r="S294"/>
  <c r="AO294"/>
  <c r="S296"/>
  <c r="AO296"/>
  <c r="AD253"/>
  <c r="AC253"/>
  <c r="AE253"/>
  <c r="AF253"/>
  <c r="AG255"/>
  <c r="AQ255"/>
  <c r="Z216"/>
  <c r="AP216"/>
  <c r="Z220"/>
  <c r="Z219"/>
  <c r="AP219"/>
  <c r="Y214"/>
  <c r="Z217"/>
  <c r="AP217"/>
  <c r="V214"/>
  <c r="W214"/>
  <c r="Z218"/>
  <c r="AP218"/>
  <c r="U214"/>
  <c r="X214"/>
  <c r="Z215"/>
  <c r="AP215"/>
  <c r="AP162"/>
  <c r="AQ162"/>
  <c r="AO162"/>
  <c r="AQ150"/>
  <c r="AG112"/>
  <c r="AQ112"/>
  <c r="AG116"/>
  <c r="AQ116"/>
  <c r="AE110"/>
  <c r="K84"/>
  <c r="G84"/>
  <c r="L87"/>
  <c r="AN87"/>
  <c r="L89"/>
  <c r="AN89"/>
  <c r="H84"/>
  <c r="L90"/>
  <c r="AN90"/>
  <c r="I84"/>
  <c r="L86"/>
  <c r="AN86"/>
  <c r="L88"/>
  <c r="AN88"/>
  <c r="J84"/>
  <c r="L85"/>
  <c r="AN85"/>
  <c r="AO71"/>
  <c r="AP77"/>
  <c r="AO77"/>
  <c r="S317"/>
  <c r="G139" i="8"/>
  <c r="F15" i="10"/>
  <c r="H139" i="8"/>
  <c r="D15" i="10"/>
  <c r="D17"/>
  <c r="G17"/>
  <c r="G42" i="1"/>
  <c r="G86" i="8"/>
  <c r="G39" i="1"/>
  <c r="D61" i="8"/>
  <c r="C61"/>
  <c r="F42" i="1"/>
  <c r="C58" i="8"/>
  <c r="C15" i="10"/>
  <c r="A105" i="4"/>
  <c r="AI92"/>
  <c r="F86" i="8"/>
  <c r="D77"/>
  <c r="C77"/>
  <c r="E20" i="10"/>
  <c r="F20"/>
  <c r="N1342" i="4"/>
  <c r="W136"/>
  <c r="X136"/>
  <c r="Y136"/>
  <c r="AE136"/>
  <c r="AF136"/>
  <c r="AD136"/>
  <c r="P136"/>
  <c r="Q136"/>
  <c r="R136"/>
  <c r="D96" i="8"/>
  <c r="C96"/>
  <c r="L44" i="4"/>
  <c r="I45"/>
  <c r="Z142"/>
  <c r="V136"/>
  <c r="Z141"/>
  <c r="AP141"/>
  <c r="Z138"/>
  <c r="AP138"/>
  <c r="Z140"/>
  <c r="AP140"/>
  <c r="Z139"/>
  <c r="AP139"/>
  <c r="U136"/>
  <c r="Z137"/>
  <c r="AP137"/>
  <c r="AC136"/>
  <c r="AG141"/>
  <c r="AQ141"/>
  <c r="AG142"/>
  <c r="AQ142"/>
  <c r="AG138"/>
  <c r="AQ138"/>
  <c r="AG137"/>
  <c r="AQ137"/>
  <c r="AG139"/>
  <c r="AQ139"/>
  <c r="AB136"/>
  <c r="AG140"/>
  <c r="AQ140"/>
  <c r="S137"/>
  <c r="AO137"/>
  <c r="S142"/>
  <c r="S141"/>
  <c r="AO141"/>
  <c r="S138"/>
  <c r="AO138"/>
  <c r="S140"/>
  <c r="AO140"/>
  <c r="N136"/>
  <c r="O136"/>
  <c r="S139"/>
  <c r="AO139"/>
  <c r="L347"/>
  <c r="L348"/>
  <c r="G344"/>
  <c r="H344"/>
  <c r="I344"/>
  <c r="J344"/>
  <c r="K344"/>
  <c r="L345"/>
  <c r="L346"/>
  <c r="L349"/>
  <c r="AC240"/>
  <c r="AD240"/>
  <c r="AB240"/>
  <c r="AG241"/>
  <c r="AQ241"/>
  <c r="I305"/>
  <c r="K305"/>
  <c r="L308"/>
  <c r="AN308"/>
  <c r="L309"/>
  <c r="AN309"/>
  <c r="J305"/>
  <c r="Y292"/>
  <c r="V292"/>
  <c r="W292"/>
  <c r="U292"/>
  <c r="Z293"/>
  <c r="AP293"/>
  <c r="Z294"/>
  <c r="AP294"/>
  <c r="Z295"/>
  <c r="AP295"/>
  <c r="Z297"/>
  <c r="AP297"/>
  <c r="V1342"/>
  <c r="AG265"/>
  <c r="V331"/>
  <c r="W331"/>
  <c r="X331"/>
  <c r="U331"/>
  <c r="Y331"/>
  <c r="Z334"/>
  <c r="Z335"/>
  <c r="Z336"/>
  <c r="Z332"/>
  <c r="Z333"/>
  <c r="S343"/>
  <c r="S331"/>
  <c r="S337"/>
  <c r="L278"/>
  <c r="AG82"/>
  <c r="L295"/>
  <c r="AN295"/>
  <c r="H292"/>
  <c r="I292"/>
  <c r="AG291"/>
  <c r="V253"/>
  <c r="W253"/>
  <c r="Z258"/>
  <c r="AP258"/>
  <c r="Z256"/>
  <c r="AP256"/>
  <c r="Z257"/>
  <c r="AP257"/>
  <c r="L318"/>
  <c r="L324"/>
  <c r="P318"/>
  <c r="Q318"/>
  <c r="R318"/>
  <c r="N318"/>
  <c r="O318"/>
  <c r="S319"/>
  <c r="S320"/>
  <c r="S321"/>
  <c r="S322"/>
  <c r="S323"/>
  <c r="AC331"/>
  <c r="AD331"/>
  <c r="AE331"/>
  <c r="AF331"/>
  <c r="AB331"/>
  <c r="AG335"/>
  <c r="AG336"/>
  <c r="AG332"/>
  <c r="AG333"/>
  <c r="AG334"/>
  <c r="S278"/>
  <c r="N253"/>
  <c r="O253"/>
  <c r="P253"/>
  <c r="Q253"/>
  <c r="R253"/>
  <c r="S257"/>
  <c r="AO257"/>
  <c r="S258"/>
  <c r="AO258"/>
  <c r="S254"/>
  <c r="AO254"/>
  <c r="S255"/>
  <c r="AO255"/>
  <c r="S256"/>
  <c r="AO256"/>
  <c r="AD305"/>
  <c r="AC305"/>
  <c r="AE305"/>
  <c r="AF305"/>
  <c r="AB305"/>
  <c r="AG307"/>
  <c r="AQ307"/>
  <c r="AG308"/>
  <c r="AQ308"/>
  <c r="AG309"/>
  <c r="AQ309"/>
  <c r="AG310"/>
  <c r="AQ310"/>
  <c r="AG306"/>
  <c r="AQ306"/>
  <c r="L331"/>
  <c r="L337"/>
  <c r="AC1342"/>
  <c r="AG162"/>
  <c r="AG168"/>
  <c r="AQ168"/>
  <c r="Z162"/>
  <c r="Z168"/>
  <c r="F27" i="1"/>
  <c r="S82" i="4"/>
  <c r="Z82"/>
  <c r="W80"/>
  <c r="W79"/>
  <c r="Y80"/>
  <c r="Y79"/>
  <c r="X79"/>
  <c r="X80"/>
  <c r="Q79"/>
  <c r="Q80"/>
  <c r="P80"/>
  <c r="P79"/>
  <c r="R80"/>
  <c r="R79"/>
  <c r="V80"/>
  <c r="V79"/>
  <c r="AC175"/>
  <c r="C86" i="8"/>
  <c r="D86"/>
  <c r="AG128" i="4"/>
  <c r="AQ128"/>
  <c r="H40" i="1"/>
  <c r="F21" i="10"/>
  <c r="AO168" i="4"/>
  <c r="AP103"/>
  <c r="S292"/>
  <c r="AF58"/>
  <c r="AB123"/>
  <c r="AG124"/>
  <c r="AQ124"/>
  <c r="AG129"/>
  <c r="AQ129"/>
  <c r="AG126"/>
  <c r="AQ126"/>
  <c r="AB175"/>
  <c r="AP279"/>
  <c r="AG279"/>
  <c r="AG285"/>
  <c r="AQ285"/>
  <c r="AO292"/>
  <c r="L258"/>
  <c r="AN258"/>
  <c r="L255"/>
  <c r="AN255"/>
  <c r="G305"/>
  <c r="L307"/>
  <c r="AN307"/>
  <c r="H305"/>
  <c r="L310"/>
  <c r="AN310"/>
  <c r="L294"/>
  <c r="AN294"/>
  <c r="L293"/>
  <c r="AN293"/>
  <c r="G292"/>
  <c r="K292"/>
  <c r="J292"/>
  <c r="L297"/>
  <c r="AN297"/>
  <c r="AQ279"/>
  <c r="Z279"/>
  <c r="Z285"/>
  <c r="L266"/>
  <c r="L272"/>
  <c r="AN272"/>
  <c r="AN261"/>
  <c r="AG256"/>
  <c r="AQ256"/>
  <c r="AB253"/>
  <c r="AQ253"/>
  <c r="U253"/>
  <c r="AG254"/>
  <c r="AQ254"/>
  <c r="AG257"/>
  <c r="AQ257"/>
  <c r="L257"/>
  <c r="AN257"/>
  <c r="G253"/>
  <c r="H253"/>
  <c r="L256"/>
  <c r="AN256"/>
  <c r="AR256"/>
  <c r="AG245"/>
  <c r="AQ245"/>
  <c r="AG243"/>
  <c r="AQ243"/>
  <c r="AG244"/>
  <c r="AQ244"/>
  <c r="AE240"/>
  <c r="AQ240"/>
  <c r="AG242"/>
  <c r="AQ242"/>
  <c r="I201"/>
  <c r="L202"/>
  <c r="AN202"/>
  <c r="J201"/>
  <c r="K201"/>
  <c r="L205"/>
  <c r="AN205"/>
  <c r="L203"/>
  <c r="AN203"/>
  <c r="L206"/>
  <c r="AN206"/>
  <c r="L204"/>
  <c r="AN204"/>
  <c r="G201"/>
  <c r="J175"/>
  <c r="L178"/>
  <c r="AN178"/>
  <c r="L177"/>
  <c r="AN177"/>
  <c r="H175"/>
  <c r="L176"/>
  <c r="AN176"/>
  <c r="L181"/>
  <c r="AN181"/>
  <c r="K175"/>
  <c r="I175"/>
  <c r="L179"/>
  <c r="AN179"/>
  <c r="L180"/>
  <c r="AN180"/>
  <c r="Y149"/>
  <c r="Z150"/>
  <c r="AP150"/>
  <c r="V149"/>
  <c r="X149"/>
  <c r="Z151"/>
  <c r="AP151"/>
  <c r="U149"/>
  <c r="Z154"/>
  <c r="AP154"/>
  <c r="W149"/>
  <c r="L125"/>
  <c r="AN125"/>
  <c r="I123"/>
  <c r="G123"/>
  <c r="K123"/>
  <c r="L124"/>
  <c r="AN124"/>
  <c r="L126"/>
  <c r="AN126"/>
  <c r="L128"/>
  <c r="AN128"/>
  <c r="H123"/>
  <c r="J123"/>
  <c r="AG110"/>
  <c r="AQ110"/>
  <c r="AQ105"/>
  <c r="AO110"/>
  <c r="Z99"/>
  <c r="AP99"/>
  <c r="W97"/>
  <c r="Z102"/>
  <c r="AP102"/>
  <c r="Z103"/>
  <c r="Y97"/>
  <c r="U97"/>
  <c r="Z101"/>
  <c r="AP101"/>
  <c r="Z98"/>
  <c r="AP98"/>
  <c r="Z100"/>
  <c r="AP100"/>
  <c r="X97"/>
  <c r="Z255"/>
  <c r="AP255"/>
  <c r="Y253"/>
  <c r="Z254"/>
  <c r="AP254"/>
  <c r="Z227"/>
  <c r="AP227"/>
  <c r="O227"/>
  <c r="S228"/>
  <c r="AO228"/>
  <c r="S233"/>
  <c r="AO233"/>
  <c r="S232"/>
  <c r="AO232"/>
  <c r="R227"/>
  <c r="AO227"/>
  <c r="G227"/>
  <c r="S126"/>
  <c r="AO126"/>
  <c r="J188"/>
  <c r="L232"/>
  <c r="AN232"/>
  <c r="R305"/>
  <c r="L230"/>
  <c r="AN230"/>
  <c r="S308"/>
  <c r="AO308"/>
  <c r="Z308"/>
  <c r="AP308"/>
  <c r="U305"/>
  <c r="W305"/>
  <c r="Z306"/>
  <c r="AP306"/>
  <c r="Q305"/>
  <c r="S307"/>
  <c r="AO307"/>
  <c r="AG63"/>
  <c r="AQ63"/>
  <c r="AN71"/>
  <c r="AN66"/>
  <c r="P123"/>
  <c r="AG125"/>
  <c r="AQ125"/>
  <c r="AC123"/>
  <c r="AG123"/>
  <c r="AG179"/>
  <c r="AQ179"/>
  <c r="AG176"/>
  <c r="AQ176"/>
  <c r="L191"/>
  <c r="AN191"/>
  <c r="AQ201"/>
  <c r="AQ196"/>
  <c r="K227"/>
  <c r="S310"/>
  <c r="AO310"/>
  <c r="L194"/>
  <c r="AN194"/>
  <c r="AO157"/>
  <c r="AG61"/>
  <c r="AQ61"/>
  <c r="AE175"/>
  <c r="K188"/>
  <c r="H188"/>
  <c r="L229"/>
  <c r="AN229"/>
  <c r="H227"/>
  <c r="S309"/>
  <c r="AO309"/>
  <c r="AR309"/>
  <c r="S306"/>
  <c r="AO306"/>
  <c r="P305"/>
  <c r="O305"/>
  <c r="S63"/>
  <c r="AO63"/>
  <c r="S61"/>
  <c r="AO61"/>
  <c r="S59"/>
  <c r="AO59"/>
  <c r="R58"/>
  <c r="AO58"/>
  <c r="X83"/>
  <c r="X1339"/>
  <c r="U31"/>
  <c r="AE58"/>
  <c r="AB58"/>
  <c r="AG59"/>
  <c r="AQ59"/>
  <c r="S128"/>
  <c r="AO128"/>
  <c r="Q123"/>
  <c r="O123"/>
  <c r="AG180"/>
  <c r="AQ180"/>
  <c r="AG178"/>
  <c r="AQ178"/>
  <c r="AD175"/>
  <c r="I188"/>
  <c r="L190"/>
  <c r="AN190"/>
  <c r="G188"/>
  <c r="L233"/>
  <c r="AN233"/>
  <c r="J227"/>
  <c r="R83"/>
  <c r="P83"/>
  <c r="R123"/>
  <c r="S124"/>
  <c r="AO124"/>
  <c r="S127"/>
  <c r="AO127"/>
  <c r="AQ149"/>
  <c r="AF175"/>
  <c r="AG181"/>
  <c r="AQ181"/>
  <c r="L189"/>
  <c r="AN189"/>
  <c r="L193"/>
  <c r="AN193"/>
  <c r="J58"/>
  <c r="K58"/>
  <c r="I58"/>
  <c r="L60"/>
  <c r="AN60"/>
  <c r="AR60"/>
  <c r="L64"/>
  <c r="AN64"/>
  <c r="L61"/>
  <c r="AN61"/>
  <c r="H58"/>
  <c r="G58"/>
  <c r="L59"/>
  <c r="AN59"/>
  <c r="AD58"/>
  <c r="AP71"/>
  <c r="AP66"/>
  <c r="S129"/>
  <c r="N123"/>
  <c r="I227"/>
  <c r="L231"/>
  <c r="AN231"/>
  <c r="H44" i="1"/>
  <c r="H39"/>
  <c r="H41"/>
  <c r="AO66" i="4"/>
  <c r="AP157"/>
  <c r="AQ157"/>
  <c r="AR258"/>
  <c r="G15" i="10"/>
  <c r="D92" i="8"/>
  <c r="C92"/>
  <c r="AO266" i="4"/>
  <c r="S266"/>
  <c r="S272"/>
  <c r="Z242"/>
  <c r="AP242"/>
  <c r="Z241"/>
  <c r="AP241"/>
  <c r="W240"/>
  <c r="Z244"/>
  <c r="AP244"/>
  <c r="Z243"/>
  <c r="AP243"/>
  <c r="X240"/>
  <c r="Z245"/>
  <c r="AP245"/>
  <c r="Y240"/>
  <c r="R240"/>
  <c r="S241"/>
  <c r="AO241"/>
  <c r="S243"/>
  <c r="AO243"/>
  <c r="S242"/>
  <c r="AO242"/>
  <c r="P240"/>
  <c r="S244"/>
  <c r="AO244"/>
  <c r="Q240"/>
  <c r="S245"/>
  <c r="AO245"/>
  <c r="AE227"/>
  <c r="AG231"/>
  <c r="AQ231"/>
  <c r="AG229"/>
  <c r="AQ229"/>
  <c r="AG228"/>
  <c r="AQ228"/>
  <c r="AB227"/>
  <c r="AD227"/>
  <c r="AG232"/>
  <c r="AQ232"/>
  <c r="AG230"/>
  <c r="AQ230"/>
  <c r="AC227"/>
  <c r="AF227"/>
  <c r="AG233"/>
  <c r="AQ233"/>
  <c r="AG214"/>
  <c r="AQ214"/>
  <c r="AQ209"/>
  <c r="AO214"/>
  <c r="S214"/>
  <c r="AP220"/>
  <c r="AO220"/>
  <c r="AG201"/>
  <c r="V201"/>
  <c r="Z207"/>
  <c r="Z202"/>
  <c r="AP202"/>
  <c r="U201"/>
  <c r="Z205"/>
  <c r="AP205"/>
  <c r="Z206"/>
  <c r="AP206"/>
  <c r="Z204"/>
  <c r="AP204"/>
  <c r="Z203"/>
  <c r="AP203"/>
  <c r="Y201"/>
  <c r="X201"/>
  <c r="W201"/>
  <c r="AO201"/>
  <c r="S201"/>
  <c r="AP207"/>
  <c r="AO207"/>
  <c r="U175"/>
  <c r="X175"/>
  <c r="Z177"/>
  <c r="AP177"/>
  <c r="Z178"/>
  <c r="AP178"/>
  <c r="Z179"/>
  <c r="AP179"/>
  <c r="Z176"/>
  <c r="AP176"/>
  <c r="Z181"/>
  <c r="Z180"/>
  <c r="AP180"/>
  <c r="Y175"/>
  <c r="V175"/>
  <c r="W175"/>
  <c r="O175"/>
  <c r="R175"/>
  <c r="N175"/>
  <c r="P175"/>
  <c r="S178"/>
  <c r="AO178"/>
  <c r="Q175"/>
  <c r="S176"/>
  <c r="AO176"/>
  <c r="S179"/>
  <c r="AO179"/>
  <c r="S177"/>
  <c r="AO177"/>
  <c r="S180"/>
  <c r="AO180"/>
  <c r="S181"/>
  <c r="AG149"/>
  <c r="AQ144"/>
  <c r="AO149"/>
  <c r="S149"/>
  <c r="AO155"/>
  <c r="AQ123"/>
  <c r="U123"/>
  <c r="Z127"/>
  <c r="AP127"/>
  <c r="Z124"/>
  <c r="AP124"/>
  <c r="Z126"/>
  <c r="AP126"/>
  <c r="X123"/>
  <c r="Z128"/>
  <c r="AP128"/>
  <c r="V123"/>
  <c r="W123"/>
  <c r="Z125"/>
  <c r="AP125"/>
  <c r="Y123"/>
  <c r="Z129"/>
  <c r="Z114"/>
  <c r="AP114"/>
  <c r="Z116"/>
  <c r="Z115"/>
  <c r="AP115"/>
  <c r="Z112"/>
  <c r="AP112"/>
  <c r="Z113"/>
  <c r="AP113"/>
  <c r="Z111"/>
  <c r="AP111"/>
  <c r="W110"/>
  <c r="Y110"/>
  <c r="X110"/>
  <c r="AO116"/>
  <c r="AP116"/>
  <c r="S110"/>
  <c r="S97"/>
  <c r="AO97"/>
  <c r="AO92"/>
  <c r="V83"/>
  <c r="Y83"/>
  <c r="Y1339"/>
  <c r="V31"/>
  <c r="W83"/>
  <c r="W1339"/>
  <c r="T31"/>
  <c r="Q83"/>
  <c r="S83"/>
  <c r="Z71"/>
  <c r="L71"/>
  <c r="AG62"/>
  <c r="AQ62"/>
  <c r="AR62"/>
  <c r="AC58"/>
  <c r="AP58"/>
  <c r="Z58"/>
  <c r="AP64"/>
  <c r="AQ305"/>
  <c r="AP298"/>
  <c r="AO298"/>
  <c r="AP292"/>
  <c r="AO253"/>
  <c r="AP214"/>
  <c r="Z214"/>
  <c r="AN84"/>
  <c r="L84"/>
  <c r="E21" i="10"/>
  <c r="G44" i="1"/>
  <c r="G41"/>
  <c r="G40"/>
  <c r="D21" i="10"/>
  <c r="A118" i="4"/>
  <c r="AI105"/>
  <c r="F41" i="1"/>
  <c r="F44"/>
  <c r="F39"/>
  <c r="F40"/>
  <c r="K45" i="4"/>
  <c r="G45"/>
  <c r="L48"/>
  <c r="AN48"/>
  <c r="J45"/>
  <c r="L46"/>
  <c r="AN46"/>
  <c r="L51"/>
  <c r="AN51"/>
  <c r="AB1342"/>
  <c r="G1342"/>
  <c r="U1342"/>
  <c r="C20" i="10"/>
  <c r="G20"/>
  <c r="J16" i="1"/>
  <c r="L50" i="4"/>
  <c r="AN50"/>
  <c r="H45"/>
  <c r="L49"/>
  <c r="AN49"/>
  <c r="L47"/>
  <c r="AN47"/>
  <c r="AQ136"/>
  <c r="AQ131"/>
  <c r="AG136"/>
  <c r="Z136"/>
  <c r="AP136"/>
  <c r="AO136"/>
  <c r="S136"/>
  <c r="AO142"/>
  <c r="AP142"/>
  <c r="F45" i="1"/>
  <c r="F46"/>
  <c r="L344" i="4"/>
  <c r="L350"/>
  <c r="Z292"/>
  <c r="Z298"/>
  <c r="S253"/>
  <c r="S259"/>
  <c r="AC292"/>
  <c r="AD292"/>
  <c r="AE292"/>
  <c r="AF292"/>
  <c r="AB292"/>
  <c r="AG293"/>
  <c r="AQ293"/>
  <c r="AG294"/>
  <c r="AQ294"/>
  <c r="AG295"/>
  <c r="AQ295"/>
  <c r="AR295"/>
  <c r="AG296"/>
  <c r="AQ296"/>
  <c r="AR296"/>
  <c r="AG297"/>
  <c r="AQ297"/>
  <c r="AC266"/>
  <c r="AD266"/>
  <c r="AE266"/>
  <c r="AF266"/>
  <c r="AB266"/>
  <c r="AQ266"/>
  <c r="AG267"/>
  <c r="AQ267"/>
  <c r="AG268"/>
  <c r="AQ268"/>
  <c r="AG269"/>
  <c r="AQ269"/>
  <c r="AG270"/>
  <c r="AQ270"/>
  <c r="AG271"/>
  <c r="AQ271"/>
  <c r="Q17" i="1"/>
  <c r="N344" i="4"/>
  <c r="O344"/>
  <c r="P344"/>
  <c r="Q344"/>
  <c r="R344"/>
  <c r="S347"/>
  <c r="S348"/>
  <c r="S349"/>
  <c r="S345"/>
  <c r="S346"/>
  <c r="N279"/>
  <c r="O279"/>
  <c r="P279"/>
  <c r="Q279"/>
  <c r="R279"/>
  <c r="S280"/>
  <c r="AO280"/>
  <c r="S281"/>
  <c r="AO281"/>
  <c r="S282"/>
  <c r="AO282"/>
  <c r="S283"/>
  <c r="AO283"/>
  <c r="S284"/>
  <c r="AO284"/>
  <c r="O17" i="1"/>
  <c r="H1342" i="4"/>
  <c r="K17" i="1"/>
  <c r="AG305" i="4"/>
  <c r="AG311"/>
  <c r="AQ311"/>
  <c r="M17" i="1"/>
  <c r="AG331" i="4"/>
  <c r="AG337"/>
  <c r="S318"/>
  <c r="S324"/>
  <c r="G240"/>
  <c r="H240"/>
  <c r="H279"/>
  <c r="I279"/>
  <c r="L281"/>
  <c r="AN281"/>
  <c r="L282"/>
  <c r="AN282"/>
  <c r="L283"/>
  <c r="AN283"/>
  <c r="L284"/>
  <c r="AN284"/>
  <c r="G279"/>
  <c r="J279"/>
  <c r="K279"/>
  <c r="L280"/>
  <c r="AN280"/>
  <c r="Z331"/>
  <c r="Z337"/>
  <c r="G45" i="1"/>
  <c r="H46"/>
  <c r="H45"/>
  <c r="G46"/>
  <c r="Z83" i="4"/>
  <c r="AO123"/>
  <c r="AQ175"/>
  <c r="S123"/>
  <c r="AR178"/>
  <c r="AG175"/>
  <c r="AN253"/>
  <c r="AN305"/>
  <c r="AG240"/>
  <c r="AG246"/>
  <c r="AQ246"/>
  <c r="AQ235"/>
  <c r="AR297"/>
  <c r="AR293"/>
  <c r="AO287"/>
  <c r="L305"/>
  <c r="L311"/>
  <c r="AN311"/>
  <c r="E21" i="1"/>
  <c r="E16"/>
  <c r="S58" i="4"/>
  <c r="L253"/>
  <c r="L259"/>
  <c r="AN259"/>
  <c r="AN248"/>
  <c r="AQ274"/>
  <c r="AP233"/>
  <c r="AP222"/>
  <c r="Q84"/>
  <c r="R84"/>
  <c r="S305"/>
  <c r="S311"/>
  <c r="AO311"/>
  <c r="Z305"/>
  <c r="Z311"/>
  <c r="AR255"/>
  <c r="AO305"/>
  <c r="AR310"/>
  <c r="AR307"/>
  <c r="AR294"/>
  <c r="L292"/>
  <c r="L298"/>
  <c r="AN298"/>
  <c r="AN292"/>
  <c r="AG253"/>
  <c r="AG259"/>
  <c r="AQ259"/>
  <c r="AQ248"/>
  <c r="AR254"/>
  <c r="AR257"/>
  <c r="AP253"/>
  <c r="AR206"/>
  <c r="AR203"/>
  <c r="AR204"/>
  <c r="AR202"/>
  <c r="L201"/>
  <c r="L207"/>
  <c r="AN207"/>
  <c r="AR207"/>
  <c r="AR205"/>
  <c r="AN201"/>
  <c r="L188"/>
  <c r="AN188"/>
  <c r="AN175"/>
  <c r="AN170"/>
  <c r="L175"/>
  <c r="Z149"/>
  <c r="AP149"/>
  <c r="AP144"/>
  <c r="AR125"/>
  <c r="L123"/>
  <c r="L129"/>
  <c r="AN129"/>
  <c r="AR128"/>
  <c r="AN123"/>
  <c r="AR63"/>
  <c r="AP97"/>
  <c r="AP92"/>
  <c r="Z97"/>
  <c r="AQ58"/>
  <c r="AR61"/>
  <c r="Z253"/>
  <c r="Z259"/>
  <c r="S227"/>
  <c r="AR228"/>
  <c r="L227"/>
  <c r="AR232"/>
  <c r="AR124"/>
  <c r="AR306"/>
  <c r="AR126"/>
  <c r="AQ118"/>
  <c r="AQ170"/>
  <c r="AR59"/>
  <c r="AR176"/>
  <c r="AP209"/>
  <c r="AO53"/>
  <c r="AR127"/>
  <c r="AR308"/>
  <c r="AR230"/>
  <c r="AN227"/>
  <c r="AN222"/>
  <c r="AR229"/>
  <c r="AR231"/>
  <c r="AR177"/>
  <c r="AP305"/>
  <c r="AG58"/>
  <c r="AG64"/>
  <c r="AQ64"/>
  <c r="AR64"/>
  <c r="AN279"/>
  <c r="AR179"/>
  <c r="AP287"/>
  <c r="AO129"/>
  <c r="AO118"/>
  <c r="AP129"/>
  <c r="AN58"/>
  <c r="AN53"/>
  <c r="L58"/>
  <c r="AR180"/>
  <c r="AR280"/>
  <c r="AR284"/>
  <c r="AR282"/>
  <c r="AO196"/>
  <c r="Z201"/>
  <c r="AO209"/>
  <c r="AR283"/>
  <c r="AR281"/>
  <c r="AQ300"/>
  <c r="AO105"/>
  <c r="AO222"/>
  <c r="AP53"/>
  <c r="AO144"/>
  <c r="AP311"/>
  <c r="AP272"/>
  <c r="AO272"/>
  <c r="AO261"/>
  <c r="AP240"/>
  <c r="Z240"/>
  <c r="Z246"/>
  <c r="AO240"/>
  <c r="S240"/>
  <c r="S246"/>
  <c r="AG227"/>
  <c r="AQ227"/>
  <c r="AQ222"/>
  <c r="AP201"/>
  <c r="AP196"/>
  <c r="Z175"/>
  <c r="AP175"/>
  <c r="AP181"/>
  <c r="AO181"/>
  <c r="S175"/>
  <c r="AO175"/>
  <c r="Z123"/>
  <c r="AP123"/>
  <c r="Z110"/>
  <c r="AP110"/>
  <c r="P84"/>
  <c r="S87"/>
  <c r="AO87"/>
  <c r="AQ292"/>
  <c r="AO279"/>
  <c r="AP259"/>
  <c r="AO259"/>
  <c r="V84"/>
  <c r="U84"/>
  <c r="S90"/>
  <c r="O84"/>
  <c r="S89"/>
  <c r="AO89"/>
  <c r="N84"/>
  <c r="S85"/>
  <c r="AO85"/>
  <c r="S88"/>
  <c r="AO88"/>
  <c r="S86"/>
  <c r="AO86"/>
  <c r="AN79"/>
  <c r="A131"/>
  <c r="AI118"/>
  <c r="E40" i="1"/>
  <c r="E41"/>
  <c r="E39"/>
  <c r="L45" i="4"/>
  <c r="E44" i="1"/>
  <c r="C21" i="10"/>
  <c r="G21"/>
  <c r="AN45" i="4"/>
  <c r="E46" i="1"/>
  <c r="E45"/>
  <c r="AO131" i="4"/>
  <c r="AP131"/>
  <c r="L279"/>
  <c r="L285"/>
  <c r="AN285"/>
  <c r="AG266"/>
  <c r="AG272"/>
  <c r="AQ272"/>
  <c r="AQ261"/>
  <c r="AG292"/>
  <c r="AG298"/>
  <c r="AQ298"/>
  <c r="S279"/>
  <c r="S285"/>
  <c r="S344"/>
  <c r="S350"/>
  <c r="Y84"/>
  <c r="X84"/>
  <c r="W84"/>
  <c r="Z88"/>
  <c r="AP88"/>
  <c r="Z87"/>
  <c r="AP87"/>
  <c r="Z90"/>
  <c r="Z89"/>
  <c r="AP89"/>
  <c r="Z85"/>
  <c r="AP85"/>
  <c r="Z86"/>
  <c r="AP86"/>
  <c r="AR253"/>
  <c r="AR233"/>
  <c r="AN300"/>
  <c r="S84"/>
  <c r="AR305"/>
  <c r="AP248"/>
  <c r="AP300"/>
  <c r="AN287"/>
  <c r="AR298"/>
  <c r="AN196"/>
  <c r="AR196"/>
  <c r="AN183"/>
  <c r="AN118"/>
  <c r="AQ53"/>
  <c r="AR53"/>
  <c r="AR58"/>
  <c r="AR129"/>
  <c r="AR181"/>
  <c r="AP170"/>
  <c r="AR259"/>
  <c r="AR311"/>
  <c r="AO300"/>
  <c r="AQ287"/>
  <c r="AR222"/>
  <c r="AR272"/>
  <c r="AN274"/>
  <c r="AO248"/>
  <c r="AR292"/>
  <c r="AR279"/>
  <c r="AP246"/>
  <c r="AP235"/>
  <c r="AO246"/>
  <c r="AO235"/>
  <c r="AR227"/>
  <c r="AR201"/>
  <c r="AO170"/>
  <c r="AR175"/>
  <c r="AP118"/>
  <c r="AR123"/>
  <c r="AP105"/>
  <c r="AP285"/>
  <c r="AP274"/>
  <c r="AO285"/>
  <c r="AO274"/>
  <c r="AP90"/>
  <c r="AO90"/>
  <c r="AO84"/>
  <c r="AP84"/>
  <c r="A144"/>
  <c r="AI131"/>
  <c r="AN40"/>
  <c r="Z84"/>
  <c r="AR248"/>
  <c r="AR287"/>
  <c r="AR300"/>
  <c r="AR118"/>
  <c r="AR170"/>
  <c r="AR274"/>
  <c r="AP79"/>
  <c r="AR285"/>
  <c r="AO79"/>
  <c r="A157"/>
  <c r="AI144"/>
  <c r="A170"/>
  <c r="AI157"/>
  <c r="AC44"/>
  <c r="S43"/>
  <c r="N44"/>
  <c r="Z43"/>
  <c r="U44"/>
  <c r="AG43"/>
  <c r="AB44"/>
  <c r="O44"/>
  <c r="V44"/>
  <c r="A183"/>
  <c r="AI170"/>
  <c r="AG44"/>
  <c r="P18" i="1"/>
  <c r="AF45" i="4"/>
  <c r="N17" i="1"/>
  <c r="G17"/>
  <c r="S44" i="4"/>
  <c r="AG50"/>
  <c r="AQ50"/>
  <c r="Z44"/>
  <c r="W45"/>
  <c r="W1341"/>
  <c r="T32"/>
  <c r="T33"/>
  <c r="A196"/>
  <c r="AI183"/>
  <c r="Y45"/>
  <c r="Y1341"/>
  <c r="V32"/>
  <c r="V33"/>
  <c r="H23" i="1"/>
  <c r="H18"/>
  <c r="AG46" i="4"/>
  <c r="AQ46"/>
  <c r="AG49"/>
  <c r="AQ49"/>
  <c r="AG48"/>
  <c r="AQ48"/>
  <c r="AG51"/>
  <c r="AQ51"/>
  <c r="AD45"/>
  <c r="X45"/>
  <c r="X1341"/>
  <c r="U32"/>
  <c r="U33"/>
  <c r="AE45"/>
  <c r="G22" i="1"/>
  <c r="L16"/>
  <c r="F16"/>
  <c r="L18"/>
  <c r="F18"/>
  <c r="N18"/>
  <c r="AG47" i="4"/>
  <c r="AQ47"/>
  <c r="AB45"/>
  <c r="P16" i="1"/>
  <c r="H16"/>
  <c r="AC45" i="4"/>
  <c r="P45"/>
  <c r="Q45"/>
  <c r="R45"/>
  <c r="S46"/>
  <c r="AO46"/>
  <c r="N45"/>
  <c r="S49"/>
  <c r="AO49"/>
  <c r="O45"/>
  <c r="S51"/>
  <c r="S47"/>
  <c r="AO47"/>
  <c r="S50"/>
  <c r="AO50"/>
  <c r="S48"/>
  <c r="AO48"/>
  <c r="Z49"/>
  <c r="AP49"/>
  <c r="Z47"/>
  <c r="AP47"/>
  <c r="AR47"/>
  <c r="Z51"/>
  <c r="Z50"/>
  <c r="AP50"/>
  <c r="AR50"/>
  <c r="Z46"/>
  <c r="AP46"/>
  <c r="Z48"/>
  <c r="AP48"/>
  <c r="AR48"/>
  <c r="U45"/>
  <c r="V45"/>
  <c r="A209"/>
  <c r="AI196"/>
  <c r="G23" i="1"/>
  <c r="G18"/>
  <c r="H21"/>
  <c r="F23"/>
  <c r="F21"/>
  <c r="AQ45" i="4"/>
  <c r="AQ40"/>
  <c r="AO45"/>
  <c r="AR49"/>
  <c r="AG45"/>
  <c r="S45"/>
  <c r="AP51"/>
  <c r="AO51"/>
  <c r="Z45"/>
  <c r="AP45"/>
  <c r="AP40"/>
  <c r="A222"/>
  <c r="AI209"/>
  <c r="AO40"/>
  <c r="AR51"/>
  <c r="AR46"/>
  <c r="AR45"/>
  <c r="A235"/>
  <c r="AI222"/>
  <c r="AR40"/>
  <c r="A248"/>
  <c r="AI235"/>
  <c r="A261"/>
  <c r="AI248"/>
  <c r="A274"/>
  <c r="AI261"/>
  <c r="A287"/>
  <c r="AI274"/>
  <c r="A300"/>
  <c r="AI287"/>
  <c r="A313"/>
  <c r="AI300"/>
  <c r="A326"/>
  <c r="AI313"/>
  <c r="A339"/>
  <c r="A352"/>
  <c r="AI326"/>
  <c r="A365"/>
  <c r="AI352"/>
  <c r="AI339"/>
  <c r="A378"/>
  <c r="AI365"/>
  <c r="A391"/>
  <c r="AI378"/>
  <c r="A404"/>
  <c r="AI391"/>
  <c r="A417"/>
  <c r="AI404"/>
  <c r="AI417"/>
  <c r="A430"/>
  <c r="AI430"/>
  <c r="A443"/>
  <c r="AI443"/>
  <c r="A456"/>
  <c r="A469"/>
  <c r="AI456"/>
  <c r="A482"/>
  <c r="AI469"/>
  <c r="A495"/>
  <c r="AI482"/>
  <c r="A508"/>
  <c r="AI495"/>
  <c r="A521"/>
  <c r="AI508"/>
  <c r="A534"/>
  <c r="AI521"/>
  <c r="A547"/>
  <c r="AI534"/>
  <c r="A560"/>
  <c r="AI547"/>
  <c r="A573"/>
  <c r="AI560"/>
  <c r="A586"/>
  <c r="AI573"/>
  <c r="A599"/>
  <c r="AI586"/>
  <c r="A612"/>
  <c r="AI599"/>
  <c r="AI612"/>
  <c r="A625"/>
  <c r="A638"/>
  <c r="AI625"/>
  <c r="A651"/>
  <c r="AI638"/>
  <c r="A664"/>
  <c r="AI651"/>
  <c r="A677"/>
  <c r="AI664"/>
  <c r="A690"/>
  <c r="AI677"/>
  <c r="A703"/>
  <c r="AI690"/>
  <c r="A716"/>
  <c r="AI703"/>
  <c r="A729"/>
  <c r="AI716"/>
  <c r="A742"/>
  <c r="AI729"/>
  <c r="A755"/>
  <c r="AI742"/>
  <c r="A768"/>
  <c r="AI755"/>
  <c r="A781"/>
  <c r="AI768"/>
  <c r="A794"/>
  <c r="AI781"/>
  <c r="A807"/>
  <c r="AI794"/>
  <c r="A820"/>
  <c r="AI807"/>
  <c r="A833"/>
  <c r="AI820"/>
  <c r="A846"/>
  <c r="AI833"/>
  <c r="A859"/>
  <c r="AI846"/>
  <c r="A872"/>
  <c r="AI859"/>
  <c r="A885"/>
  <c r="AI872"/>
  <c r="A898"/>
  <c r="AI885"/>
  <c r="AI898"/>
  <c r="A911"/>
  <c r="A924"/>
  <c r="AI911"/>
  <c r="A937"/>
  <c r="AI924"/>
  <c r="A950"/>
  <c r="AI937"/>
  <c r="A963"/>
  <c r="AI950"/>
  <c r="A976"/>
  <c r="AI963"/>
  <c r="A989"/>
  <c r="AI976"/>
  <c r="A1002"/>
  <c r="AI989"/>
  <c r="A1015"/>
  <c r="AI1002"/>
  <c r="A1028"/>
  <c r="AI1015"/>
  <c r="A1041"/>
  <c r="AI1028"/>
  <c r="A1054"/>
  <c r="AI1041"/>
  <c r="A1067"/>
  <c r="AI1054"/>
  <c r="A1080"/>
  <c r="AI1067"/>
  <c r="A1093"/>
  <c r="AI1080"/>
  <c r="A1106"/>
  <c r="AI1093"/>
  <c r="A1119"/>
  <c r="AI1106"/>
  <c r="A1132"/>
  <c r="AI1119"/>
  <c r="A1145"/>
  <c r="AI1132"/>
  <c r="A1158"/>
  <c r="AI1145"/>
  <c r="A1171"/>
  <c r="AI1158"/>
  <c r="A1184"/>
  <c r="AI1171"/>
  <c r="A1197"/>
  <c r="AI1184"/>
  <c r="A1210"/>
  <c r="AI1197"/>
  <c r="A1223"/>
  <c r="AI1210"/>
  <c r="A1236"/>
  <c r="AI1223"/>
  <c r="AI1236"/>
  <c r="A1249"/>
  <c r="A1262"/>
  <c r="AI1249"/>
  <c r="A1275"/>
  <c r="AI1262"/>
  <c r="A1288"/>
  <c r="AI1275"/>
  <c r="A1301"/>
  <c r="AI1288"/>
  <c r="A1314"/>
  <c r="AI1301"/>
  <c r="A1327"/>
  <c r="AI1327"/>
  <c r="AI1314"/>
  <c r="AF96"/>
  <c r="AC96"/>
  <c r="AD96"/>
  <c r="AB96"/>
  <c r="AG96"/>
  <c r="AC97"/>
  <c r="AG99"/>
  <c r="AQ99"/>
  <c r="AG101"/>
  <c r="AQ101"/>
  <c r="AE97"/>
  <c r="AG98"/>
  <c r="AF97"/>
  <c r="AG102"/>
  <c r="AQ102"/>
  <c r="AB97"/>
  <c r="AG100"/>
  <c r="AQ100"/>
  <c r="AD97"/>
  <c r="AG97"/>
  <c r="AG103"/>
  <c r="AQ103"/>
  <c r="AQ97"/>
  <c r="AQ98"/>
  <c r="AQ92"/>
  <c r="H96"/>
  <c r="I96"/>
  <c r="J96"/>
  <c r="K96"/>
  <c r="L93"/>
  <c r="G96"/>
  <c r="L96"/>
  <c r="H97"/>
  <c r="K97"/>
  <c r="L103"/>
  <c r="AN103"/>
  <c r="AR103"/>
  <c r="G97"/>
  <c r="J97"/>
  <c r="L102"/>
  <c r="AN102"/>
  <c r="AR102"/>
  <c r="I97"/>
  <c r="L99"/>
  <c r="AN99"/>
  <c r="AR99"/>
  <c r="L98"/>
  <c r="L100"/>
  <c r="AN100"/>
  <c r="AR100"/>
  <c r="L101"/>
  <c r="AN101"/>
  <c r="AR101"/>
  <c r="AN97"/>
  <c r="L97"/>
  <c r="AN98"/>
  <c r="AR98"/>
  <c r="AN92"/>
  <c r="AR97"/>
  <c r="AR92"/>
  <c r="AD70"/>
  <c r="AE70"/>
  <c r="AG67"/>
  <c r="AC70"/>
  <c r="AG70"/>
  <c r="AG72"/>
  <c r="AB71"/>
  <c r="AG76"/>
  <c r="AQ76"/>
  <c r="AR76"/>
  <c r="AG74"/>
  <c r="AQ74"/>
  <c r="AR74"/>
  <c r="AE71"/>
  <c r="AG77"/>
  <c r="AQ77"/>
  <c r="AR77"/>
  <c r="AD71"/>
  <c r="AF71"/>
  <c r="AG75"/>
  <c r="AQ75"/>
  <c r="AR75"/>
  <c r="AC71"/>
  <c r="AG73"/>
  <c r="AQ73"/>
  <c r="AR73"/>
  <c r="AG71"/>
  <c r="AQ71"/>
  <c r="AQ72"/>
  <c r="AQ66"/>
  <c r="AR71"/>
  <c r="AR72"/>
  <c r="AR66"/>
  <c r="AD83"/>
  <c r="AD1339"/>
  <c r="Z31"/>
  <c r="AF83"/>
  <c r="AF1339"/>
  <c r="AB31"/>
  <c r="AE83"/>
  <c r="AE1339"/>
  <c r="AA31"/>
  <c r="AC83"/>
  <c r="AC1339"/>
  <c r="Y31"/>
  <c r="AG80"/>
  <c r="AB83"/>
  <c r="AB1339"/>
  <c r="X31"/>
  <c r="AC31"/>
  <c r="AG83"/>
  <c r="AG85"/>
  <c r="P17" i="1"/>
  <c r="H17"/>
  <c r="AG87" i="4"/>
  <c r="AQ87"/>
  <c r="AR87"/>
  <c r="AG88"/>
  <c r="AQ88"/>
  <c r="AR88"/>
  <c r="AG89"/>
  <c r="AQ89"/>
  <c r="AR89"/>
  <c r="AF84"/>
  <c r="AF1341"/>
  <c r="AB32"/>
  <c r="AB33"/>
  <c r="AG90"/>
  <c r="AQ90"/>
  <c r="AR90"/>
  <c r="AC84"/>
  <c r="AC1341"/>
  <c r="Y32"/>
  <c r="Y33"/>
  <c r="AD84"/>
  <c r="AD1341"/>
  <c r="Z32"/>
  <c r="Z33"/>
  <c r="AE84"/>
  <c r="AE1341"/>
  <c r="AA32"/>
  <c r="AA33"/>
  <c r="AG86"/>
  <c r="AQ86"/>
  <c r="AR86"/>
  <c r="AB84"/>
  <c r="AQ84"/>
  <c r="AG84"/>
  <c r="AB1341"/>
  <c r="X32"/>
  <c r="H22" i="1"/>
  <c r="H26"/>
  <c r="H25"/>
  <c r="H19"/>
  <c r="AC34" i="4"/>
  <c r="AQ85"/>
  <c r="X33"/>
  <c r="AC33"/>
  <c r="AC32"/>
  <c r="AC35"/>
  <c r="AR85"/>
  <c r="AQ79"/>
  <c r="AR84"/>
  <c r="AQ1339"/>
  <c r="H23"/>
  <c r="H26"/>
  <c r="AR79"/>
  <c r="H44" i="8"/>
  <c r="H37" i="1"/>
  <c r="H32"/>
  <c r="F9" i="10"/>
  <c r="H36" i="1"/>
  <c r="H35"/>
  <c r="H34"/>
  <c r="H85" i="8"/>
  <c r="H87"/>
  <c r="H28" i="1"/>
  <c r="F11" i="10"/>
  <c r="H31" i="1"/>
  <c r="H30"/>
  <c r="K109" i="4"/>
  <c r="J109"/>
  <c r="L106"/>
  <c r="I109"/>
  <c r="L109"/>
  <c r="L114"/>
  <c r="AN114"/>
  <c r="AR114"/>
  <c r="J110"/>
  <c r="L116"/>
  <c r="AN116"/>
  <c r="AR116"/>
  <c r="L115"/>
  <c r="AN115"/>
  <c r="AR115"/>
  <c r="K110"/>
  <c r="L112"/>
  <c r="AN112"/>
  <c r="AR112"/>
  <c r="L113"/>
  <c r="AN113"/>
  <c r="AR113"/>
  <c r="I110"/>
  <c r="L111"/>
  <c r="AN111"/>
  <c r="L110"/>
  <c r="AN110"/>
  <c r="AR110"/>
  <c r="AN105"/>
  <c r="AR111"/>
  <c r="AR105"/>
  <c r="I135"/>
  <c r="K135"/>
  <c r="J135"/>
  <c r="G135"/>
  <c r="L132"/>
  <c r="H135"/>
  <c r="L135"/>
  <c r="K136"/>
  <c r="G136"/>
  <c r="H136"/>
  <c r="L138"/>
  <c r="AN138"/>
  <c r="AR138"/>
  <c r="J136"/>
  <c r="L141"/>
  <c r="AN141"/>
  <c r="AR141"/>
  <c r="L142"/>
  <c r="AN142"/>
  <c r="AR142"/>
  <c r="L140"/>
  <c r="AN140"/>
  <c r="AR140"/>
  <c r="L139"/>
  <c r="AN139"/>
  <c r="AR139"/>
  <c r="L137"/>
  <c r="I136"/>
  <c r="AN137"/>
  <c r="AN136"/>
  <c r="L136"/>
  <c r="AR136"/>
  <c r="AN131"/>
  <c r="AR137"/>
  <c r="AR131"/>
  <c r="J148"/>
  <c r="K148"/>
  <c r="I148"/>
  <c r="H148"/>
  <c r="L145"/>
  <c r="G148"/>
  <c r="L148"/>
  <c r="L150"/>
  <c r="L154"/>
  <c r="AN154"/>
  <c r="AR154"/>
  <c r="L155"/>
  <c r="AN155"/>
  <c r="AR155"/>
  <c r="H149"/>
  <c r="G149"/>
  <c r="AN150"/>
  <c r="L152"/>
  <c r="AN152"/>
  <c r="AR152"/>
  <c r="L153"/>
  <c r="AN153"/>
  <c r="AR153"/>
  <c r="L151"/>
  <c r="AN151"/>
  <c r="AR151"/>
  <c r="I149"/>
  <c r="K149"/>
  <c r="J149"/>
  <c r="AR150"/>
  <c r="L149"/>
  <c r="AN149"/>
  <c r="AR149"/>
  <c r="AN144"/>
  <c r="AR144"/>
  <c r="J161"/>
  <c r="G161"/>
  <c r="K161"/>
  <c r="I161"/>
  <c r="L158"/>
  <c r="H161"/>
  <c r="L161"/>
  <c r="L164"/>
  <c r="AN164"/>
  <c r="AR164"/>
  <c r="J162"/>
  <c r="L165"/>
  <c r="AN165"/>
  <c r="AR165"/>
  <c r="L168"/>
  <c r="AN168"/>
  <c r="AR168"/>
  <c r="L167"/>
  <c r="AN167"/>
  <c r="AR167"/>
  <c r="L166"/>
  <c r="AN166"/>
  <c r="AR166"/>
  <c r="K162"/>
  <c r="L163"/>
  <c r="I162"/>
  <c r="H162"/>
  <c r="G162"/>
  <c r="AN162"/>
  <c r="L162"/>
  <c r="AN163"/>
  <c r="AR163"/>
  <c r="AR162"/>
  <c r="AN157"/>
  <c r="AR157"/>
  <c r="Q187"/>
  <c r="Q1339"/>
  <c r="O31"/>
  <c r="P187"/>
  <c r="P1339"/>
  <c r="N31"/>
  <c r="R187"/>
  <c r="R1339"/>
  <c r="P31"/>
  <c r="O187"/>
  <c r="O1339"/>
  <c r="M31"/>
  <c r="N187"/>
  <c r="N1339"/>
  <c r="L31"/>
  <c r="Q31"/>
  <c r="S187"/>
  <c r="S190"/>
  <c r="AO190"/>
  <c r="AR190"/>
  <c r="S189"/>
  <c r="S192"/>
  <c r="AO192"/>
  <c r="AR192"/>
  <c r="S191"/>
  <c r="AO191"/>
  <c r="AR191"/>
  <c r="S194"/>
  <c r="N188"/>
  <c r="S193"/>
  <c r="AO193"/>
  <c r="AR193"/>
  <c r="P188"/>
  <c r="P1341"/>
  <c r="N32"/>
  <c r="N33"/>
  <c r="R188"/>
  <c r="R1341"/>
  <c r="P32"/>
  <c r="P33"/>
  <c r="L17" i="1"/>
  <c r="O188" i="4"/>
  <c r="O1341"/>
  <c r="M32"/>
  <c r="M33"/>
  <c r="Q188"/>
  <c r="Q1341"/>
  <c r="O32"/>
  <c r="O33"/>
  <c r="F22" i="1"/>
  <c r="F25"/>
  <c r="F17"/>
  <c r="F19"/>
  <c r="F26"/>
  <c r="S188" i="4"/>
  <c r="N1341"/>
  <c r="L32"/>
  <c r="AO188"/>
  <c r="Q34"/>
  <c r="AO189"/>
  <c r="AP194"/>
  <c r="AO194"/>
  <c r="AR194"/>
  <c r="AR188"/>
  <c r="AO183"/>
  <c r="Q32"/>
  <c r="L33"/>
  <c r="Q33"/>
  <c r="AP183"/>
  <c r="Q35"/>
  <c r="AR189"/>
  <c r="AR183"/>
  <c r="AO1339"/>
  <c r="F23"/>
  <c r="F26"/>
  <c r="F44" i="8"/>
  <c r="F34" i="1"/>
  <c r="F37"/>
  <c r="F32"/>
  <c r="F36"/>
  <c r="F35"/>
  <c r="D9" i="10"/>
  <c r="F85" i="8"/>
  <c r="F87"/>
  <c r="F31" i="1"/>
  <c r="F28"/>
  <c r="D11" i="10"/>
  <c r="F30" i="1"/>
  <c r="H213" i="4"/>
  <c r="H1339"/>
  <c r="G31"/>
  <c r="I213"/>
  <c r="J213"/>
  <c r="K213"/>
  <c r="L210"/>
  <c r="G213"/>
  <c r="G1339"/>
  <c r="F31"/>
  <c r="L213"/>
  <c r="J17" i="1"/>
  <c r="G214" i="4"/>
  <c r="L215"/>
  <c r="J214"/>
  <c r="H214"/>
  <c r="H1341"/>
  <c r="G32"/>
  <c r="G33"/>
  <c r="I214"/>
  <c r="L219"/>
  <c r="AN219"/>
  <c r="AR219"/>
  <c r="L220"/>
  <c r="AN220"/>
  <c r="AR220"/>
  <c r="K214"/>
  <c r="L216"/>
  <c r="AN216"/>
  <c r="AR216"/>
  <c r="L218"/>
  <c r="AN218"/>
  <c r="AR218"/>
  <c r="L217"/>
  <c r="AN217"/>
  <c r="AR217"/>
  <c r="E17" i="1"/>
  <c r="AN215" i="4"/>
  <c r="L214"/>
  <c r="AN214"/>
  <c r="G1341"/>
  <c r="F32"/>
  <c r="E22" i="1"/>
  <c r="AN209" i="4"/>
  <c r="AR214"/>
  <c r="F33"/>
  <c r="AR215"/>
  <c r="AR209"/>
  <c r="K1339"/>
  <c r="J31"/>
  <c r="K239"/>
  <c r="I1339"/>
  <c r="H31"/>
  <c r="J239"/>
  <c r="J1339"/>
  <c r="I31"/>
  <c r="I239"/>
  <c r="L239"/>
  <c r="L243"/>
  <c r="AN243"/>
  <c r="AR243"/>
  <c r="K31"/>
  <c r="I240"/>
  <c r="L241"/>
  <c r="J18" i="1"/>
  <c r="E25"/>
  <c r="L245" i="4"/>
  <c r="AN245"/>
  <c r="AR245"/>
  <c r="L246"/>
  <c r="AN246"/>
  <c r="AR246"/>
  <c r="J240"/>
  <c r="J1341"/>
  <c r="I32"/>
  <c r="I33"/>
  <c r="K240"/>
  <c r="K1341"/>
  <c r="J32"/>
  <c r="J33"/>
  <c r="L244"/>
  <c r="AN244"/>
  <c r="AR244"/>
  <c r="L242"/>
  <c r="AN242"/>
  <c r="AR242"/>
  <c r="E23" i="1"/>
  <c r="E18"/>
  <c r="E19"/>
  <c r="E26"/>
  <c r="K34" i="4"/>
  <c r="AN241"/>
  <c r="AN240"/>
  <c r="I1341"/>
  <c r="H32"/>
  <c r="L240"/>
  <c r="K32"/>
  <c r="H33"/>
  <c r="K33"/>
  <c r="AN235"/>
  <c r="AR240"/>
  <c r="AR241"/>
  <c r="K35"/>
  <c r="AN1339"/>
  <c r="AR235"/>
  <c r="E23"/>
  <c r="E26"/>
  <c r="E44" i="8"/>
  <c r="E85"/>
  <c r="C9" i="10"/>
  <c r="E32" i="1"/>
  <c r="E35"/>
  <c r="E36"/>
  <c r="E37"/>
  <c r="E34"/>
  <c r="E87" i="8"/>
  <c r="E28" i="1"/>
  <c r="E31"/>
  <c r="C11" i="10"/>
  <c r="E30" i="1"/>
  <c r="U1339" i="4"/>
  <c r="R31"/>
  <c r="V265"/>
  <c r="V1339"/>
  <c r="S31"/>
  <c r="U265"/>
  <c r="Z265"/>
  <c r="Z272"/>
  <c r="W31"/>
  <c r="Z270"/>
  <c r="AP270"/>
  <c r="AR270"/>
  <c r="Z268"/>
  <c r="AP268"/>
  <c r="AR268"/>
  <c r="U266"/>
  <c r="Z269"/>
  <c r="AP269"/>
  <c r="AR269"/>
  <c r="Z271"/>
  <c r="AP271"/>
  <c r="AR271"/>
  <c r="N16" i="1"/>
  <c r="G16"/>
  <c r="V266" i="4"/>
  <c r="V1341"/>
  <c r="S32"/>
  <c r="S33"/>
  <c r="Z267"/>
  <c r="AP267"/>
  <c r="W34"/>
  <c r="Z266"/>
  <c r="U1341"/>
  <c r="R32"/>
  <c r="AP266"/>
  <c r="G26" i="1"/>
  <c r="G25"/>
  <c r="G19"/>
  <c r="G21"/>
  <c r="W32" i="4"/>
  <c r="R33"/>
  <c r="W33"/>
  <c r="AR266"/>
  <c r="AP261"/>
  <c r="W35"/>
  <c r="AR267"/>
  <c r="AR261"/>
  <c r="AR1339"/>
  <c r="AP1339"/>
  <c r="G23"/>
  <c r="G26"/>
  <c r="I26"/>
  <c r="G44" i="8"/>
  <c r="I23" i="4"/>
  <c r="G9" i="10"/>
  <c r="D44" i="8"/>
  <c r="C44"/>
  <c r="C85"/>
  <c r="G32" i="1"/>
  <c r="G37"/>
  <c r="E9" i="10"/>
  <c r="G36" i="1"/>
  <c r="G34"/>
  <c r="G35"/>
  <c r="C87" i="8"/>
  <c r="G85"/>
  <c r="D85"/>
  <c r="D87"/>
  <c r="G87"/>
  <c r="G28" i="1"/>
  <c r="E11" i="10"/>
  <c r="G11"/>
  <c r="G31" i="1"/>
  <c r="G30"/>
</calcChain>
</file>

<file path=xl/comments1.xml><?xml version="1.0" encoding="utf-8"?>
<comments xmlns="http://schemas.openxmlformats.org/spreadsheetml/2006/main">
  <authors>
    <author>Автор</author>
  </authors>
  <commentList>
    <comment ref="I1357" authorId="0">
      <text>
        <r>
          <rPr>
            <b/>
            <sz val="9"/>
            <color indexed="81"/>
            <rFont val="Tahoma"/>
            <family val="2"/>
            <charset val="204"/>
          </rPr>
          <t>Автор:</t>
        </r>
        <r>
          <rPr>
            <sz val="9"/>
            <color indexed="81"/>
            <rFont val="Tahoma"/>
            <family val="2"/>
            <charset val="204"/>
          </rPr>
          <t xml:space="preserve">
лікарня</t>
        </r>
      </text>
    </comment>
  </commentList>
</comments>
</file>

<file path=xl/sharedStrings.xml><?xml version="1.0" encoding="utf-8"?>
<sst xmlns="http://schemas.openxmlformats.org/spreadsheetml/2006/main" count="4911" uniqueCount="793">
  <si>
    <t>Комунальне підприємство</t>
  </si>
  <si>
    <t>Рожищенська міська територіальна громада</t>
  </si>
  <si>
    <t>.0724510100</t>
  </si>
  <si>
    <t>Міністерство охорони здоровя України</t>
  </si>
  <si>
    <t>за СКОДУ</t>
  </si>
  <si>
    <t>грн.</t>
  </si>
  <si>
    <t>Леся БАСАЛИК</t>
  </si>
  <si>
    <r>
      <t xml:space="preserve">  </t>
    </r>
    <r>
      <rPr>
        <u/>
        <sz val="14"/>
        <rFont val="Times New Roman"/>
        <family val="1"/>
        <charset val="204"/>
      </rPr>
      <t>Директор</t>
    </r>
  </si>
  <si>
    <t xml:space="preserve">   (посада)</t>
  </si>
  <si>
    <t>_________________</t>
  </si>
  <si>
    <t>М. П. (підпис) (Власне ім'я Призвіще)</t>
  </si>
  <si>
    <t xml:space="preserve">       (Власне ім'я Призвіще)</t>
  </si>
  <si>
    <t>Вячеслав ПОЛІЩУК</t>
  </si>
  <si>
    <t>Проєкт</t>
  </si>
  <si>
    <t xml:space="preserve"> Рожищенський  міський голова</t>
  </si>
  <si>
    <t>рішення Рожищенської міської ради від 24.12.2021 р. №15/21</t>
  </si>
  <si>
    <t>Оплата послуг з утилізації та знешкодження, у тому числі біовідходів, твердих побутових відходів, відходів із вмістом дорогоцінних металів або шкідливих речовин тощо, страхування транспортних засобів, страхування цивільно-правової відповідальності власників транспортних засобів, страхування водіїв відповідно до законодавства, страхування медичних працівників  та  інших  осіб  на   випадок   інфікування   вірусом імунодефіциту   людини   під   час   виконання ними професійних обов'язків, оплата послуг з поточного ремонту та технічного обслуговування транспортних засобів, обладнання, техніки, механізмів, локальної мережі, систем пожежогасіння, охоронної сигналізації, поточний ремонт будівель, приміщень тощо, оплата послуг з установки лічильників води, природного газу, теплової енергії, підключення, повірка газових котлів, повірка та ремонт медичного обладнання тощо, оплата послуг з побудови, створення і впровадження локальних мереж, систем відеоспостереження, охоронної сигналізації, систем кондиціювання, оплата послуг з технічного обслуговування обладнання та адміністрування програмного забезпечення: установлення (інсталяція) програмного забезпечення (програмних продуктів, інформаційних систем та комплексів, баз даних, web-сторінок/сайтів/порталів), подальшого користування, їх супроводження та обслуговування, продовження терміну гарантійного обслуговування обладнання; продовження терміну підтримки або післягарантійного обслуговування програмного забезпечення, оплата послуг з перезарядки вогнегасників, картриджів, тонерів, оплата послуг з надання оголошень у засобах масової інформації, оплата послуг сторонніх фахівців (юридичних осіб та суб'єктів господарювання): з аудиту, юридичних, інформаційно-обчислювальних, консультативних та консалтингових послуг, послуги з правового супроводу оприлюднення інформації згідно вимог Закону України "Про публічні закупівлі", банківських послуг, оплата участі у короткотермінових семінарах, нарадах, нарадах-навчаннях (у тому числі щодо роз'яснень нової нормативної бази, підготовки та проведення організаційних заходів тощо), оплата експлуатаційних послуг, пов'язаних з утриманням будинків і споруд та прибудинкових територій, технічне обслуговування та ремонт офісної техніки, оплата послуг фіксованого телефонного (місцевого, міжміського,) зв'язку, підключення до мережі Інтернет, придбання "скретч-карт" для поповнення абонентського рахунку; плата за послуги Інтернет-провайдерів за користування мережею Інтернет; оплата послуг цифрового та кабельного телебачення тощо, надання послуг з обробки даних, постачання, видачі та обслуговування кваліфікованих сертифікатів відкритих ключів кваліфікованого електронного підпису, доступ до е-журналів, оплата за технічну  підтримку користувачів Єдиної системи електронної охорони здоров'я.</t>
  </si>
  <si>
    <t>Дохід з місцевого бюджету за програмами, грн., у т.ч.:</t>
  </si>
  <si>
    <t>Питома вага доходу з місцевого бюджету за програмами у загальних доходах надавача ПМД (%)</t>
  </si>
  <si>
    <t>Дохід з місцевого бюджету за програмами, у т.ч.:</t>
  </si>
  <si>
    <r>
      <rPr>
        <b/>
        <u/>
        <sz val="13"/>
        <color indexed="8"/>
        <rFont val="Times New Roman"/>
        <family val="1"/>
        <charset val="204"/>
      </rPr>
      <t>1</t>
    </r>
    <r>
      <rPr>
        <sz val="13"/>
        <color indexed="8"/>
        <rFont val="Times New Roman"/>
        <family val="1"/>
        <charset val="204"/>
      </rPr>
      <t>. розрахунки мають базуватись на актуальній редакції Табелю матеріально-технічного оснащення закладів охорони здоров’я та фізичних осіб – підприємців, які надають первинну медичну допомогу.</t>
    </r>
  </si>
  <si>
    <t>1) розрахунки проводити відповідо до актуальної редакції Табелю матеріально-технічного оснащення закладів охорони здоров’я та фізичних осіб – підприємців, які надають первинну медичну допомогу;</t>
  </si>
  <si>
    <t>Наказ Міністерства охорони здоров’я  України від 26.01.2018  №148 (зі змінами від 08.04.2019 та від 08.05.2020) "Про затвердження Примірного табеля матеріально-технічного оснащення закладів охорони здоров’я та фізичних осіб – підприємців, які надають первинну медичну допомогу"</t>
  </si>
  <si>
    <r>
      <t xml:space="preserve">Увага: </t>
    </r>
    <r>
      <rPr>
        <sz val="18"/>
        <rFont val="Times New Roman"/>
        <family val="1"/>
        <charset val="204"/>
      </rPr>
      <t>перед початком роботи обов'язково перевірити стовпчик "найменування обладання" у відповідність до затвердженої актуальної редакції Табелю матеріально-технічного оснащення</t>
    </r>
    <r>
      <rPr>
        <b/>
        <sz val="18"/>
        <rFont val="Times New Roman"/>
        <family val="1"/>
        <charset val="204"/>
      </rPr>
      <t>.</t>
    </r>
  </si>
  <si>
    <t>https://moz.gov.ua/article/ministry-mandates/nakaz-moz-ukraini-vid-08052020--1103-pro-vnesennja-zmin-do-primirnogo-tabelja-materialno-tehnichnogo-osnaschennja-zakladiv-ohoroni-zdorov%e2%80%99ja-ta-fizichnih-osib-pidpriemciv-jaki-nadajut-pervinnu-medichnu-dopomogu</t>
  </si>
  <si>
    <t>Засоби індивідуального захисту (ізоляційний халат, одноразові рукавички, бахіли, респіратор класу захисту FFP2/ FFP3, шапочка медична, маска хірургічна (медична), захисний щиток)</t>
  </si>
  <si>
    <t>Розхідні матеріали одноразового використання: шпателі, оглядові рукавички, рушники паперові, серветки (в тому числі вологі), одноразові простирадла для кушетки, шприці, системи для вливання інфузійних розчинів одноразові, катетери, вакуумні пробірки (вакутайнери), стерильний перев’язувальний матеріал тощо</t>
  </si>
  <si>
    <t>системи для вливання інфузійних розчинів одноразові</t>
  </si>
  <si>
    <t>Мінімальний набір лікарських засобів для надання невідкладної медичної допомоги, в т.ч.:</t>
  </si>
  <si>
    <t>Одноразові інструменти для огляду [4]</t>
  </si>
  <si>
    <t>Одноразові малі хірургічні набори [4], в т.ч.:</t>
  </si>
  <si>
    <t>Адреналіну гідрохлорид (епінефрин) (ампули 0,18% - 1,0)</t>
  </si>
  <si>
    <t>Аміодарон (ампули 5 % -3,0)</t>
  </si>
  <si>
    <t>Атропіну сульфат (ампули 0,1 % - 1,0)</t>
  </si>
  <si>
    <t>Ацетилсаліцилова кислота (таблетки 0,5)</t>
  </si>
  <si>
    <t>Гепарин (флакони 5000 МО/мл- 5,0)</t>
  </si>
  <si>
    <t>Глюкоза (ампули 40 %- 20,0)</t>
  </si>
  <si>
    <t>Глюкоза (флакони 5 % - 200,0)</t>
  </si>
  <si>
    <t>Дротаверин (ампули 2 % -2,0)</t>
  </si>
  <si>
    <t>Дексаметазон (ампули 0,4 % - 1,0)</t>
  </si>
  <si>
    <t>Лідокаїн (ампули 2 % -2,0)</t>
  </si>
  <si>
    <t>Метоклопрамід (ампули 0,5 % - 2,0)</t>
  </si>
  <si>
    <t>Натрію хлорид  (флакони 0,9 % - 200,0)</t>
  </si>
  <si>
    <t>Нітрогліцерин (Таблетки сублінгвальні 0,0005)</t>
  </si>
  <si>
    <t>Парацетамол (таблетки 0,5)</t>
  </si>
  <si>
    <t>Пропроналол (анаприлін) (40 мг)</t>
  </si>
  <si>
    <t>Сальбутамол (аерозоль, 100 мкг доза, 200 доз у балоні)</t>
  </si>
  <si>
    <t>Фуросемід (ампули 1 % -2,0)</t>
  </si>
  <si>
    <t>Хлоргексидину біглюконат (флакон 0,05 % - 100,0)</t>
  </si>
  <si>
    <t>Каптоприл (таблетки 0,025)</t>
  </si>
  <si>
    <t>Атравматичні голки з шовною ниткою</t>
  </si>
  <si>
    <t>Голкотримач</t>
  </si>
  <si>
    <t>Затискач кровоспинний</t>
  </si>
  <si>
    <t>Зонд двосторонній ґудзиковий</t>
  </si>
  <si>
    <t>Корнцанг</t>
  </si>
  <si>
    <t>Ножиці хірургічні вертикально-зігнуті</t>
  </si>
  <si>
    <t>Ножиці хірургічні прямі</t>
  </si>
  <si>
    <t>Пінцет анатомічний</t>
  </si>
  <si>
    <t>Пінцет хірургічний</t>
  </si>
  <si>
    <t>Скальпелі одноразові або леза для скальпелю одноразові з відповідною ручкою</t>
  </si>
  <si>
    <t>Стерилізатор</t>
  </si>
  <si>
    <r>
      <t xml:space="preserve">«ІНСАЙТ 4.0»
Електронний інструмент з фінансового планування доходів та видатків надавача первинної медичної допомоги
</t>
    </r>
    <r>
      <rPr>
        <i/>
        <sz val="36"/>
        <color indexed="8"/>
        <rFont val="Times New Roman"/>
        <family val="1"/>
        <charset val="204"/>
      </rPr>
      <t>--- негірський населений пункт ---</t>
    </r>
  </si>
  <si>
    <r>
      <rPr>
        <b/>
        <u/>
        <sz val="13"/>
        <rFont val="Times New Roman"/>
        <family val="1"/>
        <charset val="204"/>
      </rPr>
      <t>4</t>
    </r>
    <r>
      <rPr>
        <sz val="13"/>
        <rFont val="Times New Roman"/>
        <family val="1"/>
        <charset val="204"/>
      </rPr>
      <t>. зазначте відсоток розподілу закупівель за кварталами року (комірки C151-F151 та C159-F159) (автоматично зазначено рівномірний розподіл закупівель протягом 4 кварталів - 25% на кожний квартал).</t>
    </r>
  </si>
  <si>
    <r>
      <rPr>
        <b/>
        <u/>
        <sz val="13"/>
        <rFont val="Times New Roman"/>
        <family val="1"/>
        <charset val="204"/>
      </rPr>
      <t>3.</t>
    </r>
    <r>
      <rPr>
        <b/>
        <sz val="13"/>
        <rFont val="Times New Roman"/>
        <family val="1"/>
        <charset val="204"/>
      </rPr>
      <t xml:space="preserve"> з</t>
    </r>
    <r>
      <rPr>
        <sz val="13"/>
        <rFont val="Times New Roman"/>
        <family val="1"/>
        <charset val="204"/>
      </rPr>
      <t>азначте суму для здійснення розподілу закупівель по Табелю матеріально-технічного оснащення (комірка В138) на 3 групи (автоматично зазначено 6000 грн. відповідно до норм податкового обліку).</t>
    </r>
  </si>
  <si>
    <t xml:space="preserve">План закупок Надавача ПМД відповідно до табелю матеріально-технічного оснащення </t>
  </si>
  <si>
    <t>Рожищенська АЗПСМ №1</t>
  </si>
  <si>
    <t>Білевич Любов Андріївна</t>
  </si>
  <si>
    <t>Переспівська АЗПСМ</t>
  </si>
  <si>
    <t>Венедіктов Микола Михайлович</t>
  </si>
  <si>
    <t>Дубищенська АЗПСМ</t>
  </si>
  <si>
    <t>Венедіктова Світлана Павлівна</t>
  </si>
  <si>
    <t>Глинюк Яна Ярославівна</t>
  </si>
  <si>
    <t>Гнатюк Володимир Іванович</t>
  </si>
  <si>
    <t>Гнатюк Людмила Миколаївна</t>
  </si>
  <si>
    <t>Гошко Людмила Іванівна</t>
  </si>
  <si>
    <t>Кметюк Орест Михайлович</t>
  </si>
  <si>
    <t>Критюк Володимир Романович</t>
  </si>
  <si>
    <t>Доросинівська АЗПСМ</t>
  </si>
  <si>
    <t>Критюк Світлана Валентинівна</t>
  </si>
  <si>
    <t>Ласкава Валентина Федорівна</t>
  </si>
  <si>
    <t>Сокілська АЗПСМ</t>
  </si>
  <si>
    <t>Мосійчук Володимир Антонович</t>
  </si>
  <si>
    <t>Щуринська АЗПСМ</t>
  </si>
  <si>
    <t>Муц Віталій Олександрович</t>
  </si>
  <si>
    <t>Печко Надія Василівна</t>
  </si>
  <si>
    <t>Соловей Святослав Миколайович</t>
  </si>
  <si>
    <t>Ткачук Оксана Петрівна</t>
  </si>
  <si>
    <t>Шимчій Віра Михайлівна</t>
  </si>
  <si>
    <t>Шкуро Геннадій Валентинович</t>
  </si>
  <si>
    <t>Волинська</t>
  </si>
  <si>
    <t>Богачук Тетяна Володимирівна</t>
  </si>
  <si>
    <t>Лікар-педіатр вищої кваліфікаційної категорії</t>
  </si>
  <si>
    <t>Провідний бухгалтер (з дипломом спеціаліста)</t>
  </si>
  <si>
    <t>Старший інспектор з кадрів</t>
  </si>
  <si>
    <t>Юрисконсульт  I категорії</t>
  </si>
  <si>
    <t>Інженер з охорони праці  II кваліфікаційної категорії</t>
  </si>
  <si>
    <t>Фахівець з питань цивільного захисту</t>
  </si>
  <si>
    <t>Секретар</t>
  </si>
  <si>
    <t>Підсобний робітник</t>
  </si>
  <si>
    <t>Водій автотранспортних засобів</t>
  </si>
  <si>
    <t>Опалювач</t>
  </si>
  <si>
    <t>Сестра медична (старша)</t>
  </si>
  <si>
    <t>а якщо поставити всіх</t>
  </si>
  <si>
    <t xml:space="preserve">Рік </t>
  </si>
  <si>
    <t xml:space="preserve">Назва підприємства  </t>
  </si>
  <si>
    <t>86.10</t>
  </si>
  <si>
    <t>Прізвище та ініціали керівника</t>
  </si>
  <si>
    <t xml:space="preserve"> Басалик Леся Іванівна</t>
  </si>
  <si>
    <t>(03368)22286</t>
  </si>
  <si>
    <t xml:space="preserve">Комунальна </t>
  </si>
  <si>
    <t>Діяльність лікарняних закладів</t>
  </si>
  <si>
    <t>Охорона здоров’я</t>
  </si>
  <si>
    <t>Х</t>
  </si>
  <si>
    <t>дохід від відшкодування енергоносіїв</t>
  </si>
  <si>
    <t>резервний фонд</t>
  </si>
  <si>
    <t>Луцький район</t>
  </si>
  <si>
    <t>Комунальне некомерційне підприємство "Рожищнський центр первинної медико-санітарної допомоги" Рожищенської міської ради</t>
  </si>
  <si>
    <t>Левківська Богданна Генадіївна</t>
  </si>
  <si>
    <t>Ткачук Наталія Василівна</t>
  </si>
  <si>
    <t>Ющук Ксенія Вікторівна</t>
  </si>
  <si>
    <t xml:space="preserve">Програма підтримки та розвитку первинної 
медичної допомоги на території територіальної громади Доросинівської
сільської ради на 2022 рік
</t>
  </si>
  <si>
    <t xml:space="preserve">Програма підтримки та розвитку первинної 
медичної допомоги на території територіальної громади Копачівської
сільської ради на 2022 рік
</t>
  </si>
  <si>
    <r>
      <t xml:space="preserve">ФІНАНСОВИЙ ПЛАН ПІДПРИЄМСТВА НА  </t>
    </r>
    <r>
      <rPr>
        <b/>
        <u/>
        <sz val="16"/>
        <rFont val="Times New Roman"/>
        <family val="1"/>
        <charset val="204"/>
      </rPr>
      <t xml:space="preserve"> 2022</t>
    </r>
    <r>
      <rPr>
        <b/>
        <sz val="16"/>
        <rFont val="Times New Roman"/>
        <family val="1"/>
        <charset val="204"/>
      </rPr>
      <t xml:space="preserve">  рік</t>
    </r>
  </si>
  <si>
    <t xml:space="preserve">кошти на відшкодування лікарів інтернів першого року та другого навчання року </t>
  </si>
  <si>
    <r>
      <t xml:space="preserve">Інші операційні доходи, грн. </t>
    </r>
    <r>
      <rPr>
        <b/>
        <sz val="16"/>
        <rFont val="Times New Roman"/>
        <family val="1"/>
        <charset val="204"/>
      </rPr>
      <t>(відшкодувння енергоносіїв)</t>
    </r>
  </si>
  <si>
    <r>
      <t xml:space="preserve">Інші доходи (не зазначені вище), грн. </t>
    </r>
    <r>
      <rPr>
        <b/>
        <sz val="16"/>
        <rFont val="Times New Roman"/>
        <family val="1"/>
        <charset val="204"/>
      </rPr>
      <t>(інтерни першого року та другого року навчання)</t>
    </r>
  </si>
  <si>
    <t>поставити окремо енергоносії</t>
  </si>
  <si>
    <t>додано до суми витрати невраховані лічильником</t>
  </si>
  <si>
    <t>тариф за 1 кВт (розподілу електроенергії) на початок кварталу, грн.</t>
  </si>
  <si>
    <t>тариф за 1 кВт електроенергії на початок кварталу, грн.</t>
  </si>
  <si>
    <t>очікуваний  обсяг споживання електроенергії у відповідному кварталі, кВт</t>
  </si>
  <si>
    <t>витрати на електроенергію за  тарифом, грн.</t>
  </si>
  <si>
    <t>очікуваний  обсяг розподілу електроенергії  у відповідному кварталі, кВт</t>
  </si>
  <si>
    <t>витрати на розподіл електроенергії за  тарифом, грн.</t>
  </si>
  <si>
    <t>тариф за 1 кВт реактивної електроенергії на початок кварталу, грн.</t>
  </si>
  <si>
    <t>очікуваний  обсяг реактивної електроенергії у відповідному кварталі, кВт</t>
  </si>
  <si>
    <t>витрати  за реактивної електроенергії, грн.</t>
  </si>
  <si>
    <t>Відшкодування вартості лікарських засобів для лікування окремих захворювань відповідно до постанови Кабінету Міністрів України № 1303 «Про впорядкування безоплатного пільгового відпуск лікарських засобів за рецептами лікарів у разі амбулаторного лікування окремих груп населення» по Рожищенській, Копачівській та Доросинівській ТГ</t>
  </si>
  <si>
    <t>ПДВ</t>
  </si>
  <si>
    <t>Екологічний збір</t>
  </si>
  <si>
    <t>Торфобрике по Рожищенській ТГ,Доросинівській ТГ , відшкодування електроенергії за ФП (Навіз), відшкодування Рожищенській багатопрофільній лікарні.</t>
  </si>
  <si>
    <t>бензин</t>
  </si>
  <si>
    <t>Лікар ЗПСЛ</t>
  </si>
  <si>
    <t>Лікар терапевт</t>
  </si>
  <si>
    <r>
      <t>Періодична премія (для всіх вказаних штатних одиниць),</t>
    </r>
    <r>
      <rPr>
        <b/>
        <i/>
        <sz val="16"/>
        <rFont val="Times New Roman"/>
        <family val="1"/>
        <charset val="204"/>
      </rPr>
      <t xml:space="preserve"> грн.</t>
    </r>
  </si>
  <si>
    <t>Лікар інтерн</t>
  </si>
  <si>
    <t>Фельдшери</t>
  </si>
  <si>
    <t>45100 Волинська обл., Луцький р-н., м.Рожище, вул.Коте Шилокадзе,19</t>
  </si>
  <si>
    <r>
      <t xml:space="preserve">Надходження надавача ПМД від мобільна паліативна медична допомога дорослим та дітям, </t>
    </r>
    <r>
      <rPr>
        <i/>
        <sz val="18"/>
        <rFont val="Times New Roman"/>
        <family val="1"/>
        <charset val="204"/>
      </rPr>
      <t>грн.</t>
    </r>
  </si>
  <si>
    <t>Надходження надавача ПМД (Вакцинація від гострої респіраторної хвороби COVID-19, спричиненої коронавірусом SARS-CoV-2), грн.</t>
  </si>
  <si>
    <t>Надходження надавача ПМД ( супровід і лікування дорослих та дітей, хворих на туберкульоз, на первинному рівні медичної допомоги), грн.</t>
  </si>
  <si>
    <t xml:space="preserve">покриття вартості комунальних послуг та енергоносіїв надавача ПМД, грн.
</t>
  </si>
  <si>
    <t xml:space="preserve">Програма підтримки та розвитку первинної 
медичної допомоги на території територіальних громад </t>
  </si>
  <si>
    <t xml:space="preserve">Програма підтримки та розвитку первинної 
медичної допомоги на території Рожищенської територіальної громади  на 2022 рік
</t>
  </si>
  <si>
    <t xml:space="preserve">Фотоелектрокалориметир, біохімічний аналізатор,СІПАП АПАРАТ </t>
  </si>
  <si>
    <t>Медичне обладнання (вартістю менше 20,0тс.грн.),комп'ютерне обладнання, меблі,меблі медичні,текстильні вироби (жалюзі, роли), електро обладнання та інше.</t>
  </si>
  <si>
    <t>Медикаменти, швидкі тести, перев'язка,дезинфікуючі матеріали, лабораторні реактиви та інше.</t>
  </si>
  <si>
    <t xml:space="preserve">Витрати на канцтовари, офісне приладдя та устаткування </t>
  </si>
  <si>
    <r>
      <t xml:space="preserve">Надходження надавача ПМД від медичного обслуговування населення за програмою медичних гарантій, </t>
    </r>
    <r>
      <rPr>
        <i/>
        <sz val="18"/>
        <color indexed="40"/>
        <rFont val="Times New Roman"/>
        <family val="1"/>
        <charset val="204"/>
      </rPr>
      <t>грн. В.т.числі ПМД</t>
    </r>
  </si>
  <si>
    <t>Паливно-мастильні матеріали,миючі засоби,будівельні матеріали,господарські товари,канцтовари,офісне приладдя та устаткування, , мед.інструментарій, сантехнічні товари, автошини,</t>
  </si>
  <si>
    <t>01.11.2021</t>
  </si>
  <si>
    <t>Додаток №1</t>
  </si>
  <si>
    <r>
      <t>Надбавки (для всіх вказаних штатних одиниць),</t>
    </r>
    <r>
      <rPr>
        <b/>
        <i/>
        <sz val="16"/>
        <rFont val="Times New Roman"/>
        <family val="1"/>
        <charset val="204"/>
      </rPr>
      <t xml:space="preserve"> грн. за завідування, деззасоби</t>
    </r>
  </si>
  <si>
    <t>додається до податків</t>
  </si>
  <si>
    <t>786,65</t>
  </si>
  <si>
    <t xml:space="preserve">Нормативно-правова база </t>
  </si>
  <si>
    <t>Назва та дата</t>
  </si>
  <si>
    <t>Джерело (активне посилання)</t>
  </si>
  <si>
    <t>Закон України від 19.11.1992 №2801-XII "Основи законодавства України про охорону здоров'я"</t>
  </si>
  <si>
    <t>http://zakon2.rada.gov.ua/laws/show/2801-12/print</t>
  </si>
  <si>
    <t>Закон України від 15.02.1995 №56/95-ВР "Про статус гірських населених пунктів в Україні"</t>
  </si>
  <si>
    <t>http://zakon0.rada.gov.ua/laws/show/56/95-%D0%B2%D1%80/print</t>
  </si>
  <si>
    <t xml:space="preserve"> </t>
  </si>
  <si>
    <t>Розпорядження Кабінету Міністрів України  від 30.11.2016 №1013 "Про схвалення Концепції реформи фінансування системи охорони здоров'я"</t>
  </si>
  <si>
    <t>http://zakon3.rada.gov.ua/laws/show/1013-2016-%D1%80/print</t>
  </si>
  <si>
    <t>Закон України від 19.10.2017 №2168-VIII "Про державні фінансові гарантії медичного обслуговування населення"</t>
  </si>
  <si>
    <t>http://zakon3.rada.gov.ua/laws/show/2168-19/print</t>
  </si>
  <si>
    <t xml:space="preserve">http://zakon5.rada.gov.ua/laws/show/2206-19 </t>
  </si>
  <si>
    <t>Розпорядження Кабінету Міністрів України  від 15.11.2017 №821 "Про затвердження плану заходів з реалізації Концепції реформи фінансування системи охорони здоров’я на період до 2020 року"</t>
  </si>
  <si>
    <t>http://zakon3.rada.gov.ua/laws/show/821-2017-%D1%80/print</t>
  </si>
  <si>
    <t>Закон України від 07.12.2017 №2233-VIII "Про внесення змін до Бюджетного кодексу України"</t>
  </si>
  <si>
    <t>http://zakon3.rada.gov.ua/laws/show/2233-19/print</t>
  </si>
  <si>
    <t>Постанова Кабінету Міністрів України від 27.12.2017 №1101 "Про утворення Національної служби здоров'я України"</t>
  </si>
  <si>
    <t>http://zakon2.rada.gov.ua/laws/show/1101-2017-%D0%BF/print</t>
  </si>
  <si>
    <t>http://zakon0.rada.gov.ua/laws/show/z0347-18</t>
  </si>
  <si>
    <t xml:space="preserve">http://zakon0.rada.gov.ua/laws/show/z0348-18 </t>
  </si>
  <si>
    <t>Загальна інформація</t>
  </si>
  <si>
    <t>Інструкція для користувачів вкладки "0_Загальне":</t>
  </si>
  <si>
    <t>Офіційна повна назва надавача ПМД:</t>
  </si>
  <si>
    <t>Код ЄДРПОУ:</t>
  </si>
  <si>
    <t>Область:</t>
  </si>
  <si>
    <t>Назва територій, які обслуговує надавач ПМД (ОТГ, район, місто):</t>
  </si>
  <si>
    <t>Плановий період (рік):</t>
  </si>
  <si>
    <t>Дата проведення розрахунку (день/місяць/рік):</t>
  </si>
  <si>
    <t>ПІБ особи, яка вносила дані:</t>
  </si>
  <si>
    <t>№ з/п</t>
  </si>
  <si>
    <t>Показник</t>
  </si>
  <si>
    <t>Загальні показники</t>
  </si>
  <si>
    <t>скорочення в динаміці</t>
  </si>
  <si>
    <t>Показники щодо доходів надавача ПМД</t>
  </si>
  <si>
    <t xml:space="preserve"> 70 - 90</t>
  </si>
  <si>
    <t>Показники щодо видатків надавача ПМД</t>
  </si>
  <si>
    <t>5 – 10</t>
  </si>
  <si>
    <t>Співвідношення загальних доходів та видатків надавача ПМД (коефіцієнт)</t>
  </si>
  <si>
    <t>Питома вага доходів надавача ПМД за програмою медичних гарантій у загальних доходах надавача ПМД (%)</t>
  </si>
  <si>
    <t>Питома вага зносу основних засобів у первісній вартості основних засобів надавача ПМД (%)</t>
  </si>
  <si>
    <t>Питома вага комунальних витрат у загальних видатках надавача ПМД (%)</t>
  </si>
  <si>
    <t>Питома вага капітальних видатків у загальних видатках надавача ПМД (%)</t>
  </si>
  <si>
    <t>Питома вага резервного фонду у загальних видатках надавача ПМД (%)</t>
  </si>
  <si>
    <t>Розрахунковий показник надавача ПМД</t>
  </si>
  <si>
    <t>ФАП</t>
  </si>
  <si>
    <t>ФП</t>
  </si>
  <si>
    <t>МПТБ</t>
  </si>
  <si>
    <t>інші</t>
  </si>
  <si>
    <t>ПІБ лікаря</t>
  </si>
  <si>
    <t>Структурний підрозділ надавача ПМД</t>
  </si>
  <si>
    <t>від 150%+1 декларація і всі наступні</t>
  </si>
  <si>
    <t>Δ</t>
  </si>
  <si>
    <t>Лікарі</t>
  </si>
  <si>
    <t>понад ліміт декларацій на одного лікаря</t>
  </si>
  <si>
    <t>Лікар з надання ПМД</t>
  </si>
  <si>
    <t>понад 65 років</t>
  </si>
  <si>
    <t>Вікові коефіцієнти</t>
  </si>
  <si>
    <t>Гірський коефіцієнт</t>
  </si>
  <si>
    <t>Джерело:</t>
  </si>
  <si>
    <t>від 120%+1 декларація до 130% ліміту включно</t>
  </si>
  <si>
    <t>від 110%+1 декларація до 120% ліміту включно</t>
  </si>
  <si>
    <t>від 130%+1 декларація до 140% ліміту включно</t>
  </si>
  <si>
    <t>від 140%+1 декларація до 150% ліміту включно</t>
  </si>
  <si>
    <t>0-5 років</t>
  </si>
  <si>
    <t>6-17 років</t>
  </si>
  <si>
    <t>18-39 років</t>
  </si>
  <si>
    <t>40-64 років</t>
  </si>
  <si>
    <t>Вікова група</t>
  </si>
  <si>
    <t xml:space="preserve"> Лікар-педіатр</t>
  </si>
  <si>
    <t>Лікар загальної практики - сімейний лікар</t>
  </si>
  <si>
    <t>Лікар-терапевт</t>
  </si>
  <si>
    <t>Лікар-педіатр</t>
  </si>
  <si>
    <t>ЗАТВЕРДЖЕНО :</t>
  </si>
  <si>
    <t>(посада керівника органу управління підприємством)</t>
  </si>
  <si>
    <t>дата</t>
  </si>
  <si>
    <t>Попередній</t>
  </si>
  <si>
    <t>Уточнений</t>
  </si>
  <si>
    <t>Зміни</t>
  </si>
  <si>
    <t>зробити позначку "Х"</t>
  </si>
  <si>
    <t>Коди</t>
  </si>
  <si>
    <t xml:space="preserve">за ЄДРПОУ </t>
  </si>
  <si>
    <t xml:space="preserve">Організаційно-правова форма </t>
  </si>
  <si>
    <t>за КОПФГ</t>
  </si>
  <si>
    <t>Територія</t>
  </si>
  <si>
    <t>за КОАТУУ</t>
  </si>
  <si>
    <r>
      <t xml:space="preserve">Орган державного управління  </t>
    </r>
    <r>
      <rPr>
        <b/>
        <i/>
        <sz val="16"/>
        <rFont val="Times New Roman"/>
        <family val="1"/>
        <charset val="204"/>
      </rPr>
      <t xml:space="preserve"> </t>
    </r>
  </si>
  <si>
    <t xml:space="preserve">Галузь     </t>
  </si>
  <si>
    <t>за ЗКГНГ</t>
  </si>
  <si>
    <t xml:space="preserve">Вид економічної діяльності    </t>
  </si>
  <si>
    <t xml:space="preserve">за КВЕД  </t>
  </si>
  <si>
    <t xml:space="preserve">Одиниця виміру </t>
  </si>
  <si>
    <t>Форма власності</t>
  </si>
  <si>
    <t>Середньооблікова кількість штатних працівників</t>
  </si>
  <si>
    <t>Стандарти звітності П(с)БОУ</t>
  </si>
  <si>
    <t xml:space="preserve">Місцезнаходження  </t>
  </si>
  <si>
    <t>Стандарти звітності МСФЗ</t>
  </si>
  <si>
    <t xml:space="preserve">Телефон </t>
  </si>
  <si>
    <t>Найменування показника</t>
  </si>
  <si>
    <t xml:space="preserve">Код рядка </t>
  </si>
  <si>
    <t>Плановий рік  (усього)</t>
  </si>
  <si>
    <t xml:space="preserve">І  </t>
  </si>
  <si>
    <t xml:space="preserve">ІІ  </t>
  </si>
  <si>
    <t xml:space="preserve">ІІІ  </t>
  </si>
  <si>
    <t xml:space="preserve">ІV </t>
  </si>
  <si>
    <t xml:space="preserve">Доходи </t>
  </si>
  <si>
    <t>Дохід (виручка) від реалізації продукції (товарів, робіт, послуг)</t>
  </si>
  <si>
    <t xml:space="preserve">назва </t>
  </si>
  <si>
    <t>дохід від операційної оренди активів</t>
  </si>
  <si>
    <t>назва</t>
  </si>
  <si>
    <t>Видатки</t>
  </si>
  <si>
    <t>Заробітна плата</t>
  </si>
  <si>
    <t>Нарахування на оплату праці</t>
  </si>
  <si>
    <t>Медикаменти та перев'язувальні матеріали</t>
  </si>
  <si>
    <t>Продукти харчування</t>
  </si>
  <si>
    <t>Оплата послуг (крім комунальних)</t>
  </si>
  <si>
    <t>Видатки на відрядження</t>
  </si>
  <si>
    <t>Оплата інших енергоносіїв</t>
  </si>
  <si>
    <t>Оплата енергосервісу</t>
  </si>
  <si>
    <t>Окремі заходи по реалізації державних (регіональних) програм, не віднесені до заходів розвитку</t>
  </si>
  <si>
    <t>Соціальне забезпечення</t>
  </si>
  <si>
    <t>Інші поточні видатки</t>
  </si>
  <si>
    <t>Інші видатки, у т.ч.</t>
  </si>
  <si>
    <t>Резервний фонд</t>
  </si>
  <si>
    <t>Усього доходів</t>
  </si>
  <si>
    <t>Усього видатків</t>
  </si>
  <si>
    <t>Фінансовий результат</t>
  </si>
  <si>
    <t>IІ. Розрахунки з бюджетом</t>
  </si>
  <si>
    <t>Сплата податків та зборів до Державного бюджету України (податкові платежі)</t>
  </si>
  <si>
    <t>Сплата податків та зборів до місцевих бюджетів (податкові платежі)</t>
  </si>
  <si>
    <t>Інші податки, збори та платежі на користь держави</t>
  </si>
  <si>
    <t>Податкова заборгованість</t>
  </si>
  <si>
    <t>капітальне будівництво</t>
  </si>
  <si>
    <t>придбання (виготовлення) основних засобів</t>
  </si>
  <si>
    <t>придбання (виготовлення) інших необоротних матеріальних активів</t>
  </si>
  <si>
    <t>придбання (створення) нематеріальних активів</t>
  </si>
  <si>
    <t>модернізація, модифікація (добудова, дообладнання, реконструкція) основних засобів</t>
  </si>
  <si>
    <t>капітальний ремонт</t>
  </si>
  <si>
    <t>Доходи від фінансової діяльності за зобов’язаннями, у т. ч.:</t>
  </si>
  <si>
    <t xml:space="preserve">кредити </t>
  </si>
  <si>
    <t>позики</t>
  </si>
  <si>
    <t>депозити</t>
  </si>
  <si>
    <t xml:space="preserve">Інші надходження </t>
  </si>
  <si>
    <t>Витрати від фінансової діяльності за зобов’язаннями, у т. ч.:</t>
  </si>
  <si>
    <t>Інші витрати</t>
  </si>
  <si>
    <t>V. Коефіцієнтний аналіз</t>
  </si>
  <si>
    <t>Валова рентабельність</t>
  </si>
  <si>
    <t>Коефіцієнт відношення капітальних інвестицій до амортизації</t>
  </si>
  <si>
    <t>Коефіцієнт зносу основних засобів</t>
  </si>
  <si>
    <t>VІ. Звіт про фінансовий стан</t>
  </si>
  <si>
    <t>Усього активи</t>
  </si>
  <si>
    <t>Дебіторська заборгованість</t>
  </si>
  <si>
    <t>Кредиторська заборгованість</t>
  </si>
  <si>
    <t>VII. Дані про персонал та оплата праці</t>
  </si>
  <si>
    <t>Середня кількість працівників (штатних працівників, зовнішніх сумісників та працівників, що працюють за цивільно-правовими договорами), у т.ч.:</t>
  </si>
  <si>
    <t>Адміністративно-управлінський персонал</t>
  </si>
  <si>
    <t>Середній медичний персонал</t>
  </si>
  <si>
    <t>Молодший медичний персонал</t>
  </si>
  <si>
    <t>Фонд оплати праці, у т.ч.:</t>
  </si>
  <si>
    <t>Середньомісячні витрати на оплату праці одного працівника, у т.ч.:</t>
  </si>
  <si>
    <t>Заборгованість за заробітною платою, у т.ч.:</t>
  </si>
  <si>
    <t>Ідентифікатор лікаря</t>
  </si>
  <si>
    <t>0-5 р.</t>
  </si>
  <si>
    <t>6-17 р.</t>
  </si>
  <si>
    <t>18-39 р.</t>
  </si>
  <si>
    <t>40-64 р.</t>
  </si>
  <si>
    <t>65+р.</t>
  </si>
  <si>
    <t>І квартал</t>
  </si>
  <si>
    <t>ІІ квартал</t>
  </si>
  <si>
    <t>ІІІ квартал</t>
  </si>
  <si>
    <t>IV квартал</t>
  </si>
  <si>
    <t>рік</t>
  </si>
  <si>
    <t>кількість декларацій за І квартал</t>
  </si>
  <si>
    <t>кількість декларацій за ІІ квартал</t>
  </si>
  <si>
    <t>кількість декларацій за ІІІ квартал</t>
  </si>
  <si>
    <t>кількість декларацій за ІV квартал</t>
  </si>
  <si>
    <t>понад ліміт (991-1080)</t>
  </si>
  <si>
    <t>понад ліміт (1081-1170)</t>
  </si>
  <si>
    <t>понад ліміт (1171-1260)</t>
  </si>
  <si>
    <t>понад ліміт (1261-1350)</t>
  </si>
  <si>
    <t>понад ліміт (&gt;=1351)</t>
  </si>
  <si>
    <t>x</t>
  </si>
  <si>
    <t>Показники</t>
  </si>
  <si>
    <t>х</t>
  </si>
  <si>
    <t>структура декларацій, %</t>
  </si>
  <si>
    <t>понад ліміт (1981-2160)</t>
  </si>
  <si>
    <t>понад ліміт (2161-2340)</t>
  </si>
  <si>
    <t>понад ліміт (2341-2520)</t>
  </si>
  <si>
    <t>понад ліміт (2521-2700)</t>
  </si>
  <si>
    <t>понад ліміт (&gt;=2701)</t>
  </si>
  <si>
    <t>понад ліміт (2201-2400)</t>
  </si>
  <si>
    <t>понад ліміт (2401-2600)</t>
  </si>
  <si>
    <t>понад ліміт (2601-2800)</t>
  </si>
  <si>
    <t>понад ліміт (2801-3000)</t>
  </si>
  <si>
    <t>понад ліміт (&gt;=3001)</t>
  </si>
  <si>
    <t>ліміт декларацій на одного лікаря (Порядок надання ПМД)</t>
  </si>
  <si>
    <t>понад ліміт (901-990)</t>
  </si>
  <si>
    <t>понад ліміт (2001-2200)</t>
  </si>
  <si>
    <t>нижня межа</t>
  </si>
  <si>
    <t>верхня межа</t>
  </si>
  <si>
    <t>ліміт (до 900)</t>
  </si>
  <si>
    <t>ліміт (до 1800)</t>
  </si>
  <si>
    <t>ліміт (до 2000)</t>
  </si>
  <si>
    <t>понад ліміт (1801-1980)</t>
  </si>
  <si>
    <t>I квартал</t>
  </si>
  <si>
    <t>ІI квартал</t>
  </si>
  <si>
    <t>ІIІ квартал</t>
  </si>
  <si>
    <t>ІV квартал</t>
  </si>
  <si>
    <t>Показник / період</t>
  </si>
  <si>
    <t>надходження за лімітні декларації, грн.</t>
  </si>
  <si>
    <t>надходження за понад лімітні декларації, грн.</t>
  </si>
  <si>
    <t>Надходження від надання послуг ПМД іноземцям, грн.</t>
  </si>
  <si>
    <t>Надходження за надання послуг ПМД, що не входять до програми медичних гарантій, грн.</t>
  </si>
  <si>
    <t>Благодійна допомога, грн.</t>
  </si>
  <si>
    <t xml:space="preserve">І квартал </t>
  </si>
  <si>
    <t xml:space="preserve">ІІ квартал </t>
  </si>
  <si>
    <t xml:space="preserve">ІІІ квартал </t>
  </si>
  <si>
    <t xml:space="preserve">IV квартал </t>
  </si>
  <si>
    <t xml:space="preserve">Всього </t>
  </si>
  <si>
    <t>І КВАРТАЛ</t>
  </si>
  <si>
    <t>IІ КВАРТАЛ</t>
  </si>
  <si>
    <t>IIІ КВАРТАЛ</t>
  </si>
  <si>
    <t>IV КВАРТАЛ</t>
  </si>
  <si>
    <t>Всього інші доходи (пункт 3), грн.</t>
  </si>
  <si>
    <t>Надавач ПМД:</t>
  </si>
  <si>
    <t>Амбулаторії</t>
  </si>
  <si>
    <t>загальна чисельність персоналу (ос.)</t>
  </si>
  <si>
    <t>Фінансовий план поточного року (затверджений зі змінами)</t>
  </si>
  <si>
    <t>У тому числі за кварталами планового року</t>
  </si>
  <si>
    <t>I. Формування фінансових результатів</t>
  </si>
  <si>
    <t>Оплата комунальних послуг та енергоносіїв, у т.ч.:</t>
  </si>
  <si>
    <t>III. Інвестиційна діяльність</t>
  </si>
  <si>
    <t>Капітальні інвестиції, у т.ч.:</t>
  </si>
  <si>
    <t>IV. Фінансова діяльність</t>
  </si>
  <si>
    <t>1.1. лікар-педіатр</t>
  </si>
  <si>
    <t>1.2. лікар загальної практики - сімейний лікар</t>
  </si>
  <si>
    <t>1.3. лікар - терапевт</t>
  </si>
  <si>
    <t>Індикатори фінансової стійкості надавача ПМД</t>
  </si>
  <si>
    <t>ДОХОДИ НАДАВАЧА ПМД</t>
  </si>
  <si>
    <t>https://zakon.rada.gov.ua/laws/show/z0892-99</t>
  </si>
  <si>
    <t>Найменування обладнання</t>
  </si>
  <si>
    <t>Потреба в закупівлі, шт
Всього по всім структурним підрозділам</t>
  </si>
  <si>
    <t>Оціночна вартість за 1 штуку, грн</t>
  </si>
  <si>
    <t>Оціночна сума, грн</t>
  </si>
  <si>
    <t>І. Основний список</t>
  </si>
  <si>
    <t>Інші матеріали, не зазначені в Примірному табелі</t>
  </si>
  <si>
    <t>Кількість медичних сестер лікаря</t>
  </si>
  <si>
    <t>Показник/Період</t>
  </si>
  <si>
    <t>за рік</t>
  </si>
  <si>
    <t>ціна за 1 Гкал на початок кварталу, грн.</t>
  </si>
  <si>
    <t>очікуваний обсяг споживання теплової енергії у відповідному кварталі, Гкал</t>
  </si>
  <si>
    <t>обсяг витрат на теплопостачання, грн.</t>
  </si>
  <si>
    <t>обсяг витрат на гарячу воду, грн.</t>
  </si>
  <si>
    <t>обсяг витрат на холодну воду, грн.</t>
  </si>
  <si>
    <t>обсяг витрат на водовідведення, грн.</t>
  </si>
  <si>
    <t>загальні витрати на електроенергію, грн.</t>
  </si>
  <si>
    <t>обсяг витрат на природний газ, грн.</t>
  </si>
  <si>
    <t>Дохід за програмою медичних гарантій на одного пацієнта в розрахунку на квартал (грн.)</t>
  </si>
  <si>
    <t>покриття вартості комунальних послуг та енергоносіїв надавача ПМД, грн.</t>
  </si>
  <si>
    <t>4.1. лікар-педіатр</t>
  </si>
  <si>
    <t>4.2. лікар загальної практики - сімейний лікар</t>
  </si>
  <si>
    <t>4.3. лікар - терапевт</t>
  </si>
  <si>
    <t>Персонал / Показник</t>
  </si>
  <si>
    <t>Посада</t>
  </si>
  <si>
    <t>Група персоналу</t>
  </si>
  <si>
    <t>ВСЬОГО</t>
  </si>
  <si>
    <t>Генеральний директор (директор) / начальник (завідувач) закладу охорони здоров'я</t>
  </si>
  <si>
    <t xml:space="preserve"> Ставка ЄСВ для відповідної посади, %</t>
  </si>
  <si>
    <t>Завідувач господарства</t>
  </si>
  <si>
    <t>Головна медична сестра</t>
  </si>
  <si>
    <t>Головний бухгалтер</t>
  </si>
  <si>
    <t>Керівники</t>
  </si>
  <si>
    <t>Бухгалтер</t>
  </si>
  <si>
    <t>Економіст</t>
  </si>
  <si>
    <t>Реєстратор медичний</t>
  </si>
  <si>
    <t>Сестра медична загальної практики сімейної медицини</t>
  </si>
  <si>
    <t>Молодша медична сестра</t>
  </si>
  <si>
    <t>Лікар-статистик</t>
  </si>
  <si>
    <t>Статистик медичний</t>
  </si>
  <si>
    <t>Інженер-програміст</t>
  </si>
  <si>
    <t>Завідувач амбулаторії</t>
  </si>
  <si>
    <t>ОПЛАТА ПРАЦІ</t>
  </si>
  <si>
    <t>Витрати на теплопостачання</t>
  </si>
  <si>
    <t>Витрати на водопостачання та водовідведення</t>
  </si>
  <si>
    <t>Витрати на електроенергію</t>
  </si>
  <si>
    <t>Витрати на природний газ</t>
  </si>
  <si>
    <t>КОМУНАЛЬНІ ВИТРАТИ</t>
  </si>
  <si>
    <t>Надходження відсотків від залишків коштів на поточних та депозитних рахунках, грн.</t>
  </si>
  <si>
    <t>Надходження від реалізації оборотних і необоротних активів, грн.</t>
  </si>
  <si>
    <t>Інші доходи:</t>
  </si>
  <si>
    <t>дохід від реалізації оборотних і необоротних активів</t>
  </si>
  <si>
    <t>відсотки отримані (поточні рахунки і депозити)</t>
  </si>
  <si>
    <t>Інструкція для користувачів вкладки "01_Доходи":</t>
  </si>
  <si>
    <t>оплата праці</t>
  </si>
  <si>
    <t>комунальні витрати</t>
  </si>
  <si>
    <t>інші видатки</t>
  </si>
  <si>
    <t xml:space="preserve">Сума ПДВ до Державного бюджету України </t>
  </si>
  <si>
    <t>Сума плати за землю</t>
  </si>
  <si>
    <t>Інші видатки</t>
  </si>
  <si>
    <t>Сума плати за воду</t>
  </si>
  <si>
    <t>Транспортний податок з юридичних осіб</t>
  </si>
  <si>
    <t>Податок на нерухомість</t>
  </si>
  <si>
    <t>Капітальне будівництво</t>
  </si>
  <si>
    <t>Придбання (виготовлення) основних засобів</t>
  </si>
  <si>
    <t>Придбання (виготовлення) інших необоротних матеріальних активів</t>
  </si>
  <si>
    <t>Придбання (створення) нематеріальних активів</t>
  </si>
  <si>
    <t>Модернізація, модифікація (добудова, дообладнання, реконструкція) основних засобів</t>
  </si>
  <si>
    <t>Примітка</t>
  </si>
  <si>
    <t>вказати суму, якщо такий фонд передбачено Статутом/колективним договором</t>
  </si>
  <si>
    <t>відповідно до Закону України "Про охорону праці" (0.5% від фонду оплати праці за попередній рік)</t>
  </si>
  <si>
    <t>Вартість основних засобів</t>
  </si>
  <si>
    <t>відповідно до рахунку 13 "Знос (амортизація) необоротних активів"</t>
  </si>
  <si>
    <t>відповідно до рахунку 15 "Капітальні інвестиції"</t>
  </si>
  <si>
    <t>Витрати на охорону праці</t>
  </si>
  <si>
    <t>до 1 року</t>
  </si>
  <si>
    <t>Основні засоби</t>
  </si>
  <si>
    <t>Малоцінні необоротні матеріальні активи</t>
  </si>
  <si>
    <t>Предмети, матеріали</t>
  </si>
  <si>
    <t>більше 1 року</t>
  </si>
  <si>
    <t>IV  квартал</t>
  </si>
  <si>
    <t>Надходження від здачі приміщень/земельних ділянок та ін. в оренду, грн.</t>
  </si>
  <si>
    <t>інші доходи</t>
  </si>
  <si>
    <t>Допоміжний персонал</t>
  </si>
  <si>
    <t>1. Керівники</t>
  </si>
  <si>
    <t>2. Лікарі</t>
  </si>
  <si>
    <t>3. Середній медичний персонал</t>
  </si>
  <si>
    <t>4. Молодший медичний персонал</t>
  </si>
  <si>
    <t>5. Адміністративно-управлінський персонал</t>
  </si>
  <si>
    <t>6. Допоміжний персонал</t>
  </si>
  <si>
    <t>Інші операційні доходи, у т.ч.:</t>
  </si>
  <si>
    <t>Коефіцієнт відношення капітальних інвестицій до доходу від реалізації продукції (товарів, робіт, послуг)</t>
  </si>
  <si>
    <t>Кількість штатних одиниць, од.</t>
  </si>
  <si>
    <t>видатки на охорону праці</t>
  </si>
  <si>
    <t>ВСЬОГО ВИДАТКІВ надавача ПМД, грн.</t>
  </si>
  <si>
    <t>Видатки у І кварталі, грн.</t>
  </si>
  <si>
    <t>Видатки у ІІ кварталі, грн.</t>
  </si>
  <si>
    <t>Видатки у ІІІ кварталі, грн.</t>
  </si>
  <si>
    <t>Видатки у IV кварталі, грн.</t>
  </si>
  <si>
    <t>Всього річні ВИДАТКИ надавача ПМД, грн.</t>
  </si>
  <si>
    <t>Капітальні інвестиції, грн.</t>
  </si>
  <si>
    <t>Заробітна плата, грн.</t>
  </si>
  <si>
    <t>Нарахування на оплату праці, грн.</t>
  </si>
  <si>
    <t>Медикаменти та перев'язувальні матеріали, грн.</t>
  </si>
  <si>
    <t>Видатки на відрядження, грн.</t>
  </si>
  <si>
    <t xml:space="preserve">Необоротні активи </t>
  </si>
  <si>
    <t>Оборотні активи</t>
  </si>
  <si>
    <t>Термін експлуатації (більше або менше 1 року)</t>
  </si>
  <si>
    <t>Ваги для дітей</t>
  </si>
  <si>
    <t>Ваги для дорослих</t>
  </si>
  <si>
    <t>Ростомір</t>
  </si>
  <si>
    <t>Медична вимірювальна стрічка (рулетка)</t>
  </si>
  <si>
    <t>Стетофонендоскоп</t>
  </si>
  <si>
    <t>Термометр (для вимірювання температури тіла), в тому числі цифровий або інфрачервоний</t>
  </si>
  <si>
    <t>Тонометр з малими, середніми і великими манжетами</t>
  </si>
  <si>
    <t>Пульсоксиметр портативний</t>
  </si>
  <si>
    <t>Отоофтальмоскоп</t>
  </si>
  <si>
    <t>Медичний ліхтарик</t>
  </si>
  <si>
    <t>Електрокардіограф [2]</t>
  </si>
  <si>
    <t>Пікфлуометр [2]</t>
  </si>
  <si>
    <t>Молоточок неврологічний</t>
  </si>
  <si>
    <t>Таблиці для перевірки гостроти зору</t>
  </si>
  <si>
    <t>Апарат визначення рівня глюкози крові у комплекті (глюкометр, смужки, одноразові ланцети, одноразові рукавички) [2]</t>
  </si>
  <si>
    <t>Центрифуга [3]</t>
  </si>
  <si>
    <t>шпателі</t>
  </si>
  <si>
    <t>оглядові рукавички</t>
  </si>
  <si>
    <t>рушники паперові</t>
  </si>
  <si>
    <t>серветки (в тому числі вологі)</t>
  </si>
  <si>
    <t>одноразові простирадла для кушетки</t>
  </si>
  <si>
    <t>шприці</t>
  </si>
  <si>
    <t>катетери</t>
  </si>
  <si>
    <t>вакуумні пробірки (вакутайнери)</t>
  </si>
  <si>
    <t>стерильний перев’язувальний матеріал</t>
  </si>
  <si>
    <t>Сумка лікаря/медсестри</t>
  </si>
  <si>
    <t>Сумка-холодильник з набором акумуляторів холоду</t>
  </si>
  <si>
    <t>Холодильник для зберігання лікарських засобів</t>
  </si>
  <si>
    <t>Кушетка, в тому числі кушетка-трансформер (гінекологічне крісло)</t>
  </si>
  <si>
    <t>Шафа для зберігання лікарських засобів та медичних виробів</t>
  </si>
  <si>
    <t>Сповивальний столик (для зали очікування)</t>
  </si>
  <si>
    <t>столи для персоналу</t>
  </si>
  <si>
    <t>стільці та (або) крісла для кабінетів</t>
  </si>
  <si>
    <t>стільці та (або) крісла зал очікувань</t>
  </si>
  <si>
    <t>шафи для документів</t>
  </si>
  <si>
    <t>шафи для одягу</t>
  </si>
  <si>
    <t>сейфи</t>
  </si>
  <si>
    <t>багатофункціональний пристрій (або принтер + сканер)</t>
  </si>
  <si>
    <t>Спеціальне (прикладне) програмне забезпечення для ПМД</t>
  </si>
  <si>
    <t>Канцелярське приладдя, витратні матеріали для комп’ютерного обладнання (папір, картриджі тощо)</t>
  </si>
  <si>
    <t>Автомобіль легковий повнопривідний (підсилювач керма та гальм) або легковий (підсилювач керма та гальм) [5]</t>
  </si>
  <si>
    <t>Транспортний засіб (мотоцикл, квадроцикл, мотороллер) або велосипед [6]</t>
  </si>
  <si>
    <t>Небулайзер</t>
  </si>
  <si>
    <t>Мікроскоп</t>
  </si>
  <si>
    <t>Гематологічний аналізатор</t>
  </si>
  <si>
    <t>Біохімічний аналізатор</t>
  </si>
  <si>
    <t>Лабораторний посуд, дозатори, витратні матеріали</t>
  </si>
  <si>
    <t>Освітлювач переносний безтіньовий</t>
  </si>
  <si>
    <t>Стіл для інструментів, мобільний</t>
  </si>
  <si>
    <t>Холодильник для зберігання вакцин</t>
  </si>
  <si>
    <t>Сповивальний столик</t>
  </si>
  <si>
    <t>Ширма</t>
  </si>
  <si>
    <t>Ноші медичні</t>
  </si>
  <si>
    <t>Крісло-каталка</t>
  </si>
  <si>
    <t>Загальна оглядова цифрова камера (автофокус, цифровий зум, поляризаційний фільтр, автобаланс білого)</t>
  </si>
  <si>
    <t>Інтерактивний цифровий стетоскоп</t>
  </si>
  <si>
    <t>Монітор життєво-важливих показників із цифровим інтерфейсом (АТ, термометрія, пульсоксиметрія)</t>
  </si>
  <si>
    <t>12-канальний електрокардіограф з цифровим інтерфейсом</t>
  </si>
  <si>
    <t>ІІ. Додатковий список (застосовується за умови комплектності основного списку та відповідно до наявних потреб)</t>
  </si>
  <si>
    <t>ІІІ. Обладнання для надання медичних послуг із застосуванням телемедицини</t>
  </si>
  <si>
    <t>Кількість пацієнтів на одного лікаря ПМД (осіб):</t>
  </si>
  <si>
    <t>Кількість пацієнтів на одну медичну сестру ПМД (осіб):</t>
  </si>
  <si>
    <t>Кількість пацієнтів на одного працівника адміністративно-управлінського та допоміжного персоналу (осіб):</t>
  </si>
  <si>
    <t>2.1. у лікаря-педіатра</t>
  </si>
  <si>
    <t>2.2. у лікаря загальної практики - сімейний лікаря</t>
  </si>
  <si>
    <t>2.3. у лікаря - терапевта</t>
  </si>
  <si>
    <t>3.1. адміністративно-управлінського персоналу</t>
  </si>
  <si>
    <t>3.2. допоміжного персоналу</t>
  </si>
  <si>
    <t>більше ніж у середньому в п.1</t>
  </si>
  <si>
    <t>більше або дорівнює 1</t>
  </si>
  <si>
    <t>1-й міс.кварталу</t>
  </si>
  <si>
    <t>2-й міс.кварталу</t>
  </si>
  <si>
    <t>3-й міс.кварталу</t>
  </si>
  <si>
    <t>середня кількість декларацій в кварталі</t>
  </si>
  <si>
    <t>Кількість декларацій підписаних з лікарем у І кварталі</t>
  </si>
  <si>
    <t>Кількість декларацій підписаних з лікарем у ІІ кварталі</t>
  </si>
  <si>
    <t>Кількість декларацій підписаних з лікарем у ІІІ кварталі</t>
  </si>
  <si>
    <t xml:space="preserve">Кількість декларацій підписаних з лікарем у ІV кварталі </t>
  </si>
  <si>
    <t>швидкий доступ до розділів вкладки</t>
  </si>
  <si>
    <t>ВИДАТКИ НАДАВАЧА ПМД</t>
  </si>
  <si>
    <t>всього за 
І квартал</t>
  </si>
  <si>
    <t>всього 
за ІІ квартал</t>
  </si>
  <si>
    <t>всього
за ІII квартал</t>
  </si>
  <si>
    <t>всього
за ІV квартал</t>
  </si>
  <si>
    <t>кількість пацієнтів</t>
  </si>
  <si>
    <t>кількість лікарів</t>
  </si>
  <si>
    <t>зверніть увагу - 
показник перевищив експертну оцінку</t>
  </si>
  <si>
    <t>кількість медичних сестер</t>
  </si>
  <si>
    <t>менше 10</t>
  </si>
  <si>
    <t>не менше 125</t>
  </si>
  <si>
    <t>більше 210 000</t>
  </si>
  <si>
    <t>більше 230 000</t>
  </si>
  <si>
    <t>менше 40</t>
  </si>
  <si>
    <t>менше 30</t>
  </si>
  <si>
    <t>Капітальний ремонт</t>
  </si>
  <si>
    <t xml:space="preserve">Цей матеріал підготовлено за підтримки Агентства США з міжнародного розвитку (USAID), наданої від імені народу Сполучених Штатів Америки за підтримки Програми Уряду Великої Британії «Good Governance Fund», наданої від імені народу Великої Британії. Відповідальність за зміст цього матеріалу, який необов'язково відображає погляди USAID, Уряду Сполучених Штатів Америки, UK aid або Уряду Великої Британії, несе виключно компанія ТОВ «Делойт Консалтинг» в рамках контракту №72012118C00001. </t>
  </si>
  <si>
    <t>Капітальні інвестиції, зокрема:</t>
  </si>
  <si>
    <t>Адміністративні витрати, зокрема:</t>
  </si>
  <si>
    <t>менше 20</t>
  </si>
  <si>
    <t>Інструкція для користувачів вкладки
"02_Видатки":</t>
  </si>
  <si>
    <t>Інструкція для користувачів вкладки "03_МТО":</t>
  </si>
  <si>
    <t>Всього</t>
  </si>
  <si>
    <t xml:space="preserve">Амортизація </t>
  </si>
  <si>
    <t>Амортизація</t>
  </si>
  <si>
    <t>Оплата комунальних послуг та енергоносіїв, грн.</t>
  </si>
  <si>
    <t>Закон України від 14.11.2018 №2206-VIII "Про підвищення доступності та якості медичного обслуговування у сільській місцевості"</t>
  </si>
  <si>
    <t>https://zakon.rada.gov.ua/laws/show/391-2018-%D0%BF/print</t>
  </si>
  <si>
    <t>Постанова Кабінету Міністрів України від 28.03.2018 № 391 «Про затвердження вимог до надавача послуг з медичного обслуговування населення, з яким головними розпорядниками бюджетних коштів укладаються договори про медичне обслуговування населення».</t>
  </si>
  <si>
    <t>Наказ Міністерства фінансів України від 30.11.1999 №291 "Про затвердження Плану рахунків бухгалтерського обліку та Інструкції про його застосування"</t>
  </si>
  <si>
    <t xml:space="preserve">Наказ Міністерства охорони здоров’я  України від 19.03.2018  №504 "Про затвердження Порядку надання первинної медичної допомоги" </t>
  </si>
  <si>
    <t xml:space="preserve">Наказ Міністерства охорони здоров’я  України від 19.03.2018  №503 "Про затвердження Порядку вибору лікаря, який надає первинну медичну допомогу, та форми декларації про вибір лікаря, який надає первинну медичну допомогу" </t>
  </si>
  <si>
    <t>Індикатор</t>
  </si>
  <si>
    <r>
      <rPr>
        <b/>
        <u/>
        <sz val="13"/>
        <color indexed="8"/>
        <rFont val="Times New Roman"/>
        <family val="1"/>
        <charset val="204"/>
      </rPr>
      <t>5</t>
    </r>
    <r>
      <rPr>
        <b/>
        <sz val="13"/>
        <color indexed="8"/>
        <rFont val="Times New Roman"/>
        <family val="1"/>
        <charset val="204"/>
      </rPr>
      <t xml:space="preserve">. </t>
    </r>
    <r>
      <rPr>
        <sz val="13"/>
        <color indexed="8"/>
        <rFont val="Times New Roman"/>
        <family val="1"/>
        <charset val="204"/>
      </rPr>
      <t>перевірте, чи  залишились комірки з жовтою заливкою (колір знімається автоматично при заповненні).</t>
    </r>
  </si>
  <si>
    <r>
      <rPr>
        <b/>
        <u/>
        <sz val="13"/>
        <color indexed="8"/>
        <rFont val="Times New Roman"/>
        <family val="1"/>
        <charset val="204"/>
      </rPr>
      <t>6.</t>
    </r>
    <r>
      <rPr>
        <sz val="13"/>
        <color indexed="8"/>
        <rFont val="Times New Roman"/>
        <family val="1"/>
        <charset val="204"/>
      </rPr>
      <t xml:space="preserve"> перейдіть до вкладки </t>
    </r>
    <r>
      <rPr>
        <b/>
        <sz val="13"/>
        <color indexed="8"/>
        <rFont val="Times New Roman"/>
        <family val="1"/>
        <charset val="204"/>
      </rPr>
      <t>"04_Фін_стійкість"</t>
    </r>
    <r>
      <rPr>
        <sz val="13"/>
        <color indexed="8"/>
        <rFont val="Times New Roman"/>
        <family val="1"/>
        <charset val="204"/>
      </rPr>
      <t>.</t>
    </r>
  </si>
  <si>
    <t>Розрахунки</t>
  </si>
  <si>
    <t>0_Загальне</t>
  </si>
  <si>
    <t>Загальна інформація щодо надавача ПМД.</t>
  </si>
  <si>
    <t>Законод</t>
  </si>
  <si>
    <t>Законодавчо встановлені параметри оплати за програмою медичних гарантій у 2019 році.</t>
  </si>
  <si>
    <t>01_Доходи</t>
  </si>
  <si>
    <t>Дії:</t>
  </si>
  <si>
    <t>2) заповнити комірки;</t>
  </si>
  <si>
    <t>3) заповнити додаткові дані щодо кількості медичних сестер у команді ПМД.</t>
  </si>
  <si>
    <t>02_Видатки</t>
  </si>
  <si>
    <t>03_МТО</t>
  </si>
  <si>
    <t>Видатки на закупівлі відповідно до потреби Табеля матеріально-технічного оснащення закладів охорони здоров’я та фізичних осіб – підприємців, які надають первинну медичну допомогу.</t>
  </si>
  <si>
    <t>04_Фін_стійкість</t>
  </si>
  <si>
    <t>Індикатори фінансової стійкості надавача ПМД.</t>
  </si>
  <si>
    <r>
      <t xml:space="preserve">Автоматичний </t>
    </r>
    <r>
      <rPr>
        <sz val="13"/>
        <color indexed="30"/>
        <rFont val="Times New Roman"/>
        <family val="1"/>
        <charset val="204"/>
      </rPr>
      <t xml:space="preserve">обрахунок </t>
    </r>
    <r>
      <rPr>
        <sz val="13"/>
        <color indexed="8"/>
        <rFont val="Times New Roman"/>
        <family val="1"/>
        <charset val="204"/>
      </rPr>
      <t>індикаторів фінансової стійкості на базі заповнених вхідних даних та порівняння отриманих результатів з експертною оцінкою.</t>
    </r>
  </si>
  <si>
    <t>Перевищення індикатора порівняно з його експертною оцінкою автоматично відображається на вкладці.</t>
  </si>
  <si>
    <t>ДРУК</t>
  </si>
  <si>
    <t>Квартальні доходи і видатки надавача ПМД на плановий період.</t>
  </si>
  <si>
    <t>05_Фін_план</t>
  </si>
  <si>
    <t>Проект фінансового плану надавача ПМД на плановий рік за запропонованою формою.</t>
  </si>
  <si>
    <r>
      <t>Дії: заповнити комірки з даними минулих періодів</t>
    </r>
    <r>
      <rPr>
        <sz val="13"/>
        <color indexed="8"/>
        <rFont val="Times New Roman"/>
        <family val="1"/>
        <charset val="204"/>
      </rPr>
      <t>.</t>
    </r>
  </si>
  <si>
    <r>
      <t xml:space="preserve">Автоматичний </t>
    </r>
    <r>
      <rPr>
        <sz val="13"/>
        <color indexed="30"/>
        <rFont val="Times New Roman"/>
        <family val="1"/>
        <charset val="204"/>
      </rPr>
      <t xml:space="preserve">обрахунок </t>
    </r>
    <r>
      <rPr>
        <sz val="13"/>
        <color indexed="8"/>
        <rFont val="Times New Roman"/>
        <family val="1"/>
        <charset val="204"/>
      </rPr>
      <t>агрегованих показників.</t>
    </r>
  </si>
  <si>
    <r>
      <t xml:space="preserve">Перенесення </t>
    </r>
    <r>
      <rPr>
        <sz val="13"/>
        <color indexed="8"/>
        <rFont val="Times New Roman"/>
        <family val="1"/>
        <charset val="204"/>
      </rPr>
      <t>розрахованих на інших вкладках даних.</t>
    </r>
  </si>
  <si>
    <t>Графіки</t>
  </si>
  <si>
    <t>Графічні зображення отриманих розрахункових даних.</t>
  </si>
  <si>
    <r>
      <t xml:space="preserve">Автоматичний </t>
    </r>
    <r>
      <rPr>
        <sz val="13"/>
        <color indexed="30"/>
        <rFont val="Times New Roman"/>
        <family val="1"/>
        <charset val="204"/>
      </rPr>
      <t>обрахунок</t>
    </r>
    <r>
      <rPr>
        <sz val="13"/>
        <color indexed="8"/>
        <rFont val="Times New Roman"/>
        <family val="1"/>
        <charset val="204"/>
      </rPr>
      <t xml:space="preserve"> закупівель у розрізі:
</t>
    </r>
    <r>
      <rPr>
        <i/>
        <sz val="13"/>
        <color indexed="8"/>
        <rFont val="Times New Roman"/>
        <family val="1"/>
        <charset val="204"/>
      </rPr>
      <t>- витрат на канцтовари, офісне приладдя та устаткування відповідно до Табелю;
- витрат на капітальні інвестиції відповідно до Табелю;
- 3 груп закупівель: предмети, матеріали; основні засоби; малоцінні необоротні матеріальні активи.</t>
    </r>
  </si>
  <si>
    <r>
      <t xml:space="preserve">2) обрати Термін експлуатації для кожної позиції Табелю </t>
    </r>
    <r>
      <rPr>
        <i/>
        <sz val="13"/>
        <color indexed="8"/>
        <rFont val="Times New Roman"/>
        <family val="1"/>
        <charset val="204"/>
      </rPr>
      <t>(більше або менше 1 року);</t>
    </r>
  </si>
  <si>
    <t xml:space="preserve">Дії: </t>
  </si>
  <si>
    <t>Дії: заповнити комірки.</t>
  </si>
  <si>
    <t>Посилання на вкладку</t>
  </si>
  <si>
    <t>* Увага, на кожній вкладці окремо наведена покрокова інструкція для користувачів.</t>
  </si>
  <si>
    <r>
      <rPr>
        <b/>
        <u/>
        <sz val="20"/>
        <rFont val="Times New Roman"/>
        <family val="1"/>
        <charset val="204"/>
      </rPr>
      <t>Загальна</t>
    </r>
    <r>
      <rPr>
        <b/>
        <sz val="20"/>
        <rFont val="Times New Roman"/>
        <family val="1"/>
        <charset val="204"/>
      </rPr>
      <t xml:space="preserve"> </t>
    </r>
    <r>
      <rPr>
        <b/>
        <u/>
        <sz val="20"/>
        <rFont val="Times New Roman"/>
        <family val="1"/>
        <charset val="204"/>
      </rPr>
      <t>середня кількість декларацій</t>
    </r>
    <r>
      <rPr>
        <b/>
        <sz val="20"/>
        <rFont val="Times New Roman"/>
        <family val="1"/>
        <charset val="204"/>
      </rPr>
      <t xml:space="preserve"> надавача ПМД, од.</t>
    </r>
  </si>
  <si>
    <r>
      <t xml:space="preserve">Загальна </t>
    </r>
    <r>
      <rPr>
        <b/>
        <u/>
        <sz val="18"/>
        <rFont val="Times New Roman"/>
        <family val="1"/>
        <charset val="204"/>
      </rPr>
      <t>кількість декларацій</t>
    </r>
    <r>
      <rPr>
        <b/>
        <sz val="18"/>
        <rFont val="Times New Roman"/>
        <family val="1"/>
        <charset val="204"/>
      </rPr>
      <t xml:space="preserve"> надавача ПМД </t>
    </r>
    <r>
      <rPr>
        <b/>
        <u/>
        <sz val="18"/>
        <rFont val="Times New Roman"/>
        <family val="1"/>
        <charset val="204"/>
      </rPr>
      <t>у межах ліміту декларацій</t>
    </r>
    <r>
      <rPr>
        <b/>
        <sz val="18"/>
        <rFont val="Times New Roman"/>
        <family val="1"/>
        <charset val="204"/>
      </rPr>
      <t>, од.</t>
    </r>
  </si>
  <si>
    <r>
      <rPr>
        <b/>
        <u/>
        <sz val="18"/>
        <rFont val="Times New Roman"/>
        <family val="1"/>
        <charset val="204"/>
      </rPr>
      <t>Надходження</t>
    </r>
    <r>
      <rPr>
        <b/>
        <sz val="18"/>
        <rFont val="Times New Roman"/>
        <family val="1"/>
        <charset val="204"/>
      </rPr>
      <t xml:space="preserve"> надавача ПМД </t>
    </r>
    <r>
      <rPr>
        <b/>
        <u/>
        <sz val="18"/>
        <rFont val="Times New Roman"/>
        <family val="1"/>
        <charset val="204"/>
      </rPr>
      <t>у межах ліміту декларацій (з віковими коефіцієнтами)</t>
    </r>
    <r>
      <rPr>
        <b/>
        <sz val="18"/>
        <rFont val="Times New Roman"/>
        <family val="1"/>
        <charset val="204"/>
      </rPr>
      <t>, грн.</t>
    </r>
  </si>
  <si>
    <r>
      <t xml:space="preserve">Загальна </t>
    </r>
    <r>
      <rPr>
        <b/>
        <u/>
        <sz val="18"/>
        <rFont val="Times New Roman"/>
        <family val="1"/>
        <charset val="204"/>
      </rPr>
      <t>кількість декларацій</t>
    </r>
    <r>
      <rPr>
        <b/>
        <sz val="18"/>
        <rFont val="Times New Roman"/>
        <family val="1"/>
        <charset val="204"/>
      </rPr>
      <t xml:space="preserve"> надавача ПМД </t>
    </r>
    <r>
      <rPr>
        <b/>
        <u/>
        <sz val="18"/>
        <rFont val="Times New Roman"/>
        <family val="1"/>
        <charset val="204"/>
      </rPr>
      <t>понад ліміт декларацій</t>
    </r>
    <r>
      <rPr>
        <b/>
        <sz val="18"/>
        <rFont val="Times New Roman"/>
        <family val="1"/>
        <charset val="204"/>
      </rPr>
      <t>, од.</t>
    </r>
  </si>
  <si>
    <r>
      <rPr>
        <b/>
        <u/>
        <sz val="18"/>
        <rFont val="Times New Roman"/>
        <family val="1"/>
        <charset val="204"/>
      </rPr>
      <t>Надходження</t>
    </r>
    <r>
      <rPr>
        <b/>
        <sz val="18"/>
        <rFont val="Times New Roman"/>
        <family val="1"/>
        <charset val="204"/>
      </rPr>
      <t xml:space="preserve"> надавача ПМД </t>
    </r>
    <r>
      <rPr>
        <b/>
        <u/>
        <sz val="18"/>
        <rFont val="Times New Roman"/>
        <family val="1"/>
        <charset val="204"/>
      </rPr>
      <t>понад ліміт декларацій</t>
    </r>
    <r>
      <rPr>
        <b/>
        <sz val="18"/>
        <rFont val="Times New Roman"/>
        <family val="1"/>
        <charset val="204"/>
      </rPr>
      <t>, грн.</t>
    </r>
  </si>
  <si>
    <r>
      <t xml:space="preserve">Тариф з урахуванням вікового коефіцієнту, </t>
    </r>
    <r>
      <rPr>
        <b/>
        <i/>
        <sz val="12"/>
        <color indexed="8"/>
        <rFont val="Times New Roman"/>
        <family val="1"/>
        <charset val="204"/>
      </rPr>
      <t>грн. на квартал</t>
    </r>
  </si>
  <si>
    <r>
      <t xml:space="preserve">Тариф з урахуванням вікового та гірського коефіцієнтів, </t>
    </r>
    <r>
      <rPr>
        <b/>
        <i/>
        <sz val="12"/>
        <color indexed="8"/>
        <rFont val="Times New Roman"/>
        <family val="1"/>
        <charset val="204"/>
      </rPr>
      <t>грн. на квартал</t>
    </r>
  </si>
  <si>
    <r>
      <t xml:space="preserve">Тариф за обслуговування пацієнта, </t>
    </r>
    <r>
      <rPr>
        <b/>
        <i/>
        <sz val="12"/>
        <color indexed="8"/>
        <rFont val="Times New Roman"/>
        <family val="1"/>
        <charset val="204"/>
      </rPr>
      <t>грн. на квартал</t>
    </r>
  </si>
  <si>
    <r>
      <rPr>
        <b/>
        <u/>
        <sz val="13"/>
        <color indexed="8"/>
        <rFont val="Times New Roman"/>
        <family val="1"/>
        <charset val="204"/>
      </rPr>
      <t>1.</t>
    </r>
    <r>
      <rPr>
        <sz val="13"/>
        <color indexed="8"/>
        <rFont val="Times New Roman"/>
        <family val="1"/>
        <charset val="204"/>
      </rPr>
      <t xml:space="preserve"> заповніть комірки з жовтою заливкою.</t>
    </r>
  </si>
  <si>
    <r>
      <rPr>
        <b/>
        <u/>
        <sz val="13"/>
        <color indexed="8"/>
        <rFont val="Times New Roman"/>
        <family val="1"/>
        <charset val="204"/>
      </rPr>
      <t>2.</t>
    </r>
    <r>
      <rPr>
        <b/>
        <sz val="13"/>
        <color indexed="8"/>
        <rFont val="Times New Roman"/>
        <family val="1"/>
        <charset val="204"/>
      </rPr>
      <t xml:space="preserve"> </t>
    </r>
    <r>
      <rPr>
        <sz val="13"/>
        <color indexed="8"/>
        <rFont val="Times New Roman"/>
        <family val="1"/>
        <charset val="204"/>
      </rPr>
      <t>перевірте, чи  залишились комірки з жовтою заливкою (колір знімається автоматично при заповненні).</t>
    </r>
  </si>
  <si>
    <r>
      <rPr>
        <b/>
        <u/>
        <sz val="13"/>
        <color indexed="8"/>
        <rFont val="Times New Roman"/>
        <family val="1"/>
        <charset val="204"/>
      </rPr>
      <t>3.</t>
    </r>
    <r>
      <rPr>
        <sz val="13"/>
        <color indexed="8"/>
        <rFont val="Times New Roman"/>
        <family val="1"/>
        <charset val="204"/>
      </rPr>
      <t xml:space="preserve"> якщо немає комірок з жовтою заливкою - переходьте до вкладки </t>
    </r>
    <r>
      <rPr>
        <b/>
        <sz val="13"/>
        <color indexed="8"/>
        <rFont val="Times New Roman"/>
        <family val="1"/>
        <charset val="204"/>
      </rPr>
      <t>"01_Доходи"</t>
    </r>
    <r>
      <rPr>
        <sz val="13"/>
        <color indexed="8"/>
        <rFont val="Times New Roman"/>
        <family val="1"/>
        <charset val="204"/>
      </rPr>
      <t>.</t>
    </r>
  </si>
  <si>
    <r>
      <t>Площа території, що обслуговується надавачем ПМД (км</t>
    </r>
    <r>
      <rPr>
        <b/>
        <vertAlign val="superscript"/>
        <sz val="13"/>
        <color indexed="8"/>
        <rFont val="Times New Roman"/>
        <family val="1"/>
        <charset val="204"/>
      </rPr>
      <t>2</t>
    </r>
    <r>
      <rPr>
        <b/>
        <sz val="13"/>
        <color indexed="8"/>
        <rFont val="Times New Roman"/>
        <family val="1"/>
        <charset val="204"/>
      </rPr>
      <t>):</t>
    </r>
  </si>
  <si>
    <r>
      <t>площа (м</t>
    </r>
    <r>
      <rPr>
        <vertAlign val="superscript"/>
        <sz val="13"/>
        <rFont val="Times New Roman"/>
        <family val="1"/>
        <charset val="204"/>
      </rPr>
      <t>2</t>
    </r>
    <r>
      <rPr>
        <sz val="13"/>
        <rFont val="Times New Roman"/>
        <family val="1"/>
        <charset val="204"/>
      </rPr>
      <t>)</t>
    </r>
  </si>
  <si>
    <r>
      <t xml:space="preserve">Структурні підрозділи надавача ПМД, </t>
    </r>
    <r>
      <rPr>
        <sz val="13"/>
        <rFont val="Times New Roman"/>
        <family val="1"/>
        <charset val="204"/>
      </rPr>
      <t>в т.ч.:</t>
    </r>
  </si>
  <si>
    <t>Дата проведення розрахунку</t>
  </si>
  <si>
    <r>
      <t>Оклад з урахуванням доплат до мінімальної заробітної плати (для всіх вказаних штатних одиниць),</t>
    </r>
    <r>
      <rPr>
        <b/>
        <i/>
        <sz val="16"/>
        <rFont val="Times New Roman"/>
        <family val="1"/>
        <charset val="204"/>
      </rPr>
      <t xml:space="preserve"> грн.</t>
    </r>
  </si>
  <si>
    <r>
      <t xml:space="preserve"> Премії (для всіх вказаних штатних одиниць),</t>
    </r>
    <r>
      <rPr>
        <b/>
        <i/>
        <sz val="16"/>
        <rFont val="Times New Roman"/>
        <family val="1"/>
        <charset val="204"/>
      </rPr>
      <t xml:space="preserve"> грн.</t>
    </r>
  </si>
  <si>
    <r>
      <t xml:space="preserve"> Інші види заохочень та стимулювань (у разі наявності) (для всіх вказаних штатних одиниць), </t>
    </r>
    <r>
      <rPr>
        <b/>
        <i/>
        <sz val="16"/>
        <rFont val="Times New Roman"/>
        <family val="1"/>
        <charset val="204"/>
      </rPr>
      <t>грн.</t>
    </r>
  </si>
  <si>
    <r>
      <t xml:space="preserve"> Інші витрати на оплату праці (у разі наявності) (для всіх вказаних штатних одиниць),</t>
    </r>
    <r>
      <rPr>
        <i/>
        <sz val="16"/>
        <rFont val="Times New Roman"/>
        <family val="1"/>
        <charset val="204"/>
      </rPr>
      <t xml:space="preserve"> грн.</t>
    </r>
  </si>
  <si>
    <r>
      <rPr>
        <b/>
        <u/>
        <sz val="16"/>
        <rFont val="Times New Roman"/>
        <family val="1"/>
        <charset val="204"/>
      </rPr>
      <t>ВСЬОГО Фонд оплати праці</t>
    </r>
    <r>
      <rPr>
        <b/>
        <sz val="16"/>
        <rFont val="Times New Roman"/>
        <family val="1"/>
        <charset val="204"/>
      </rPr>
      <t xml:space="preserve">
по відповідній групі персоналу, </t>
    </r>
    <r>
      <rPr>
        <b/>
        <i/>
        <sz val="16"/>
        <rFont val="Times New Roman"/>
        <family val="1"/>
        <charset val="204"/>
      </rPr>
      <t>грн.</t>
    </r>
  </si>
  <si>
    <r>
      <t xml:space="preserve">Оплата відряджень, </t>
    </r>
    <r>
      <rPr>
        <b/>
        <i/>
        <sz val="16"/>
        <rFont val="Times New Roman"/>
        <family val="1"/>
        <charset val="204"/>
      </rPr>
      <t>грн.</t>
    </r>
  </si>
  <si>
    <r>
      <t xml:space="preserve">Нарахування на оплату праці </t>
    </r>
    <r>
      <rPr>
        <sz val="16"/>
        <rFont val="Times New Roman"/>
        <family val="1"/>
        <charset val="204"/>
      </rPr>
      <t>(загальнообов'язкове державне соціальне страхування)</t>
    </r>
    <r>
      <rPr>
        <b/>
        <sz val="16"/>
        <rFont val="Times New Roman"/>
        <family val="1"/>
        <charset val="204"/>
      </rPr>
      <t>,</t>
    </r>
    <r>
      <rPr>
        <b/>
        <i/>
        <sz val="16"/>
        <rFont val="Times New Roman"/>
        <family val="1"/>
        <charset val="204"/>
      </rPr>
      <t xml:space="preserve"> грн.</t>
    </r>
  </si>
  <si>
    <r>
      <t xml:space="preserve">Утримання із заробітної плати
</t>
    </r>
    <r>
      <rPr>
        <sz val="16"/>
        <rFont val="Times New Roman"/>
        <family val="1"/>
        <charset val="204"/>
      </rPr>
      <t>(податок з доходів фізичних осіб 18% та військовий збір 1.5%)</t>
    </r>
    <r>
      <rPr>
        <b/>
        <sz val="16"/>
        <rFont val="Times New Roman"/>
        <family val="1"/>
        <charset val="204"/>
      </rPr>
      <t xml:space="preserve">, </t>
    </r>
    <r>
      <rPr>
        <b/>
        <i/>
        <sz val="16"/>
        <rFont val="Times New Roman"/>
        <family val="1"/>
        <charset val="204"/>
      </rPr>
      <t>грн.</t>
    </r>
  </si>
  <si>
    <r>
      <t>ціна за 1 м</t>
    </r>
    <r>
      <rPr>
        <vertAlign val="superscript"/>
        <sz val="13"/>
        <rFont val="Times New Roman"/>
        <family val="1"/>
        <charset val="204"/>
      </rPr>
      <t xml:space="preserve">3 </t>
    </r>
    <r>
      <rPr>
        <sz val="13"/>
        <rFont val="Times New Roman"/>
        <family val="1"/>
        <charset val="204"/>
      </rPr>
      <t>на початок кварталу</t>
    </r>
    <r>
      <rPr>
        <sz val="13"/>
        <color indexed="8"/>
        <rFont val="Times New Roman"/>
        <family val="1"/>
        <charset val="204"/>
      </rPr>
      <t>, грн. (гаряча вода)</t>
    </r>
  </si>
  <si>
    <r>
      <t>очікуваний обсяг споживання гарячої води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</si>
  <si>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на початок кварталу</t>
    </r>
    <r>
      <rPr>
        <sz val="13"/>
        <color indexed="8"/>
        <rFont val="Times New Roman"/>
        <family val="1"/>
        <charset val="204"/>
      </rPr>
      <t>, грн. (холодна вода)</t>
    </r>
  </si>
  <si>
    <r>
      <t>очікуваний обсяг споживання холодної води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</si>
  <si>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на початок кварталу (водовідведення), грн.</t>
    </r>
  </si>
  <si>
    <r>
      <t>очікуваний обсяг водовідведення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</si>
  <si>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природного газу на початок кварталу, грн.</t>
    </r>
  </si>
  <si>
    <r>
      <t>очікуваний обсяг споживання природного газу у відповідному кварталі, м</t>
    </r>
    <r>
      <rPr>
        <vertAlign val="superscript"/>
        <sz val="13"/>
        <rFont val="Times New Roman"/>
        <family val="1"/>
        <charset val="204"/>
      </rPr>
      <t>3</t>
    </r>
  </si>
  <si>
    <r>
      <t xml:space="preserve">ВСЬОГО витрат на комунальні послуги, </t>
    </r>
    <r>
      <rPr>
        <b/>
        <i/>
        <sz val="16"/>
        <color indexed="8"/>
        <rFont val="Times New Roman"/>
        <family val="1"/>
        <charset val="204"/>
      </rPr>
      <t>грн.</t>
    </r>
  </si>
  <si>
    <r>
      <t>Видатки надавача ПМД на комунальні витрати на 1 м</t>
    </r>
    <r>
      <rPr>
        <b/>
        <vertAlign val="superscript"/>
        <sz val="16"/>
        <color indexed="8"/>
        <rFont val="Times New Roman"/>
        <family val="1"/>
        <charset val="204"/>
      </rPr>
      <t>2</t>
    </r>
    <r>
      <rPr>
        <b/>
        <sz val="16"/>
        <color indexed="8"/>
        <rFont val="Times New Roman"/>
        <family val="1"/>
        <charset val="204"/>
      </rPr>
      <t xml:space="preserve"> (грн.)</t>
    </r>
  </si>
  <si>
    <r>
      <rPr>
        <b/>
        <u/>
        <sz val="13"/>
        <color indexed="8"/>
        <rFont val="Times New Roman"/>
        <family val="1"/>
        <charset val="204"/>
      </rPr>
      <t>2</t>
    </r>
    <r>
      <rPr>
        <b/>
        <sz val="13"/>
        <color indexed="8"/>
        <rFont val="Times New Roman"/>
        <family val="1"/>
        <charset val="204"/>
      </rPr>
      <t xml:space="preserve">. </t>
    </r>
    <r>
      <rPr>
        <sz val="13"/>
        <color indexed="8"/>
        <rFont val="Times New Roman"/>
        <family val="1"/>
        <charset val="204"/>
      </rPr>
      <t>перевірте, чи  залишились комірки з жовтою заливкою (колір знімається автоматично при заповненні).</t>
    </r>
  </si>
  <si>
    <r>
      <rPr>
        <b/>
        <u/>
        <sz val="13"/>
        <color indexed="8"/>
        <rFont val="Times New Roman"/>
        <family val="1"/>
        <charset val="204"/>
      </rPr>
      <t>3.</t>
    </r>
    <r>
      <rPr>
        <sz val="13"/>
        <color indexed="8"/>
        <rFont val="Times New Roman"/>
        <family val="1"/>
        <charset val="204"/>
      </rPr>
      <t xml:space="preserve"> перейдіть до вкладки </t>
    </r>
    <r>
      <rPr>
        <b/>
        <sz val="13"/>
        <color indexed="8"/>
        <rFont val="Times New Roman"/>
        <family val="1"/>
        <charset val="204"/>
      </rPr>
      <t>"03_МТО"</t>
    </r>
    <r>
      <rPr>
        <sz val="13"/>
        <color indexed="8"/>
        <rFont val="Times New Roman"/>
        <family val="1"/>
        <charset val="204"/>
      </rPr>
      <t>.</t>
    </r>
  </si>
  <si>
    <t>вказати інші, які не входять до Табелю МТО  (вкладка "03_МТО")</t>
  </si>
  <si>
    <t>!!! УВАГА. Показники розраховуються автоматично.  Вкладка тільки для перегляду !!!
Зміни можна проводити тільки у стовпчику "експертна оцінка"!!!</t>
  </si>
  <si>
    <t>Експертна оцінка</t>
  </si>
  <si>
    <t>кількість адміністративного- управлінського та допоміжного персоналу</t>
  </si>
  <si>
    <t>Опис та інструкція</t>
  </si>
  <si>
    <t>ІНШІ ВИДАТКИ та ПОКАЗНИКИ БАЛАНСУ ПІДПРИЄМСТВА</t>
  </si>
  <si>
    <r>
      <t xml:space="preserve">Витрати на канцтовари, офісне приладдя та устаткування відповідно до Табелю матеріально-технічного оснащення, грн.
</t>
    </r>
    <r>
      <rPr>
        <sz val="16"/>
        <rFont val="Times New Roman"/>
        <family val="1"/>
        <charset val="204"/>
      </rPr>
      <t>(частина адміністративних витрат)</t>
    </r>
  </si>
  <si>
    <r>
      <t>Відсоток розподілу</t>
    </r>
    <r>
      <rPr>
        <u/>
        <sz val="18"/>
        <color indexed="8"/>
        <rFont val="Times New Roman"/>
        <family val="1"/>
        <charset val="204"/>
      </rPr>
      <t xml:space="preserve"> капітальних інвестицій</t>
    </r>
    <r>
      <rPr>
        <sz val="18"/>
        <color indexed="8"/>
        <rFont val="Times New Roman"/>
        <family val="1"/>
        <charset val="204"/>
      </rPr>
      <t xml:space="preserve"> за кварталами року</t>
    </r>
  </si>
  <si>
    <r>
      <t xml:space="preserve">Відсоток розподілу </t>
    </r>
    <r>
      <rPr>
        <u/>
        <sz val="18"/>
        <color indexed="8"/>
        <rFont val="Times New Roman"/>
        <family val="1"/>
        <charset val="204"/>
      </rPr>
      <t>адміністративних витрат</t>
    </r>
    <r>
      <rPr>
        <sz val="18"/>
        <color indexed="8"/>
        <rFont val="Times New Roman"/>
        <family val="1"/>
        <charset val="204"/>
      </rPr>
      <t xml:space="preserve"> за кварталами року</t>
    </r>
  </si>
  <si>
    <r>
      <t xml:space="preserve">Витрати капітальні інвестиції відповідно до Табелю матеріально-технічного оснащення, грн.
</t>
    </r>
    <r>
      <rPr>
        <sz val="16"/>
        <rFont val="Times New Roman"/>
        <family val="1"/>
        <charset val="204"/>
      </rPr>
      <t>(частина відповідних витрат)</t>
    </r>
  </si>
  <si>
    <t>більше ніж у середньому в п.4</t>
  </si>
  <si>
    <t>70-80</t>
  </si>
  <si>
    <t>більше 40</t>
  </si>
  <si>
    <t>предмети, матеріали (відповідно до Табелю матеріально-технічного оснащення)</t>
  </si>
  <si>
    <t>основні засоби (відповідно до Табелю матеріально-технічного оснащення)</t>
  </si>
  <si>
    <t>малоцінні необоротні матеріальні активи (відповідно до Табелю матеріально-технічного оснащення)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</si>
  <si>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</si>
  <si>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</si>
  <si>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</si>
  <si>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</si>
  <si>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t>
  </si>
  <si>
    <t>оплата енергосервісу</t>
  </si>
  <si>
    <t xml:space="preserve">заробітна плата </t>
  </si>
  <si>
    <t>нарахування на оплату праці</t>
  </si>
  <si>
    <t>витрати на канцтовари, офісне приладдя та устаткування (відповідно до Табелю матеріально-технічного оснащення)</t>
  </si>
  <si>
    <r>
      <t>Дії: ознайомлення</t>
    </r>
    <r>
      <rPr>
        <sz val="13"/>
        <color indexed="8"/>
        <rFont val="Times New Roman"/>
        <family val="1"/>
        <charset val="204"/>
      </rPr>
      <t>.</t>
    </r>
  </si>
  <si>
    <r>
      <t>Дія: ознайомлення</t>
    </r>
    <r>
      <rPr>
        <sz val="13"/>
        <color indexed="8"/>
        <rFont val="Times New Roman"/>
        <family val="1"/>
        <charset val="204"/>
      </rPr>
      <t>.</t>
    </r>
  </si>
  <si>
    <t>Склад команд з надання ПМД (лікар та медичні сестри) та дані щодо кількості декларацій. Інші доходи (доходи не за договором про медичне обслуговування населення за програмою медичних гарантій).</t>
  </si>
  <si>
    <t xml:space="preserve">Оплата праці персоналу надавача ПМД (6 груп), комунальні витрати, інші видатки та показники балансу підприємства. </t>
  </si>
  <si>
    <r>
      <t xml:space="preserve">Деталізований </t>
    </r>
    <r>
      <rPr>
        <sz val="13"/>
        <color indexed="30"/>
        <rFont val="Times New Roman"/>
        <family val="1"/>
        <charset val="204"/>
      </rPr>
      <t>обрахунок</t>
    </r>
    <r>
      <rPr>
        <sz val="13"/>
        <color indexed="8"/>
        <rFont val="Times New Roman"/>
        <family val="1"/>
        <charset val="204"/>
      </rPr>
      <t xml:space="preserve"> оплати праці у розрізі:
- одиниць персоналу;
- груп персоналу (керівники, лікарі, середній медичний персонал, молодший медичний персонал, адміністративно-управлінський персонал, допоміжний персонал);
- складових оплати праці;
- кварталів.
Деталізований квартальний </t>
    </r>
    <r>
      <rPr>
        <sz val="13"/>
        <color indexed="30"/>
        <rFont val="Times New Roman"/>
        <family val="1"/>
        <charset val="204"/>
      </rPr>
      <t>обрахунок</t>
    </r>
    <r>
      <rPr>
        <sz val="13"/>
        <color indexed="8"/>
        <rFont val="Times New Roman"/>
        <family val="1"/>
        <charset val="204"/>
      </rPr>
      <t xml:space="preserve"> комунальних витрат</t>
    </r>
    <r>
      <rPr>
        <sz val="13"/>
        <color indexed="30"/>
        <rFont val="Times New Roman"/>
        <family val="1"/>
        <charset val="204"/>
      </rPr>
      <t>:</t>
    </r>
    <r>
      <rPr>
        <sz val="13"/>
        <color indexed="8"/>
        <rFont val="Times New Roman"/>
        <family val="1"/>
        <charset val="204"/>
      </rPr>
      <t xml:space="preserve">
- теплопостачання;
- водопостачання та водовідведення;
- електроенергію;
- природний газ.
Деталізований квартальний </t>
    </r>
    <r>
      <rPr>
        <sz val="13"/>
        <color indexed="30"/>
        <rFont val="Times New Roman"/>
        <family val="1"/>
        <charset val="204"/>
      </rPr>
      <t>обрахунок</t>
    </r>
    <r>
      <rPr>
        <sz val="13"/>
        <color indexed="8"/>
        <rFont val="Times New Roman"/>
        <family val="1"/>
        <charset val="204"/>
      </rPr>
      <t xml:space="preserve"> інших видатків та показників балансу підприємства.</t>
    </r>
  </si>
  <si>
    <t>3) скоригувати суму для розподілу закупівель на 3 групи в залежності від вартості і терміну експлуатації;</t>
  </si>
  <si>
    <t>4) скоригувати відсоток для розподілу закупівель за кварталами року.</t>
  </si>
  <si>
    <t>середньозважене по п.1</t>
  </si>
  <si>
    <r>
      <t xml:space="preserve">1) обрати тип лікаря з випадаючого списку </t>
    </r>
    <r>
      <rPr>
        <i/>
        <sz val="13"/>
        <color indexed="8"/>
        <rFont val="Times New Roman"/>
        <family val="1"/>
        <charset val="204"/>
      </rPr>
      <t>(лікар-педіатр, лікар-терапевт, лікар загальної практики – сімейний лікар);</t>
    </r>
  </si>
  <si>
    <r>
      <t xml:space="preserve">Річні витрати на </t>
    </r>
    <r>
      <rPr>
        <b/>
        <u/>
        <sz val="16"/>
        <rFont val="Times New Roman"/>
        <family val="1"/>
        <charset val="204"/>
      </rPr>
      <t>канцтовари, офісне приладдя та устаткування</t>
    </r>
    <r>
      <rPr>
        <b/>
        <sz val="16"/>
        <rFont val="Times New Roman"/>
        <family val="1"/>
        <charset val="204"/>
      </rPr>
      <t xml:space="preserve"> відповідно до Табелю матеріально-технічного оснащення, </t>
    </r>
    <r>
      <rPr>
        <sz val="16"/>
        <rFont val="Times New Roman"/>
        <family val="1"/>
        <charset val="204"/>
      </rPr>
      <t xml:space="preserve">грн.
</t>
    </r>
    <r>
      <rPr>
        <i/>
        <sz val="16"/>
        <rFont val="Times New Roman"/>
        <family val="1"/>
        <charset val="204"/>
      </rPr>
      <t>(частина адміністративних витрат)</t>
    </r>
  </si>
  <si>
    <r>
      <t xml:space="preserve">Річні витрати на </t>
    </r>
    <r>
      <rPr>
        <b/>
        <u/>
        <sz val="16"/>
        <rFont val="Times New Roman"/>
        <family val="1"/>
        <charset val="204"/>
      </rPr>
      <t xml:space="preserve">капітальні інвестиції </t>
    </r>
    <r>
      <rPr>
        <b/>
        <sz val="16"/>
        <rFont val="Times New Roman"/>
        <family val="1"/>
        <charset val="204"/>
      </rPr>
      <t xml:space="preserve">відповідно до Табелю матеріально-технічного оснащення, </t>
    </r>
    <r>
      <rPr>
        <sz val="16"/>
        <rFont val="Times New Roman"/>
        <family val="1"/>
        <charset val="204"/>
      </rPr>
      <t>грн.</t>
    </r>
    <r>
      <rPr>
        <i/>
        <sz val="16"/>
        <rFont val="Times New Roman"/>
        <family val="1"/>
        <charset val="204"/>
      </rPr>
      <t xml:space="preserve">
(частина відповідних витрат)</t>
    </r>
  </si>
  <si>
    <t>Питома вага ФОП адміністративно-управлінського персоналу (з нарахуваннями) у загальних видатках надавача ПМД (%)</t>
  </si>
  <si>
    <t>Питома вага ФОП лікарів ПМД (з нарахуваннями) у загальних видатках надавача ПМД (%)</t>
  </si>
  <si>
    <t>Питома вага сумарного ФОП (з нарахуваннями) у загальних видатках надавача ПМД (%)</t>
  </si>
  <si>
    <t>Питома вага фонду преміювання у загальному ФОП (з нарахуваннями) надавача ПМД (%)</t>
  </si>
  <si>
    <r>
      <t>Розподіл закупівель на 3 групи в залежності від вартості і терміну експлуатації:</t>
    </r>
    <r>
      <rPr>
        <b/>
        <i/>
        <sz val="14"/>
        <rFont val="Times New Roman"/>
        <family val="1"/>
        <charset val="204"/>
      </rPr>
      <t xml:space="preserve">
</t>
    </r>
    <r>
      <rPr>
        <sz val="14"/>
        <rFont val="Times New Roman"/>
        <family val="1"/>
        <charset val="204"/>
      </rPr>
      <t>1 група - предмети, матеріали (до 1 року);
2 група - основні засоби (більше 1 року та більше або дорівнює сумі у комірці С103 (грн.));
3 група - малоцінні необоротні матеріальні активи (більше 1 року та манше суми у комірці С103 (грн.)).</t>
    </r>
  </si>
  <si>
    <t>Контакти розробників:</t>
  </si>
  <si>
    <t>Наталія Коваленко</t>
  </si>
  <si>
    <t>Максим Дуда</t>
  </si>
  <si>
    <t>ел.пошта</t>
  </si>
  <si>
    <t>nkovalenko@hrs.net.ua</t>
  </si>
  <si>
    <t>mduda@hrs.net.ua</t>
  </si>
  <si>
    <t>Контейнери: для інструментарію, витратних матеріалів тощо</t>
  </si>
  <si>
    <t>Швидкі тести: вагітність, тропоніни, ВІЛ, вірусні гепатити тощо</t>
  </si>
  <si>
    <t>Офісні меблі: столи для персоналу, стільці та (або) крісла для кабінетів і зал очікувань, шафи для документів і одягу, сейфи тощо</t>
  </si>
  <si>
    <t>Комп’ютерне обладнання: комп’ютер або ноутбук з операційною системою та доступом до мережі Інтернет, багатофункціональний пристрій (або принтер + сканер)</t>
  </si>
  <si>
    <t>комп’ютер або ноутбук з операційною системою</t>
  </si>
  <si>
    <t>Набір цифрових "скопічних" систем із генератором світла (дерматоскоп, офтальмоскоп, отоскоп, назо-фарингоскоп, сінускоп, кольпоскоп)</t>
  </si>
  <si>
    <t>Спірометр цифровий</t>
  </si>
  <si>
    <r>
      <rPr>
        <b/>
        <u/>
        <sz val="13"/>
        <color indexed="8"/>
        <rFont val="Times New Roman"/>
        <family val="1"/>
        <charset val="204"/>
      </rPr>
      <t>2.</t>
    </r>
    <r>
      <rPr>
        <sz val="13"/>
        <color indexed="8"/>
        <rFont val="Times New Roman"/>
        <family val="1"/>
        <charset val="204"/>
      </rPr>
      <t xml:space="preserve"> заповніть комірки з жовтою заливкою - зазначте термін експлуатації по кожній позиції Табелю матеріально-технічного оснащення (колір знімається автоматично).</t>
    </r>
  </si>
  <si>
    <t>Показник за програмою медичних гарантій / Вікові групи</t>
  </si>
  <si>
    <t>Тарифи за надання медичних послуг, пов’язаних з первинною медичною допомогою</t>
  </si>
  <si>
    <r>
      <t xml:space="preserve">Доходи у І кварталі, </t>
    </r>
    <r>
      <rPr>
        <b/>
        <i/>
        <sz val="16"/>
        <rFont val="Times New Roman"/>
        <family val="1"/>
        <charset val="204"/>
      </rPr>
      <t>грн.</t>
    </r>
  </si>
  <si>
    <r>
      <t>Доходи у ІІ кварталі,</t>
    </r>
    <r>
      <rPr>
        <b/>
        <i/>
        <sz val="16"/>
        <rFont val="Times New Roman"/>
        <family val="1"/>
        <charset val="204"/>
      </rPr>
      <t xml:space="preserve"> грн.</t>
    </r>
  </si>
  <si>
    <r>
      <t xml:space="preserve">Доходи у ІІІ кварталі, </t>
    </r>
    <r>
      <rPr>
        <b/>
        <i/>
        <sz val="16"/>
        <rFont val="Times New Roman"/>
        <family val="1"/>
        <charset val="204"/>
      </rPr>
      <t>грн.</t>
    </r>
  </si>
  <si>
    <r>
      <t xml:space="preserve">Доходи у IV кварталі, </t>
    </r>
    <r>
      <rPr>
        <b/>
        <i/>
        <sz val="16"/>
        <rFont val="Times New Roman"/>
        <family val="1"/>
        <charset val="204"/>
      </rPr>
      <t>грн.</t>
    </r>
  </si>
  <si>
    <r>
      <t xml:space="preserve">Всього річні ДОХОДИ надавача ПМД, </t>
    </r>
    <r>
      <rPr>
        <b/>
        <i/>
        <sz val="16"/>
        <rFont val="Times New Roman"/>
        <family val="1"/>
        <charset val="204"/>
      </rPr>
      <t>грн.</t>
    </r>
  </si>
  <si>
    <r>
      <t xml:space="preserve">Інші надходження/доходи надавача ПМД, </t>
    </r>
    <r>
      <rPr>
        <i/>
        <sz val="18"/>
        <rFont val="Times New Roman"/>
        <family val="1"/>
        <charset val="204"/>
      </rPr>
      <t>грн.</t>
    </r>
  </si>
  <si>
    <r>
      <t xml:space="preserve">ВСЬОГО ДОХОДІВ надавача ПМД, </t>
    </r>
    <r>
      <rPr>
        <b/>
        <i/>
        <sz val="18"/>
        <rFont val="Times New Roman"/>
        <family val="1"/>
        <charset val="204"/>
      </rPr>
      <t>грн.</t>
    </r>
  </si>
  <si>
    <t>оновлена версія</t>
  </si>
  <si>
    <r>
      <t>«ІНСАЙТ 3.0» -</t>
    </r>
    <r>
      <rPr>
        <b/>
        <sz val="18"/>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r>
      <rPr>
        <b/>
        <sz val="22"/>
        <color indexed="8"/>
        <rFont val="Times New Roman"/>
        <family val="1"/>
        <charset val="204"/>
      </rPr>
      <t xml:space="preserve">
                                                              </t>
    </r>
    <r>
      <rPr>
        <b/>
        <i/>
        <sz val="22"/>
        <color indexed="8"/>
        <rFont val="Times New Roman"/>
        <family val="1"/>
        <charset val="204"/>
      </rPr>
      <t xml:space="preserve">  --- негірський населений пункт ---</t>
    </r>
  </si>
  <si>
    <r>
      <t>«ІНСАЙТ 3.0» -</t>
    </r>
    <r>
      <rPr>
        <b/>
        <sz val="16"/>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</si>
  <si>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 xml:space="preserve">«ІНСАЙТ 3.0» - </t>
    </r>
    <r>
      <rPr>
        <b/>
        <sz val="16"/>
        <color indexed="8"/>
        <rFont val="Times New Roman"/>
        <family val="1"/>
        <charset val="204"/>
      </rPr>
      <t>Електронний інструмент з фінансового планування доходів та видатків надавача первинної медичної допомоги</t>
    </r>
  </si>
  <si>
    <r>
      <t>«ІНСАЙТ 3.0» -</t>
    </r>
    <r>
      <rPr>
        <b/>
        <sz val="20"/>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</si>
  <si>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«ІНСАЙТ 3.0» -</t>
    </r>
    <r>
      <rPr>
        <b/>
        <sz val="14"/>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</si>
  <si>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«ІНСАЙТ 3.0» -</t>
    </r>
    <r>
      <rPr>
        <b/>
        <sz val="18"/>
        <color indexed="8"/>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</si>
  <si>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 xml:space="preserve">«ІНСАЙТ 3.0» - </t>
    </r>
    <r>
      <rPr>
        <b/>
        <sz val="14"/>
        <color indexed="8"/>
        <rFont val="Times New Roman"/>
        <family val="1"/>
        <charset val="204"/>
      </rPr>
      <t>Електронний інструмент з фінансового планування доходів та видатків надавача первинної медичної допомоги</t>
    </r>
  </si>
  <si>
    <r>
      <rPr>
        <b/>
        <u/>
        <sz val="16"/>
        <color indexed="8"/>
        <rFont val="Times New Roman"/>
        <family val="1"/>
        <charset val="204"/>
      </rPr>
      <t>Увага</t>
    </r>
    <r>
      <rPr>
        <b/>
        <sz val="16"/>
        <color indexed="8"/>
        <rFont val="Times New Roman"/>
        <family val="1"/>
        <charset val="204"/>
      </rPr>
      <t xml:space="preserve">: при здійсненні фінансового планування на </t>
    </r>
    <r>
      <rPr>
        <b/>
        <u/>
        <sz val="16"/>
        <color indexed="8"/>
        <rFont val="Times New Roman"/>
        <family val="1"/>
        <charset val="204"/>
      </rPr>
      <t>плановий рік</t>
    </r>
    <r>
      <rPr>
        <b/>
        <sz val="16"/>
        <color indexed="8"/>
        <rFont val="Times New Roman"/>
        <family val="1"/>
        <charset val="204"/>
      </rPr>
      <t xml:space="preserve"> - обов'язково перевірте актуальність законодавства, що встановлює тарифи для надавачів ПМД (тарифи знаходяться на вкладці "Законод").</t>
    </r>
  </si>
  <si>
    <t>Постанова Кабінету Міністрів України  від 05.02.2020 №65 "Деякі питання реалізації програми державних гарантій медичного обслуговування населення у 2020 році"</t>
  </si>
  <si>
    <t>https://zakon.rada.gov.ua/laws/show/65-2020-%D0%BF/print</t>
  </si>
  <si>
    <t>Закон України від 06.04.2017 №2002 "Про внесення змін до деяких законодавчих актів України щодо удосконалення законодавства з питань діяльності закладів охорони здоров'я"</t>
  </si>
  <si>
    <t>https://zakon.rada.gov.ua/laws/show/2002-19/print</t>
  </si>
  <si>
    <t>Постанова Кабінету Міністрів України від 25.04.2018 №410 "Про договори про медичне обслуговування населення за програмою медичних гарантій"</t>
  </si>
  <si>
    <t>https://zakon.rada.gov.ua/laws/show/410-2018-%D0%BF/print</t>
  </si>
  <si>
    <t>Постанова Кабінету Міністрів України  від 27.11.2019 №1119 "Деякі питання реалізації державних фінансових гарантій медичного обслуговування населення за програмою медичних гарантій на 2020 рік"</t>
  </si>
  <si>
    <t>https://zakon.rada.gov.ua/laws/show/1119-2019-%D0%BF/print</t>
  </si>
  <si>
    <t>Постанова Кабінету Міністрів України  від 24.12.2019 №1086 "Про затвердження Порядку використання коштів, передбачених у державному бюджеті на реалізацію програми державних гарантій медичного обслуговування населення"</t>
  </si>
  <si>
    <t>https://zakon.rada.gov.ua/laws/show/1086-2019-%D0%BF/print</t>
  </si>
  <si>
    <r>
      <rPr>
        <b/>
        <u/>
        <sz val="18"/>
        <rFont val="Times New Roman"/>
        <family val="1"/>
        <charset val="204"/>
      </rPr>
      <t>Увага:</t>
    </r>
    <r>
      <rPr>
        <b/>
        <sz val="18"/>
        <rFont val="Times New Roman"/>
        <family val="1"/>
        <charset val="204"/>
      </rPr>
      <t xml:space="preserve"> </t>
    </r>
    <r>
      <rPr>
        <b/>
        <sz val="16"/>
        <rFont val="Times New Roman"/>
        <family val="1"/>
        <charset val="204"/>
      </rPr>
      <t xml:space="preserve">при здійсненні фінансового планування на </t>
    </r>
    <r>
      <rPr>
        <b/>
        <u/>
        <sz val="16"/>
        <rFont val="Times New Roman"/>
        <family val="1"/>
        <charset val="204"/>
      </rPr>
      <t>плановий рік</t>
    </r>
    <r>
      <rPr>
        <b/>
        <sz val="16"/>
        <rFont val="Times New Roman"/>
        <family val="1"/>
        <charset val="204"/>
      </rPr>
      <t xml:space="preserve"> - обов'язково перевірте актуальність тарифів на вкладці "Законод" (наразі тарифи наведено на 2020 рік). Якщо тарифи актуальні на дату розрахунку - змін на цій вкладці робити не потрібно.</t>
    </r>
  </si>
  <si>
    <t>від 100%+1 декларація до 110% ліміту включно</t>
  </si>
  <si>
    <t>постанова Кабінету Міністрів України від 05.02.2020 №65</t>
  </si>
  <si>
    <r>
      <rPr>
        <b/>
        <u/>
        <sz val="20"/>
        <rFont val="Times New Roman"/>
        <family val="1"/>
        <charset val="204"/>
      </rPr>
      <t>3.</t>
    </r>
    <r>
      <rPr>
        <b/>
        <sz val="20"/>
        <rFont val="Times New Roman"/>
        <family val="1"/>
        <charset val="204"/>
      </rPr>
      <t xml:space="preserve"> </t>
    </r>
    <r>
      <rPr>
        <sz val="20"/>
        <rFont val="Times New Roman"/>
        <family val="1"/>
        <charset val="204"/>
      </rPr>
      <t>Перевірте, чи  залишились комірки з жовтою заливкою (колір знімається автоматично при заповненні).</t>
    </r>
  </si>
  <si>
    <r>
      <rPr>
        <b/>
        <u/>
        <sz val="20"/>
        <rFont val="Times New Roman"/>
        <family val="1"/>
        <charset val="204"/>
      </rPr>
      <t>4.</t>
    </r>
    <r>
      <rPr>
        <sz val="20"/>
        <rFont val="Times New Roman"/>
        <family val="1"/>
        <charset val="204"/>
      </rPr>
      <t xml:space="preserve"> Перейдіть до вкладки </t>
    </r>
    <r>
      <rPr>
        <b/>
        <sz val="20"/>
        <rFont val="Times New Roman"/>
        <family val="1"/>
        <charset val="204"/>
      </rPr>
      <t>"02_Видатки"</t>
    </r>
    <r>
      <rPr>
        <sz val="20"/>
        <rFont val="Times New Roman"/>
        <family val="1"/>
        <charset val="204"/>
      </rPr>
      <t>.</t>
    </r>
  </si>
  <si>
    <r>
      <rPr>
        <b/>
        <u/>
        <sz val="20"/>
        <rFont val="Times New Roman"/>
        <family val="1"/>
        <charset val="204"/>
      </rPr>
      <t>1.</t>
    </r>
    <r>
      <rPr>
        <sz val="20"/>
        <rFont val="Times New Roman"/>
        <family val="1"/>
        <charset val="204"/>
      </rPr>
      <t xml:space="preserve"> Заповніть комірки з жовтою заливкою стосовно кількості декларацій по КОЖНОМУ лікарю з наданням ПМД.  (у разі відсутності категорій доходів - поставити "0"). Для зручності - закріпіть шапку таблиці 1, а після закінчення роботи з нею - відкріпіть.</t>
    </r>
  </si>
  <si>
    <r>
      <rPr>
        <b/>
        <u/>
        <sz val="20"/>
        <rFont val="Times New Roman"/>
        <family val="1"/>
        <charset val="204"/>
      </rPr>
      <t>2.</t>
    </r>
    <r>
      <rPr>
        <sz val="20"/>
        <rFont val="Times New Roman"/>
        <family val="1"/>
        <charset val="204"/>
      </rPr>
      <t xml:space="preserve"> Для розрахунку індикаторів фінансової стійкості - заповніть додатково комірки з зеленою заливкою стосовно кількості медичних сестер, які працюють в команді надання ПМД для КОЖНОГО лікаря.</t>
    </r>
  </si>
  <si>
    <r>
      <rPr>
        <b/>
        <u/>
        <sz val="13"/>
        <color indexed="8"/>
        <rFont val="Times New Roman"/>
        <family val="1"/>
        <charset val="204"/>
      </rPr>
      <t>1.</t>
    </r>
    <r>
      <rPr>
        <sz val="13"/>
        <color indexed="8"/>
        <rFont val="Times New Roman"/>
        <family val="1"/>
        <charset val="204"/>
      </rPr>
      <t xml:space="preserve"> заповніть комірки з жовтою заливкою (у разі відсутності категорії видатків - поставити "0"). Для зручності - закріплюйте шапки тих таблиць, з якими працюєте.</t>
    </r>
  </si>
  <si>
    <r>
      <t xml:space="preserve">Увага: </t>
    </r>
    <r>
      <rPr>
        <sz val="18"/>
        <rFont val="Times New Roman"/>
        <family val="1"/>
        <charset val="204"/>
      </rPr>
      <t>для коректного користування графічними зображеннями - відкоригуйте шкали та одиниці вимірювання (функція Формат області діаграми).</t>
    </r>
  </si>
  <si>
    <r>
      <t xml:space="preserve">Тариф на медичні послуги з надання ПМД встановлюється як базова капітаційна ставка за обслуговування одного пацієнта, що подав декларацію про вибір лікаря, який надає ПМД, </t>
    </r>
    <r>
      <rPr>
        <b/>
        <i/>
        <sz val="12"/>
        <color indexed="8"/>
        <rFont val="Times New Roman"/>
        <family val="1"/>
        <charset val="204"/>
      </rPr>
      <t>грн. на рік</t>
    </r>
  </si>
  <si>
    <t>Всього надходжень за деклараціямм, грн.</t>
  </si>
  <si>
    <t>Надходження надавача ПМД за деклараціями (НЕГІРСЬКИЙ НАСЕЛЕНИЙ ПУНКТ)</t>
  </si>
  <si>
    <r>
      <t>2. Інші надходження/доход</t>
    </r>
    <r>
      <rPr>
        <b/>
        <sz val="22"/>
        <rFont val="Times New Roman"/>
        <family val="1"/>
        <charset val="204"/>
      </rPr>
      <t>и надавача ПМД</t>
    </r>
  </si>
  <si>
    <t>Дохід за програмою медичних гарантій на одного лікаря ПМД (грн.):</t>
  </si>
  <si>
    <t>Дохід за програмою медичних гарантій на одного працівника адміністративно-управлінського та допоміжного персоналу (грн.)</t>
  </si>
  <si>
    <r>
      <t xml:space="preserve">Автоматичний </t>
    </r>
    <r>
      <rPr>
        <sz val="13"/>
        <color indexed="30"/>
        <rFont val="Times New Roman"/>
        <family val="1"/>
        <charset val="204"/>
      </rPr>
      <t>обрахунок</t>
    </r>
    <r>
      <rPr>
        <sz val="13"/>
        <color indexed="8"/>
        <rFont val="Times New Roman"/>
        <family val="1"/>
        <charset val="204"/>
      </rPr>
      <t xml:space="preserve"> доходів надавача ПМД на плановий рік за кварталами у розрізі видів доходів:
</t>
    </r>
    <r>
      <rPr>
        <i/>
        <sz val="13"/>
        <color indexed="8"/>
        <rFont val="Times New Roman"/>
        <family val="1"/>
        <charset val="204"/>
      </rPr>
      <t xml:space="preserve">- доходи за деклараціями;
- інші доходи.
</t>
    </r>
    <r>
      <rPr>
        <sz val="13"/>
        <color indexed="8"/>
        <rFont val="Times New Roman"/>
        <family val="1"/>
        <charset val="204"/>
      </rPr>
      <t xml:space="preserve">Додаткові </t>
    </r>
    <r>
      <rPr>
        <sz val="13"/>
        <color indexed="30"/>
        <rFont val="Times New Roman"/>
        <family val="1"/>
        <charset val="204"/>
      </rPr>
      <t>розрахунки</t>
    </r>
    <r>
      <rPr>
        <sz val="13"/>
        <color indexed="8"/>
        <rFont val="Times New Roman"/>
        <family val="1"/>
        <charset val="204"/>
      </rPr>
      <t xml:space="preserve">:
</t>
    </r>
    <r>
      <rPr>
        <i/>
        <sz val="13"/>
        <color indexed="8"/>
        <rFont val="Times New Roman"/>
        <family val="1"/>
        <charset val="204"/>
      </rPr>
      <t xml:space="preserve">- загальна кількість лімітних та понадлімітних декларацій;
- надходження за лімітні та понадлімітні декларації.
</t>
    </r>
    <r>
      <rPr>
        <sz val="13"/>
        <color indexed="8"/>
        <rFont val="Times New Roman"/>
        <family val="1"/>
        <charset val="204"/>
      </rPr>
      <t xml:space="preserve">Деталізований автоматичний </t>
    </r>
    <r>
      <rPr>
        <sz val="13"/>
        <color indexed="30"/>
        <rFont val="Times New Roman"/>
        <family val="1"/>
        <charset val="204"/>
      </rPr>
      <t>обрахунок</t>
    </r>
    <r>
      <rPr>
        <sz val="13"/>
        <color indexed="8"/>
        <rFont val="Times New Roman"/>
        <family val="1"/>
        <charset val="204"/>
      </rPr>
      <t xml:space="preserve"> доходів за програмою медичних гарантій у розрізі:
</t>
    </r>
    <r>
      <rPr>
        <i/>
        <sz val="13"/>
        <color indexed="8"/>
        <rFont val="Times New Roman"/>
        <family val="1"/>
        <charset val="204"/>
      </rPr>
      <t>- лікарів;
- кварталів;
- лімітних / понадлімітних декларацій.</t>
    </r>
  </si>
  <si>
    <t>1. Доходи за програмою медичних гарантій (за деклараціями)</t>
  </si>
  <si>
    <t>доходи за ПМГ</t>
  </si>
</sst>
</file>

<file path=xl/styles.xml><?xml version="1.0" encoding="utf-8"?>
<styleSheet xmlns="http://schemas.openxmlformats.org/spreadsheetml/2006/main">
  <numFmts count="13">
    <numFmt numFmtId="164" formatCode="_(* #,##0_);_(* \(#,##0\);_(* &quot;-&quot;_);_(@_)"/>
    <numFmt numFmtId="165" formatCode="#,##0.0"/>
    <numFmt numFmtId="166" formatCode="0.0"/>
    <numFmt numFmtId="167" formatCode="_(&quot;$&quot;* #,##0.00_);_(&quot;$&quot;* \(#,##0.00\);_(&quot;$&quot;* &quot;-&quot;??_);_(@_)"/>
    <numFmt numFmtId="168" formatCode="_(* #,##0_);_(* \(#,##0\);_(* &quot;-&quot;??_);_(@_)"/>
    <numFmt numFmtId="169" formatCode="_([$UAH]\ * #,##0.00_);_([$UAH]\ * \(#,##0.00\);_([$UAH]\ * &quot;-&quot;??_);_(@_)"/>
    <numFmt numFmtId="170" formatCode="0.0%"/>
    <numFmt numFmtId="171" formatCode="0.000"/>
    <numFmt numFmtId="172" formatCode="#,##0_ ;\-#,##0\ "/>
    <numFmt numFmtId="173" formatCode="#,##0.0000"/>
    <numFmt numFmtId="174" formatCode="#,##0.00000"/>
    <numFmt numFmtId="175" formatCode="#,##0.000"/>
    <numFmt numFmtId="176" formatCode="#,##0.000000"/>
  </numFmts>
  <fonts count="151">
    <font>
      <sz val="11"/>
      <color theme="1"/>
      <name val="Calibri"/>
      <family val="2"/>
      <scheme val="minor"/>
    </font>
    <font>
      <sz val="11"/>
      <color indexed="8"/>
      <name val="Calibri"/>
      <family val="2"/>
    </font>
    <font>
      <b/>
      <sz val="13"/>
      <name val="Times New Roman"/>
      <family val="1"/>
      <charset val="204"/>
    </font>
    <font>
      <b/>
      <sz val="14"/>
      <color indexed="8"/>
      <name val="Calibri"/>
      <family val="2"/>
      <charset val="204"/>
    </font>
    <font>
      <sz val="10"/>
      <name val="Arial Cyr"/>
      <charset val="204"/>
    </font>
    <font>
      <sz val="16"/>
      <name val="Times New Roman"/>
      <family val="1"/>
      <charset val="204"/>
    </font>
    <font>
      <sz val="14"/>
      <name val="Times New Roman"/>
      <family val="1"/>
      <charset val="204"/>
    </font>
    <font>
      <b/>
      <i/>
      <sz val="16"/>
      <name val="Times New Roman"/>
      <family val="1"/>
      <charset val="204"/>
    </font>
    <font>
      <b/>
      <sz val="14"/>
      <name val="Times New Roman"/>
      <family val="1"/>
      <charset val="204"/>
    </font>
    <font>
      <i/>
      <sz val="14"/>
      <name val="Times New Roman"/>
      <family val="1"/>
      <charset val="204"/>
    </font>
    <font>
      <sz val="12"/>
      <name val="Times New Roman"/>
      <family val="1"/>
      <charset val="204"/>
    </font>
    <font>
      <b/>
      <sz val="18"/>
      <color indexed="8"/>
      <name val="Calibri"/>
      <family val="2"/>
      <charset val="204"/>
    </font>
    <font>
      <b/>
      <sz val="14"/>
      <color indexed="10"/>
      <name val="Times New Roman"/>
      <family val="1"/>
      <charset val="204"/>
    </font>
    <font>
      <strike/>
      <sz val="14"/>
      <name val="Times New Roman"/>
      <family val="1"/>
      <charset val="204"/>
    </font>
    <font>
      <b/>
      <u/>
      <sz val="13"/>
      <color indexed="8"/>
      <name val="Times New Roman"/>
      <family val="1"/>
      <charset val="204"/>
    </font>
    <font>
      <sz val="13"/>
      <color indexed="8"/>
      <name val="Times New Roman"/>
      <family val="1"/>
      <charset val="204"/>
    </font>
    <font>
      <b/>
      <sz val="13"/>
      <color indexed="8"/>
      <name val="Times New Roman"/>
      <family val="1"/>
      <charset val="204"/>
    </font>
    <font>
      <sz val="14"/>
      <color indexed="30"/>
      <name val="Times New Roman"/>
      <family val="1"/>
      <charset val="204"/>
    </font>
    <font>
      <strike/>
      <sz val="14"/>
      <color indexed="10"/>
      <name val="Times New Roman"/>
      <family val="1"/>
      <charset val="204"/>
    </font>
    <font>
      <u/>
      <sz val="13"/>
      <color indexed="30"/>
      <name val="Times New Roman"/>
      <family val="1"/>
      <charset val="204"/>
    </font>
    <font>
      <b/>
      <sz val="18"/>
      <color indexed="8"/>
      <name val="Times New Roman"/>
      <family val="1"/>
      <charset val="204"/>
    </font>
    <font>
      <sz val="14"/>
      <color indexed="17"/>
      <name val="Times New Roman"/>
      <family val="1"/>
      <charset val="204"/>
    </font>
    <font>
      <b/>
      <sz val="16"/>
      <name val="Times New Roman"/>
      <family val="1"/>
      <charset val="204"/>
    </font>
    <font>
      <i/>
      <sz val="12"/>
      <color indexed="9"/>
      <name val="Times New Roman"/>
      <family val="1"/>
      <charset val="204"/>
    </font>
    <font>
      <sz val="12"/>
      <color indexed="8"/>
      <name val="Times New Roman"/>
      <family val="1"/>
      <charset val="204"/>
    </font>
    <font>
      <i/>
      <sz val="16"/>
      <name val="Times New Roman"/>
      <family val="1"/>
      <charset val="204"/>
    </font>
    <font>
      <b/>
      <u/>
      <sz val="16"/>
      <name val="Times New Roman"/>
      <family val="1"/>
      <charset val="204"/>
    </font>
    <font>
      <b/>
      <i/>
      <sz val="14"/>
      <name val="Times New Roman"/>
      <family val="1"/>
      <charset val="204"/>
    </font>
    <font>
      <sz val="16"/>
      <color indexed="8"/>
      <name val="Times New Roman"/>
      <family val="1"/>
      <charset val="204"/>
    </font>
    <font>
      <b/>
      <sz val="20"/>
      <color indexed="8"/>
      <name val="Times New Roman"/>
      <family val="1"/>
      <charset val="204"/>
    </font>
    <font>
      <sz val="20"/>
      <color indexed="8"/>
      <name val="Times New Roman"/>
      <family val="1"/>
      <charset val="204"/>
    </font>
    <font>
      <b/>
      <sz val="20"/>
      <color indexed="62"/>
      <name val="Times New Roman"/>
      <family val="1"/>
      <charset val="204"/>
    </font>
    <font>
      <sz val="20"/>
      <color indexed="9"/>
      <name val="Times New Roman"/>
      <family val="1"/>
      <charset val="204"/>
    </font>
    <font>
      <sz val="12"/>
      <color indexed="9"/>
      <name val="Times New Roman"/>
      <family val="1"/>
      <charset val="204"/>
    </font>
    <font>
      <b/>
      <sz val="16"/>
      <color indexed="9"/>
      <name val="Times New Roman"/>
      <family val="1"/>
      <charset val="204"/>
    </font>
    <font>
      <b/>
      <sz val="12"/>
      <color indexed="9"/>
      <name val="Times New Roman"/>
      <family val="1"/>
      <charset val="204"/>
    </font>
    <font>
      <sz val="12"/>
      <color indexed="8"/>
      <name val="Times New Roman"/>
      <family val="1"/>
      <charset val="204"/>
    </font>
    <font>
      <i/>
      <sz val="12"/>
      <color indexed="8"/>
      <name val="Times New Roman"/>
      <family val="1"/>
      <charset val="204"/>
    </font>
    <font>
      <sz val="18"/>
      <color indexed="8"/>
      <name val="Times New Roman"/>
      <family val="1"/>
      <charset val="204"/>
    </font>
    <font>
      <b/>
      <sz val="16"/>
      <color indexed="8"/>
      <name val="Times New Roman"/>
      <family val="1"/>
      <charset val="204"/>
    </font>
    <font>
      <b/>
      <sz val="12"/>
      <name val="Times New Roman"/>
      <family val="1"/>
      <charset val="204"/>
    </font>
    <font>
      <i/>
      <sz val="12"/>
      <name val="Times New Roman"/>
      <family val="1"/>
      <charset val="204"/>
    </font>
    <font>
      <sz val="13"/>
      <color indexed="9"/>
      <name val="Times New Roman"/>
      <family val="1"/>
      <charset val="204"/>
    </font>
    <font>
      <sz val="13"/>
      <color indexed="8"/>
      <name val="Times New Roman"/>
      <family val="1"/>
      <charset val="204"/>
    </font>
    <font>
      <b/>
      <i/>
      <sz val="13"/>
      <color indexed="8"/>
      <name val="Times New Roman"/>
      <family val="1"/>
      <charset val="204"/>
    </font>
    <font>
      <i/>
      <sz val="13"/>
      <color indexed="8"/>
      <name val="Times New Roman"/>
      <family val="1"/>
      <charset val="204"/>
    </font>
    <font>
      <sz val="13"/>
      <color indexed="30"/>
      <name val="Times New Roman"/>
      <family val="1"/>
      <charset val="204"/>
    </font>
    <font>
      <b/>
      <i/>
      <sz val="13"/>
      <color indexed="8"/>
      <name val="Times New Roman"/>
      <family val="1"/>
      <charset val="204"/>
    </font>
    <font>
      <i/>
      <sz val="13"/>
      <color indexed="8"/>
      <name val="Times New Roman"/>
      <family val="1"/>
      <charset val="204"/>
    </font>
    <font>
      <sz val="13"/>
      <color indexed="17"/>
      <name val="Times New Roman"/>
      <family val="1"/>
      <charset val="204"/>
    </font>
    <font>
      <sz val="13"/>
      <name val="Times New Roman"/>
      <family val="1"/>
      <charset val="204"/>
    </font>
    <font>
      <u/>
      <sz val="11"/>
      <color indexed="30"/>
      <name val="Times New Roman"/>
      <family val="1"/>
      <charset val="204"/>
    </font>
    <font>
      <b/>
      <sz val="23"/>
      <color indexed="8"/>
      <name val="Times New Roman"/>
      <family val="1"/>
      <charset val="204"/>
    </font>
    <font>
      <sz val="11"/>
      <color indexed="8"/>
      <name val="Times New Roman"/>
      <family val="1"/>
      <charset val="204"/>
    </font>
    <font>
      <b/>
      <sz val="18"/>
      <color indexed="10"/>
      <name val="Times New Roman"/>
      <family val="1"/>
      <charset val="204"/>
    </font>
    <font>
      <sz val="13"/>
      <color indexed="10"/>
      <name val="Times New Roman"/>
      <family val="1"/>
      <charset val="204"/>
    </font>
    <font>
      <sz val="14"/>
      <color indexed="8"/>
      <name val="Times New Roman"/>
      <family val="1"/>
      <charset val="204"/>
    </font>
    <font>
      <b/>
      <sz val="14"/>
      <color indexed="8"/>
      <name val="Times New Roman"/>
      <family val="1"/>
      <charset val="204"/>
    </font>
    <font>
      <sz val="13"/>
      <color indexed="23"/>
      <name val="Times New Roman"/>
      <family val="1"/>
      <charset val="204"/>
    </font>
    <font>
      <b/>
      <u/>
      <sz val="14"/>
      <color indexed="30"/>
      <name val="Times New Roman"/>
      <family val="1"/>
      <charset val="204"/>
    </font>
    <font>
      <b/>
      <sz val="11"/>
      <color indexed="8"/>
      <name val="Times New Roman"/>
      <family val="1"/>
      <charset val="204"/>
    </font>
    <font>
      <sz val="11"/>
      <color indexed="30"/>
      <name val="Times New Roman"/>
      <family val="1"/>
      <charset val="204"/>
    </font>
    <font>
      <sz val="11"/>
      <name val="Times New Roman"/>
      <family val="1"/>
      <charset val="204"/>
    </font>
    <font>
      <sz val="11"/>
      <color indexed="10"/>
      <name val="Times New Roman"/>
      <family val="1"/>
      <charset val="204"/>
    </font>
    <font>
      <b/>
      <sz val="20"/>
      <color indexed="10"/>
      <name val="Times New Roman"/>
      <family val="1"/>
      <charset val="204"/>
    </font>
    <font>
      <b/>
      <sz val="20"/>
      <color indexed="30"/>
      <name val="Times New Roman"/>
      <family val="1"/>
      <charset val="204"/>
    </font>
    <font>
      <b/>
      <u/>
      <sz val="16"/>
      <color indexed="30"/>
      <name val="Times New Roman"/>
      <family val="1"/>
      <charset val="204"/>
    </font>
    <font>
      <b/>
      <i/>
      <sz val="16"/>
      <color indexed="8"/>
      <name val="Times New Roman"/>
      <family val="1"/>
      <charset val="204"/>
    </font>
    <font>
      <sz val="11"/>
      <color indexed="9"/>
      <name val="Times New Roman"/>
      <family val="1"/>
      <charset val="204"/>
    </font>
    <font>
      <sz val="18"/>
      <color indexed="10"/>
      <name val="Times New Roman"/>
      <family val="1"/>
      <charset val="204"/>
    </font>
    <font>
      <b/>
      <sz val="11"/>
      <name val="Times New Roman"/>
      <family val="1"/>
      <charset val="204"/>
    </font>
    <font>
      <b/>
      <sz val="24"/>
      <name val="Times New Roman"/>
      <family val="1"/>
      <charset val="204"/>
    </font>
    <font>
      <b/>
      <sz val="24"/>
      <color indexed="8"/>
      <name val="Times New Roman"/>
      <family val="1"/>
      <charset val="204"/>
    </font>
    <font>
      <b/>
      <sz val="20"/>
      <name val="Times New Roman"/>
      <family val="1"/>
      <charset val="204"/>
    </font>
    <font>
      <sz val="24"/>
      <name val="Times New Roman"/>
      <family val="1"/>
      <charset val="204"/>
    </font>
    <font>
      <sz val="24"/>
      <color indexed="30"/>
      <name val="Times New Roman"/>
      <family val="1"/>
      <charset val="204"/>
    </font>
    <font>
      <sz val="20"/>
      <name val="Times New Roman"/>
      <family val="1"/>
      <charset val="204"/>
    </font>
    <font>
      <sz val="20"/>
      <color indexed="30"/>
      <name val="Times New Roman"/>
      <family val="1"/>
      <charset val="204"/>
    </font>
    <font>
      <b/>
      <u/>
      <sz val="20"/>
      <name val="Times New Roman"/>
      <family val="1"/>
      <charset val="204"/>
    </font>
    <font>
      <b/>
      <sz val="18"/>
      <color indexed="30"/>
      <name val="Times New Roman"/>
      <family val="1"/>
      <charset val="204"/>
    </font>
    <font>
      <b/>
      <sz val="18"/>
      <name val="Times New Roman"/>
      <family val="1"/>
      <charset val="204"/>
    </font>
    <font>
      <b/>
      <u/>
      <sz val="18"/>
      <name val="Times New Roman"/>
      <family val="1"/>
      <charset val="204"/>
    </font>
    <font>
      <sz val="18"/>
      <name val="Times New Roman"/>
      <family val="1"/>
      <charset val="204"/>
    </font>
    <font>
      <sz val="20"/>
      <color indexed="10"/>
      <name val="Times New Roman"/>
      <family val="1"/>
      <charset val="204"/>
    </font>
    <font>
      <sz val="18"/>
      <color indexed="30"/>
      <name val="Times New Roman"/>
      <family val="1"/>
      <charset val="204"/>
    </font>
    <font>
      <b/>
      <sz val="22"/>
      <color indexed="8"/>
      <name val="Times New Roman"/>
      <family val="1"/>
      <charset val="204"/>
    </font>
    <font>
      <b/>
      <sz val="22"/>
      <name val="Times New Roman"/>
      <family val="1"/>
      <charset val="204"/>
    </font>
    <font>
      <b/>
      <sz val="14"/>
      <color indexed="30"/>
      <name val="Times New Roman"/>
      <family val="1"/>
      <charset val="204"/>
    </font>
    <font>
      <b/>
      <sz val="12"/>
      <color indexed="8"/>
      <name val="Times New Roman"/>
      <family val="1"/>
      <charset val="204"/>
    </font>
    <font>
      <b/>
      <sz val="16"/>
      <color indexed="17"/>
      <name val="Times New Roman"/>
      <family val="1"/>
      <charset val="204"/>
    </font>
    <font>
      <sz val="12"/>
      <color indexed="30"/>
      <name val="Times New Roman"/>
      <family val="1"/>
      <charset val="204"/>
    </font>
    <font>
      <sz val="16"/>
      <color indexed="30"/>
      <name val="Times New Roman"/>
      <family val="1"/>
      <charset val="204"/>
    </font>
    <font>
      <b/>
      <sz val="16"/>
      <color indexed="30"/>
      <name val="Times New Roman"/>
      <family val="1"/>
      <charset val="204"/>
    </font>
    <font>
      <b/>
      <sz val="12"/>
      <color indexed="10"/>
      <name val="Times New Roman"/>
      <family val="1"/>
      <charset val="204"/>
    </font>
    <font>
      <sz val="12"/>
      <color indexed="10"/>
      <name val="Times New Roman"/>
      <family val="1"/>
      <charset val="204"/>
    </font>
    <font>
      <sz val="16"/>
      <color indexed="10"/>
      <name val="Times New Roman"/>
      <family val="1"/>
      <charset val="204"/>
    </font>
    <font>
      <b/>
      <sz val="16"/>
      <color indexed="10"/>
      <name val="Times New Roman"/>
      <family val="1"/>
      <charset val="204"/>
    </font>
    <font>
      <b/>
      <sz val="12"/>
      <color indexed="30"/>
      <name val="Times New Roman"/>
      <family val="1"/>
      <charset val="204"/>
    </font>
    <font>
      <b/>
      <sz val="11"/>
      <color indexed="30"/>
      <name val="Times New Roman"/>
      <family val="1"/>
      <charset val="204"/>
    </font>
    <font>
      <b/>
      <i/>
      <sz val="12"/>
      <color indexed="8"/>
      <name val="Times New Roman"/>
      <family val="1"/>
      <charset val="204"/>
    </font>
    <font>
      <i/>
      <sz val="12"/>
      <color indexed="8"/>
      <name val="Times New Roman"/>
      <family val="1"/>
      <charset val="204"/>
    </font>
    <font>
      <b/>
      <sz val="12"/>
      <color indexed="8"/>
      <name val="Times New Roman"/>
      <family val="1"/>
      <charset val="204"/>
    </font>
    <font>
      <i/>
      <sz val="11"/>
      <color indexed="8"/>
      <name val="Times New Roman"/>
      <family val="1"/>
      <charset val="204"/>
    </font>
    <font>
      <i/>
      <u/>
      <sz val="11"/>
      <color indexed="30"/>
      <name val="Times New Roman"/>
      <family val="1"/>
      <charset val="204"/>
    </font>
    <font>
      <b/>
      <vertAlign val="superscript"/>
      <sz val="13"/>
      <color indexed="8"/>
      <name val="Times New Roman"/>
      <family val="1"/>
      <charset val="204"/>
    </font>
    <font>
      <b/>
      <u/>
      <sz val="13"/>
      <name val="Times New Roman"/>
      <family val="1"/>
      <charset val="204"/>
    </font>
    <font>
      <vertAlign val="superscript"/>
      <sz val="13"/>
      <name val="Times New Roman"/>
      <family val="1"/>
      <charset val="204"/>
    </font>
    <font>
      <b/>
      <i/>
      <sz val="13"/>
      <name val="Times New Roman"/>
      <family val="1"/>
      <charset val="204"/>
    </font>
    <font>
      <b/>
      <sz val="14"/>
      <color indexed="40"/>
      <name val="Times New Roman"/>
      <family val="1"/>
      <charset val="204"/>
    </font>
    <font>
      <b/>
      <sz val="13"/>
      <color indexed="30"/>
      <name val="Times New Roman"/>
      <family val="1"/>
      <charset val="204"/>
    </font>
    <font>
      <b/>
      <sz val="13"/>
      <color indexed="10"/>
      <name val="Times New Roman"/>
      <family val="1"/>
      <charset val="204"/>
    </font>
    <font>
      <i/>
      <sz val="13"/>
      <color indexed="40"/>
      <name val="Times New Roman"/>
      <family val="1"/>
      <charset val="204"/>
    </font>
    <font>
      <sz val="13"/>
      <color indexed="40"/>
      <name val="Times New Roman"/>
      <family val="1"/>
      <charset val="204"/>
    </font>
    <font>
      <sz val="9"/>
      <color indexed="30"/>
      <name val="Times New Roman"/>
      <family val="1"/>
      <charset val="204"/>
    </font>
    <font>
      <b/>
      <sz val="9"/>
      <color indexed="30"/>
      <name val="Times New Roman"/>
      <family val="1"/>
      <charset val="204"/>
    </font>
    <font>
      <b/>
      <sz val="28"/>
      <color indexed="30"/>
      <name val="Times New Roman"/>
      <family val="1"/>
      <charset val="204"/>
    </font>
    <font>
      <b/>
      <sz val="16"/>
      <color indexed="8"/>
      <name val="Times New Roman"/>
      <family val="1"/>
      <charset val="204"/>
    </font>
    <font>
      <b/>
      <i/>
      <sz val="16"/>
      <color indexed="8"/>
      <name val="Times New Roman"/>
      <family val="1"/>
      <charset val="204"/>
    </font>
    <font>
      <b/>
      <sz val="20"/>
      <color indexed="8"/>
      <name val="Times New Roman"/>
      <family val="1"/>
      <charset val="204"/>
    </font>
    <font>
      <sz val="16"/>
      <color indexed="8"/>
      <name val="Times New Roman"/>
      <family val="1"/>
      <charset val="204"/>
    </font>
    <font>
      <i/>
      <sz val="16"/>
      <color indexed="8"/>
      <name val="Times New Roman"/>
      <family val="1"/>
      <charset val="204"/>
    </font>
    <font>
      <i/>
      <sz val="16"/>
      <color indexed="8"/>
      <name val="Times New Roman"/>
      <family val="1"/>
      <charset val="204"/>
    </font>
    <font>
      <b/>
      <vertAlign val="superscript"/>
      <sz val="16"/>
      <color indexed="8"/>
      <name val="Times New Roman"/>
      <family val="1"/>
      <charset val="204"/>
    </font>
    <font>
      <b/>
      <sz val="26"/>
      <color indexed="30"/>
      <name val="Times New Roman"/>
      <family val="1"/>
      <charset val="204"/>
    </font>
    <font>
      <b/>
      <sz val="36"/>
      <color indexed="30"/>
      <name val="Times New Roman"/>
      <family val="1"/>
      <charset val="204"/>
    </font>
    <font>
      <u/>
      <sz val="18"/>
      <color indexed="8"/>
      <name val="Times New Roman"/>
      <family val="1"/>
      <charset val="204"/>
    </font>
    <font>
      <i/>
      <sz val="9"/>
      <color indexed="30"/>
      <name val="Times New Roman"/>
      <family val="1"/>
      <charset val="204"/>
    </font>
    <font>
      <b/>
      <i/>
      <sz val="22"/>
      <color indexed="8"/>
      <name val="Times New Roman"/>
      <family val="1"/>
      <charset val="204"/>
    </font>
    <font>
      <b/>
      <sz val="36"/>
      <color indexed="8"/>
      <name val="Times New Roman"/>
      <family val="1"/>
      <charset val="204"/>
    </font>
    <font>
      <sz val="12"/>
      <color indexed="8"/>
      <name val="Calibri"/>
      <family val="2"/>
    </font>
    <font>
      <u/>
      <sz val="12"/>
      <color indexed="30"/>
      <name val="Calibri"/>
      <family val="2"/>
    </font>
    <font>
      <sz val="12"/>
      <color indexed="23"/>
      <name val="Times New Roman"/>
      <family val="1"/>
      <charset val="204"/>
    </font>
    <font>
      <i/>
      <sz val="36"/>
      <color indexed="8"/>
      <name val="Times New Roman"/>
      <family val="1"/>
      <charset val="204"/>
    </font>
    <font>
      <b/>
      <u/>
      <sz val="16"/>
      <color indexed="8"/>
      <name val="Times New Roman"/>
      <family val="1"/>
      <charset val="204"/>
    </font>
    <font>
      <b/>
      <sz val="14"/>
      <color indexed="17"/>
      <name val="Times New Roman"/>
      <family val="1"/>
      <charset val="204"/>
    </font>
    <font>
      <i/>
      <sz val="18"/>
      <name val="Times New Roman"/>
      <family val="1"/>
      <charset val="204"/>
    </font>
    <font>
      <b/>
      <sz val="36"/>
      <name val="Times New Roman"/>
      <family val="1"/>
      <charset val="204"/>
    </font>
    <font>
      <b/>
      <sz val="28"/>
      <name val="Times New Roman"/>
      <family val="1"/>
      <charset val="204"/>
    </font>
    <font>
      <b/>
      <i/>
      <sz val="18"/>
      <name val="Times New Roman"/>
      <family val="1"/>
      <charset val="204"/>
    </font>
    <font>
      <b/>
      <i/>
      <sz val="14"/>
      <color indexed="17"/>
      <name val="Times New Roman"/>
      <family val="1"/>
      <charset val="204"/>
    </font>
    <font>
      <b/>
      <u/>
      <sz val="16"/>
      <color indexed="30"/>
      <name val="Times New Roman"/>
      <family val="1"/>
      <charset val="204"/>
    </font>
    <font>
      <sz val="9"/>
      <color indexed="10"/>
      <name val="Times New Roman"/>
      <family val="1"/>
      <charset val="204"/>
    </font>
    <font>
      <sz val="9"/>
      <color indexed="81"/>
      <name val="Tahoma"/>
      <family val="2"/>
      <charset val="204"/>
    </font>
    <font>
      <b/>
      <sz val="9"/>
      <color indexed="81"/>
      <name val="Tahoma"/>
      <family val="2"/>
      <charset val="204"/>
    </font>
    <font>
      <sz val="18"/>
      <color indexed="40"/>
      <name val="Times New Roman"/>
      <family val="1"/>
      <charset val="204"/>
    </font>
    <font>
      <i/>
      <sz val="18"/>
      <color indexed="40"/>
      <name val="Times New Roman"/>
      <family val="1"/>
      <charset val="204"/>
    </font>
    <font>
      <sz val="16"/>
      <color indexed="40"/>
      <name val="Times New Roman"/>
      <family val="1"/>
      <charset val="204"/>
    </font>
    <font>
      <u/>
      <sz val="14"/>
      <name val="Times New Roman"/>
      <family val="1"/>
      <charset val="204"/>
    </font>
    <font>
      <b/>
      <sz val="13"/>
      <color indexed="36"/>
      <name val="Times New Roman"/>
      <family val="1"/>
      <charset val="204"/>
    </font>
    <font>
      <b/>
      <sz val="16"/>
      <color indexed="36"/>
      <name val="Times New Roman"/>
      <family val="1"/>
      <charset val="204"/>
    </font>
    <font>
      <u/>
      <sz val="11"/>
      <color theme="10"/>
      <name val="Calibri"/>
      <family val="2"/>
      <scheme val="minor"/>
    </font>
  </fonts>
  <fills count="1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49"/>
        <bgColor indexed="64"/>
      </patternFill>
    </fill>
    <fill>
      <patternFill patternType="solid">
        <fgColor indexed="62"/>
        <bgColor indexed="64"/>
      </patternFill>
    </fill>
    <fill>
      <patternFill patternType="solid">
        <fgColor indexed="43"/>
        <bgColor indexed="64"/>
      </patternFill>
    </fill>
    <fill>
      <patternFill patternType="solid">
        <fgColor indexed="29"/>
        <bgColor indexed="64"/>
      </patternFill>
    </fill>
    <fill>
      <patternFill patternType="solid">
        <fgColor indexed="44"/>
        <bgColor indexed="64"/>
      </patternFill>
    </fill>
    <fill>
      <patternFill patternType="solid">
        <fgColor indexed="27"/>
        <bgColor indexed="64"/>
      </patternFill>
    </fill>
    <fill>
      <patternFill patternType="solid">
        <fgColor indexed="26"/>
        <bgColor indexed="64"/>
      </patternFill>
    </fill>
    <fill>
      <patternFill patternType="solid">
        <fgColor indexed="40"/>
        <bgColor indexed="64"/>
      </patternFill>
    </fill>
    <fill>
      <patternFill patternType="solid">
        <fgColor indexed="50"/>
        <bgColor indexed="64"/>
      </patternFill>
    </fill>
  </fills>
  <borders count="90">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2"/>
      </left>
      <right style="dashed">
        <color indexed="22"/>
      </right>
      <top style="thin">
        <color indexed="22"/>
      </top>
      <bottom style="thin">
        <color indexed="22"/>
      </bottom>
      <diagonal/>
    </border>
    <border>
      <left style="dashed">
        <color indexed="22"/>
      </left>
      <right style="dashed">
        <color indexed="22"/>
      </right>
      <top style="thin">
        <color indexed="22"/>
      </top>
      <bottom style="thin">
        <color indexed="22"/>
      </bottom>
      <diagonal/>
    </border>
    <border>
      <left style="thin">
        <color indexed="22"/>
      </left>
      <right style="thin">
        <color indexed="57"/>
      </right>
      <top style="thin">
        <color indexed="22"/>
      </top>
      <bottom style="thin">
        <color indexed="22"/>
      </bottom>
      <diagonal/>
    </border>
    <border>
      <left/>
      <right/>
      <top style="thin">
        <color indexed="22"/>
      </top>
      <bottom style="thin">
        <color indexed="22"/>
      </bottom>
      <diagonal/>
    </border>
    <border>
      <left/>
      <right style="dashed">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47"/>
      </right>
      <top/>
      <bottom style="medium">
        <color indexed="47"/>
      </bottom>
      <diagonal/>
    </border>
    <border>
      <left/>
      <right style="thin">
        <color indexed="64"/>
      </right>
      <top/>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47"/>
      </left>
      <right style="medium">
        <color indexed="47"/>
      </right>
      <top style="medium">
        <color indexed="47"/>
      </top>
      <bottom/>
      <diagonal/>
    </border>
    <border>
      <left style="medium">
        <color indexed="47"/>
      </left>
      <right style="medium">
        <color indexed="47"/>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47"/>
      </left>
      <right style="medium">
        <color indexed="47"/>
      </right>
      <top/>
      <bottom style="medium">
        <color indexed="47"/>
      </bottom>
      <diagonal/>
    </border>
    <border>
      <left/>
      <right style="medium">
        <color indexed="64"/>
      </right>
      <top style="thin">
        <color indexed="64"/>
      </top>
      <bottom/>
      <diagonal/>
    </border>
    <border>
      <left/>
      <right/>
      <top style="double">
        <color indexed="64"/>
      </top>
      <bottom/>
      <diagonal/>
    </border>
  </borders>
  <cellStyleXfs count="5">
    <xf numFmtId="0" fontId="0" fillId="0" borderId="0"/>
    <xf numFmtId="0" fontId="150" fillId="0" borderId="0" applyNumberFormat="0" applyFill="0" applyBorder="0" applyAlignment="0" applyProtection="0"/>
    <xf numFmtId="167" fontId="1" fillId="0" borderId="0" applyFont="0" applyFill="0" applyBorder="0" applyAlignment="0" applyProtection="0"/>
    <xf numFmtId="0" fontId="4" fillId="0" borderId="0"/>
    <xf numFmtId="9" fontId="1" fillId="0" borderId="0" applyFont="0" applyFill="0" applyBorder="0" applyAlignment="0" applyProtection="0"/>
  </cellStyleXfs>
  <cellXfs count="1243">
    <xf numFmtId="0" fontId="0" fillId="0" borderId="0" xfId="0"/>
    <xf numFmtId="0" fontId="5" fillId="0" borderId="0" xfId="3" applyFont="1" applyAlignment="1">
      <alignment vertical="center"/>
    </xf>
    <xf numFmtId="0" fontId="5" fillId="0" borderId="0" xfId="3" applyFont="1"/>
    <xf numFmtId="0" fontId="6" fillId="0" borderId="0" xfId="3" applyFont="1" applyAlignment="1">
      <alignment vertical="center"/>
    </xf>
    <xf numFmtId="0" fontId="6" fillId="0" borderId="0" xfId="3" applyFont="1" applyAlignment="1">
      <alignment horizontal="center" vertical="center"/>
    </xf>
    <xf numFmtId="0" fontId="5" fillId="0" borderId="1" xfId="3" applyFont="1" applyBorder="1" applyAlignment="1">
      <alignment vertical="center" wrapText="1"/>
    </xf>
    <xf numFmtId="0" fontId="5" fillId="0" borderId="2" xfId="3" applyFont="1" applyBorder="1" applyAlignment="1">
      <alignment horizontal="center" vertical="center"/>
    </xf>
    <xf numFmtId="0" fontId="5" fillId="0" borderId="1" xfId="3" applyFont="1" applyBorder="1" applyAlignment="1">
      <alignment vertical="center"/>
    </xf>
    <xf numFmtId="0" fontId="6" fillId="0" borderId="3" xfId="3" applyFont="1" applyBorder="1" applyAlignment="1">
      <alignment vertical="center"/>
    </xf>
    <xf numFmtId="0" fontId="6" fillId="0" borderId="4" xfId="3" applyFont="1" applyBorder="1" applyAlignment="1">
      <alignment vertical="center"/>
    </xf>
    <xf numFmtId="0" fontId="6" fillId="0" borderId="5" xfId="3" applyFont="1" applyBorder="1" applyAlignment="1">
      <alignment vertical="center"/>
    </xf>
    <xf numFmtId="0" fontId="6" fillId="0" borderId="6" xfId="3" applyFont="1" applyBorder="1" applyAlignment="1">
      <alignment vertical="center"/>
    </xf>
    <xf numFmtId="0" fontId="6" fillId="0" borderId="7" xfId="3" applyFont="1" applyBorder="1" applyAlignment="1">
      <alignment vertical="center"/>
    </xf>
    <xf numFmtId="0" fontId="6" fillId="0" borderId="8" xfId="3" applyFont="1" applyBorder="1" applyAlignment="1">
      <alignment vertical="center"/>
    </xf>
    <xf numFmtId="0" fontId="5" fillId="0" borderId="2" xfId="3" applyFont="1" applyBorder="1" applyAlignment="1">
      <alignment horizontal="center" vertical="center" wrapText="1"/>
    </xf>
    <xf numFmtId="0" fontId="5" fillId="0" borderId="2" xfId="3" applyFont="1" applyBorder="1" applyAlignment="1">
      <alignment vertical="center" wrapText="1"/>
    </xf>
    <xf numFmtId="0" fontId="5" fillId="0" borderId="9" xfId="3" applyFont="1" applyBorder="1" applyAlignment="1">
      <alignment vertical="center" wrapText="1"/>
    </xf>
    <xf numFmtId="0" fontId="5" fillId="0" borderId="1" xfId="3" applyFont="1" applyBorder="1" applyAlignment="1">
      <alignment horizontal="left" vertical="center"/>
    </xf>
    <xf numFmtId="0" fontId="5" fillId="0" borderId="9" xfId="3" applyFont="1" applyBorder="1" applyAlignment="1">
      <alignment vertical="center"/>
    </xf>
    <xf numFmtId="0" fontId="8" fillId="0" borderId="0" xfId="3" applyFont="1" applyAlignment="1">
      <alignment horizontal="center" vertical="center" wrapText="1"/>
    </xf>
    <xf numFmtId="0" fontId="6" fillId="0" borderId="2" xfId="3" applyFont="1" applyBorder="1" applyAlignment="1">
      <alignment horizontal="center" vertical="center" wrapText="1" shrinkToFit="1"/>
    </xf>
    <xf numFmtId="0" fontId="8" fillId="0" borderId="0" xfId="3" applyFont="1" applyAlignment="1">
      <alignment vertical="center"/>
    </xf>
    <xf numFmtId="0" fontId="6" fillId="0" borderId="2" xfId="3" applyFont="1" applyBorder="1" applyAlignment="1">
      <alignment horizontal="left" vertical="center" wrapText="1"/>
    </xf>
    <xf numFmtId="0" fontId="6" fillId="0" borderId="2" xfId="3" applyFont="1" applyBorder="1" applyAlignment="1">
      <alignment horizontal="left" vertical="center" wrapText="1" indent="2"/>
    </xf>
    <xf numFmtId="0" fontId="6" fillId="0" borderId="0" xfId="3" applyFont="1" applyAlignment="1">
      <alignment horizontal="left" vertical="center" wrapText="1"/>
    </xf>
    <xf numFmtId="164" fontId="6" fillId="0" borderId="0" xfId="3" applyNumberFormat="1" applyFont="1" applyAlignment="1">
      <alignment horizontal="center" vertical="center" wrapText="1"/>
    </xf>
    <xf numFmtId="165" fontId="6" fillId="0" borderId="0" xfId="3" applyNumberFormat="1" applyFont="1" applyAlignment="1">
      <alignment horizontal="right" vertical="center" wrapText="1"/>
    </xf>
    <xf numFmtId="0" fontId="8" fillId="0" borderId="0" xfId="3" applyFont="1" applyAlignment="1">
      <alignment horizontal="left" vertical="center" wrapText="1"/>
    </xf>
    <xf numFmtId="165" fontId="9" fillId="0" borderId="0" xfId="3" applyNumberFormat="1" applyFont="1" applyAlignment="1">
      <alignment vertical="center"/>
    </xf>
    <xf numFmtId="0" fontId="6" fillId="0" borderId="0" xfId="3" applyFont="1" applyAlignment="1">
      <alignment horizontal="left" vertical="center"/>
    </xf>
    <xf numFmtId="0" fontId="6" fillId="0" borderId="0" xfId="3" applyFont="1" applyAlignment="1">
      <alignment vertical="center" wrapText="1"/>
    </xf>
    <xf numFmtId="0" fontId="5" fillId="0" borderId="7" xfId="3" applyFont="1" applyBorder="1"/>
    <xf numFmtId="0" fontId="5" fillId="0" borderId="7" xfId="3" applyFont="1" applyBorder="1" applyAlignment="1">
      <alignment vertical="center"/>
    </xf>
    <xf numFmtId="0" fontId="8" fillId="0" borderId="2" xfId="3" applyFont="1" applyBorder="1" applyAlignment="1">
      <alignment horizontal="left" vertical="center" wrapText="1"/>
    </xf>
    <xf numFmtId="0" fontId="6" fillId="0" borderId="2" xfId="3" applyFont="1" applyBorder="1" applyAlignment="1">
      <alignment horizontal="center" vertical="center" wrapText="1"/>
    </xf>
    <xf numFmtId="0" fontId="6" fillId="0" borderId="2" xfId="3" applyFont="1" applyBorder="1" applyAlignment="1">
      <alignment horizontal="center" vertical="center"/>
    </xf>
    <xf numFmtId="0" fontId="5" fillId="0" borderId="10" xfId="3" applyFont="1" applyBorder="1" applyAlignment="1">
      <alignment horizontal="left" vertical="center" wrapText="1"/>
    </xf>
    <xf numFmtId="0" fontId="6" fillId="0" borderId="10" xfId="3" applyFont="1" applyBorder="1" applyAlignment="1">
      <alignment vertical="center"/>
    </xf>
    <xf numFmtId="0" fontId="13" fillId="0" borderId="0" xfId="3" applyFont="1" applyAlignment="1">
      <alignment vertical="center"/>
    </xf>
    <xf numFmtId="0" fontId="12" fillId="0" borderId="0" xfId="0" applyFont="1" applyAlignment="1">
      <alignment vertical="center" wrapText="1"/>
    </xf>
    <xf numFmtId="0" fontId="18" fillId="0" borderId="0" xfId="3" applyFont="1" applyAlignment="1">
      <alignment vertical="center"/>
    </xf>
    <xf numFmtId="3" fontId="6" fillId="0" borderId="2" xfId="3" applyNumberFormat="1" applyFont="1" applyBorder="1" applyAlignment="1">
      <alignment horizontal="center" vertical="center" wrapText="1"/>
    </xf>
    <xf numFmtId="3" fontId="6" fillId="2" borderId="2" xfId="3" applyNumberFormat="1" applyFont="1" applyFill="1" applyBorder="1" applyAlignment="1">
      <alignment horizontal="center" vertical="center" wrapText="1"/>
    </xf>
    <xf numFmtId="0" fontId="22" fillId="0" borderId="2" xfId="3" applyFont="1" applyBorder="1" applyAlignment="1">
      <alignment horizontal="left" vertical="center" wrapText="1"/>
    </xf>
    <xf numFmtId="0" fontId="19" fillId="0" borderId="0" xfId="1" applyFont="1" applyAlignment="1">
      <alignment horizontal="left" vertical="center" wrapText="1"/>
    </xf>
    <xf numFmtId="0" fontId="15" fillId="0" borderId="0" xfId="0" applyFont="1" applyAlignment="1">
      <alignment horizontal="left" vertical="center" wrapText="1"/>
    </xf>
    <xf numFmtId="0" fontId="6" fillId="3" borderId="2" xfId="3" applyFont="1" applyFill="1" applyBorder="1" applyAlignment="1">
      <alignment horizontal="left" vertical="center" wrapText="1"/>
    </xf>
    <xf numFmtId="0" fontId="6" fillId="0" borderId="2" xfId="3" quotePrefix="1" applyFont="1" applyBorder="1" applyAlignment="1">
      <alignment horizontal="center" vertical="center"/>
    </xf>
    <xf numFmtId="0" fontId="23" fillId="0" borderId="0" xfId="0" applyFont="1"/>
    <xf numFmtId="0" fontId="23" fillId="3" borderId="0" xfId="0" applyFont="1" applyFill="1"/>
    <xf numFmtId="0" fontId="24" fillId="0" borderId="0" xfId="0" applyFont="1"/>
    <xf numFmtId="0" fontId="22" fillId="4" borderId="2" xfId="0" applyFont="1" applyFill="1" applyBorder="1" applyAlignment="1">
      <alignment wrapText="1"/>
    </xf>
    <xf numFmtId="0" fontId="22" fillId="3" borderId="0" xfId="3" applyFont="1" applyFill="1" applyAlignment="1">
      <alignment horizontal="left" vertical="center" wrapText="1"/>
    </xf>
    <xf numFmtId="0" fontId="22" fillId="4" borderId="2" xfId="0" applyFont="1" applyFill="1" applyBorder="1" applyAlignment="1">
      <alignment vertical="center" wrapText="1"/>
    </xf>
    <xf numFmtId="3" fontId="28" fillId="5" borderId="2" xfId="0" applyNumberFormat="1" applyFont="1" applyFill="1" applyBorder="1" applyAlignment="1">
      <alignment horizontal="center" vertical="center"/>
    </xf>
    <xf numFmtId="0" fontId="8" fillId="3" borderId="2" xfId="0" applyFont="1" applyFill="1" applyBorder="1" applyAlignment="1">
      <alignment horizontal="left" vertical="center" wrapText="1"/>
    </xf>
    <xf numFmtId="0" fontId="6" fillId="0" borderId="2" xfId="3" applyFont="1" applyBorder="1" applyAlignment="1">
      <alignment vertical="center"/>
    </xf>
    <xf numFmtId="0" fontId="6" fillId="0" borderId="2" xfId="3" quotePrefix="1" applyFont="1" applyBorder="1" applyAlignment="1">
      <alignment horizontal="center" vertical="center" wrapText="1"/>
    </xf>
    <xf numFmtId="0" fontId="6" fillId="0" borderId="0" xfId="3" applyFont="1" applyAlignment="1">
      <alignment horizontal="center" vertical="center" wrapText="1"/>
    </xf>
    <xf numFmtId="0" fontId="6" fillId="0" borderId="0" xfId="3" quotePrefix="1" applyFont="1" applyAlignment="1">
      <alignment horizontal="center" vertical="center"/>
    </xf>
    <xf numFmtId="0" fontId="15" fillId="6" borderId="0" xfId="0" applyFont="1" applyFill="1"/>
    <xf numFmtId="0" fontId="16" fillId="6" borderId="0" xfId="0" applyFont="1" applyFill="1"/>
    <xf numFmtId="0" fontId="20" fillId="0" borderId="0" xfId="0" applyFont="1" applyAlignment="1">
      <alignment horizontal="left"/>
    </xf>
    <xf numFmtId="0" fontId="15" fillId="0" borderId="0" xfId="0" applyFont="1"/>
    <xf numFmtId="0" fontId="30" fillId="3" borderId="0" xfId="0" applyFont="1" applyFill="1"/>
    <xf numFmtId="0" fontId="31" fillId="3" borderId="0" xfId="0" applyFont="1" applyFill="1" applyAlignment="1">
      <alignment horizontal="center" vertical="center"/>
    </xf>
    <xf numFmtId="0" fontId="32" fillId="3" borderId="0" xfId="0" applyFont="1" applyFill="1"/>
    <xf numFmtId="0" fontId="30" fillId="0" borderId="0" xfId="0" applyFont="1"/>
    <xf numFmtId="0" fontId="24" fillId="3" borderId="0" xfId="0" applyFont="1" applyFill="1"/>
    <xf numFmtId="0" fontId="33" fillId="3" borderId="0" xfId="0" applyFont="1" applyFill="1"/>
    <xf numFmtId="0" fontId="34" fillId="7" borderId="11" xfId="0" applyFont="1" applyFill="1" applyBorder="1" applyAlignment="1">
      <alignment horizontal="center" vertical="center" wrapText="1"/>
    </xf>
    <xf numFmtId="0" fontId="34" fillId="7" borderId="12" xfId="0" applyFont="1" applyFill="1" applyBorder="1" applyAlignment="1">
      <alignment horizontal="center" vertical="center" wrapText="1"/>
    </xf>
    <xf numFmtId="0" fontId="24" fillId="2" borderId="0" xfId="0" applyFont="1" applyFill="1"/>
    <xf numFmtId="0" fontId="36" fillId="0" borderId="13" xfId="0" applyFont="1" applyBorder="1" applyAlignment="1">
      <alignment vertical="center" wrapText="1"/>
    </xf>
    <xf numFmtId="0" fontId="6" fillId="0" borderId="0" xfId="0" applyFont="1" applyAlignment="1">
      <alignment horizontal="left" vertical="center" wrapText="1"/>
    </xf>
    <xf numFmtId="3" fontId="28" fillId="0" borderId="0" xfId="0" applyNumberFormat="1" applyFont="1" applyAlignment="1">
      <alignment horizontal="center" vertical="center"/>
    </xf>
    <xf numFmtId="0" fontId="38" fillId="3" borderId="2" xfId="0" applyFont="1" applyFill="1" applyBorder="1" applyAlignment="1">
      <alignment vertical="center" wrapText="1"/>
    </xf>
    <xf numFmtId="9" fontId="39" fillId="5" borderId="2" xfId="4" applyFont="1" applyFill="1" applyBorder="1" applyAlignment="1">
      <alignment horizontal="center" vertical="center" wrapText="1"/>
    </xf>
    <xf numFmtId="0" fontId="28" fillId="3" borderId="0" xfId="0" applyFont="1" applyFill="1" applyAlignment="1">
      <alignment vertical="center" wrapText="1"/>
    </xf>
    <xf numFmtId="9" fontId="39" fillId="3" borderId="0" xfId="4" applyFont="1" applyFill="1" applyAlignment="1">
      <alignment horizontal="center" vertical="center" wrapText="1"/>
    </xf>
    <xf numFmtId="0" fontId="29" fillId="3" borderId="2" xfId="0" applyFont="1" applyFill="1" applyBorder="1" applyAlignment="1">
      <alignment horizontal="center" vertical="center"/>
    </xf>
    <xf numFmtId="3" fontId="30" fillId="3" borderId="0" xfId="0" applyNumberFormat="1" applyFont="1" applyFill="1" applyAlignment="1">
      <alignment horizontal="center" vertical="center"/>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164" fontId="24" fillId="0" borderId="14" xfId="0" applyNumberFormat="1" applyFont="1" applyBorder="1" applyAlignment="1">
      <alignment horizontal="center" vertical="center" wrapText="1"/>
    </xf>
    <xf numFmtId="168" fontId="35" fillId="0" borderId="14" xfId="0" applyNumberFormat="1" applyFont="1" applyBorder="1"/>
    <xf numFmtId="164" fontId="24" fillId="2" borderId="15" xfId="0" applyNumberFormat="1" applyFont="1" applyFill="1" applyBorder="1" applyAlignment="1">
      <alignment horizontal="center" vertical="center" wrapText="1"/>
    </xf>
    <xf numFmtId="169" fontId="24" fillId="2" borderId="12" xfId="0" applyNumberFormat="1" applyFont="1" applyFill="1" applyBorder="1" applyAlignment="1">
      <alignment horizontal="center" vertical="center" wrapText="1"/>
    </xf>
    <xf numFmtId="0" fontId="10" fillId="3" borderId="0" xfId="0" applyFont="1" applyFill="1"/>
    <xf numFmtId="0" fontId="40" fillId="0" borderId="13" xfId="0" applyFont="1" applyBorder="1" applyAlignment="1">
      <alignment vertical="center" wrapText="1"/>
    </xf>
    <xf numFmtId="0" fontId="10" fillId="0" borderId="0" xfId="0" applyFont="1"/>
    <xf numFmtId="0" fontId="42" fillId="6" borderId="0" xfId="0" applyFont="1" applyFill="1"/>
    <xf numFmtId="0" fontId="32" fillId="0" borderId="0" xfId="0" applyFont="1"/>
    <xf numFmtId="0" fontId="33" fillId="0" borderId="0" xfId="0" applyFont="1"/>
    <xf numFmtId="168" fontId="10" fillId="0" borderId="14" xfId="0" applyNumberFormat="1" applyFont="1" applyBorder="1"/>
    <xf numFmtId="168" fontId="40" fillId="0" borderId="14" xfId="0" applyNumberFormat="1" applyFont="1" applyBorder="1" applyAlignment="1">
      <alignment horizontal="right"/>
    </xf>
    <xf numFmtId="164" fontId="10" fillId="0" borderId="14" xfId="0" applyNumberFormat="1" applyFont="1" applyBorder="1" applyAlignment="1">
      <alignment horizontal="center" vertical="center" wrapText="1"/>
    </xf>
    <xf numFmtId="168" fontId="40" fillId="0" borderId="14" xfId="0" applyNumberFormat="1" applyFont="1" applyBorder="1"/>
    <xf numFmtId="0" fontId="43" fillId="0" borderId="16"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2" borderId="18" xfId="0" applyFont="1" applyFill="1" applyBorder="1" applyAlignment="1">
      <alignment horizontal="justify" vertical="center" wrapText="1"/>
    </xf>
    <xf numFmtId="0" fontId="44" fillId="8" borderId="17" xfId="0" applyFont="1" applyFill="1" applyBorder="1" applyAlignment="1">
      <alignment horizontal="justify" vertical="center" wrapText="1"/>
    </xf>
    <xf numFmtId="0" fontId="15" fillId="0" borderId="0" xfId="0" applyFont="1" applyAlignment="1">
      <alignment horizontal="center" vertical="center" wrapText="1"/>
    </xf>
    <xf numFmtId="0" fontId="15" fillId="0" borderId="16" xfId="0" applyFont="1" applyBorder="1" applyAlignment="1">
      <alignment horizontal="justify" vertical="center" wrapText="1"/>
    </xf>
    <xf numFmtId="0" fontId="47" fillId="0" borderId="18" xfId="0" applyFont="1" applyBorder="1" applyAlignment="1">
      <alignment horizontal="justify" vertical="center" wrapText="1"/>
    </xf>
    <xf numFmtId="0" fontId="47" fillId="2" borderId="18" xfId="0" applyFont="1" applyFill="1" applyBorder="1" applyAlignment="1">
      <alignment horizontal="justify" vertical="center" wrapText="1"/>
    </xf>
    <xf numFmtId="0" fontId="47" fillId="5" borderId="18" xfId="0" applyFont="1" applyFill="1" applyBorder="1" applyAlignment="1">
      <alignment horizontal="justify" vertical="center" wrapText="1"/>
    </xf>
    <xf numFmtId="0" fontId="47" fillId="5" borderId="17" xfId="0" applyFont="1" applyFill="1" applyBorder="1" applyAlignment="1">
      <alignment horizontal="justify" vertical="center" wrapText="1"/>
    </xf>
    <xf numFmtId="0" fontId="43" fillId="9" borderId="17" xfId="0" applyFont="1" applyFill="1" applyBorder="1" applyAlignment="1">
      <alignment horizontal="justify" vertical="center" wrapText="1"/>
    </xf>
    <xf numFmtId="0" fontId="44" fillId="2" borderId="17" xfId="0" applyFont="1" applyFill="1" applyBorder="1" applyAlignment="1">
      <alignment horizontal="justify" vertical="center" wrapText="1"/>
    </xf>
    <xf numFmtId="0" fontId="49" fillId="0" borderId="17" xfId="0" applyFont="1" applyBorder="1" applyAlignment="1">
      <alignment horizontal="justify" vertical="center" wrapText="1"/>
    </xf>
    <xf numFmtId="0" fontId="52" fillId="0" borderId="0" xfId="0" applyFont="1" applyAlignment="1">
      <alignment horizontal="center" vertical="center"/>
    </xf>
    <xf numFmtId="0" fontId="20" fillId="0" borderId="0" xfId="0" applyFont="1" applyAlignment="1">
      <alignment horizontal="center" vertical="center"/>
    </xf>
    <xf numFmtId="0" fontId="20" fillId="0" borderId="2" xfId="0" applyFont="1" applyBorder="1" applyAlignment="1">
      <alignment horizontal="center" vertical="center"/>
    </xf>
    <xf numFmtId="0" fontId="20" fillId="0" borderId="2" xfId="0" applyFont="1" applyBorder="1" applyAlignment="1">
      <alignment horizontal="center" vertical="center" wrapText="1"/>
    </xf>
    <xf numFmtId="0" fontId="38" fillId="0" borderId="0" xfId="0" applyFont="1"/>
    <xf numFmtId="0" fontId="53" fillId="0" borderId="18" xfId="0" applyFont="1" applyBorder="1" applyAlignment="1">
      <alignment vertical="top" wrapText="1"/>
    </xf>
    <xf numFmtId="0" fontId="53" fillId="0" borderId="17" xfId="0" applyFont="1" applyBorder="1" applyAlignment="1">
      <alignment vertical="top" wrapText="1"/>
    </xf>
    <xf numFmtId="0" fontId="16" fillId="0" borderId="0" xfId="0" applyFont="1" applyAlignment="1">
      <alignment vertical="center"/>
    </xf>
    <xf numFmtId="0" fontId="55" fillId="0" borderId="0" xfId="0" applyFont="1" applyAlignment="1">
      <alignment horizontal="left"/>
    </xf>
    <xf numFmtId="0" fontId="56" fillId="0" borderId="0" xfId="0" applyFont="1"/>
    <xf numFmtId="0" fontId="20" fillId="0" borderId="0" xfId="0" applyFont="1" applyAlignment="1">
      <alignment vertical="center"/>
    </xf>
    <xf numFmtId="0" fontId="38" fillId="0" borderId="0" xfId="0" applyFont="1" applyAlignment="1">
      <alignment horizontal="center" vertical="center" wrapText="1"/>
    </xf>
    <xf numFmtId="0" fontId="20" fillId="0" borderId="10" xfId="0" applyFont="1" applyBorder="1" applyAlignment="1">
      <alignment horizontal="center" vertical="center" wrapText="1"/>
    </xf>
    <xf numFmtId="0" fontId="15" fillId="0" borderId="3" xfId="0" applyFont="1" applyBorder="1" applyAlignment="1">
      <alignment horizontal="left" vertical="center" wrapText="1"/>
    </xf>
    <xf numFmtId="0" fontId="15" fillId="0" borderId="19" xfId="0" applyFont="1" applyBorder="1" applyAlignment="1">
      <alignment horizontal="left" vertical="center" wrapText="1"/>
    </xf>
    <xf numFmtId="0" fontId="16" fillId="0" borderId="19" xfId="0" applyFont="1" applyBorder="1" applyAlignment="1">
      <alignment horizontal="left" vertical="center" wrapText="1"/>
    </xf>
    <xf numFmtId="0" fontId="2" fillId="0" borderId="19" xfId="0" applyFont="1" applyBorder="1" applyAlignment="1">
      <alignment horizontal="left" vertical="center" wrapText="1"/>
    </xf>
    <xf numFmtId="0" fontId="15" fillId="0" borderId="6" xfId="0" applyFont="1" applyBorder="1" applyAlignment="1">
      <alignment horizontal="left" vertical="center" wrapText="1"/>
    </xf>
    <xf numFmtId="0" fontId="60" fillId="6" borderId="0" xfId="0" applyFont="1" applyFill="1" applyAlignment="1">
      <alignment horizontal="center" vertical="center"/>
    </xf>
    <xf numFmtId="0" fontId="53" fillId="6" borderId="0" xfId="0" applyFont="1" applyFill="1"/>
    <xf numFmtId="0" fontId="61" fillId="6" borderId="0" xfId="0" applyFont="1" applyFill="1"/>
    <xf numFmtId="0" fontId="62" fillId="6" borderId="0" xfId="0" applyFont="1" applyFill="1"/>
    <xf numFmtId="0" fontId="60" fillId="6" borderId="0" xfId="0" applyFont="1" applyFill="1"/>
    <xf numFmtId="0" fontId="46" fillId="0" borderId="0" xfId="0" applyFont="1"/>
    <xf numFmtId="0" fontId="60" fillId="0" borderId="0" xfId="0" applyFont="1" applyAlignment="1">
      <alignment horizontal="center" vertical="center"/>
    </xf>
    <xf numFmtId="0" fontId="53" fillId="0" borderId="0" xfId="0" applyFont="1"/>
    <xf numFmtId="0" fontId="53" fillId="0" borderId="0" xfId="0" applyFont="1" applyAlignment="1">
      <alignment vertical="center"/>
    </xf>
    <xf numFmtId="0" fontId="64" fillId="0" borderId="0" xfId="0" applyFont="1" applyAlignment="1">
      <alignment vertical="center"/>
    </xf>
    <xf numFmtId="0" fontId="61" fillId="0" borderId="0" xfId="0" applyFont="1"/>
    <xf numFmtId="0" fontId="62" fillId="0" borderId="0" xfId="0" applyFont="1"/>
    <xf numFmtId="0" fontId="60" fillId="0" borderId="0" xfId="0" applyFont="1"/>
    <xf numFmtId="0" fontId="53" fillId="0" borderId="0" xfId="0" applyFont="1" applyAlignment="1">
      <alignment horizontal="center"/>
    </xf>
    <xf numFmtId="0" fontId="63" fillId="0" borderId="0" xfId="0" applyFont="1"/>
    <xf numFmtId="49" fontId="62" fillId="0" borderId="0" xfId="0" applyNumberFormat="1" applyFont="1"/>
    <xf numFmtId="3" fontId="5" fillId="0" borderId="2" xfId="0" applyNumberFormat="1" applyFont="1" applyBorder="1" applyAlignment="1" applyProtection="1">
      <alignment horizontal="center" vertical="center"/>
      <protection locked="0"/>
    </xf>
    <xf numFmtId="3" fontId="22" fillId="4" borderId="20" xfId="0" applyNumberFormat="1" applyFont="1" applyFill="1" applyBorder="1" applyAlignment="1" applyProtection="1">
      <alignment horizontal="center" vertical="center"/>
      <protection locked="0"/>
    </xf>
    <xf numFmtId="0" fontId="68" fillId="0" borderId="0" xfId="0" applyFont="1"/>
    <xf numFmtId="3" fontId="22" fillId="4" borderId="21" xfId="0" applyNumberFormat="1" applyFont="1" applyFill="1" applyBorder="1" applyAlignment="1" applyProtection="1">
      <alignment horizontal="center" vertical="center"/>
      <protection locked="0"/>
    </xf>
    <xf numFmtId="3" fontId="22" fillId="4" borderId="22" xfId="0" applyNumberFormat="1" applyFont="1" applyFill="1" applyBorder="1" applyAlignment="1" applyProtection="1">
      <alignment horizontal="center" vertical="center"/>
      <protection locked="0"/>
    </xf>
    <xf numFmtId="0" fontId="70" fillId="0" borderId="0" xfId="0" applyFont="1" applyAlignment="1">
      <alignment horizontal="center" vertical="center"/>
    </xf>
    <xf numFmtId="0" fontId="62" fillId="0" borderId="0" xfId="0" applyFont="1" applyAlignment="1">
      <alignment horizontal="center"/>
    </xf>
    <xf numFmtId="0" fontId="70" fillId="0" borderId="0" xfId="0" applyFont="1"/>
    <xf numFmtId="0" fontId="71" fillId="0" borderId="0" xfId="0" applyFont="1" applyAlignment="1">
      <alignment horizontal="center" vertical="center"/>
    </xf>
    <xf numFmtId="0" fontId="74" fillId="0" borderId="0" xfId="0" applyFont="1"/>
    <xf numFmtId="0" fontId="75" fillId="0" borderId="0" xfId="0" applyFont="1"/>
    <xf numFmtId="0" fontId="71" fillId="0" borderId="0" xfId="0" applyFont="1"/>
    <xf numFmtId="0" fontId="73" fillId="0" borderId="0" xfId="0" applyFont="1" applyAlignment="1">
      <alignment horizontal="center" vertical="center"/>
    </xf>
    <xf numFmtId="49" fontId="29" fillId="0" borderId="23" xfId="0" applyNumberFormat="1" applyFont="1" applyBorder="1" applyAlignment="1">
      <alignment horizontal="center" vertical="center"/>
    </xf>
    <xf numFmtId="49" fontId="29" fillId="0" borderId="21" xfId="0" applyNumberFormat="1" applyFont="1" applyBorder="1" applyAlignment="1">
      <alignment horizontal="center" vertical="center"/>
    </xf>
    <xf numFmtId="49" fontId="29" fillId="0" borderId="22" xfId="0" applyNumberFormat="1" applyFont="1" applyBorder="1" applyAlignment="1">
      <alignment horizontal="center" vertical="center"/>
    </xf>
    <xf numFmtId="49" fontId="65" fillId="0" borderId="21" xfId="0" applyNumberFormat="1" applyFont="1" applyBorder="1" applyAlignment="1">
      <alignment horizontal="center" vertical="center"/>
    </xf>
    <xf numFmtId="49" fontId="29" fillId="0" borderId="24" xfId="0" applyNumberFormat="1" applyFont="1" applyBorder="1" applyAlignment="1">
      <alignment horizontal="center" vertical="center"/>
    </xf>
    <xf numFmtId="0" fontId="76" fillId="0" borderId="0" xfId="0" applyFont="1"/>
    <xf numFmtId="0" fontId="77" fillId="0" borderId="0" xfId="0" applyFont="1"/>
    <xf numFmtId="0" fontId="73" fillId="0" borderId="0" xfId="0" applyFont="1"/>
    <xf numFmtId="3" fontId="79" fillId="0" borderId="25" xfId="0" applyNumberFormat="1" applyFont="1" applyBorder="1" applyAlignment="1">
      <alignment horizontal="center" vertical="center"/>
    </xf>
    <xf numFmtId="3" fontId="79" fillId="0" borderId="17" xfId="0" applyNumberFormat="1" applyFont="1" applyBorder="1" applyAlignment="1">
      <alignment horizontal="center" vertical="center"/>
    </xf>
    <xf numFmtId="3" fontId="79" fillId="0" borderId="26" xfId="0" applyNumberFormat="1" applyFont="1" applyBorder="1" applyAlignment="1">
      <alignment horizontal="center" vertical="center"/>
    </xf>
    <xf numFmtId="3" fontId="79" fillId="0" borderId="27" xfId="0" applyNumberFormat="1" applyFont="1" applyBorder="1" applyAlignment="1">
      <alignment horizontal="center" vertical="center"/>
    </xf>
    <xf numFmtId="3" fontId="79" fillId="0" borderId="6" xfId="0" applyNumberFormat="1" applyFont="1" applyBorder="1" applyAlignment="1">
      <alignment horizontal="center" vertical="center"/>
    </xf>
    <xf numFmtId="3" fontId="79" fillId="0" borderId="28" xfId="0" applyNumberFormat="1" applyFont="1" applyBorder="1" applyAlignment="1">
      <alignment horizontal="center" vertical="center"/>
    </xf>
    <xf numFmtId="3" fontId="79" fillId="0" borderId="2" xfId="0" applyNumberFormat="1" applyFont="1" applyBorder="1" applyAlignment="1">
      <alignment horizontal="center" vertical="center"/>
    </xf>
    <xf numFmtId="3" fontId="79" fillId="0" borderId="20" xfId="0" applyNumberFormat="1" applyFont="1" applyBorder="1" applyAlignment="1">
      <alignment horizontal="center" vertical="center"/>
    </xf>
    <xf numFmtId="3" fontId="79" fillId="0" borderId="29" xfId="0" applyNumberFormat="1" applyFont="1" applyBorder="1" applyAlignment="1">
      <alignment horizontal="center" vertical="center"/>
    </xf>
    <xf numFmtId="3" fontId="79" fillId="0" borderId="10" xfId="0" applyNumberFormat="1" applyFont="1" applyBorder="1" applyAlignment="1">
      <alignment horizontal="center" vertical="center"/>
    </xf>
    <xf numFmtId="3" fontId="79" fillId="4" borderId="28" xfId="0" applyNumberFormat="1" applyFont="1" applyFill="1" applyBorder="1" applyAlignment="1">
      <alignment horizontal="center" vertical="center"/>
    </xf>
    <xf numFmtId="3" fontId="79" fillId="4" borderId="2" xfId="0" applyNumberFormat="1" applyFont="1" applyFill="1" applyBorder="1" applyAlignment="1">
      <alignment horizontal="center" vertical="center"/>
    </xf>
    <xf numFmtId="3" fontId="79" fillId="4" borderId="20" xfId="0" applyNumberFormat="1" applyFont="1" applyFill="1" applyBorder="1" applyAlignment="1">
      <alignment horizontal="center" vertical="center"/>
    </xf>
    <xf numFmtId="3" fontId="79" fillId="4" borderId="29" xfId="0" applyNumberFormat="1" applyFont="1" applyFill="1" applyBorder="1" applyAlignment="1">
      <alignment horizontal="center" vertical="center"/>
    </xf>
    <xf numFmtId="3" fontId="79" fillId="4" borderId="10" xfId="0" applyNumberFormat="1" applyFont="1" applyFill="1" applyBorder="1" applyAlignment="1">
      <alignment horizontal="center" vertical="center"/>
    </xf>
    <xf numFmtId="0" fontId="64" fillId="0" borderId="0" xfId="0" applyFont="1" applyAlignment="1">
      <alignment horizontal="center" vertical="center"/>
    </xf>
    <xf numFmtId="0" fontId="83" fillId="0" borderId="0" xfId="0" applyFont="1"/>
    <xf numFmtId="0" fontId="54" fillId="0" borderId="0" xfId="0" applyFont="1" applyAlignment="1">
      <alignment horizontal="center" vertical="center"/>
    </xf>
    <xf numFmtId="3" fontId="79" fillId="4" borderId="30" xfId="0" applyNumberFormat="1" applyFont="1" applyFill="1" applyBorder="1" applyAlignment="1">
      <alignment horizontal="center" vertical="center"/>
    </xf>
    <xf numFmtId="0" fontId="69" fillId="0" borderId="0" xfId="0" applyFont="1"/>
    <xf numFmtId="0" fontId="84" fillId="0" borderId="0" xfId="0" applyFont="1"/>
    <xf numFmtId="3" fontId="53" fillId="0" borderId="0" xfId="0" applyNumberFormat="1" applyFont="1"/>
    <xf numFmtId="0" fontId="57" fillId="0" borderId="0" xfId="0" applyFont="1" applyAlignment="1">
      <alignment horizontal="center" vertical="center"/>
    </xf>
    <xf numFmtId="0" fontId="12" fillId="0" borderId="0" xfId="0" applyFont="1" applyAlignment="1">
      <alignment horizontal="center" vertical="center" wrapText="1"/>
    </xf>
    <xf numFmtId="0" fontId="57" fillId="0" borderId="0" xfId="0" applyFont="1"/>
    <xf numFmtId="49" fontId="57" fillId="0" borderId="2" xfId="0" applyNumberFormat="1" applyFont="1" applyBorder="1" applyAlignment="1">
      <alignment horizontal="center" vertical="center"/>
    </xf>
    <xf numFmtId="0" fontId="87" fillId="0" borderId="0" xfId="0" applyFont="1" applyAlignment="1">
      <alignment horizontal="center" vertical="center" wrapText="1"/>
    </xf>
    <xf numFmtId="0" fontId="88" fillId="10" borderId="0" xfId="0" applyFont="1" applyFill="1" applyAlignment="1">
      <alignment horizontal="center" vertical="center"/>
    </xf>
    <xf numFmtId="0" fontId="88" fillId="0" borderId="8" xfId="0" applyFont="1" applyBorder="1" applyAlignment="1">
      <alignment horizontal="center" vertical="center" wrapText="1"/>
    </xf>
    <xf numFmtId="3" fontId="17" fillId="0" borderId="2" xfId="0" applyNumberFormat="1" applyFont="1" applyBorder="1" applyAlignment="1">
      <alignment horizontal="center" vertical="center"/>
    </xf>
    <xf numFmtId="0" fontId="88" fillId="0" borderId="0" xfId="0" applyFont="1" applyAlignment="1">
      <alignment horizontal="center" vertical="center"/>
    </xf>
    <xf numFmtId="0" fontId="90" fillId="0" borderId="0" xfId="0" applyFont="1" applyAlignment="1">
      <alignment horizontal="center" vertical="center" wrapText="1"/>
    </xf>
    <xf numFmtId="3" fontId="6" fillId="2" borderId="2" xfId="0" applyNumberFormat="1" applyFont="1" applyFill="1" applyBorder="1" applyAlignment="1">
      <alignment horizontal="center" vertical="center"/>
    </xf>
    <xf numFmtId="3" fontId="87" fillId="0" borderId="2" xfId="0" applyNumberFormat="1" applyFont="1" applyBorder="1" applyAlignment="1">
      <alignment horizontal="center" vertical="center"/>
    </xf>
    <xf numFmtId="0" fontId="90" fillId="0" borderId="0" xfId="0" applyFont="1" applyAlignment="1">
      <alignment horizontal="center" vertical="center"/>
    </xf>
    <xf numFmtId="0" fontId="10" fillId="0" borderId="5" xfId="0" applyFont="1" applyBorder="1" applyAlignment="1">
      <alignment horizontal="center" vertical="center" wrapText="1"/>
    </xf>
    <xf numFmtId="9" fontId="17" fillId="0" borderId="16" xfId="4" applyFont="1" applyBorder="1" applyAlignment="1">
      <alignment horizontal="center" vertical="center"/>
    </xf>
    <xf numFmtId="0" fontId="40" fillId="0" borderId="31" xfId="0" applyFont="1" applyBorder="1" applyAlignment="1">
      <alignment horizontal="center" vertical="center" wrapText="1"/>
    </xf>
    <xf numFmtId="3" fontId="17" fillId="0" borderId="32" xfId="4" applyNumberFormat="1" applyFont="1" applyBorder="1" applyAlignment="1">
      <alignment horizontal="center" vertical="center"/>
    </xf>
    <xf numFmtId="3" fontId="17" fillId="0" borderId="33" xfId="4" applyNumberFormat="1" applyFont="1" applyBorder="1" applyAlignment="1">
      <alignment horizontal="center" vertical="center"/>
    </xf>
    <xf numFmtId="0" fontId="10" fillId="0" borderId="8" xfId="0" applyFont="1" applyBorder="1" applyAlignment="1">
      <alignment horizontal="center" vertical="center" wrapText="1"/>
    </xf>
    <xf numFmtId="3" fontId="17" fillId="0" borderId="17" xfId="4" applyNumberFormat="1" applyFont="1" applyBorder="1" applyAlignment="1">
      <alignment horizontal="center" vertical="center"/>
    </xf>
    <xf numFmtId="3" fontId="17" fillId="0" borderId="17" xfId="0" applyNumberFormat="1" applyFont="1" applyBorder="1" applyAlignment="1">
      <alignment horizontal="center" vertical="center"/>
    </xf>
    <xf numFmtId="3" fontId="91" fillId="0" borderId="2" xfId="0" applyNumberFormat="1" applyFont="1" applyBorder="1" applyAlignment="1">
      <alignment horizontal="center" vertical="center"/>
    </xf>
    <xf numFmtId="3" fontId="92" fillId="0" borderId="20" xfId="0" applyNumberFormat="1" applyFont="1" applyBorder="1" applyAlignment="1">
      <alignment horizontal="center" vertical="center"/>
    </xf>
    <xf numFmtId="0" fontId="24" fillId="0" borderId="9" xfId="0" applyFont="1" applyBorder="1" applyAlignment="1">
      <alignment horizontal="center" vertical="center" wrapText="1"/>
    </xf>
    <xf numFmtId="0" fontId="93" fillId="0" borderId="0" xfId="0" applyFont="1" applyAlignment="1">
      <alignment horizontal="center" vertical="center"/>
    </xf>
    <xf numFmtId="0" fontId="94" fillId="0" borderId="9" xfId="0" applyFont="1" applyBorder="1" applyAlignment="1">
      <alignment horizontal="center" vertical="center" wrapText="1"/>
    </xf>
    <xf numFmtId="0" fontId="94" fillId="0" borderId="0" xfId="0" applyFont="1" applyAlignment="1">
      <alignment horizontal="center" vertical="center"/>
    </xf>
    <xf numFmtId="3" fontId="95" fillId="0" borderId="21" xfId="0" applyNumberFormat="1" applyFont="1" applyBorder="1" applyAlignment="1">
      <alignment horizontal="center" vertical="center"/>
    </xf>
    <xf numFmtId="3" fontId="96" fillId="0" borderId="22" xfId="0" applyNumberFormat="1" applyFont="1" applyBorder="1" applyAlignment="1">
      <alignment horizontal="center" vertical="center"/>
    </xf>
    <xf numFmtId="0" fontId="94" fillId="0" borderId="0" xfId="0" applyFont="1"/>
    <xf numFmtId="0" fontId="93" fillId="11" borderId="0" xfId="0" applyFont="1" applyFill="1" applyAlignment="1">
      <alignment horizontal="center" vertical="center"/>
    </xf>
    <xf numFmtId="0" fontId="39" fillId="11" borderId="0" xfId="0" applyFont="1" applyFill="1" applyAlignment="1">
      <alignment horizontal="center" vertical="center" wrapText="1"/>
    </xf>
    <xf numFmtId="0" fontId="28" fillId="11" borderId="0" xfId="0" applyFont="1" applyFill="1" applyAlignment="1">
      <alignment horizontal="center" vertical="center" wrapText="1"/>
    </xf>
    <xf numFmtId="0" fontId="28" fillId="11" borderId="0" xfId="0" applyFont="1" applyFill="1" applyAlignment="1">
      <alignment horizontal="center" vertical="center"/>
    </xf>
    <xf numFmtId="0" fontId="94" fillId="11" borderId="0" xfId="0" applyFont="1" applyFill="1" applyAlignment="1">
      <alignment horizontal="center" vertical="center" wrapText="1"/>
    </xf>
    <xf numFmtId="1" fontId="94" fillId="11" borderId="0" xfId="4" applyNumberFormat="1" applyFont="1" applyFill="1" applyAlignment="1">
      <alignment horizontal="center" vertical="center"/>
    </xf>
    <xf numFmtId="3" fontId="17" fillId="11" borderId="0" xfId="0" applyNumberFormat="1" applyFont="1" applyFill="1" applyAlignment="1">
      <alignment horizontal="center" vertical="center"/>
    </xf>
    <xf numFmtId="3" fontId="10" fillId="11" borderId="0" xfId="0" applyNumberFormat="1" applyFont="1" applyFill="1" applyAlignment="1">
      <alignment horizontal="center" vertical="center" wrapText="1"/>
    </xf>
    <xf numFmtId="3" fontId="90" fillId="11" borderId="0" xfId="0" applyNumberFormat="1" applyFont="1" applyFill="1" applyAlignment="1">
      <alignment horizontal="center" vertical="center"/>
    </xf>
    <xf numFmtId="0" fontId="94" fillId="11" borderId="0" xfId="0" applyFont="1" applyFill="1" applyAlignment="1">
      <alignment horizontal="center" vertical="center"/>
    </xf>
    <xf numFmtId="0" fontId="82" fillId="11" borderId="0" xfId="0" applyFont="1" applyFill="1" applyAlignment="1">
      <alignment horizontal="center" vertical="center" wrapText="1"/>
    </xf>
    <xf numFmtId="0" fontId="5" fillId="11" borderId="0" xfId="0" applyFont="1" applyFill="1" applyAlignment="1">
      <alignment horizontal="center" vertical="center" wrapText="1"/>
    </xf>
    <xf numFmtId="3" fontId="95" fillId="11" borderId="0" xfId="0" applyNumberFormat="1" applyFont="1" applyFill="1" applyAlignment="1">
      <alignment horizontal="center" vertical="center"/>
    </xf>
    <xf numFmtId="3" fontId="96" fillId="11" borderId="0" xfId="0" applyNumberFormat="1" applyFont="1" applyFill="1" applyAlignment="1">
      <alignment horizontal="center" vertical="center"/>
    </xf>
    <xf numFmtId="0" fontId="94" fillId="11" borderId="0" xfId="0" applyFont="1" applyFill="1"/>
    <xf numFmtId="0" fontId="88" fillId="0" borderId="2" xfId="0" applyFont="1" applyBorder="1" applyAlignment="1">
      <alignment horizontal="center" vertical="center" wrapText="1"/>
    </xf>
    <xf numFmtId="3" fontId="87" fillId="2" borderId="2" xfId="0" applyNumberFormat="1" applyFont="1" applyFill="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24" fillId="0" borderId="2" xfId="0" applyFont="1" applyBorder="1" applyAlignment="1">
      <alignment horizontal="center" vertical="center" wrapText="1"/>
    </xf>
    <xf numFmtId="0" fontId="94" fillId="0" borderId="2" xfId="0" applyFont="1" applyBorder="1" applyAlignment="1">
      <alignment horizontal="center" vertical="center" wrapText="1"/>
    </xf>
    <xf numFmtId="0" fontId="40" fillId="0" borderId="0" xfId="0" applyFont="1" applyAlignment="1">
      <alignment horizontal="center" vertical="center"/>
    </xf>
    <xf numFmtId="0" fontId="40" fillId="0" borderId="2" xfId="0" applyFont="1" applyBorder="1" applyAlignment="1">
      <alignment horizontal="center" vertical="center" wrapText="1"/>
    </xf>
    <xf numFmtId="0" fontId="10" fillId="0" borderId="0" xfId="0" applyFont="1" applyAlignment="1">
      <alignment horizontal="center" vertical="center"/>
    </xf>
    <xf numFmtId="0" fontId="60" fillId="11" borderId="0" xfId="0" applyFont="1" applyFill="1" applyAlignment="1">
      <alignment horizontal="center" vertical="center"/>
    </xf>
    <xf numFmtId="0" fontId="20" fillId="11" borderId="0" xfId="0" applyFont="1" applyFill="1" applyAlignment="1" applyProtection="1">
      <alignment horizontal="center" vertical="center" wrapText="1"/>
      <protection locked="0"/>
    </xf>
    <xf numFmtId="0" fontId="20" fillId="11" borderId="0" xfId="0" applyFont="1" applyFill="1" applyAlignment="1" applyProtection="1">
      <alignment vertical="center" wrapText="1"/>
      <protection locked="0"/>
    </xf>
    <xf numFmtId="0" fontId="56" fillId="11" borderId="0" xfId="0" applyFont="1" applyFill="1" applyAlignment="1">
      <alignment horizontal="center" vertical="center"/>
    </xf>
    <xf numFmtId="0" fontId="53" fillId="11" borderId="0" xfId="0" applyFont="1" applyFill="1"/>
    <xf numFmtId="0" fontId="61" fillId="11" borderId="0" xfId="0" applyFont="1" applyFill="1"/>
    <xf numFmtId="0" fontId="62" fillId="11" borderId="0" xfId="0" applyFont="1" applyFill="1"/>
    <xf numFmtId="0" fontId="60" fillId="11" borderId="0" xfId="0" applyFont="1" applyFill="1"/>
    <xf numFmtId="0" fontId="39" fillId="0" borderId="0" xfId="0" applyFont="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center" vertical="center"/>
    </xf>
    <xf numFmtId="0" fontId="94" fillId="0" borderId="0" xfId="0" applyFont="1" applyAlignment="1">
      <alignment horizontal="center" vertical="center" wrapText="1"/>
    </xf>
    <xf numFmtId="3" fontId="90" fillId="0" borderId="0" xfId="4" applyNumberFormat="1" applyFont="1" applyAlignment="1">
      <alignment horizontal="center" vertical="center"/>
    </xf>
    <xf numFmtId="3" fontId="17" fillId="0" borderId="0" xfId="0" applyNumberFormat="1" applyFont="1" applyAlignment="1">
      <alignment horizontal="center" vertical="center"/>
    </xf>
    <xf numFmtId="3" fontId="10" fillId="0" borderId="0" xfId="0" applyNumberFormat="1" applyFont="1" applyAlignment="1">
      <alignment horizontal="center" vertical="center" wrapText="1"/>
    </xf>
    <xf numFmtId="0" fontId="82" fillId="0" borderId="0" xfId="0" applyFont="1" applyAlignment="1">
      <alignment horizontal="center" vertical="center" wrapText="1"/>
    </xf>
    <xf numFmtId="0" fontId="5" fillId="0" borderId="0" xfId="0" applyFont="1" applyAlignment="1">
      <alignment horizontal="center" vertical="center" wrapText="1"/>
    </xf>
    <xf numFmtId="3" fontId="91" fillId="0" borderId="0" xfId="0" applyNumberFormat="1" applyFont="1" applyAlignment="1">
      <alignment horizontal="center" vertical="center"/>
    </xf>
    <xf numFmtId="3" fontId="92" fillId="0" borderId="0" xfId="0" applyNumberFormat="1" applyFont="1" applyAlignment="1">
      <alignment horizontal="center" vertical="center"/>
    </xf>
    <xf numFmtId="3" fontId="97" fillId="0" borderId="0" xfId="0" applyNumberFormat="1" applyFont="1" applyAlignment="1">
      <alignment horizontal="center" vertical="center"/>
    </xf>
    <xf numFmtId="3" fontId="92" fillId="0" borderId="0" xfId="0" applyNumberFormat="1" applyFont="1" applyAlignment="1">
      <alignment horizontal="center" vertical="center" wrapText="1"/>
    </xf>
    <xf numFmtId="3" fontId="91" fillId="0" borderId="0" xfId="0" applyNumberFormat="1" applyFont="1" applyAlignment="1">
      <alignment horizontal="center" vertical="center" wrapText="1"/>
    </xf>
    <xf numFmtId="3" fontId="90" fillId="0" borderId="0" xfId="0" applyNumberFormat="1" applyFont="1" applyAlignment="1">
      <alignment horizontal="center" vertical="center" wrapText="1"/>
    </xf>
    <xf numFmtId="3" fontId="90" fillId="0" borderId="0" xfId="0" applyNumberFormat="1" applyFont="1" applyAlignment="1">
      <alignment horizontal="center" vertical="center"/>
    </xf>
    <xf numFmtId="3" fontId="84" fillId="0" borderId="0" xfId="0" applyNumberFormat="1" applyFont="1" applyAlignment="1">
      <alignment horizontal="center" vertical="center" wrapText="1"/>
    </xf>
    <xf numFmtId="3" fontId="90" fillId="0" borderId="0" xfId="0" applyNumberFormat="1" applyFont="1"/>
    <xf numFmtId="1" fontId="94" fillId="0" borderId="0" xfId="4" applyNumberFormat="1" applyFont="1" applyAlignment="1">
      <alignment horizontal="center" vertical="center"/>
    </xf>
    <xf numFmtId="3" fontId="95" fillId="0" borderId="0" xfId="0" applyNumberFormat="1" applyFont="1" applyAlignment="1">
      <alignment horizontal="center" vertical="center"/>
    </xf>
    <xf numFmtId="3" fontId="96" fillId="0" borderId="0" xfId="0" applyNumberFormat="1" applyFont="1" applyAlignment="1">
      <alignment horizontal="center" vertical="center"/>
    </xf>
    <xf numFmtId="0" fontId="39" fillId="0" borderId="0" xfId="0" applyFont="1" applyAlignment="1">
      <alignment horizontal="center" vertical="center"/>
    </xf>
    <xf numFmtId="0" fontId="28" fillId="0" borderId="0" xfId="0" applyFont="1"/>
    <xf numFmtId="0" fontId="91" fillId="0" borderId="0" xfId="0" applyFont="1"/>
    <xf numFmtId="0" fontId="5" fillId="0" borderId="0" xfId="0" applyFont="1"/>
    <xf numFmtId="0" fontId="39" fillId="0" borderId="0" xfId="0" applyFont="1"/>
    <xf numFmtId="0" fontId="16" fillId="0" borderId="0" xfId="0" applyFont="1" applyAlignment="1" applyProtection="1">
      <alignment horizontal="left" vertical="center"/>
      <protection locked="0"/>
    </xf>
    <xf numFmtId="0" fontId="57" fillId="0" borderId="34" xfId="0" applyFont="1" applyBorder="1" applyAlignment="1" applyProtection="1">
      <alignment horizontal="center" vertical="center" wrapText="1"/>
      <protection locked="0"/>
    </xf>
    <xf numFmtId="0" fontId="57" fillId="0" borderId="35" xfId="0" applyFont="1" applyBorder="1" applyAlignment="1" applyProtection="1">
      <alignment horizontal="center" vertical="center" wrapText="1"/>
      <protection locked="0"/>
    </xf>
    <xf numFmtId="3" fontId="5" fillId="0" borderId="36" xfId="0" applyNumberFormat="1" applyFont="1" applyBorder="1" applyAlignment="1" applyProtection="1">
      <alignment horizontal="center" vertical="center"/>
      <protection locked="0"/>
    </xf>
    <xf numFmtId="3" fontId="91" fillId="0" borderId="37" xfId="0" applyNumberFormat="1" applyFont="1" applyBorder="1" applyAlignment="1" applyProtection="1">
      <alignment horizontal="center" vertical="center"/>
      <protection locked="0"/>
    </xf>
    <xf numFmtId="3" fontId="5" fillId="0" borderId="19" xfId="0" applyNumberFormat="1" applyFont="1" applyBorder="1" applyAlignment="1" applyProtection="1">
      <alignment horizontal="center" vertical="center"/>
      <protection locked="0"/>
    </xf>
    <xf numFmtId="0" fontId="53" fillId="0" borderId="0" xfId="0" applyFont="1" applyAlignment="1">
      <alignment horizontal="left" vertical="center"/>
    </xf>
    <xf numFmtId="3" fontId="5" fillId="2" borderId="2" xfId="0" applyNumberFormat="1" applyFont="1" applyFill="1" applyBorder="1" applyAlignment="1" applyProtection="1">
      <alignment horizontal="center" vertical="center"/>
      <protection locked="0"/>
    </xf>
    <xf numFmtId="3" fontId="91" fillId="0" borderId="20" xfId="0" applyNumberFormat="1" applyFont="1" applyBorder="1" applyAlignment="1" applyProtection="1">
      <alignment horizontal="center" vertical="center"/>
      <protection locked="0"/>
    </xf>
    <xf numFmtId="0" fontId="98" fillId="0" borderId="0" xfId="0" applyFont="1" applyAlignment="1">
      <alignment horizontal="center" vertical="center"/>
    </xf>
    <xf numFmtId="0" fontId="98" fillId="0" borderId="0" xfId="0" applyFont="1"/>
    <xf numFmtId="3" fontId="91" fillId="0" borderId="19" xfId="0" applyNumberFormat="1" applyFont="1" applyBorder="1" applyAlignment="1" applyProtection="1">
      <alignment horizontal="center" vertical="center"/>
      <protection locked="0"/>
    </xf>
    <xf numFmtId="3" fontId="5" fillId="0" borderId="0" xfId="0" applyNumberFormat="1" applyFont="1" applyAlignment="1" applyProtection="1">
      <alignment horizontal="center" vertical="center"/>
      <protection locked="0"/>
    </xf>
    <xf numFmtId="3" fontId="91" fillId="0" borderId="21" xfId="0" applyNumberFormat="1" applyFont="1" applyBorder="1" applyAlignment="1" applyProtection="1">
      <alignment horizontal="center" vertical="center"/>
      <protection locked="0"/>
    </xf>
    <xf numFmtId="3" fontId="91" fillId="0" borderId="22" xfId="0" applyNumberFormat="1" applyFont="1" applyBorder="1" applyAlignment="1" applyProtection="1">
      <alignment horizontal="center" vertical="center"/>
      <protection locked="0"/>
    </xf>
    <xf numFmtId="0" fontId="12" fillId="0" borderId="0" xfId="0" applyFont="1" applyAlignment="1">
      <alignment vertical="center"/>
    </xf>
    <xf numFmtId="0" fontId="53" fillId="0" borderId="0" xfId="0" applyFont="1" applyAlignment="1">
      <alignment horizontal="center" vertical="center" wrapText="1"/>
    </xf>
    <xf numFmtId="0" fontId="88" fillId="0" borderId="38" xfId="0" applyFont="1" applyBorder="1" applyAlignment="1">
      <alignment horizontal="center" vertical="center" wrapText="1"/>
    </xf>
    <xf numFmtId="49" fontId="88" fillId="0" borderId="36" xfId="0" applyNumberFormat="1" applyFont="1" applyBorder="1" applyAlignment="1">
      <alignment horizontal="center" vertical="center"/>
    </xf>
    <xf numFmtId="0" fontId="88" fillId="0" borderId="36" xfId="0" applyFont="1" applyBorder="1" applyAlignment="1">
      <alignment horizontal="center" vertical="center"/>
    </xf>
    <xf numFmtId="0" fontId="88" fillId="0" borderId="37" xfId="0" applyFont="1" applyBorder="1" applyAlignment="1">
      <alignment horizontal="center" vertical="center"/>
    </xf>
    <xf numFmtId="0" fontId="88" fillId="0" borderId="28" xfId="0" applyFont="1" applyBorder="1" applyAlignment="1">
      <alignment horizontal="left" vertical="center" wrapText="1"/>
    </xf>
    <xf numFmtId="0" fontId="24" fillId="0" borderId="2" xfId="0" applyFont="1" applyBorder="1" applyAlignment="1">
      <alignment horizontal="center" vertical="center"/>
    </xf>
    <xf numFmtId="0" fontId="24" fillId="0" borderId="20" xfId="0" applyFont="1" applyBorder="1" applyAlignment="1">
      <alignment horizontal="center" vertical="center"/>
    </xf>
    <xf numFmtId="0" fontId="88" fillId="11" borderId="28" xfId="0" applyFont="1" applyFill="1" applyBorder="1" applyAlignment="1">
      <alignment horizontal="left" vertical="center" wrapText="1"/>
    </xf>
    <xf numFmtId="3" fontId="88" fillId="11" borderId="2" xfId="0" applyNumberFormat="1" applyFont="1" applyFill="1" applyBorder="1" applyAlignment="1">
      <alignment horizontal="center" vertical="center"/>
    </xf>
    <xf numFmtId="3" fontId="88" fillId="11" borderId="20" xfId="0" applyNumberFormat="1" applyFont="1" applyFill="1" applyBorder="1" applyAlignment="1">
      <alignment horizontal="center" vertical="center"/>
    </xf>
    <xf numFmtId="0" fontId="88" fillId="11" borderId="23" xfId="0" applyFont="1" applyFill="1" applyBorder="1" applyAlignment="1">
      <alignment horizontal="left" vertical="center" wrapText="1"/>
    </xf>
    <xf numFmtId="3" fontId="88" fillId="11" borderId="21" xfId="0" applyNumberFormat="1" applyFont="1" applyFill="1" applyBorder="1" applyAlignment="1">
      <alignment horizontal="center" vertical="center"/>
    </xf>
    <xf numFmtId="3" fontId="88" fillId="11" borderId="22" xfId="0" applyNumberFormat="1" applyFont="1" applyFill="1" applyBorder="1" applyAlignment="1">
      <alignment horizontal="center" vertical="center"/>
    </xf>
    <xf numFmtId="0" fontId="53" fillId="0" borderId="0" xfId="0" applyFont="1" applyAlignment="1">
      <alignment horizontal="center" vertical="center"/>
    </xf>
    <xf numFmtId="0" fontId="88" fillId="12" borderId="36" xfId="0" applyFont="1" applyFill="1" applyBorder="1" applyAlignment="1">
      <alignment horizontal="center" vertical="center" wrapText="1"/>
    </xf>
    <xf numFmtId="0" fontId="88" fillId="12" borderId="37" xfId="0" applyFont="1" applyFill="1" applyBorder="1" applyAlignment="1">
      <alignment horizontal="center" vertical="center" wrapText="1"/>
    </xf>
    <xf numFmtId="0" fontId="60" fillId="0" borderId="0" xfId="0" applyFont="1" applyAlignment="1">
      <alignment wrapText="1"/>
    </xf>
    <xf numFmtId="0" fontId="100" fillId="0" borderId="36" xfId="0" applyFont="1" applyBorder="1" applyAlignment="1">
      <alignment horizontal="center" vertical="center" wrapText="1"/>
    </xf>
    <xf numFmtId="0" fontId="88" fillId="12" borderId="36" xfId="0" applyFont="1" applyFill="1" applyBorder="1" applyAlignment="1">
      <alignment vertical="center" wrapText="1"/>
    </xf>
    <xf numFmtId="0" fontId="41" fillId="12" borderId="17" xfId="0" applyFont="1" applyFill="1" applyBorder="1" applyAlignment="1">
      <alignment horizontal="center" vertical="center" wrapText="1"/>
    </xf>
    <xf numFmtId="0" fontId="100" fillId="12" borderId="36" xfId="0" applyFont="1" applyFill="1" applyBorder="1" applyAlignment="1">
      <alignment horizontal="center" vertical="center"/>
    </xf>
    <xf numFmtId="0" fontId="100" fillId="12" borderId="37" xfId="0" applyFont="1" applyFill="1" applyBorder="1" applyAlignment="1">
      <alignment horizontal="center" vertical="center"/>
    </xf>
    <xf numFmtId="0" fontId="24" fillId="12" borderId="2" xfId="0" applyFont="1" applyFill="1" applyBorder="1" applyAlignment="1">
      <alignment horizontal="center" vertical="center"/>
    </xf>
    <xf numFmtId="0" fontId="10" fillId="12" borderId="2" xfId="0" applyFont="1" applyFill="1" applyBorder="1" applyAlignment="1">
      <alignment horizontal="center" vertical="center"/>
    </xf>
    <xf numFmtId="0" fontId="24" fillId="12" borderId="18" xfId="0" applyFont="1" applyFill="1" applyBorder="1" applyAlignment="1">
      <alignment horizontal="center" vertical="center"/>
    </xf>
    <xf numFmtId="0" fontId="24" fillId="12" borderId="20" xfId="0" applyFont="1" applyFill="1" applyBorder="1" applyAlignment="1">
      <alignment horizontal="center" vertical="center"/>
    </xf>
    <xf numFmtId="0" fontId="24" fillId="12" borderId="21" xfId="0" applyFont="1" applyFill="1" applyBorder="1" applyAlignment="1">
      <alignment horizontal="center" vertical="center"/>
    </xf>
    <xf numFmtId="0" fontId="10" fillId="12" borderId="21" xfId="0" applyFont="1" applyFill="1" applyBorder="1" applyAlignment="1">
      <alignment horizontal="center" vertical="center"/>
    </xf>
    <xf numFmtId="0" fontId="24" fillId="12" borderId="22" xfId="0" applyFont="1" applyFill="1" applyBorder="1" applyAlignment="1">
      <alignment horizontal="center" vertical="center"/>
    </xf>
    <xf numFmtId="0" fontId="24" fillId="12" borderId="36" xfId="0" applyFont="1" applyFill="1" applyBorder="1" applyAlignment="1">
      <alignment horizontal="center" vertical="center"/>
    </xf>
    <xf numFmtId="0" fontId="41" fillId="12" borderId="36" xfId="0" applyFont="1" applyFill="1" applyBorder="1" applyAlignment="1">
      <alignment horizontal="center" vertical="center" wrapText="1"/>
    </xf>
    <xf numFmtId="0" fontId="10" fillId="12" borderId="39" xfId="0" applyFont="1" applyFill="1" applyBorder="1" applyAlignment="1">
      <alignment horizontal="center" vertical="top"/>
    </xf>
    <xf numFmtId="1" fontId="88" fillId="11" borderId="32" xfId="0" applyNumberFormat="1" applyFont="1" applyFill="1" applyBorder="1" applyAlignment="1">
      <alignment horizontal="center" vertical="center"/>
    </xf>
    <xf numFmtId="0" fontId="88" fillId="11" borderId="33" xfId="0" applyFont="1" applyFill="1" applyBorder="1" applyAlignment="1">
      <alignment horizontal="center" vertical="center"/>
    </xf>
    <xf numFmtId="0" fontId="102" fillId="0" borderId="0" xfId="0" applyFont="1" applyAlignment="1">
      <alignment horizontal="left" vertical="center"/>
    </xf>
    <xf numFmtId="0" fontId="103" fillId="0" borderId="0" xfId="1" applyFont="1" applyAlignment="1">
      <alignment vertical="center"/>
    </xf>
    <xf numFmtId="9" fontId="15" fillId="0" borderId="0" xfId="4" applyFont="1"/>
    <xf numFmtId="1" fontId="15" fillId="0" borderId="0" xfId="0" applyNumberFormat="1" applyFont="1"/>
    <xf numFmtId="0" fontId="16" fillId="0" borderId="0" xfId="0" applyFont="1" applyAlignment="1">
      <alignment horizontal="left" vertical="center" wrapText="1"/>
    </xf>
    <xf numFmtId="0" fontId="16" fillId="0" borderId="10" xfId="0" applyFont="1" applyBorder="1" applyAlignment="1">
      <alignment horizontal="left" vertical="center" wrapText="1"/>
    </xf>
    <xf numFmtId="0" fontId="15" fillId="2" borderId="2" xfId="0" applyFont="1" applyFill="1" applyBorder="1" applyAlignment="1">
      <alignment horizontal="center" vertical="center" wrapText="1"/>
    </xf>
    <xf numFmtId="0" fontId="15" fillId="0" borderId="0" xfId="0" applyFont="1" applyAlignment="1">
      <alignment horizontal="center"/>
    </xf>
    <xf numFmtId="3" fontId="15" fillId="2" borderId="2" xfId="0" applyNumberFormat="1" applyFont="1" applyFill="1" applyBorder="1" applyAlignment="1">
      <alignment horizontal="center" vertical="center" wrapText="1"/>
    </xf>
    <xf numFmtId="0" fontId="2" fillId="0" borderId="2" xfId="0" applyFont="1" applyBorder="1" applyAlignment="1">
      <alignment horizontal="left" vertical="center" wrapText="1"/>
    </xf>
    <xf numFmtId="3" fontId="15" fillId="2" borderId="2" xfId="0" applyNumberFormat="1" applyFont="1" applyFill="1" applyBorder="1" applyAlignment="1">
      <alignment horizontal="center" vertical="center"/>
    </xf>
    <xf numFmtId="0" fontId="50" fillId="0" borderId="0" xfId="0" applyFont="1"/>
    <xf numFmtId="3" fontId="15" fillId="0" borderId="2" xfId="0" applyNumberFormat="1" applyFont="1" applyBorder="1" applyAlignment="1">
      <alignment horizontal="center" vertical="center"/>
    </xf>
    <xf numFmtId="0" fontId="50" fillId="0" borderId="2" xfId="0" applyFont="1" applyBorder="1" applyAlignment="1">
      <alignment horizontal="left" vertical="center" wrapText="1" indent="4"/>
    </xf>
    <xf numFmtId="0" fontId="50" fillId="0" borderId="0" xfId="0" applyFont="1" applyAlignment="1">
      <alignment horizontal="left" vertical="center" wrapText="1" indent="4"/>
    </xf>
    <xf numFmtId="3" fontId="15" fillId="0" borderId="0" xfId="0" applyNumberFormat="1" applyFont="1" applyAlignment="1">
      <alignment horizontal="center" vertical="center"/>
    </xf>
    <xf numFmtId="0" fontId="50" fillId="0" borderId="2" xfId="0" applyFont="1" applyBorder="1" applyAlignment="1">
      <alignment horizontal="left" vertical="center" wrapText="1" indent="2"/>
    </xf>
    <xf numFmtId="0" fontId="50" fillId="2" borderId="2" xfId="0" applyFont="1" applyFill="1" applyBorder="1" applyAlignment="1">
      <alignment horizontal="center" vertical="center" wrapText="1"/>
    </xf>
    <xf numFmtId="49" fontId="15" fillId="2" borderId="2" xfId="0" applyNumberFormat="1" applyFont="1" applyFill="1" applyBorder="1" applyAlignment="1">
      <alignment horizontal="center" vertical="center" wrapText="1"/>
    </xf>
    <xf numFmtId="0" fontId="15" fillId="0" borderId="0" xfId="0" applyFont="1" applyAlignment="1">
      <alignment wrapText="1"/>
    </xf>
    <xf numFmtId="0" fontId="5" fillId="0" borderId="9" xfId="0" applyFont="1" applyBorder="1" applyAlignment="1">
      <alignment horizontal="center" vertical="center" wrapText="1"/>
    </xf>
    <xf numFmtId="0" fontId="15" fillId="0" borderId="0" xfId="0" applyFont="1" applyAlignment="1" applyProtection="1">
      <alignment horizontal="left" vertical="center" wrapText="1"/>
      <protection locked="0"/>
    </xf>
    <xf numFmtId="0" fontId="39" fillId="6" borderId="0" xfId="0" applyFont="1" applyFill="1"/>
    <xf numFmtId="0" fontId="39" fillId="0" borderId="0" xfId="0" applyFont="1" applyAlignment="1">
      <alignment horizontal="left"/>
    </xf>
    <xf numFmtId="0" fontId="96" fillId="0" borderId="0" xfId="0" applyFont="1" applyAlignment="1">
      <alignment vertical="center"/>
    </xf>
    <xf numFmtId="0" fontId="16" fillId="0" borderId="0" xfId="0" applyFont="1"/>
    <xf numFmtId="0" fontId="47" fillId="0" borderId="0" xfId="0" applyFont="1"/>
    <xf numFmtId="0" fontId="67" fillId="0" borderId="0" xfId="0" applyFont="1"/>
    <xf numFmtId="0" fontId="57" fillId="0" borderId="38" xfId="0" applyFont="1" applyBorder="1" applyAlignment="1">
      <alignment horizontal="left" vertical="center" wrapText="1"/>
    </xf>
    <xf numFmtId="0" fontId="57" fillId="0" borderId="28" xfId="0" applyFont="1" applyBorder="1" applyAlignment="1">
      <alignment horizontal="left" vertical="center" wrapText="1"/>
    </xf>
    <xf numFmtId="0" fontId="47" fillId="0" borderId="0" xfId="0" applyFont="1" applyAlignment="1">
      <alignment horizontal="left"/>
    </xf>
    <xf numFmtId="0" fontId="16" fillId="0" borderId="0" xfId="0" applyFont="1" applyAlignment="1">
      <alignment horizontal="center" vertical="center"/>
    </xf>
    <xf numFmtId="9" fontId="57" fillId="0" borderId="0" xfId="0" applyNumberFormat="1" applyFont="1" applyAlignment="1">
      <alignment horizontal="center" vertical="center"/>
    </xf>
    <xf numFmtId="0" fontId="39" fillId="0" borderId="0" xfId="0" applyFont="1" applyAlignment="1" applyProtection="1">
      <alignment horizontal="center" vertical="center" wrapText="1"/>
      <protection locked="0"/>
    </xf>
    <xf numFmtId="0" fontId="107" fillId="0" borderId="0" xfId="0" applyFont="1" applyAlignment="1">
      <alignment vertical="center"/>
    </xf>
    <xf numFmtId="0" fontId="47" fillId="0" borderId="0" xfId="0" applyFont="1" applyAlignment="1">
      <alignment vertical="center"/>
    </xf>
    <xf numFmtId="0" fontId="7" fillId="0" borderId="0" xfId="0" applyFont="1" applyAlignment="1">
      <alignment horizontal="center"/>
    </xf>
    <xf numFmtId="0" fontId="22" fillId="0" borderId="0" xfId="0" applyFont="1" applyAlignment="1">
      <alignment horizontal="center" vertical="center" wrapText="1"/>
    </xf>
    <xf numFmtId="0" fontId="57" fillId="0" borderId="23" xfId="0" applyFont="1" applyBorder="1" applyAlignment="1">
      <alignment horizontal="center" vertical="center" wrapText="1"/>
    </xf>
    <xf numFmtId="0" fontId="57" fillId="0" borderId="24" xfId="0" applyFont="1" applyBorder="1" applyAlignment="1">
      <alignment horizontal="center" vertical="center"/>
    </xf>
    <xf numFmtId="0" fontId="50" fillId="0" borderId="23" xfId="0" applyFont="1" applyBorder="1" applyAlignment="1">
      <alignment horizontal="center" vertical="center" wrapText="1"/>
    </xf>
    <xf numFmtId="0" fontId="50" fillId="0" borderId="21" xfId="0" applyFont="1" applyBorder="1" applyAlignment="1">
      <alignment horizontal="center" vertical="center" wrapText="1"/>
    </xf>
    <xf numFmtId="0" fontId="50" fillId="0" borderId="22" xfId="0" applyFont="1" applyBorder="1" applyAlignment="1">
      <alignment horizontal="center" vertical="center" wrapText="1"/>
    </xf>
    <xf numFmtId="0" fontId="22" fillId="0" borderId="22" xfId="0" applyFont="1" applyBorder="1" applyAlignment="1">
      <alignment horizontal="center" vertical="center" wrapText="1"/>
    </xf>
    <xf numFmtId="0" fontId="2" fillId="0" borderId="16" xfId="0" applyFont="1" applyBorder="1" applyAlignment="1">
      <alignment horizontal="center" vertical="center" wrapText="1"/>
    </xf>
    <xf numFmtId="0" fontId="39" fillId="0" borderId="40" xfId="0" applyFont="1" applyBorder="1" applyAlignment="1">
      <alignment horizontal="center" vertical="center"/>
    </xf>
    <xf numFmtId="0" fontId="50" fillId="0" borderId="41" xfId="0" applyFont="1" applyBorder="1" applyAlignment="1">
      <alignment horizontal="center" vertical="center" wrapText="1"/>
    </xf>
    <xf numFmtId="0" fontId="108" fillId="0" borderId="0" xfId="0" applyFont="1" applyAlignment="1">
      <alignment horizontal="center" vertical="center" wrapText="1"/>
    </xf>
    <xf numFmtId="0" fontId="50" fillId="0" borderId="42" xfId="0" applyFont="1" applyBorder="1" applyAlignment="1">
      <alignment horizontal="center" vertical="center" wrapText="1"/>
    </xf>
    <xf numFmtId="0" fontId="50" fillId="0" borderId="16" xfId="0" applyFont="1" applyBorder="1" applyAlignment="1">
      <alignment horizontal="center" vertical="center" wrapText="1"/>
    </xf>
    <xf numFmtId="0" fontId="22" fillId="0" borderId="40" xfId="0" applyFont="1" applyBorder="1" applyAlignment="1">
      <alignment horizontal="center" vertical="center" wrapText="1"/>
    </xf>
    <xf numFmtId="0" fontId="2" fillId="0" borderId="0" xfId="0" applyFont="1" applyAlignment="1">
      <alignment horizontal="center" vertical="center" wrapText="1"/>
    </xf>
    <xf numFmtId="0" fontId="2" fillId="0" borderId="22" xfId="0" applyFont="1" applyBorder="1" applyAlignment="1">
      <alignment horizontal="center" vertical="center" wrapText="1"/>
    </xf>
    <xf numFmtId="9" fontId="15" fillId="2" borderId="25" xfId="4" applyFont="1" applyFill="1" applyBorder="1" applyAlignment="1">
      <alignment horizontal="center" vertical="center"/>
    </xf>
    <xf numFmtId="9" fontId="15" fillId="2" borderId="17" xfId="4" applyFont="1" applyFill="1" applyBorder="1" applyAlignment="1">
      <alignment horizontal="center" vertical="center"/>
    </xf>
    <xf numFmtId="9" fontId="15" fillId="2" borderId="26" xfId="4" applyFont="1" applyFill="1" applyBorder="1" applyAlignment="1">
      <alignment horizontal="center" vertical="center"/>
    </xf>
    <xf numFmtId="3" fontId="15" fillId="2" borderId="25" xfId="0" applyNumberFormat="1" applyFont="1" applyFill="1" applyBorder="1" applyAlignment="1">
      <alignment horizontal="center" vertical="center"/>
    </xf>
    <xf numFmtId="3" fontId="15" fillId="2" borderId="17" xfId="0" applyNumberFormat="1" applyFont="1" applyFill="1" applyBorder="1" applyAlignment="1">
      <alignment horizontal="center" vertical="center"/>
    </xf>
    <xf numFmtId="3" fontId="15" fillId="2" borderId="26" xfId="0" applyNumberFormat="1" applyFont="1" applyFill="1" applyBorder="1" applyAlignment="1">
      <alignment horizontal="center" vertical="center"/>
    </xf>
    <xf numFmtId="3" fontId="92" fillId="4" borderId="26" xfId="0" applyNumberFormat="1" applyFont="1" applyFill="1" applyBorder="1" applyAlignment="1">
      <alignment horizontal="center" vertical="center"/>
    </xf>
    <xf numFmtId="3" fontId="92" fillId="4" borderId="6" xfId="0" applyNumberFormat="1" applyFont="1" applyFill="1" applyBorder="1" applyAlignment="1">
      <alignment horizontal="center" vertical="center"/>
    </xf>
    <xf numFmtId="3" fontId="46" fillId="0" borderId="38" xfId="0" applyNumberFormat="1" applyFont="1" applyBorder="1" applyAlignment="1">
      <alignment horizontal="center" vertical="center"/>
    </xf>
    <xf numFmtId="3" fontId="46" fillId="0" borderId="36" xfId="0" applyNumberFormat="1" applyFont="1" applyBorder="1" applyAlignment="1">
      <alignment horizontal="center" vertical="center"/>
    </xf>
    <xf numFmtId="3" fontId="109" fillId="4" borderId="37" xfId="0" applyNumberFormat="1" applyFont="1" applyFill="1" applyBorder="1" applyAlignment="1">
      <alignment horizontal="center" vertical="center"/>
    </xf>
    <xf numFmtId="3" fontId="15" fillId="2" borderId="8" xfId="0" applyNumberFormat="1" applyFont="1" applyFill="1" applyBorder="1" applyAlignment="1">
      <alignment horizontal="center" vertical="center"/>
    </xf>
    <xf numFmtId="3" fontId="50" fillId="0" borderId="0" xfId="0" applyNumberFormat="1" applyFont="1" applyAlignment="1">
      <alignment horizontal="center" vertical="center" wrapText="1"/>
    </xf>
    <xf numFmtId="3" fontId="92" fillId="4" borderId="37" xfId="0" applyNumberFormat="1" applyFont="1" applyFill="1" applyBorder="1" applyAlignment="1">
      <alignment horizontal="center" vertical="center"/>
    </xf>
    <xf numFmtId="3" fontId="46" fillId="0" borderId="0" xfId="0" applyNumberFormat="1" applyFont="1" applyAlignment="1">
      <alignment horizontal="center" vertical="center"/>
    </xf>
    <xf numFmtId="3" fontId="46" fillId="0" borderId="25" xfId="0" applyNumberFormat="1" applyFont="1" applyBorder="1" applyAlignment="1">
      <alignment horizontal="center" vertical="center"/>
    </xf>
    <xf numFmtId="3" fontId="46" fillId="0" borderId="17" xfId="0" applyNumberFormat="1" applyFont="1" applyBorder="1" applyAlignment="1">
      <alignment horizontal="center" vertical="center"/>
    </xf>
    <xf numFmtId="3" fontId="109" fillId="4" borderId="26" xfId="0" applyNumberFormat="1" applyFont="1" applyFill="1" applyBorder="1" applyAlignment="1">
      <alignment horizontal="center" vertical="center"/>
    </xf>
    <xf numFmtId="0" fontId="15" fillId="0" borderId="10" xfId="0" applyFont="1" applyBorder="1" applyAlignment="1">
      <alignment horizontal="left" vertical="center"/>
    </xf>
    <xf numFmtId="9" fontId="15" fillId="2" borderId="28" xfId="4" applyFont="1" applyFill="1" applyBorder="1" applyAlignment="1">
      <alignment horizontal="center" vertical="center"/>
    </xf>
    <xf numFmtId="9" fontId="15" fillId="2" borderId="2" xfId="4" applyFont="1" applyFill="1" applyBorder="1" applyAlignment="1">
      <alignment horizontal="center" vertical="center"/>
    </xf>
    <xf numFmtId="9" fontId="15" fillId="2" borderId="20" xfId="4" applyFont="1" applyFill="1" applyBorder="1" applyAlignment="1">
      <alignment horizontal="center" vertical="center"/>
    </xf>
    <xf numFmtId="3" fontId="15" fillId="2" borderId="28" xfId="0" applyNumberFormat="1" applyFont="1" applyFill="1" applyBorder="1" applyAlignment="1">
      <alignment horizontal="center" vertical="center"/>
    </xf>
    <xf numFmtId="3" fontId="92" fillId="4" borderId="20" xfId="0" applyNumberFormat="1" applyFont="1" applyFill="1" applyBorder="1" applyAlignment="1">
      <alignment horizontal="center" vertical="center"/>
    </xf>
    <xf numFmtId="3" fontId="92" fillId="4" borderId="10" xfId="0" applyNumberFormat="1" applyFont="1" applyFill="1" applyBorder="1" applyAlignment="1">
      <alignment horizontal="center" vertical="center"/>
    </xf>
    <xf numFmtId="3" fontId="46" fillId="0" borderId="28" xfId="0" applyNumberFormat="1" applyFont="1" applyBorder="1" applyAlignment="1">
      <alignment horizontal="center" vertical="center"/>
    </xf>
    <xf numFmtId="3" fontId="46" fillId="0" borderId="2" xfId="0" applyNumberFormat="1" applyFont="1" applyBorder="1" applyAlignment="1">
      <alignment horizontal="center" vertical="center"/>
    </xf>
    <xf numFmtId="3" fontId="109" fillId="4" borderId="20" xfId="0" applyNumberFormat="1" applyFont="1" applyFill="1" applyBorder="1" applyAlignment="1">
      <alignment horizontal="center" vertical="center"/>
    </xf>
    <xf numFmtId="0" fontId="50" fillId="0" borderId="10" xfId="0" applyFont="1" applyBorder="1" applyAlignment="1">
      <alignment horizontal="left" vertical="center" wrapText="1"/>
    </xf>
    <xf numFmtId="0" fontId="15" fillId="0" borderId="10" xfId="0" applyFont="1" applyBorder="1" applyAlignment="1">
      <alignment horizontal="left"/>
    </xf>
    <xf numFmtId="3" fontId="15" fillId="2" borderId="20" xfId="0" applyNumberFormat="1" applyFont="1" applyFill="1" applyBorder="1" applyAlignment="1">
      <alignment horizontal="center" vertical="center"/>
    </xf>
    <xf numFmtId="0" fontId="92" fillId="0" borderId="0" xfId="0" applyFont="1" applyAlignment="1">
      <alignment horizontal="center"/>
    </xf>
    <xf numFmtId="0" fontId="92" fillId="4" borderId="24" xfId="0" applyFont="1" applyFill="1" applyBorder="1" applyAlignment="1">
      <alignment horizontal="left" vertical="center"/>
    </xf>
    <xf numFmtId="3" fontId="92" fillId="4" borderId="23" xfId="0" applyNumberFormat="1" applyFont="1" applyFill="1" applyBorder="1" applyAlignment="1">
      <alignment horizontal="center" vertical="center"/>
    </xf>
    <xf numFmtId="3" fontId="92" fillId="4" borderId="21" xfId="0" applyNumberFormat="1" applyFont="1" applyFill="1" applyBorder="1" applyAlignment="1">
      <alignment horizontal="center" vertical="center"/>
    </xf>
    <xf numFmtId="3" fontId="92" fillId="4" borderId="22" xfId="0" applyNumberFormat="1" applyFont="1" applyFill="1" applyBorder="1" applyAlignment="1">
      <alignment horizontal="center" vertical="center"/>
    </xf>
    <xf numFmtId="3" fontId="92" fillId="4" borderId="42" xfId="0" applyNumberFormat="1" applyFont="1" applyFill="1" applyBorder="1" applyAlignment="1">
      <alignment horizontal="center" vertical="center"/>
    </xf>
    <xf numFmtId="3" fontId="92" fillId="4" borderId="16" xfId="0" applyNumberFormat="1" applyFont="1" applyFill="1" applyBorder="1" applyAlignment="1">
      <alignment horizontal="center" vertical="center"/>
    </xf>
    <xf numFmtId="3" fontId="92" fillId="4" borderId="40" xfId="0" applyNumberFormat="1" applyFont="1" applyFill="1" applyBorder="1" applyAlignment="1">
      <alignment horizontal="center" vertical="center"/>
    </xf>
    <xf numFmtId="3" fontId="92" fillId="4" borderId="24" xfId="0" applyNumberFormat="1" applyFont="1" applyFill="1" applyBorder="1" applyAlignment="1">
      <alignment horizontal="center" vertical="center"/>
    </xf>
    <xf numFmtId="3" fontId="109" fillId="4" borderId="16" xfId="0" applyNumberFormat="1" applyFont="1" applyFill="1" applyBorder="1" applyAlignment="1">
      <alignment horizontal="center" vertical="center"/>
    </xf>
    <xf numFmtId="3" fontId="109" fillId="4" borderId="40" xfId="0" applyNumberFormat="1" applyFont="1" applyFill="1" applyBorder="1" applyAlignment="1">
      <alignment horizontal="center" vertical="center"/>
    </xf>
    <xf numFmtId="3" fontId="92" fillId="2" borderId="41" xfId="0" applyNumberFormat="1" applyFont="1" applyFill="1" applyBorder="1" applyAlignment="1">
      <alignment horizontal="center" vertical="center"/>
    </xf>
    <xf numFmtId="3" fontId="92" fillId="2" borderId="21" xfId="0" applyNumberFormat="1" applyFont="1" applyFill="1" applyBorder="1" applyAlignment="1">
      <alignment horizontal="center" vertical="center"/>
    </xf>
    <xf numFmtId="0" fontId="15" fillId="0" borderId="43" xfId="0" applyFont="1" applyBorder="1" applyAlignment="1">
      <alignment horizontal="left" vertical="center" wrapText="1"/>
    </xf>
    <xf numFmtId="9" fontId="15" fillId="2" borderId="38" xfId="4" applyFont="1" applyFill="1" applyBorder="1" applyAlignment="1">
      <alignment horizontal="center" vertical="center"/>
    </xf>
    <xf numFmtId="3" fontId="92" fillId="4" borderId="43" xfId="0" applyNumberFormat="1" applyFont="1" applyFill="1" applyBorder="1" applyAlignment="1">
      <alignment horizontal="center" vertical="center"/>
    </xf>
    <xf numFmtId="3" fontId="50" fillId="2" borderId="28" xfId="0" applyNumberFormat="1" applyFont="1" applyFill="1" applyBorder="1" applyAlignment="1">
      <alignment horizontal="center" vertical="center"/>
    </xf>
    <xf numFmtId="3" fontId="50" fillId="2" borderId="2" xfId="0" applyNumberFormat="1" applyFont="1" applyFill="1" applyBorder="1" applyAlignment="1">
      <alignment horizontal="center" vertical="center"/>
    </xf>
    <xf numFmtId="0" fontId="15" fillId="0" borderId="10" xfId="0" applyFont="1" applyBorder="1" applyAlignment="1">
      <alignment horizontal="left" vertical="center" wrapText="1"/>
    </xf>
    <xf numFmtId="0" fontId="91" fillId="0" borderId="0" xfId="0" applyFont="1" applyAlignment="1">
      <alignment horizontal="center"/>
    </xf>
    <xf numFmtId="0" fontId="92" fillId="4" borderId="24" xfId="0" applyFont="1" applyFill="1" applyBorder="1" applyAlignment="1">
      <alignment horizontal="left" vertical="center" wrapText="1"/>
    </xf>
    <xf numFmtId="0" fontId="46" fillId="0" borderId="0" xfId="0" applyFont="1" applyAlignment="1">
      <alignment horizontal="center"/>
    </xf>
    <xf numFmtId="3" fontId="50" fillId="2" borderId="38" xfId="0" applyNumberFormat="1" applyFont="1" applyFill="1" applyBorder="1" applyAlignment="1">
      <alignment horizontal="center" vertical="center"/>
    </xf>
    <xf numFmtId="3" fontId="50" fillId="2" borderId="36" xfId="0" applyNumberFormat="1" applyFont="1" applyFill="1" applyBorder="1" applyAlignment="1">
      <alignment horizontal="center" vertical="center"/>
    </xf>
    <xf numFmtId="3" fontId="15" fillId="2" borderId="25" xfId="4" applyNumberFormat="1" applyFont="1" applyFill="1" applyBorder="1" applyAlignment="1">
      <alignment horizontal="center" vertical="center"/>
    </xf>
    <xf numFmtId="3" fontId="15" fillId="2" borderId="17" xfId="4" applyNumberFormat="1" applyFont="1" applyFill="1" applyBorder="1" applyAlignment="1">
      <alignment horizontal="center" vertical="center"/>
    </xf>
    <xf numFmtId="3" fontId="50" fillId="2" borderId="20" xfId="0" applyNumberFormat="1" applyFont="1" applyFill="1" applyBorder="1" applyAlignment="1">
      <alignment horizontal="center" vertical="center"/>
    </xf>
    <xf numFmtId="9" fontId="109" fillId="2" borderId="28" xfId="4" applyFont="1" applyFill="1" applyBorder="1" applyAlignment="1">
      <alignment horizontal="center" vertical="center"/>
    </xf>
    <xf numFmtId="9" fontId="109" fillId="2" borderId="2" xfId="4" applyFont="1" applyFill="1" applyBorder="1" applyAlignment="1">
      <alignment horizontal="center" vertical="center"/>
    </xf>
    <xf numFmtId="9" fontId="109" fillId="2" borderId="20" xfId="4" applyFont="1" applyFill="1" applyBorder="1" applyAlignment="1">
      <alignment horizontal="center" vertical="center"/>
    </xf>
    <xf numFmtId="3" fontId="109" fillId="2" borderId="28" xfId="0" applyNumberFormat="1" applyFont="1" applyFill="1" applyBorder="1" applyAlignment="1">
      <alignment horizontal="center" vertical="center"/>
    </xf>
    <xf numFmtId="3" fontId="109" fillId="2" borderId="2" xfId="0" applyNumberFormat="1" applyFont="1" applyFill="1" applyBorder="1" applyAlignment="1">
      <alignment horizontal="center" vertical="center"/>
    </xf>
    <xf numFmtId="0" fontId="15" fillId="0" borderId="37" xfId="0" applyFont="1" applyBorder="1" applyAlignment="1">
      <alignment horizontal="left" vertical="center" wrapText="1"/>
    </xf>
    <xf numFmtId="0" fontId="50" fillId="0" borderId="20" xfId="0" applyFont="1" applyBorder="1" applyAlignment="1">
      <alignment horizontal="left" vertical="center" wrapText="1"/>
    </xf>
    <xf numFmtId="0" fontId="15" fillId="0" borderId="20" xfId="0" applyFont="1" applyBorder="1" applyAlignment="1">
      <alignment horizontal="left" vertical="center" wrapText="1"/>
    </xf>
    <xf numFmtId="0" fontId="92" fillId="4" borderId="22" xfId="0" applyFont="1" applyFill="1" applyBorder="1" applyAlignment="1">
      <alignment horizontal="left" vertical="center" wrapText="1"/>
    </xf>
    <xf numFmtId="3" fontId="15" fillId="2" borderId="38" xfId="4" applyNumberFormat="1" applyFont="1" applyFill="1" applyBorder="1" applyAlignment="1">
      <alignment horizontal="center" vertical="center"/>
    </xf>
    <xf numFmtId="3" fontId="15" fillId="2" borderId="36" xfId="4" applyNumberFormat="1" applyFont="1" applyFill="1" applyBorder="1" applyAlignment="1">
      <alignment horizontal="center" vertical="center"/>
    </xf>
    <xf numFmtId="3" fontId="15" fillId="2" borderId="28" xfId="4" applyNumberFormat="1" applyFont="1" applyFill="1" applyBorder="1" applyAlignment="1">
      <alignment horizontal="center" vertical="center"/>
    </xf>
    <xf numFmtId="3" fontId="15" fillId="2" borderId="2" xfId="4" applyNumberFormat="1" applyFont="1" applyFill="1" applyBorder="1" applyAlignment="1">
      <alignment horizontal="center" vertical="center"/>
    </xf>
    <xf numFmtId="3" fontId="15" fillId="2" borderId="20" xfId="4" applyNumberFormat="1" applyFont="1" applyFill="1" applyBorder="1" applyAlignment="1">
      <alignment horizontal="center" vertical="center"/>
    </xf>
    <xf numFmtId="0" fontId="28" fillId="0" borderId="0" xfId="0" applyFont="1" applyAlignment="1">
      <alignment horizontal="center"/>
    </xf>
    <xf numFmtId="0" fontId="50" fillId="0" borderId="43" xfId="0" applyFont="1" applyBorder="1" applyAlignment="1">
      <alignment horizontal="left" vertical="center" wrapText="1"/>
    </xf>
    <xf numFmtId="3" fontId="15" fillId="2" borderId="44" xfId="4" applyNumberFormat="1" applyFont="1" applyFill="1" applyBorder="1" applyAlignment="1">
      <alignment horizontal="center" vertical="center"/>
    </xf>
    <xf numFmtId="3" fontId="92" fillId="4" borderId="45" xfId="0" applyNumberFormat="1" applyFont="1" applyFill="1" applyBorder="1" applyAlignment="1">
      <alignment horizontal="center" vertical="center"/>
    </xf>
    <xf numFmtId="3" fontId="15" fillId="2" borderId="9" xfId="4" applyNumberFormat="1" applyFont="1" applyFill="1" applyBorder="1" applyAlignment="1">
      <alignment horizontal="center" vertical="center"/>
    </xf>
    <xf numFmtId="3" fontId="15" fillId="2" borderId="10" xfId="4" applyNumberFormat="1" applyFont="1" applyFill="1" applyBorder="1" applyAlignment="1">
      <alignment horizontal="center" vertical="center"/>
    </xf>
    <xf numFmtId="3" fontId="92" fillId="4" borderId="46" xfId="0" applyNumberFormat="1" applyFont="1" applyFill="1" applyBorder="1" applyAlignment="1">
      <alignment horizontal="center" vertical="center"/>
    </xf>
    <xf numFmtId="0" fontId="55" fillId="0" borderId="10" xfId="0" applyFont="1" applyBorder="1" applyAlignment="1">
      <alignment horizontal="left" vertical="center" wrapText="1"/>
    </xf>
    <xf numFmtId="0" fontId="91" fillId="0" borderId="0" xfId="0" applyFont="1" applyAlignment="1">
      <alignment horizontal="center" vertical="center"/>
    </xf>
    <xf numFmtId="3" fontId="92" fillId="4" borderId="41" xfId="0" applyNumberFormat="1" applyFont="1" applyFill="1" applyBorder="1" applyAlignment="1">
      <alignment horizontal="center" vertical="center"/>
    </xf>
    <xf numFmtId="3" fontId="92" fillId="4" borderId="47" xfId="0" applyNumberFormat="1" applyFont="1" applyFill="1" applyBorder="1" applyAlignment="1">
      <alignment horizontal="center" vertical="center"/>
    </xf>
    <xf numFmtId="0" fontId="108" fillId="0" borderId="0" xfId="3" applyFont="1" applyAlignment="1">
      <alignment horizontal="center" vertical="center" wrapText="1"/>
    </xf>
    <xf numFmtId="0" fontId="110" fillId="0" borderId="0" xfId="0" applyFont="1" applyAlignment="1">
      <alignment horizontal="left" vertical="center" wrapText="1"/>
    </xf>
    <xf numFmtId="0" fontId="109" fillId="0" borderId="0" xfId="0" applyFont="1" applyAlignment="1">
      <alignment horizontal="center" vertical="center"/>
    </xf>
    <xf numFmtId="3" fontId="109" fillId="0" borderId="0" xfId="0" applyNumberFormat="1" applyFont="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50" fillId="0" borderId="25" xfId="0" applyFont="1" applyBorder="1" applyAlignment="1">
      <alignment horizontal="left" vertical="center" wrapText="1" indent="2"/>
    </xf>
    <xf numFmtId="0" fontId="15" fillId="0" borderId="17" xfId="0" applyFont="1" applyBorder="1" applyAlignment="1">
      <alignment horizontal="center" vertical="center"/>
    </xf>
    <xf numFmtId="0" fontId="50" fillId="0" borderId="28" xfId="0" applyFont="1" applyBorder="1" applyAlignment="1">
      <alignment horizontal="left" vertical="center" wrapText="1" indent="2"/>
    </xf>
    <xf numFmtId="0" fontId="2" fillId="0" borderId="23" xfId="0" applyFont="1" applyBorder="1" applyAlignment="1">
      <alignment horizontal="left" vertical="center" wrapText="1" indent="2"/>
    </xf>
    <xf numFmtId="3" fontId="46" fillId="0" borderId="21" xfId="0" applyNumberFormat="1" applyFont="1" applyBorder="1" applyAlignment="1">
      <alignment horizontal="center" vertical="center"/>
    </xf>
    <xf numFmtId="3" fontId="46" fillId="0" borderId="22" xfId="0" applyNumberFormat="1" applyFont="1" applyBorder="1" applyAlignment="1">
      <alignment horizontal="center" vertical="center"/>
    </xf>
    <xf numFmtId="0" fontId="111" fillId="0" borderId="0" xfId="0" applyFont="1" applyAlignment="1">
      <alignment horizontal="left" vertical="center" wrapText="1" indent="2"/>
    </xf>
    <xf numFmtId="0" fontId="112" fillId="0" borderId="0" xfId="0" applyFont="1" applyAlignment="1">
      <alignment horizontal="center" vertical="center"/>
    </xf>
    <xf numFmtId="0" fontId="50" fillId="0" borderId="17" xfId="0" applyFont="1" applyBorder="1" applyAlignment="1">
      <alignment horizontal="center" vertical="center"/>
    </xf>
    <xf numFmtId="0" fontId="50" fillId="0" borderId="38" xfId="0" applyFont="1" applyBorder="1" applyAlignment="1">
      <alignment horizontal="left" vertical="center" wrapText="1" indent="2"/>
    </xf>
    <xf numFmtId="0" fontId="50" fillId="0" borderId="36" xfId="0" applyFont="1" applyBorder="1" applyAlignment="1">
      <alignment horizontal="center" vertical="center"/>
    </xf>
    <xf numFmtId="0" fontId="2" fillId="0" borderId="48"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3" fontId="46" fillId="0" borderId="2" xfId="0" applyNumberFormat="1" applyFont="1" applyBorder="1" applyAlignment="1">
      <alignment horizontal="center" vertical="center" wrapText="1"/>
    </xf>
    <xf numFmtId="3" fontId="46" fillId="0" borderId="21" xfId="0" applyNumberFormat="1" applyFont="1" applyBorder="1" applyAlignment="1">
      <alignment horizontal="center" vertical="center" wrapText="1"/>
    </xf>
    <xf numFmtId="0" fontId="2" fillId="0" borderId="49" xfId="0" applyFont="1" applyBorder="1" applyAlignment="1">
      <alignment horizontal="left" vertical="center" wrapText="1" indent="2"/>
    </xf>
    <xf numFmtId="3" fontId="46" fillId="0" borderId="50" xfId="0" applyNumberFormat="1" applyFont="1" applyBorder="1" applyAlignment="1">
      <alignment horizontal="center" vertical="center" wrapText="1"/>
    </xf>
    <xf numFmtId="3" fontId="46" fillId="0" borderId="50" xfId="0" applyNumberFormat="1" applyFont="1" applyBorder="1" applyAlignment="1">
      <alignment horizontal="center" vertical="center"/>
    </xf>
    <xf numFmtId="0" fontId="46" fillId="0" borderId="0" xfId="0" applyFont="1" applyAlignment="1">
      <alignment horizontal="left" vertical="center" wrapText="1" indent="2"/>
    </xf>
    <xf numFmtId="3" fontId="46" fillId="0" borderId="0" xfId="0" applyNumberFormat="1" applyFont="1" applyAlignment="1">
      <alignment horizontal="center" vertical="center" wrapText="1"/>
    </xf>
    <xf numFmtId="0" fontId="50" fillId="0" borderId="31" xfId="0" applyFont="1" applyBorder="1" applyAlignment="1">
      <alignment horizontal="center" vertical="center"/>
    </xf>
    <xf numFmtId="3" fontId="50" fillId="0" borderId="17" xfId="0" applyNumberFormat="1" applyFont="1" applyBorder="1" applyAlignment="1">
      <alignment horizontal="center" vertical="center"/>
    </xf>
    <xf numFmtId="0" fontId="39" fillId="0" borderId="31" xfId="0" applyFont="1" applyBorder="1" applyAlignment="1">
      <alignment horizontal="left" vertical="center" wrapText="1"/>
    </xf>
    <xf numFmtId="3" fontId="92" fillId="0" borderId="32" xfId="0" applyNumberFormat="1" applyFont="1" applyBorder="1" applyAlignment="1">
      <alignment horizontal="center" vertical="center"/>
    </xf>
    <xf numFmtId="0" fontId="50" fillId="0" borderId="48" xfId="0" applyFont="1" applyBorder="1" applyAlignment="1">
      <alignment horizontal="center" vertical="center"/>
    </xf>
    <xf numFmtId="0" fontId="2" fillId="0" borderId="51" xfId="0" applyFont="1" applyBorder="1" applyAlignment="1">
      <alignment horizontal="center" vertical="center"/>
    </xf>
    <xf numFmtId="0" fontId="6" fillId="0" borderId="38" xfId="3" applyFont="1" applyBorder="1" applyAlignment="1">
      <alignment horizontal="left" vertical="center" wrapText="1"/>
    </xf>
    <xf numFmtId="3" fontId="46" fillId="0" borderId="36" xfId="0" applyNumberFormat="1" applyFont="1" applyBorder="1" applyAlignment="1">
      <alignment horizontal="center" vertical="center" wrapText="1"/>
    </xf>
    <xf numFmtId="0" fontId="6" fillId="0" borderId="28" xfId="3" applyFont="1" applyBorder="1" applyAlignment="1">
      <alignment horizontal="left" vertical="center" wrapText="1"/>
    </xf>
    <xf numFmtId="3" fontId="50" fillId="2" borderId="10" xfId="0" applyNumberFormat="1" applyFont="1" applyFill="1" applyBorder="1" applyAlignment="1">
      <alignment horizontal="center" vertical="center"/>
    </xf>
    <xf numFmtId="0" fontId="6" fillId="0" borderId="23" xfId="3" applyFont="1" applyBorder="1" applyAlignment="1">
      <alignment horizontal="left" vertical="center" wrapText="1"/>
    </xf>
    <xf numFmtId="3" fontId="50" fillId="2" borderId="21" xfId="0" applyNumberFormat="1" applyFont="1" applyFill="1" applyBorder="1" applyAlignment="1">
      <alignment horizontal="center" vertical="center"/>
    </xf>
    <xf numFmtId="3" fontId="50" fillId="2" borderId="24" xfId="0" applyNumberFormat="1" applyFont="1" applyFill="1" applyBorder="1" applyAlignment="1">
      <alignment horizontal="center" vertical="center"/>
    </xf>
    <xf numFmtId="3" fontId="46" fillId="0" borderId="17" xfId="0" applyNumberFormat="1" applyFont="1" applyBorder="1" applyAlignment="1">
      <alignment horizontal="center" vertical="center" wrapText="1"/>
    </xf>
    <xf numFmtId="0" fontId="50" fillId="0" borderId="28" xfId="0" applyFont="1" applyBorder="1" applyAlignment="1">
      <alignment horizontal="left" vertical="center" wrapText="1"/>
    </xf>
    <xf numFmtId="0" fontId="22" fillId="0" borderId="0" xfId="0" applyFont="1"/>
    <xf numFmtId="0" fontId="2" fillId="0" borderId="0" xfId="0" applyFont="1"/>
    <xf numFmtId="0" fontId="50" fillId="0" borderId="23" xfId="0" applyFont="1" applyBorder="1" applyAlignment="1">
      <alignment horizontal="left" vertical="center" wrapText="1"/>
    </xf>
    <xf numFmtId="0" fontId="57" fillId="0" borderId="23" xfId="0" applyFont="1" applyBorder="1" applyAlignment="1">
      <alignment vertical="center" wrapText="1"/>
    </xf>
    <xf numFmtId="0" fontId="113" fillId="6" borderId="0" xfId="0" applyFont="1" applyFill="1" applyAlignment="1">
      <alignment wrapText="1"/>
    </xf>
    <xf numFmtId="0" fontId="114" fillId="6" borderId="0" xfId="0" applyFont="1" applyFill="1" applyAlignment="1">
      <alignment wrapText="1"/>
    </xf>
    <xf numFmtId="0" fontId="114" fillId="0" borderId="0" xfId="0" applyFont="1" applyAlignment="1">
      <alignment vertical="center" wrapText="1"/>
    </xf>
    <xf numFmtId="0" fontId="114" fillId="0" borderId="0" xfId="0" applyFont="1" applyAlignment="1">
      <alignment wrapText="1"/>
    </xf>
    <xf numFmtId="0" fontId="115" fillId="0" borderId="0" xfId="0" applyFont="1" applyAlignment="1">
      <alignment horizontal="center"/>
    </xf>
    <xf numFmtId="0" fontId="113" fillId="0" borderId="0" xfId="0" applyFont="1" applyAlignment="1">
      <alignment wrapText="1"/>
    </xf>
    <xf numFmtId="0" fontId="57" fillId="0" borderId="0" xfId="0" applyFont="1" applyAlignment="1">
      <alignment horizontal="center" vertical="center" wrapText="1"/>
    </xf>
    <xf numFmtId="0" fontId="116" fillId="0" borderId="2" xfId="0" applyFont="1" applyBorder="1" applyAlignment="1">
      <alignment horizontal="center" vertical="center" wrapText="1" readingOrder="1"/>
    </xf>
    <xf numFmtId="0" fontId="116" fillId="0" borderId="0" xfId="0" applyFont="1" applyAlignment="1">
      <alignment horizontal="center" vertical="center" wrapText="1" readingOrder="1"/>
    </xf>
    <xf numFmtId="0" fontId="114" fillId="0" borderId="2" xfId="0" applyFont="1" applyBorder="1" applyAlignment="1">
      <alignment horizontal="center" vertical="center" wrapText="1"/>
    </xf>
    <xf numFmtId="0" fontId="39" fillId="0" borderId="2" xfId="0" applyFont="1" applyBorder="1" applyAlignment="1">
      <alignment horizontal="center" vertical="center"/>
    </xf>
    <xf numFmtId="0" fontId="118" fillId="0" borderId="0" xfId="0" applyFont="1" applyAlignment="1">
      <alignment horizontal="left" vertical="center" wrapText="1" readingOrder="1"/>
    </xf>
    <xf numFmtId="0" fontId="119" fillId="0" borderId="2" xfId="0" applyFont="1" applyBorder="1" applyAlignment="1">
      <alignment horizontal="center" vertical="center" wrapText="1" readingOrder="1"/>
    </xf>
    <xf numFmtId="0" fontId="116" fillId="0" borderId="2" xfId="0" applyFont="1" applyBorder="1" applyAlignment="1">
      <alignment horizontal="left" vertical="center" wrapText="1" readingOrder="1"/>
    </xf>
    <xf numFmtId="0" fontId="28" fillId="0" borderId="2" xfId="0" applyFont="1" applyBorder="1"/>
    <xf numFmtId="0" fontId="119" fillId="0" borderId="2" xfId="0" applyFont="1" applyBorder="1" applyAlignment="1">
      <alignment horizontal="left" vertical="center" wrapText="1" indent="4" readingOrder="1"/>
    </xf>
    <xf numFmtId="0" fontId="120" fillId="0" borderId="2" xfId="0" applyFont="1" applyBorder="1" applyAlignment="1">
      <alignment horizontal="center" vertical="center" wrapText="1" readingOrder="1"/>
    </xf>
    <xf numFmtId="3" fontId="5" fillId="0" borderId="2" xfId="0" applyNumberFormat="1" applyFont="1" applyBorder="1" applyAlignment="1">
      <alignment horizontal="center" vertical="center"/>
    </xf>
    <xf numFmtId="3" fontId="5" fillId="0" borderId="0" xfId="0" applyNumberFormat="1" applyFont="1" applyAlignment="1">
      <alignment horizontal="center" vertical="center"/>
    </xf>
    <xf numFmtId="0" fontId="22" fillId="0" borderId="2" xfId="0" applyFont="1" applyBorder="1" applyAlignment="1">
      <alignment horizontal="left" vertical="center" wrapText="1" readingOrder="1"/>
    </xf>
    <xf numFmtId="3" fontId="28" fillId="0" borderId="2" xfId="0" applyNumberFormat="1" applyFont="1" applyBorder="1" applyAlignment="1">
      <alignment horizontal="center" vertical="center"/>
    </xf>
    <xf numFmtId="166" fontId="28" fillId="0" borderId="0" xfId="0" applyNumberFormat="1" applyFont="1" applyAlignment="1">
      <alignment horizontal="center" vertical="center"/>
    </xf>
    <xf numFmtId="2" fontId="28" fillId="0" borderId="0" xfId="0" applyNumberFormat="1" applyFont="1" applyAlignment="1">
      <alignment horizontal="center" vertical="center"/>
    </xf>
    <xf numFmtId="9" fontId="28" fillId="9" borderId="2" xfId="4" applyFont="1" applyFill="1" applyBorder="1" applyAlignment="1">
      <alignment horizontal="center" vertical="center"/>
    </xf>
    <xf numFmtId="9" fontId="28" fillId="0" borderId="0" xfId="4" applyFont="1" applyAlignment="1">
      <alignment horizontal="center" vertical="center"/>
    </xf>
    <xf numFmtId="170" fontId="28" fillId="0" borderId="0" xfId="4" applyNumberFormat="1" applyFont="1" applyAlignment="1">
      <alignment horizontal="center" vertical="center"/>
    </xf>
    <xf numFmtId="1" fontId="28" fillId="0" borderId="0" xfId="0" applyNumberFormat="1" applyFont="1" applyAlignment="1">
      <alignment horizontal="center" vertical="center"/>
    </xf>
    <xf numFmtId="171" fontId="113" fillId="0" borderId="0" xfId="0" applyNumberFormat="1" applyFont="1" applyAlignment="1">
      <alignment wrapText="1"/>
    </xf>
    <xf numFmtId="9" fontId="28" fillId="0" borderId="2" xfId="4" applyFont="1" applyBorder="1" applyAlignment="1">
      <alignment horizontal="center" vertical="center"/>
    </xf>
    <xf numFmtId="0" fontId="87" fillId="0" borderId="0" xfId="0" applyFont="1" applyAlignment="1">
      <alignment horizontal="right" vertical="center" wrapText="1"/>
    </xf>
    <xf numFmtId="0" fontId="47" fillId="0" borderId="0" xfId="0" applyFont="1" applyAlignment="1">
      <alignment horizontal="center" vertical="center"/>
    </xf>
    <xf numFmtId="0" fontId="66" fillId="0" borderId="52" xfId="1" applyFont="1" applyBorder="1" applyAlignment="1">
      <alignment horizontal="center" vertical="center" wrapText="1"/>
    </xf>
    <xf numFmtId="0" fontId="66" fillId="0" borderId="53" xfId="1" applyFont="1" applyBorder="1" applyAlignment="1">
      <alignment horizontal="center" vertical="center" wrapText="1"/>
    </xf>
    <xf numFmtId="0" fontId="66" fillId="0" borderId="54" xfId="1" applyFont="1" applyBorder="1" applyAlignment="1" applyProtection="1">
      <alignment horizontal="center" vertical="center" wrapText="1"/>
      <protection locked="0"/>
    </xf>
    <xf numFmtId="0" fontId="22" fillId="4" borderId="2" xfId="3" applyFont="1" applyFill="1" applyBorder="1" applyAlignment="1">
      <alignment horizontal="left" vertical="center" wrapText="1"/>
    </xf>
    <xf numFmtId="0" fontId="46" fillId="6" borderId="0" xfId="0" applyFont="1" applyFill="1"/>
    <xf numFmtId="0" fontId="109" fillId="6" borderId="0" xfId="0" applyFont="1" applyFill="1"/>
    <xf numFmtId="0" fontId="109" fillId="0" borderId="0" xfId="0" applyFont="1"/>
    <xf numFmtId="0" fontId="87" fillId="0" borderId="0" xfId="0" applyFont="1"/>
    <xf numFmtId="0" fontId="116" fillId="0" borderId="2" xfId="0" applyFont="1" applyBorder="1" applyAlignment="1">
      <alignment vertical="center" wrapText="1" readingOrder="1"/>
    </xf>
    <xf numFmtId="3" fontId="120" fillId="0" borderId="2" xfId="0" applyNumberFormat="1" applyFont="1" applyBorder="1" applyAlignment="1">
      <alignment horizontal="center" vertical="center" wrapText="1" readingOrder="1"/>
    </xf>
    <xf numFmtId="3" fontId="121" fillId="0" borderId="2" xfId="0" applyNumberFormat="1" applyFont="1" applyBorder="1" applyAlignment="1">
      <alignment horizontal="center" vertical="center"/>
    </xf>
    <xf numFmtId="0" fontId="121" fillId="0" borderId="0" xfId="0" applyFont="1"/>
    <xf numFmtId="0" fontId="120" fillId="0" borderId="2" xfId="0" applyFont="1" applyBorder="1" applyAlignment="1">
      <alignment horizontal="left" vertical="center" wrapText="1" indent="4" readingOrder="1"/>
    </xf>
    <xf numFmtId="3" fontId="25" fillId="0" borderId="2" xfId="0" applyNumberFormat="1" applyFont="1" applyBorder="1" applyAlignment="1">
      <alignment horizontal="center" vertical="center"/>
    </xf>
    <xf numFmtId="3" fontId="25" fillId="0" borderId="0" xfId="0" applyNumberFormat="1" applyFont="1" applyAlignment="1">
      <alignment horizontal="center" vertical="center"/>
    </xf>
    <xf numFmtId="3" fontId="56" fillId="2" borderId="2" xfId="0" applyNumberFormat="1" applyFont="1" applyFill="1" applyBorder="1" applyAlignment="1">
      <alignment horizontal="center" vertical="center" wrapText="1"/>
    </xf>
    <xf numFmtId="3" fontId="56" fillId="2" borderId="17" xfId="0" applyNumberFormat="1" applyFont="1" applyFill="1" applyBorder="1" applyAlignment="1">
      <alignment horizontal="center" vertical="center" wrapText="1"/>
    </xf>
    <xf numFmtId="165" fontId="97" fillId="0" borderId="14" xfId="2" applyNumberFormat="1" applyFont="1" applyBorder="1" applyAlignment="1">
      <alignment horizontal="center" vertical="center"/>
    </xf>
    <xf numFmtId="165" fontId="90" fillId="0" borderId="12" xfId="0" applyNumberFormat="1" applyFont="1" applyBorder="1" applyAlignment="1">
      <alignment horizontal="center" vertical="center" wrapText="1"/>
    </xf>
    <xf numFmtId="165" fontId="97" fillId="0" borderId="14" xfId="0" applyNumberFormat="1" applyFont="1" applyBorder="1" applyAlignment="1">
      <alignment horizontal="center" vertical="center"/>
    </xf>
    <xf numFmtId="3" fontId="5" fillId="0" borderId="2" xfId="0" applyNumberFormat="1" applyFont="1" applyBorder="1"/>
    <xf numFmtId="165" fontId="28" fillId="0" borderId="2" xfId="0" applyNumberFormat="1" applyFont="1" applyBorder="1" applyAlignment="1">
      <alignment horizontal="center" vertical="center"/>
    </xf>
    <xf numFmtId="4" fontId="28" fillId="0" borderId="2" xfId="0" applyNumberFormat="1" applyFont="1" applyBorder="1" applyAlignment="1">
      <alignment horizontal="center" vertical="center"/>
    </xf>
    <xf numFmtId="10" fontId="28" fillId="9" borderId="2" xfId="4" applyNumberFormat="1" applyFont="1" applyFill="1" applyBorder="1" applyAlignment="1">
      <alignment horizontal="center" vertical="center"/>
    </xf>
    <xf numFmtId="10" fontId="28" fillId="0" borderId="2" xfId="4" applyNumberFormat="1" applyFont="1" applyBorder="1" applyAlignment="1">
      <alignment horizontal="center" vertical="center"/>
    </xf>
    <xf numFmtId="0" fontId="39" fillId="0" borderId="2" xfId="0" applyFont="1" applyBorder="1" applyAlignment="1">
      <alignment vertical="center" wrapText="1" readingOrder="1"/>
    </xf>
    <xf numFmtId="9" fontId="28" fillId="0" borderId="2" xfId="0" applyNumberFormat="1" applyFont="1" applyBorder="1" applyAlignment="1">
      <alignment horizontal="center" vertical="center"/>
    </xf>
    <xf numFmtId="0" fontId="100" fillId="12" borderId="17" xfId="0" applyFont="1" applyFill="1" applyBorder="1" applyAlignment="1">
      <alignment horizontal="center" vertical="center"/>
    </xf>
    <xf numFmtId="0" fontId="100" fillId="12" borderId="26" xfId="0" applyFont="1" applyFill="1" applyBorder="1" applyAlignment="1">
      <alignment horizontal="center" vertical="center"/>
    </xf>
    <xf numFmtId="0" fontId="6" fillId="0" borderId="23" xfId="0" applyFont="1" applyBorder="1" applyAlignment="1">
      <alignment vertical="center" wrapText="1"/>
    </xf>
    <xf numFmtId="0" fontId="50" fillId="0" borderId="25" xfId="0" applyFont="1" applyBorder="1" applyAlignment="1">
      <alignment horizontal="left" vertical="center" wrapText="1"/>
    </xf>
    <xf numFmtId="1" fontId="113" fillId="0" borderId="2" xfId="0" applyNumberFormat="1" applyFont="1" applyBorder="1" applyAlignment="1">
      <alignment horizontal="center" vertical="center" wrapText="1"/>
    </xf>
    <xf numFmtId="1" fontId="28" fillId="0" borderId="0" xfId="0" applyNumberFormat="1" applyFont="1"/>
    <xf numFmtId="1" fontId="91" fillId="0" borderId="0" xfId="0" applyNumberFormat="1" applyFont="1"/>
    <xf numFmtId="1" fontId="126" fillId="0" borderId="0" xfId="0" applyNumberFormat="1" applyFont="1" applyAlignment="1">
      <alignment horizontal="center" vertical="center" wrapText="1"/>
    </xf>
    <xf numFmtId="1" fontId="121" fillId="0" borderId="0" xfId="0" applyNumberFormat="1" applyFont="1"/>
    <xf numFmtId="1" fontId="113" fillId="0" borderId="0" xfId="0" applyNumberFormat="1" applyFont="1" applyAlignment="1">
      <alignment wrapText="1"/>
    </xf>
    <xf numFmtId="1" fontId="113" fillId="0" borderId="2" xfId="0" applyNumberFormat="1" applyFont="1" applyBorder="1" applyAlignment="1">
      <alignment wrapText="1"/>
    </xf>
    <xf numFmtId="49" fontId="73" fillId="0" borderId="23" xfId="0" applyNumberFormat="1" applyFont="1" applyBorder="1" applyAlignment="1">
      <alignment horizontal="center" vertical="center"/>
    </xf>
    <xf numFmtId="49" fontId="73" fillId="0" borderId="21" xfId="0" applyNumberFormat="1" applyFont="1" applyBorder="1" applyAlignment="1">
      <alignment horizontal="center" vertical="center"/>
    </xf>
    <xf numFmtId="0" fontId="76" fillId="3" borderId="0" xfId="0" applyFont="1" applyFill="1"/>
    <xf numFmtId="0" fontId="73" fillId="3" borderId="0" xfId="0" applyFont="1" applyFill="1" applyAlignment="1">
      <alignment horizontal="center" vertical="center"/>
    </xf>
    <xf numFmtId="172" fontId="91" fillId="3" borderId="2" xfId="0" applyNumberFormat="1" applyFont="1" applyFill="1" applyBorder="1" applyAlignment="1">
      <alignment horizontal="center" vertical="center"/>
    </xf>
    <xf numFmtId="3" fontId="77" fillId="3" borderId="2" xfId="0" applyNumberFormat="1" applyFont="1" applyFill="1" applyBorder="1" applyAlignment="1">
      <alignment horizontal="center" vertical="center"/>
    </xf>
    <xf numFmtId="0" fontId="35" fillId="3" borderId="0" xfId="0" applyFont="1" applyFill="1"/>
    <xf numFmtId="3" fontId="65" fillId="4" borderId="2" xfId="0" applyNumberFormat="1" applyFont="1" applyFill="1" applyBorder="1" applyAlignment="1">
      <alignment horizontal="center" vertical="center"/>
    </xf>
    <xf numFmtId="0" fontId="88" fillId="3" borderId="0" xfId="0" applyFont="1" applyFill="1"/>
    <xf numFmtId="172" fontId="91" fillId="0" borderId="2" xfId="0" applyNumberFormat="1" applyFont="1" applyBorder="1" applyAlignment="1">
      <alignment horizontal="center" vertical="center"/>
    </xf>
    <xf numFmtId="0" fontId="128" fillId="0" borderId="0" xfId="0" applyFont="1" applyAlignment="1">
      <alignment horizontal="center" vertical="center" wrapText="1"/>
    </xf>
    <xf numFmtId="0" fontId="11" fillId="4" borderId="55" xfId="0" applyFont="1" applyFill="1" applyBorder="1" applyAlignment="1">
      <alignment vertical="center"/>
    </xf>
    <xf numFmtId="0" fontId="11" fillId="4" borderId="56" xfId="0" applyFont="1" applyFill="1" applyBorder="1" applyAlignment="1">
      <alignment vertical="center"/>
    </xf>
    <xf numFmtId="0" fontId="0" fillId="4" borderId="56" xfId="0" applyFill="1" applyBorder="1"/>
    <xf numFmtId="0" fontId="0" fillId="4" borderId="57" xfId="0" applyFill="1" applyBorder="1"/>
    <xf numFmtId="0" fontId="0" fillId="4" borderId="58" xfId="0" applyFill="1" applyBorder="1"/>
    <xf numFmtId="0" fontId="0" fillId="4" borderId="0" xfId="0" applyFill="1"/>
    <xf numFmtId="0" fontId="0" fillId="4" borderId="59" xfId="0" applyFill="1" applyBorder="1"/>
    <xf numFmtId="0" fontId="3" fillId="0" borderId="0" xfId="0" applyFont="1" applyAlignment="1">
      <alignment vertical="center"/>
    </xf>
    <xf numFmtId="0" fontId="3" fillId="4" borderId="0" xfId="0" applyFont="1" applyFill="1" applyAlignment="1">
      <alignment vertical="center"/>
    </xf>
    <xf numFmtId="0" fontId="3" fillId="4" borderId="59" xfId="0" applyFont="1" applyFill="1" applyBorder="1" applyAlignment="1">
      <alignment vertical="center"/>
    </xf>
    <xf numFmtId="0" fontId="129" fillId="0" borderId="0" xfId="0" applyFont="1" applyAlignment="1">
      <alignment horizontal="left" vertical="center"/>
    </xf>
    <xf numFmtId="0" fontId="129" fillId="4" borderId="60" xfId="0" applyFont="1" applyFill="1" applyBorder="1" applyAlignment="1">
      <alignment horizontal="left" vertical="center"/>
    </xf>
    <xf numFmtId="0" fontId="130" fillId="4" borderId="39" xfId="1" applyFont="1" applyFill="1" applyBorder="1" applyAlignment="1">
      <alignment horizontal="left" vertical="center"/>
    </xf>
    <xf numFmtId="0" fontId="129" fillId="4" borderId="39" xfId="0" applyFont="1" applyFill="1" applyBorder="1" applyAlignment="1">
      <alignment horizontal="left" vertical="center"/>
    </xf>
    <xf numFmtId="0" fontId="130" fillId="4" borderId="61" xfId="1" applyFont="1" applyFill="1" applyBorder="1" applyAlignment="1">
      <alignment horizontal="left" vertical="center"/>
    </xf>
    <xf numFmtId="0" fontId="85" fillId="0" borderId="0" xfId="0" applyFont="1" applyAlignment="1">
      <alignment horizontal="left" vertical="center" wrapText="1"/>
    </xf>
    <xf numFmtId="0" fontId="85" fillId="0" borderId="0" xfId="0" applyFont="1" applyAlignment="1">
      <alignment horizontal="left" vertical="center"/>
    </xf>
    <xf numFmtId="0" fontId="93" fillId="0" borderId="0" xfId="0" applyFont="1" applyFill="1" applyBorder="1" applyAlignment="1">
      <alignment horizontal="center" vertical="center"/>
    </xf>
    <xf numFmtId="0" fontId="94" fillId="0" borderId="0" xfId="0" applyFont="1" applyFill="1" applyBorder="1" applyAlignment="1">
      <alignment horizontal="center" vertical="center" wrapText="1"/>
    </xf>
    <xf numFmtId="1" fontId="94" fillId="0" borderId="0" xfId="4" applyNumberFormat="1" applyFont="1" applyFill="1" applyBorder="1" applyAlignment="1">
      <alignment horizontal="center" vertical="center"/>
    </xf>
    <xf numFmtId="3" fontId="17" fillId="0"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wrapText="1"/>
    </xf>
    <xf numFmtId="0" fontId="94" fillId="0" borderId="0" xfId="0" applyFont="1" applyFill="1" applyBorder="1" applyAlignment="1">
      <alignment horizontal="center" vertical="center"/>
    </xf>
    <xf numFmtId="0" fontId="82"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3" fontId="95" fillId="0" borderId="0" xfId="0" applyNumberFormat="1" applyFont="1" applyFill="1" applyBorder="1" applyAlignment="1">
      <alignment horizontal="center" vertical="center"/>
    </xf>
    <xf numFmtId="3" fontId="96" fillId="0" borderId="0" xfId="0" applyNumberFormat="1" applyFont="1" applyFill="1" applyBorder="1" applyAlignment="1">
      <alignment horizontal="center" vertical="center"/>
    </xf>
    <xf numFmtId="0" fontId="94" fillId="0" borderId="0" xfId="0" applyFont="1" applyFill="1" applyBorder="1"/>
    <xf numFmtId="0" fontId="39"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lignment horizontal="center" vertical="center"/>
    </xf>
    <xf numFmtId="0" fontId="60" fillId="0" borderId="0" xfId="0" applyFont="1" applyFill="1" applyBorder="1" applyAlignment="1">
      <alignment horizontal="center" vertical="center"/>
    </xf>
    <xf numFmtId="0" fontId="20" fillId="0" borderId="0" xfId="0" applyFont="1" applyFill="1" applyBorder="1" applyAlignment="1" applyProtection="1">
      <alignment horizontal="center" vertical="center" wrapText="1"/>
      <protection locked="0"/>
    </xf>
    <xf numFmtId="0" fontId="20" fillId="0" borderId="0" xfId="0" applyFont="1" applyFill="1" applyBorder="1" applyAlignment="1" applyProtection="1">
      <alignment vertical="center" wrapText="1"/>
      <protection locked="0"/>
    </xf>
    <xf numFmtId="0" fontId="56" fillId="0" borderId="0" xfId="0" applyFont="1" applyFill="1" applyBorder="1" applyAlignment="1">
      <alignment horizontal="center" vertical="center"/>
    </xf>
    <xf numFmtId="0" fontId="53" fillId="0" borderId="0" xfId="0" applyFont="1" applyFill="1" applyBorder="1"/>
    <xf numFmtId="0" fontId="61" fillId="0" borderId="0" xfId="0" applyFont="1" applyFill="1" applyBorder="1"/>
    <xf numFmtId="0" fontId="62" fillId="0" borderId="0" xfId="0" applyFont="1" applyFill="1" applyBorder="1"/>
    <xf numFmtId="0" fontId="60" fillId="0" borderId="0" xfId="0" applyFont="1" applyFill="1" applyBorder="1"/>
    <xf numFmtId="0" fontId="88" fillId="0" borderId="0" xfId="0" applyFont="1" applyFill="1" applyBorder="1" applyAlignment="1">
      <alignment horizontal="center" vertical="center"/>
    </xf>
    <xf numFmtId="0" fontId="56" fillId="0" borderId="0" xfId="0" applyFont="1" applyFill="1" applyBorder="1"/>
    <xf numFmtId="0" fontId="20" fillId="0" borderId="0" xfId="0" applyFont="1" applyFill="1" applyBorder="1" applyAlignment="1" applyProtection="1">
      <alignment vertical="center"/>
      <protection locked="0"/>
    </xf>
    <xf numFmtId="0" fontId="28" fillId="0" borderId="0" xfId="0" applyFont="1" applyFill="1" applyBorder="1" applyProtection="1">
      <protection locked="0"/>
    </xf>
    <xf numFmtId="0" fontId="90" fillId="0" borderId="0" xfId="0" applyFont="1" applyFill="1" applyBorder="1" applyProtection="1">
      <protection locked="0"/>
    </xf>
    <xf numFmtId="0" fontId="24" fillId="0" borderId="0" xfId="0" applyFont="1" applyFill="1" applyBorder="1" applyProtection="1">
      <protection locked="0"/>
    </xf>
    <xf numFmtId="0" fontId="24" fillId="0" borderId="0" xfId="0" applyFont="1" applyFill="1" applyBorder="1"/>
    <xf numFmtId="0" fontId="90" fillId="0" borderId="0" xfId="0" applyFont="1" applyFill="1" applyBorder="1"/>
    <xf numFmtId="0" fontId="10" fillId="0" borderId="0" xfId="0" applyFont="1" applyFill="1" applyBorder="1"/>
    <xf numFmtId="0" fontId="88" fillId="0" borderId="0" xfId="0" applyFont="1" applyFill="1" applyBorder="1"/>
    <xf numFmtId="0" fontId="39" fillId="0" borderId="0" xfId="0" applyFont="1" applyFill="1" applyBorder="1" applyAlignment="1">
      <alignment vertical="center" wrapText="1"/>
    </xf>
    <xf numFmtId="0" fontId="20" fillId="0" borderId="0" xfId="0" applyFont="1" applyFill="1" applyBorder="1" applyAlignment="1">
      <alignment vertical="center" wrapText="1"/>
    </xf>
    <xf numFmtId="0" fontId="32" fillId="3" borderId="0" xfId="0" applyFont="1" applyFill="1" applyBorder="1"/>
    <xf numFmtId="0" fontId="30" fillId="3" borderId="0" xfId="0" applyFont="1" applyFill="1" applyBorder="1"/>
    <xf numFmtId="0" fontId="123" fillId="3" borderId="0" xfId="0" applyFont="1" applyFill="1" applyBorder="1" applyAlignment="1">
      <alignment horizontal="center" vertical="center"/>
    </xf>
    <xf numFmtId="168" fontId="35" fillId="0" borderId="14" xfId="0" applyNumberFormat="1" applyFont="1" applyFill="1" applyBorder="1" applyAlignment="1">
      <alignment horizontal="right"/>
    </xf>
    <xf numFmtId="0" fontId="57" fillId="0" borderId="38"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43" xfId="0" applyFont="1" applyBorder="1" applyAlignment="1">
      <alignment horizontal="center" vertical="center" wrapText="1"/>
    </xf>
    <xf numFmtId="0" fontId="57" fillId="0" borderId="63" xfId="0" applyFont="1" applyBorder="1" applyAlignment="1">
      <alignment horizontal="center" vertical="center" wrapText="1"/>
    </xf>
    <xf numFmtId="0" fontId="57" fillId="0" borderId="28" xfId="0" applyFont="1" applyBorder="1" applyAlignment="1">
      <alignment vertical="center" wrapText="1"/>
    </xf>
    <xf numFmtId="3" fontId="21" fillId="0" borderId="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3" fontId="134" fillId="0" borderId="29" xfId="0" applyNumberFormat="1" applyFont="1" applyBorder="1" applyAlignment="1">
      <alignment horizontal="center" vertical="center" wrapText="1"/>
    </xf>
    <xf numFmtId="0" fontId="57" fillId="0" borderId="42" xfId="0" applyFont="1" applyBorder="1" applyAlignment="1">
      <alignment vertical="center" wrapText="1"/>
    </xf>
    <xf numFmtId="3" fontId="21" fillId="0" borderId="16" xfId="0" applyNumberFormat="1" applyFont="1" applyBorder="1" applyAlignment="1">
      <alignment horizontal="center" vertical="center" wrapText="1"/>
    </xf>
    <xf numFmtId="3" fontId="21" fillId="0" borderId="3" xfId="0" applyNumberFormat="1" applyFont="1" applyBorder="1" applyAlignment="1">
      <alignment horizontal="center" vertical="center" wrapText="1"/>
    </xf>
    <xf numFmtId="3" fontId="134" fillId="0" borderId="64" xfId="0" applyNumberFormat="1" applyFont="1" applyBorder="1" applyAlignment="1">
      <alignment horizontal="center" vertical="center" wrapText="1"/>
    </xf>
    <xf numFmtId="0" fontId="57" fillId="0" borderId="31" xfId="0" applyFont="1" applyBorder="1" applyAlignment="1">
      <alignment vertical="center" wrapText="1"/>
    </xf>
    <xf numFmtId="3" fontId="134" fillId="0" borderId="32" xfId="0" applyNumberFormat="1" applyFont="1" applyBorder="1" applyAlignment="1">
      <alignment horizontal="center" vertical="center" wrapText="1"/>
    </xf>
    <xf numFmtId="3" fontId="134" fillId="0" borderId="65" xfId="0" applyNumberFormat="1" applyFont="1" applyBorder="1" applyAlignment="1">
      <alignment horizontal="center" vertical="center" wrapText="1"/>
    </xf>
    <xf numFmtId="3" fontId="21" fillId="0" borderId="2" xfId="0" applyNumberFormat="1" applyFont="1" applyBorder="1" applyAlignment="1">
      <alignment horizontal="center" vertical="center"/>
    </xf>
    <xf numFmtId="3" fontId="134" fillId="0" borderId="29" xfId="0" applyNumberFormat="1" applyFont="1" applyBorder="1" applyAlignment="1">
      <alignment horizontal="center" vertical="center"/>
    </xf>
    <xf numFmtId="3" fontId="21" fillId="0" borderId="10" xfId="0" applyNumberFormat="1" applyFont="1" applyBorder="1" applyAlignment="1">
      <alignment horizontal="center" vertical="center"/>
    </xf>
    <xf numFmtId="3" fontId="134" fillId="0" borderId="32" xfId="0" applyNumberFormat="1" applyFont="1" applyBorder="1" applyAlignment="1">
      <alignment horizontal="center" vertical="center"/>
    </xf>
    <xf numFmtId="3" fontId="134" fillId="0" borderId="65" xfId="0" applyNumberFormat="1" applyFont="1" applyBorder="1" applyAlignment="1">
      <alignment horizontal="center" vertical="center"/>
    </xf>
    <xf numFmtId="0" fontId="62" fillId="0" borderId="0" xfId="0" applyFont="1" applyAlignment="1">
      <alignment vertical="center"/>
    </xf>
    <xf numFmtId="0" fontId="73" fillId="0" borderId="0" xfId="0" applyFont="1" applyAlignment="1">
      <alignment vertical="center"/>
    </xf>
    <xf numFmtId="0" fontId="86" fillId="0" borderId="0" xfId="0" applyFont="1" applyAlignment="1">
      <alignment vertical="center"/>
    </xf>
    <xf numFmtId="0" fontId="137" fillId="0" borderId="0" xfId="0" applyFont="1" applyAlignment="1">
      <alignment horizontal="center"/>
    </xf>
    <xf numFmtId="0" fontId="80" fillId="0" borderId="0" xfId="0" applyFont="1" applyAlignment="1">
      <alignment horizontal="left" vertical="center" wrapText="1"/>
    </xf>
    <xf numFmtId="0" fontId="82" fillId="0" borderId="0" xfId="0" applyFont="1" applyAlignment="1">
      <alignment horizontal="left" vertical="center"/>
    </xf>
    <xf numFmtId="0" fontId="22" fillId="0" borderId="36" xfId="0" applyFont="1" applyBorder="1" applyAlignment="1" applyProtection="1">
      <alignment horizontal="center" vertical="center" wrapText="1"/>
      <protection locked="0"/>
    </xf>
    <xf numFmtId="0" fontId="22" fillId="4" borderId="37" xfId="0" applyFont="1" applyFill="1" applyBorder="1" applyAlignment="1" applyProtection="1">
      <alignment horizontal="center" vertical="center" wrapText="1"/>
      <protection locked="0"/>
    </xf>
    <xf numFmtId="0" fontId="50" fillId="0" borderId="19" xfId="0" applyFont="1" applyBorder="1" applyAlignment="1">
      <alignment horizontal="left" vertical="center" wrapText="1"/>
    </xf>
    <xf numFmtId="171" fontId="40" fillId="12" borderId="23" xfId="0" applyNumberFormat="1" applyFont="1" applyFill="1" applyBorder="1" applyAlignment="1">
      <alignment horizontal="center" vertical="center" wrapText="1"/>
    </xf>
    <xf numFmtId="171" fontId="88" fillId="12" borderId="21" xfId="0" applyNumberFormat="1" applyFont="1" applyFill="1" applyBorder="1" applyAlignment="1">
      <alignment horizontal="center" vertical="center" wrapText="1"/>
    </xf>
    <xf numFmtId="171" fontId="88" fillId="12" borderId="22" xfId="0" applyNumberFormat="1" applyFont="1" applyFill="1" applyBorder="1" applyAlignment="1">
      <alignment horizontal="center" vertical="center" wrapText="1"/>
    </xf>
    <xf numFmtId="0" fontId="140" fillId="0" borderId="66" xfId="1" applyFont="1" applyBorder="1" applyAlignment="1">
      <alignment horizontal="center" vertical="center"/>
    </xf>
    <xf numFmtId="0" fontId="10" fillId="0" borderId="13" xfId="0" applyFont="1" applyBorder="1" applyAlignment="1">
      <alignment vertical="center" wrapText="1"/>
    </xf>
    <xf numFmtId="164" fontId="24" fillId="0" borderId="15" xfId="0" applyNumberFormat="1" applyFont="1" applyFill="1" applyBorder="1" applyAlignment="1">
      <alignment horizontal="center" vertical="center" wrapText="1"/>
    </xf>
    <xf numFmtId="169" fontId="24" fillId="0" borderId="12" xfId="0" applyNumberFormat="1" applyFont="1" applyFill="1" applyBorder="1" applyAlignment="1">
      <alignment horizontal="center" vertical="center" wrapText="1"/>
    </xf>
    <xf numFmtId="165" fontId="90" fillId="0" borderId="12" xfId="0" applyNumberFormat="1" applyFont="1" applyFill="1" applyBorder="1" applyAlignment="1">
      <alignment horizontal="center" vertical="center" wrapText="1"/>
    </xf>
    <xf numFmtId="0" fontId="22" fillId="0" borderId="2" xfId="3" applyFont="1" applyFill="1" applyBorder="1" applyAlignment="1">
      <alignment horizontal="left" vertical="center" wrapText="1"/>
    </xf>
    <xf numFmtId="0" fontId="41" fillId="0" borderId="13" xfId="0" applyFont="1" applyFill="1" applyBorder="1" applyAlignment="1">
      <alignment horizontal="left" vertical="center" wrapText="1" indent="2"/>
    </xf>
    <xf numFmtId="0" fontId="10" fillId="0" borderId="13" xfId="0" applyFont="1" applyFill="1" applyBorder="1" applyAlignment="1">
      <alignment vertical="center" wrapText="1"/>
    </xf>
    <xf numFmtId="0" fontId="40" fillId="0" borderId="13" xfId="0" applyFont="1" applyFill="1" applyBorder="1" applyAlignment="1">
      <alignment vertical="center" wrapText="1"/>
    </xf>
    <xf numFmtId="165" fontId="15" fillId="2" borderId="2" xfId="0" applyNumberFormat="1" applyFont="1" applyFill="1" applyBorder="1" applyAlignment="1">
      <alignment horizontal="center" vertical="center"/>
    </xf>
    <xf numFmtId="0" fontId="15" fillId="0" borderId="2" xfId="0" applyFont="1" applyBorder="1" applyAlignment="1">
      <alignment horizontal="left" vertical="center" wrapText="1"/>
    </xf>
    <xf numFmtId="0" fontId="24" fillId="0" borderId="2" xfId="0" applyNumberFormat="1" applyFont="1" applyBorder="1" applyAlignment="1">
      <alignment horizontal="center" vertical="center"/>
    </xf>
    <xf numFmtId="0" fontId="53" fillId="0" borderId="0" xfId="0" applyNumberFormat="1" applyFont="1"/>
    <xf numFmtId="165" fontId="15" fillId="2" borderId="28" xfId="0" applyNumberFormat="1" applyFont="1" applyFill="1" applyBorder="1" applyAlignment="1">
      <alignment horizontal="center" vertical="center"/>
    </xf>
    <xf numFmtId="0" fontId="15" fillId="0" borderId="51" xfId="0" applyFont="1" applyBorder="1" applyAlignment="1">
      <alignment horizontal="left" vertical="center" wrapText="1"/>
    </xf>
    <xf numFmtId="9" fontId="15" fillId="2" borderId="48" xfId="4" applyFont="1" applyFill="1" applyBorder="1" applyAlignment="1">
      <alignment horizontal="center" vertical="center"/>
    </xf>
    <xf numFmtId="9" fontId="15" fillId="2" borderId="34" xfId="4" applyFont="1" applyFill="1" applyBorder="1" applyAlignment="1">
      <alignment horizontal="center" vertical="center"/>
    </xf>
    <xf numFmtId="9" fontId="15" fillId="2" borderId="35" xfId="4" applyFont="1" applyFill="1" applyBorder="1" applyAlignment="1">
      <alignment horizontal="center" vertical="center"/>
    </xf>
    <xf numFmtId="3" fontId="15" fillId="2" borderId="48" xfId="0" applyNumberFormat="1" applyFont="1" applyFill="1" applyBorder="1" applyAlignment="1">
      <alignment horizontal="center" vertical="center"/>
    </xf>
    <xf numFmtId="3" fontId="15" fillId="2" borderId="34" xfId="0" applyNumberFormat="1" applyFont="1" applyFill="1" applyBorder="1" applyAlignment="1">
      <alignment horizontal="center" vertical="center"/>
    </xf>
    <xf numFmtId="3" fontId="92" fillId="4" borderId="51" xfId="0" applyNumberFormat="1" applyFont="1" applyFill="1" applyBorder="1" applyAlignment="1">
      <alignment horizontal="center" vertical="center"/>
    </xf>
    <xf numFmtId="3" fontId="92" fillId="4" borderId="35" xfId="0" applyNumberFormat="1" applyFont="1" applyFill="1" applyBorder="1" applyAlignment="1">
      <alignment horizontal="center" vertical="center"/>
    </xf>
    <xf numFmtId="3" fontId="50" fillId="2" borderId="42" xfId="0" applyNumberFormat="1" applyFont="1" applyFill="1" applyBorder="1" applyAlignment="1">
      <alignment horizontal="center" vertical="center"/>
    </xf>
    <xf numFmtId="3" fontId="50" fillId="2" borderId="16" xfId="0" applyNumberFormat="1" applyFont="1" applyFill="1" applyBorder="1" applyAlignment="1">
      <alignment horizontal="center" vertical="center"/>
    </xf>
    <xf numFmtId="3" fontId="46" fillId="0" borderId="48" xfId="0" applyNumberFormat="1" applyFont="1" applyBorder="1" applyAlignment="1">
      <alignment horizontal="center" vertical="center"/>
    </xf>
    <xf numFmtId="3" fontId="46" fillId="0" borderId="34" xfId="0" applyNumberFormat="1" applyFont="1" applyBorder="1" applyAlignment="1">
      <alignment horizontal="center" vertical="center"/>
    </xf>
    <xf numFmtId="3" fontId="109" fillId="4" borderId="35" xfId="0" applyNumberFormat="1" applyFont="1" applyFill="1" applyBorder="1" applyAlignment="1">
      <alignment horizontal="center" vertical="center"/>
    </xf>
    <xf numFmtId="3" fontId="15" fillId="2" borderId="67" xfId="0" applyNumberFormat="1" applyFont="1" applyFill="1" applyBorder="1" applyAlignment="1">
      <alignment horizontal="center" vertical="center"/>
    </xf>
    <xf numFmtId="3" fontId="92" fillId="4" borderId="68" xfId="0" applyNumberFormat="1" applyFont="1" applyFill="1" applyBorder="1" applyAlignment="1">
      <alignment horizontal="center" vertical="center"/>
    </xf>
    <xf numFmtId="3" fontId="46" fillId="0" borderId="62" xfId="0" applyNumberFormat="1" applyFont="1" applyBorder="1" applyAlignment="1">
      <alignment horizontal="center" vertical="center"/>
    </xf>
    <xf numFmtId="3" fontId="46" fillId="0" borderId="18" xfId="0" applyNumberFormat="1" applyFont="1" applyBorder="1" applyAlignment="1">
      <alignment horizontal="center" vertical="center"/>
    </xf>
    <xf numFmtId="165" fontId="15" fillId="2" borderId="25" xfId="0" applyNumberFormat="1" applyFont="1" applyFill="1" applyBorder="1" applyAlignment="1">
      <alignment horizontal="center" vertical="center"/>
    </xf>
    <xf numFmtId="0" fontId="15" fillId="0" borderId="2" xfId="0" applyFont="1" applyBorder="1" applyAlignment="1">
      <alignment horizontal="center"/>
    </xf>
    <xf numFmtId="3" fontId="92" fillId="4" borderId="2" xfId="0" applyNumberFormat="1" applyFont="1" applyFill="1" applyBorder="1" applyAlignment="1">
      <alignment horizontal="center" vertical="center"/>
    </xf>
    <xf numFmtId="3" fontId="109" fillId="4" borderId="2" xfId="0" applyNumberFormat="1" applyFont="1" applyFill="1" applyBorder="1" applyAlignment="1">
      <alignment horizontal="center" vertical="center"/>
    </xf>
    <xf numFmtId="0" fontId="15" fillId="0" borderId="0" xfId="0" applyFont="1" applyBorder="1" applyAlignment="1">
      <alignment horizontal="center"/>
    </xf>
    <xf numFmtId="165" fontId="109" fillId="0" borderId="0" xfId="0" applyNumberFormat="1" applyFont="1" applyAlignment="1">
      <alignment horizontal="center" vertical="center"/>
    </xf>
    <xf numFmtId="170" fontId="15" fillId="2" borderId="2" xfId="4" applyNumberFormat="1" applyFont="1" applyFill="1" applyBorder="1" applyAlignment="1">
      <alignment horizontal="center" vertical="center"/>
    </xf>
    <xf numFmtId="165" fontId="15" fillId="2" borderId="2" xfId="4" applyNumberFormat="1" applyFont="1" applyFill="1" applyBorder="1" applyAlignment="1">
      <alignment horizontal="center" vertical="center"/>
    </xf>
    <xf numFmtId="0" fontId="6" fillId="3" borderId="2" xfId="0" applyFont="1" applyFill="1" applyBorder="1" applyAlignment="1">
      <alignment horizontal="left" vertical="center" wrapText="1"/>
    </xf>
    <xf numFmtId="3" fontId="50" fillId="2" borderId="9" xfId="0" applyNumberFormat="1" applyFont="1" applyFill="1" applyBorder="1" applyAlignment="1">
      <alignment horizontal="center" vertical="center"/>
    </xf>
    <xf numFmtId="0" fontId="92" fillId="4" borderId="3" xfId="0" applyFont="1" applyFill="1" applyBorder="1" applyAlignment="1">
      <alignment horizontal="left" vertical="center" wrapText="1"/>
    </xf>
    <xf numFmtId="166" fontId="113" fillId="0" borderId="2" xfId="0" applyNumberFormat="1" applyFont="1" applyBorder="1" applyAlignment="1">
      <alignment horizontal="center" vertical="center" wrapText="1"/>
    </xf>
    <xf numFmtId="3" fontId="120" fillId="2" borderId="2" xfId="0" applyNumberFormat="1" applyFont="1" applyFill="1" applyBorder="1" applyAlignment="1">
      <alignment horizontal="center" vertical="center" wrapText="1" readingOrder="1"/>
    </xf>
    <xf numFmtId="1" fontId="141" fillId="2" borderId="0" xfId="0" applyNumberFormat="1" applyFont="1" applyFill="1" applyAlignment="1">
      <alignment wrapText="1"/>
    </xf>
    <xf numFmtId="0" fontId="6" fillId="0" borderId="0" xfId="3" applyFont="1" applyBorder="1" applyAlignment="1">
      <alignment vertical="center"/>
    </xf>
    <xf numFmtId="0" fontId="5" fillId="0" borderId="10" xfId="3" applyFont="1" applyBorder="1" applyAlignment="1">
      <alignment vertical="center" wrapText="1"/>
    </xf>
    <xf numFmtId="173" fontId="50" fillId="2" borderId="36" xfId="0" applyNumberFormat="1" applyFont="1" applyFill="1" applyBorder="1" applyAlignment="1">
      <alignment horizontal="center" vertical="center"/>
    </xf>
    <xf numFmtId="4" fontId="15" fillId="2" borderId="17" xfId="0" applyNumberFormat="1" applyFont="1" applyFill="1" applyBorder="1" applyAlignment="1">
      <alignment horizontal="center" vertical="center"/>
    </xf>
    <xf numFmtId="0" fontId="6" fillId="3" borderId="2" xfId="3" applyFont="1" applyFill="1" applyBorder="1" applyAlignment="1">
      <alignment horizontal="left" vertical="center" wrapText="1" indent="2"/>
    </xf>
    <xf numFmtId="0" fontId="6" fillId="0" borderId="9" xfId="3" applyFont="1" applyBorder="1" applyAlignment="1">
      <alignment horizontal="left" vertical="center"/>
    </xf>
    <xf numFmtId="3" fontId="6" fillId="0" borderId="0" xfId="3" applyNumberFormat="1" applyFont="1" applyAlignment="1">
      <alignment vertical="center"/>
    </xf>
    <xf numFmtId="0" fontId="95" fillId="11" borderId="0" xfId="0" applyFont="1" applyFill="1" applyAlignment="1">
      <alignment horizontal="center" vertical="center" wrapText="1"/>
    </xf>
    <xf numFmtId="3" fontId="56" fillId="0" borderId="0" xfId="0" applyNumberFormat="1" applyFont="1"/>
    <xf numFmtId="0" fontId="6" fillId="0" borderId="2" xfId="3" applyFont="1" applyBorder="1" applyAlignment="1">
      <alignment vertical="center" wrapText="1"/>
    </xf>
    <xf numFmtId="175" fontId="50" fillId="2" borderId="2" xfId="0" applyNumberFormat="1" applyFont="1" applyFill="1" applyBorder="1" applyAlignment="1">
      <alignment horizontal="center" vertical="center"/>
    </xf>
    <xf numFmtId="174" fontId="50" fillId="2" borderId="2" xfId="0" applyNumberFormat="1" applyFont="1" applyFill="1" applyBorder="1" applyAlignment="1">
      <alignment horizontal="center" vertical="center"/>
    </xf>
    <xf numFmtId="4" fontId="50" fillId="2" borderId="17" xfId="0" applyNumberFormat="1" applyFont="1" applyFill="1" applyBorder="1" applyAlignment="1">
      <alignment horizontal="center" vertical="center"/>
    </xf>
    <xf numFmtId="175" fontId="50" fillId="2" borderId="20" xfId="0" applyNumberFormat="1" applyFont="1" applyFill="1" applyBorder="1" applyAlignment="1">
      <alignment horizontal="center" vertical="center"/>
    </xf>
    <xf numFmtId="175" fontId="46" fillId="0" borderId="2" xfId="0" applyNumberFormat="1" applyFont="1" applyBorder="1" applyAlignment="1">
      <alignment horizontal="center" vertical="center" wrapText="1"/>
    </xf>
    <xf numFmtId="176" fontId="50" fillId="2" borderId="36" xfId="0" applyNumberFormat="1" applyFont="1" applyFill="1" applyBorder="1" applyAlignment="1">
      <alignment horizontal="center" vertical="center"/>
    </xf>
    <xf numFmtId="0" fontId="6" fillId="3" borderId="28" xfId="3" applyFont="1" applyFill="1" applyBorder="1" applyAlignment="1">
      <alignment horizontal="left" vertical="center" wrapText="1"/>
    </xf>
    <xf numFmtId="3" fontId="46" fillId="3" borderId="2" xfId="0" applyNumberFormat="1" applyFont="1" applyFill="1" applyBorder="1" applyAlignment="1">
      <alignment horizontal="center" vertical="center" wrapText="1"/>
    </xf>
    <xf numFmtId="3" fontId="50" fillId="3" borderId="2" xfId="0" applyNumberFormat="1" applyFont="1" applyFill="1" applyBorder="1" applyAlignment="1">
      <alignment horizontal="center" vertical="center"/>
    </xf>
    <xf numFmtId="3" fontId="50" fillId="3" borderId="10" xfId="0" applyNumberFormat="1" applyFont="1" applyFill="1" applyBorder="1" applyAlignment="1">
      <alignment horizontal="center" vertical="center"/>
    </xf>
    <xf numFmtId="165" fontId="15" fillId="2" borderId="48" xfId="0" applyNumberFormat="1" applyFont="1" applyFill="1" applyBorder="1" applyAlignment="1">
      <alignment horizontal="center" vertical="center"/>
    </xf>
    <xf numFmtId="165" fontId="50" fillId="2" borderId="38" xfId="0" applyNumberFormat="1" applyFont="1" applyFill="1" applyBorder="1" applyAlignment="1">
      <alignment horizontal="center" vertical="center"/>
    </xf>
    <xf numFmtId="165" fontId="50" fillId="2" borderId="44" xfId="0" applyNumberFormat="1" applyFont="1" applyFill="1" applyBorder="1" applyAlignment="1">
      <alignment horizontal="center" vertical="center"/>
    </xf>
    <xf numFmtId="165" fontId="50" fillId="2" borderId="9" xfId="0" applyNumberFormat="1" applyFont="1" applyFill="1" applyBorder="1" applyAlignment="1">
      <alignment horizontal="center" vertical="center"/>
    </xf>
    <xf numFmtId="165" fontId="46" fillId="0" borderId="2" xfId="0" applyNumberFormat="1" applyFont="1" applyBorder="1" applyAlignment="1">
      <alignment horizontal="center" vertical="center"/>
    </xf>
    <xf numFmtId="165" fontId="15" fillId="2" borderId="20" xfId="0" applyNumberFormat="1" applyFont="1" applyFill="1" applyBorder="1" applyAlignment="1">
      <alignment horizontal="center" vertical="center"/>
    </xf>
    <xf numFmtId="3" fontId="62" fillId="0" borderId="0" xfId="0" applyNumberFormat="1" applyFont="1"/>
    <xf numFmtId="3" fontId="5" fillId="3" borderId="0" xfId="0" applyNumberFormat="1" applyFont="1" applyFill="1" applyBorder="1" applyAlignment="1" applyProtection="1">
      <alignment horizontal="center" vertical="center"/>
      <protection locked="0"/>
    </xf>
    <xf numFmtId="3" fontId="91" fillId="3" borderId="0" xfId="0" applyNumberFormat="1" applyFont="1" applyFill="1" applyBorder="1" applyAlignment="1" applyProtection="1">
      <alignment horizontal="center" vertical="center"/>
      <protection locked="0"/>
    </xf>
    <xf numFmtId="0" fontId="61" fillId="3" borderId="0" xfId="0" applyFont="1" applyFill="1" applyBorder="1"/>
    <xf numFmtId="3" fontId="15" fillId="0" borderId="0" xfId="0" applyNumberFormat="1" applyFont="1"/>
    <xf numFmtId="0" fontId="6" fillId="2" borderId="28" xfId="3" applyFont="1" applyFill="1" applyBorder="1" applyAlignment="1">
      <alignment horizontal="left" vertical="center" wrapText="1"/>
    </xf>
    <xf numFmtId="3" fontId="46" fillId="2" borderId="2" xfId="0" applyNumberFormat="1" applyFont="1" applyFill="1" applyBorder="1" applyAlignment="1">
      <alignment horizontal="center" vertical="center" wrapText="1"/>
    </xf>
    <xf numFmtId="0" fontId="6" fillId="2" borderId="38" xfId="3" applyFont="1" applyFill="1" applyBorder="1" applyAlignment="1">
      <alignment horizontal="left" vertical="center" wrapText="1"/>
    </xf>
    <xf numFmtId="3" fontId="46" fillId="2" borderId="36" xfId="0" applyNumberFormat="1" applyFont="1" applyFill="1" applyBorder="1" applyAlignment="1">
      <alignment horizontal="center" vertical="center" wrapText="1"/>
    </xf>
    <xf numFmtId="0" fontId="5" fillId="0" borderId="0" xfId="3" applyFont="1" applyBorder="1"/>
    <xf numFmtId="0" fontId="5" fillId="0" borderId="0" xfId="3" applyFont="1" applyBorder="1" applyAlignment="1">
      <alignment vertical="center"/>
    </xf>
    <xf numFmtId="0" fontId="8" fillId="0" borderId="10" xfId="3" applyFont="1" applyBorder="1" applyAlignment="1">
      <alignment vertical="center" wrapText="1"/>
    </xf>
    <xf numFmtId="0" fontId="8" fillId="0" borderId="1" xfId="3" applyFont="1" applyBorder="1" applyAlignment="1">
      <alignment vertical="center" wrapText="1"/>
    </xf>
    <xf numFmtId="0" fontId="8" fillId="0" borderId="9" xfId="3" applyFont="1" applyBorder="1" applyAlignment="1">
      <alignment vertical="center" wrapText="1"/>
    </xf>
    <xf numFmtId="165" fontId="6" fillId="2" borderId="2" xfId="3" applyNumberFormat="1" applyFont="1" applyFill="1" applyBorder="1" applyAlignment="1">
      <alignment horizontal="center" vertical="center" wrapText="1"/>
    </xf>
    <xf numFmtId="165" fontId="6" fillId="0" borderId="2" xfId="3" applyNumberFormat="1" applyFont="1" applyBorder="1" applyAlignment="1">
      <alignment horizontal="center" vertical="center" wrapText="1"/>
    </xf>
    <xf numFmtId="3" fontId="6" fillId="3" borderId="2" xfId="3" applyNumberFormat="1" applyFont="1" applyFill="1" applyBorder="1" applyAlignment="1">
      <alignment horizontal="center" vertical="center" wrapText="1"/>
    </xf>
    <xf numFmtId="4" fontId="6" fillId="0" borderId="0" xfId="3" applyNumberFormat="1" applyFont="1" applyAlignment="1">
      <alignment vertical="center"/>
    </xf>
    <xf numFmtId="0" fontId="50" fillId="6" borderId="0" xfId="0" applyFont="1" applyFill="1"/>
    <xf numFmtId="0" fontId="107" fillId="0" borderId="0" xfId="0" applyFont="1"/>
    <xf numFmtId="3" fontId="50" fillId="2" borderId="25" xfId="0" applyNumberFormat="1" applyFont="1" applyFill="1" applyBorder="1" applyAlignment="1">
      <alignment horizontal="center" vertical="center"/>
    </xf>
    <xf numFmtId="3" fontId="50" fillId="2" borderId="17" xfId="0" applyNumberFormat="1" applyFont="1" applyFill="1" applyBorder="1" applyAlignment="1">
      <alignment horizontal="center" vertical="center"/>
    </xf>
    <xf numFmtId="3" fontId="22" fillId="4" borderId="23" xfId="0" applyNumberFormat="1" applyFont="1" applyFill="1" applyBorder="1" applyAlignment="1">
      <alignment horizontal="center" vertical="center"/>
    </xf>
    <xf numFmtId="3" fontId="22" fillId="4" borderId="21" xfId="0" applyNumberFormat="1" applyFont="1" applyFill="1" applyBorder="1" applyAlignment="1">
      <alignment horizontal="center" vertical="center"/>
    </xf>
    <xf numFmtId="3" fontId="50" fillId="2" borderId="48" xfId="0" applyNumberFormat="1" applyFont="1" applyFill="1" applyBorder="1" applyAlignment="1">
      <alignment horizontal="center" vertical="center"/>
    </xf>
    <xf numFmtId="3" fontId="50" fillId="2" borderId="25" xfId="4" applyNumberFormat="1" applyFont="1" applyFill="1" applyBorder="1" applyAlignment="1">
      <alignment horizontal="center" vertical="center"/>
    </xf>
    <xf numFmtId="3" fontId="50" fillId="2" borderId="17" xfId="4" applyNumberFormat="1" applyFont="1" applyFill="1" applyBorder="1" applyAlignment="1">
      <alignment horizontal="center" vertical="center"/>
    </xf>
    <xf numFmtId="3" fontId="2" fillId="2" borderId="28"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3" fontId="50" fillId="2" borderId="28" xfId="4" applyNumberFormat="1" applyFont="1" applyFill="1" applyBorder="1" applyAlignment="1">
      <alignment horizontal="center" vertical="center"/>
    </xf>
    <xf numFmtId="3" fontId="50" fillId="2" borderId="2" xfId="4" applyNumberFormat="1" applyFont="1" applyFill="1" applyBorder="1" applyAlignment="1">
      <alignment horizontal="center" vertical="center"/>
    </xf>
    <xf numFmtId="3" fontId="50" fillId="2" borderId="38" xfId="4" applyNumberFormat="1" applyFont="1" applyFill="1" applyBorder="1" applyAlignment="1">
      <alignment horizontal="center" vertical="center"/>
    </xf>
    <xf numFmtId="3" fontId="2" fillId="0" borderId="0" xfId="0" applyNumberFormat="1" applyFont="1" applyAlignment="1">
      <alignment horizontal="center" vertical="center"/>
    </xf>
    <xf numFmtId="0" fontId="15" fillId="2" borderId="0" xfId="0" applyFont="1" applyFill="1"/>
    <xf numFmtId="0" fontId="20" fillId="2" borderId="0" xfId="0" applyFont="1" applyFill="1" applyAlignment="1">
      <alignment horizontal="left"/>
    </xf>
    <xf numFmtId="0" fontId="2" fillId="2" borderId="42" xfId="0" applyFont="1" applyFill="1" applyBorder="1" applyAlignment="1">
      <alignment horizontal="center" vertical="center" wrapText="1"/>
    </xf>
    <xf numFmtId="3" fontId="46" fillId="2" borderId="38" xfId="0" applyNumberFormat="1" applyFont="1" applyFill="1" applyBorder="1" applyAlignment="1">
      <alignment horizontal="center" vertical="center"/>
    </xf>
    <xf numFmtId="3" fontId="46" fillId="2" borderId="28" xfId="0" applyNumberFormat="1" applyFont="1" applyFill="1" applyBorder="1" applyAlignment="1">
      <alignment horizontal="center" vertical="center"/>
    </xf>
    <xf numFmtId="3" fontId="46" fillId="2" borderId="48" xfId="0" applyNumberFormat="1" applyFont="1" applyFill="1" applyBorder="1" applyAlignment="1">
      <alignment horizontal="center" vertical="center"/>
    </xf>
    <xf numFmtId="3" fontId="46" fillId="2" borderId="2" xfId="0" applyNumberFormat="1" applyFont="1" applyFill="1" applyBorder="1" applyAlignment="1">
      <alignment horizontal="center" vertical="center"/>
    </xf>
    <xf numFmtId="3" fontId="46" fillId="2" borderId="25" xfId="0" applyNumberFormat="1" applyFont="1" applyFill="1" applyBorder="1" applyAlignment="1">
      <alignment horizontal="center" vertical="center"/>
    </xf>
    <xf numFmtId="3" fontId="109" fillId="2" borderId="0" xfId="0" applyNumberFormat="1" applyFont="1" applyFill="1" applyAlignment="1">
      <alignment horizontal="center" vertical="center"/>
    </xf>
    <xf numFmtId="0" fontId="28" fillId="2" borderId="0" xfId="0" applyFont="1" applyFill="1"/>
    <xf numFmtId="0" fontId="16" fillId="2" borderId="0" xfId="0" applyFont="1" applyFill="1"/>
    <xf numFmtId="0" fontId="50" fillId="2" borderId="0" xfId="0" applyFont="1" applyFill="1"/>
    <xf numFmtId="3" fontId="96" fillId="2" borderId="23" xfId="0" applyNumberFormat="1" applyFont="1" applyFill="1" applyBorder="1" applyAlignment="1">
      <alignment horizontal="center" vertical="center"/>
    </xf>
    <xf numFmtId="3" fontId="96" fillId="2" borderId="42" xfId="0" applyNumberFormat="1" applyFont="1" applyFill="1" applyBorder="1" applyAlignment="1">
      <alignment horizontal="center" vertical="center"/>
    </xf>
    <xf numFmtId="3" fontId="148" fillId="2" borderId="42" xfId="0" applyNumberFormat="1" applyFont="1" applyFill="1" applyBorder="1" applyAlignment="1">
      <alignment horizontal="center" vertical="center"/>
    </xf>
    <xf numFmtId="3" fontId="149" fillId="2" borderId="23" xfId="0" applyNumberFormat="1" applyFont="1" applyFill="1" applyBorder="1" applyAlignment="1">
      <alignment horizontal="center" vertical="center"/>
    </xf>
    <xf numFmtId="3" fontId="15" fillId="2" borderId="0" xfId="0" applyNumberFormat="1" applyFont="1" applyFill="1"/>
    <xf numFmtId="0" fontId="5" fillId="3" borderId="7" xfId="3" applyFont="1" applyFill="1" applyBorder="1" applyAlignment="1">
      <alignment vertical="center"/>
    </xf>
    <xf numFmtId="0" fontId="10" fillId="0" borderId="0" xfId="3" applyFont="1" applyAlignment="1">
      <alignment vertical="center"/>
    </xf>
    <xf numFmtId="0" fontId="6" fillId="0" borderId="7" xfId="3" applyFont="1" applyBorder="1"/>
    <xf numFmtId="0" fontId="15" fillId="0" borderId="0" xfId="0" applyFont="1" applyAlignment="1">
      <alignment horizontal="center"/>
    </xf>
    <xf numFmtId="0" fontId="139" fillId="0" borderId="0" xfId="0" applyFont="1" applyAlignment="1">
      <alignment horizontal="center"/>
    </xf>
    <xf numFmtId="0" fontId="131" fillId="0" borderId="0" xfId="0" applyFont="1" applyAlignment="1">
      <alignment horizontal="left" vertical="center" wrapText="1"/>
    </xf>
    <xf numFmtId="0" fontId="128" fillId="0" borderId="0" xfId="0" applyFont="1" applyAlignment="1">
      <alignment horizontal="center" vertical="center" wrapText="1"/>
    </xf>
    <xf numFmtId="0" fontId="3" fillId="4" borderId="58" xfId="0" applyFont="1" applyFill="1" applyBorder="1" applyAlignment="1">
      <alignment horizontal="left" vertical="center"/>
    </xf>
    <xf numFmtId="0" fontId="3" fillId="4" borderId="0" xfId="0" applyFont="1" applyFill="1" applyAlignment="1">
      <alignment horizontal="left" vertical="center"/>
    </xf>
    <xf numFmtId="0" fontId="59" fillId="0" borderId="16" xfId="1" applyFont="1" applyBorder="1" applyAlignment="1">
      <alignment vertical="center" wrapText="1"/>
    </xf>
    <xf numFmtId="0" fontId="59" fillId="0" borderId="17" xfId="1" applyFont="1" applyBorder="1" applyAlignment="1">
      <alignment vertical="center" wrapText="1"/>
    </xf>
    <xf numFmtId="0" fontId="43" fillId="0" borderId="16" xfId="0" applyFont="1" applyBorder="1" applyAlignment="1">
      <alignment horizontal="justify" vertical="center" wrapText="1"/>
    </xf>
    <xf numFmtId="0" fontId="43" fillId="0" borderId="17" xfId="0" applyFont="1" applyBorder="1" applyAlignment="1">
      <alignment horizontal="justify" vertical="center" wrapText="1"/>
    </xf>
    <xf numFmtId="0" fontId="59" fillId="0" borderId="18" xfId="1" applyFont="1" applyBorder="1" applyAlignment="1">
      <alignment vertical="center" wrapText="1"/>
    </xf>
    <xf numFmtId="0" fontId="51" fillId="0" borderId="0" xfId="1" applyFont="1" applyAlignment="1">
      <alignment horizontal="left" vertical="center" wrapText="1"/>
    </xf>
    <xf numFmtId="0" fontId="51" fillId="0" borderId="67" xfId="1" applyFont="1" applyBorder="1" applyAlignment="1">
      <alignment horizontal="left" vertical="center" wrapText="1"/>
    </xf>
    <xf numFmtId="0" fontId="85" fillId="0" borderId="0" xfId="0" applyFont="1" applyAlignment="1">
      <alignment horizontal="left" vertical="center" wrapText="1"/>
    </xf>
    <xf numFmtId="0" fontId="85" fillId="0" borderId="0" xfId="0" applyFont="1" applyAlignment="1">
      <alignment horizontal="left" vertical="center"/>
    </xf>
    <xf numFmtId="0" fontId="39" fillId="5" borderId="70" xfId="0" applyFont="1" applyFill="1" applyBorder="1" applyAlignment="1">
      <alignment horizontal="center" vertical="center" wrapText="1"/>
    </xf>
    <xf numFmtId="0" fontId="39" fillId="5" borderId="71" xfId="0" applyFont="1" applyFill="1" applyBorder="1" applyAlignment="1">
      <alignment horizontal="center" vertical="center" wrapText="1"/>
    </xf>
    <xf numFmtId="0" fontId="39" fillId="5" borderId="69" xfId="0" applyFont="1" applyFill="1" applyBorder="1" applyAlignment="1">
      <alignment horizontal="center" vertical="center" wrapText="1"/>
    </xf>
    <xf numFmtId="0" fontId="59" fillId="0" borderId="16" xfId="1" applyFont="1" applyBorder="1" applyAlignment="1">
      <alignment horizontal="left" vertical="center" wrapText="1"/>
    </xf>
    <xf numFmtId="0" fontId="59" fillId="0" borderId="18" xfId="1" applyFont="1" applyBorder="1" applyAlignment="1">
      <alignment horizontal="left" vertical="center" wrapText="1"/>
    </xf>
    <xf numFmtId="0" fontId="59" fillId="0" borderId="17" xfId="1" applyFont="1" applyBorder="1" applyAlignment="1">
      <alignment horizontal="left" vertical="center" wrapText="1"/>
    </xf>
    <xf numFmtId="0" fontId="43" fillId="0" borderId="16" xfId="0" applyFont="1" applyBorder="1" applyAlignment="1">
      <alignment horizontal="left" vertical="center" wrapText="1"/>
    </xf>
    <xf numFmtId="0" fontId="43" fillId="0" borderId="18" xfId="0" applyFont="1" applyBorder="1" applyAlignment="1">
      <alignment horizontal="left" vertical="center" wrapText="1"/>
    </xf>
    <xf numFmtId="0" fontId="43" fillId="0" borderId="17" xfId="0" applyFont="1" applyBorder="1" applyAlignment="1">
      <alignment horizontal="left" vertical="center" wrapText="1"/>
    </xf>
    <xf numFmtId="0" fontId="15" fillId="0" borderId="16" xfId="0" applyFont="1" applyBorder="1" applyAlignment="1">
      <alignment horizontal="left" vertical="top" wrapText="1"/>
    </xf>
    <xf numFmtId="0" fontId="15" fillId="0" borderId="18" xfId="0" applyFont="1" applyBorder="1" applyAlignment="1">
      <alignment horizontal="left" vertical="top" wrapText="1"/>
    </xf>
    <xf numFmtId="0" fontId="15" fillId="0" borderId="17" xfId="0" applyFont="1" applyBorder="1" applyAlignment="1">
      <alignment horizontal="left" vertical="top" wrapText="1"/>
    </xf>
    <xf numFmtId="0" fontId="58" fillId="0" borderId="0" xfId="0" applyFont="1" applyAlignment="1">
      <alignment horizontal="left" vertical="center" wrapText="1"/>
    </xf>
    <xf numFmtId="0" fontId="20" fillId="0" borderId="10" xfId="0" applyFont="1" applyBorder="1" applyAlignment="1">
      <alignment horizontal="center" vertical="center"/>
    </xf>
    <xf numFmtId="0" fontId="20" fillId="0" borderId="1" xfId="0" applyFont="1" applyBorder="1" applyAlignment="1">
      <alignment horizontal="center" vertical="center"/>
    </xf>
    <xf numFmtId="0" fontId="20" fillId="0" borderId="9" xfId="0" applyFont="1" applyBorder="1" applyAlignment="1">
      <alignment horizontal="center" vertical="center"/>
    </xf>
    <xf numFmtId="0" fontId="20" fillId="0" borderId="1" xfId="0" applyFont="1" applyBorder="1" applyAlignment="1">
      <alignment horizontal="center" vertical="center" wrapText="1"/>
    </xf>
    <xf numFmtId="0" fontId="20" fillId="0" borderId="9" xfId="0" applyFont="1" applyBorder="1" applyAlignment="1">
      <alignment horizontal="center" vertical="center" wrapText="1"/>
    </xf>
    <xf numFmtId="0" fontId="51" fillId="0" borderId="4" xfId="1" applyFont="1" applyBorder="1" applyAlignment="1">
      <alignment horizontal="left" vertical="center" wrapText="1"/>
    </xf>
    <xf numFmtId="0" fontId="51" fillId="0" borderId="5" xfId="1" applyFont="1" applyBorder="1" applyAlignment="1">
      <alignment horizontal="left" vertical="center" wrapText="1"/>
    </xf>
    <xf numFmtId="0" fontId="15" fillId="0" borderId="16" xfId="0" applyFont="1" applyBorder="1" applyAlignment="1">
      <alignment horizontal="justify" vertical="center" wrapText="1"/>
    </xf>
    <xf numFmtId="0" fontId="15" fillId="0" borderId="17" xfId="0" applyFont="1" applyBorder="1" applyAlignment="1">
      <alignment horizontal="justify" vertical="center" wrapText="1"/>
    </xf>
    <xf numFmtId="0" fontId="54" fillId="0" borderId="10"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9" xfId="0" applyFont="1" applyBorder="1" applyAlignment="1">
      <alignment horizontal="center" vertical="center" wrapText="1"/>
    </xf>
    <xf numFmtId="0" fontId="51" fillId="0" borderId="7" xfId="1" applyFont="1" applyBorder="1" applyAlignment="1">
      <alignment horizontal="left" vertical="center" wrapText="1"/>
    </xf>
    <xf numFmtId="0" fontId="51" fillId="0" borderId="8" xfId="1" applyFont="1" applyBorder="1" applyAlignment="1">
      <alignment horizontal="left" vertical="center" wrapText="1"/>
    </xf>
    <xf numFmtId="0" fontId="43" fillId="0" borderId="16" xfId="0" applyFont="1" applyBorder="1" applyAlignment="1">
      <alignment horizontal="left" vertical="top" wrapText="1"/>
    </xf>
    <xf numFmtId="0" fontId="43" fillId="0" borderId="18" xfId="0" applyFont="1" applyBorder="1" applyAlignment="1">
      <alignment horizontal="left" vertical="top" wrapText="1"/>
    </xf>
    <xf numFmtId="0" fontId="43" fillId="0" borderId="17" xfId="0" applyFont="1" applyBorder="1" applyAlignment="1">
      <alignment horizontal="left" vertical="top"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20" fillId="0" borderId="0" xfId="0" applyFont="1" applyAlignment="1">
      <alignment horizontal="left"/>
    </xf>
    <xf numFmtId="0" fontId="20" fillId="13" borderId="0" xfId="0" applyFont="1" applyFill="1" applyAlignment="1">
      <alignment horizontal="center" vertical="center" wrapText="1"/>
    </xf>
    <xf numFmtId="0" fontId="57" fillId="0" borderId="3" xfId="0" applyFont="1" applyBorder="1" applyAlignment="1">
      <alignment horizontal="center" vertical="center" wrapText="1"/>
    </xf>
    <xf numFmtId="0" fontId="57" fillId="0" borderId="5" xfId="0" applyFont="1" applyBorder="1" applyAlignment="1">
      <alignment horizontal="center" vertical="center" wrapText="1"/>
    </xf>
    <xf numFmtId="0" fontId="15" fillId="2" borderId="19" xfId="0" applyFont="1" applyFill="1" applyBorder="1" applyAlignment="1">
      <alignment horizontal="left" vertical="center" wrapText="1"/>
    </xf>
    <xf numFmtId="0" fontId="15" fillId="2" borderId="67" xfId="0" applyFont="1" applyFill="1" applyBorder="1" applyAlignment="1">
      <alignment horizontal="left" vertical="center" wrapText="1"/>
    </xf>
    <xf numFmtId="0" fontId="15" fillId="0" borderId="19" xfId="0" applyFont="1" applyBorder="1" applyAlignment="1">
      <alignment horizontal="left" vertical="center" wrapText="1"/>
    </xf>
    <xf numFmtId="0" fontId="15" fillId="0" borderId="67" xfId="0" applyFont="1" applyBorder="1" applyAlignment="1">
      <alignment horizontal="left" vertical="center" wrapText="1"/>
    </xf>
    <xf numFmtId="0" fontId="29" fillId="0" borderId="0" xfId="0" applyFont="1" applyAlignment="1">
      <alignment horizontal="left" vertical="center"/>
    </xf>
    <xf numFmtId="0" fontId="88" fillId="11" borderId="70" xfId="0" applyFont="1" applyFill="1" applyBorder="1" applyAlignment="1">
      <alignment horizontal="left" vertical="center" wrapText="1"/>
    </xf>
    <xf numFmtId="0" fontId="88" fillId="11" borderId="71" xfId="0" applyFont="1" applyFill="1" applyBorder="1" applyAlignment="1">
      <alignment horizontal="left" vertical="center" wrapText="1"/>
    </xf>
    <xf numFmtId="0" fontId="88" fillId="11" borderId="72" xfId="0" applyFont="1" applyFill="1" applyBorder="1" applyAlignment="1">
      <alignment horizontal="left" vertical="center" wrapText="1"/>
    </xf>
    <xf numFmtId="0" fontId="24" fillId="0" borderId="10" xfId="0" applyFont="1" applyBorder="1" applyAlignment="1">
      <alignment horizontal="center" vertical="center"/>
    </xf>
    <xf numFmtId="0" fontId="24" fillId="0" borderId="1" xfId="0" applyFont="1" applyBorder="1" applyAlignment="1">
      <alignment horizontal="center" vertical="center"/>
    </xf>
    <xf numFmtId="0" fontId="24" fillId="0" borderId="46" xfId="0" applyFont="1" applyBorder="1" applyAlignment="1">
      <alignment horizontal="center" vertical="center"/>
    </xf>
    <xf numFmtId="49" fontId="24" fillId="0" borderId="10" xfId="0" applyNumberFormat="1" applyFont="1" applyBorder="1" applyAlignment="1">
      <alignment horizontal="center" vertical="center"/>
    </xf>
    <xf numFmtId="49" fontId="24" fillId="0" borderId="1" xfId="0" applyNumberFormat="1" applyFont="1" applyBorder="1" applyAlignment="1">
      <alignment horizontal="center" vertical="center"/>
    </xf>
    <xf numFmtId="49" fontId="24" fillId="0" borderId="46" xfId="0" applyNumberFormat="1" applyFont="1" applyBorder="1" applyAlignment="1">
      <alignment horizontal="center" vertical="center"/>
    </xf>
    <xf numFmtId="0" fontId="29" fillId="14" borderId="0" xfId="0" applyFont="1" applyFill="1" applyAlignment="1">
      <alignment horizontal="center" vertical="center" wrapText="1"/>
    </xf>
    <xf numFmtId="0" fontId="88" fillId="0" borderId="48" xfId="0" applyFont="1" applyBorder="1" applyAlignment="1">
      <alignment horizontal="center" vertical="center"/>
    </xf>
    <xf numFmtId="0" fontId="88" fillId="0" borderId="49" xfId="0" applyFont="1" applyBorder="1" applyAlignment="1">
      <alignment horizontal="center" vertical="center"/>
    </xf>
    <xf numFmtId="0" fontId="88" fillId="0" borderId="34" xfId="0" applyFont="1" applyBorder="1" applyAlignment="1">
      <alignment horizontal="center" vertical="center" wrapText="1"/>
    </xf>
    <xf numFmtId="0" fontId="88" fillId="0" borderId="50" xfId="0" applyFont="1" applyBorder="1" applyAlignment="1">
      <alignment horizontal="center" vertical="center" wrapText="1"/>
    </xf>
    <xf numFmtId="0" fontId="88" fillId="12" borderId="51" xfId="0" applyFont="1" applyFill="1" applyBorder="1" applyAlignment="1">
      <alignment horizontal="center" vertical="center" wrapText="1"/>
    </xf>
    <xf numFmtId="0" fontId="88" fillId="12" borderId="73" xfId="0" applyFont="1" applyFill="1" applyBorder="1" applyAlignment="1">
      <alignment horizontal="center" vertical="center" wrapText="1"/>
    </xf>
    <xf numFmtId="0" fontId="22" fillId="5" borderId="0" xfId="0" applyFont="1" applyFill="1" applyAlignment="1">
      <alignment horizontal="center" vertical="center" wrapText="1"/>
    </xf>
    <xf numFmtId="0" fontId="103" fillId="0" borderId="0" xfId="1" applyFont="1" applyAlignment="1">
      <alignment horizontal="left" vertical="center"/>
    </xf>
    <xf numFmtId="0" fontId="88" fillId="0" borderId="48" xfId="0" applyFont="1" applyBorder="1" applyAlignment="1">
      <alignment horizontal="left" vertical="center" wrapText="1"/>
    </xf>
    <xf numFmtId="0" fontId="88" fillId="0" borderId="62" xfId="0" applyFont="1" applyBorder="1" applyAlignment="1">
      <alignment horizontal="left" vertical="center" wrapText="1"/>
    </xf>
    <xf numFmtId="0" fontId="88" fillId="0" borderId="49" xfId="0" applyFont="1" applyBorder="1" applyAlignment="1">
      <alignment horizontal="left" vertical="center" wrapText="1"/>
    </xf>
    <xf numFmtId="0" fontId="101" fillId="0" borderId="48" xfId="0" applyFont="1" applyBorder="1" applyAlignment="1">
      <alignment horizontal="left" vertical="center" wrapText="1"/>
    </xf>
    <xf numFmtId="0" fontId="101" fillId="0" borderId="62" xfId="0" applyFont="1" applyBorder="1" applyAlignment="1">
      <alignment horizontal="left" vertical="center" wrapText="1"/>
    </xf>
    <xf numFmtId="0" fontId="101" fillId="0" borderId="49" xfId="0" applyFont="1" applyBorder="1" applyAlignment="1">
      <alignment horizontal="left" vertical="center" wrapText="1"/>
    </xf>
    <xf numFmtId="0" fontId="24" fillId="0" borderId="2" xfId="0" applyFont="1" applyBorder="1" applyAlignment="1">
      <alignment horizontal="center" vertical="center" wrapText="1"/>
    </xf>
    <xf numFmtId="0" fontId="24" fillId="0" borderId="21" xfId="0" applyFont="1" applyBorder="1" applyAlignment="1">
      <alignment horizontal="center" vertical="center" wrapText="1"/>
    </xf>
    <xf numFmtId="0" fontId="100" fillId="0" borderId="2" xfId="0" applyFont="1" applyBorder="1" applyAlignment="1">
      <alignment horizontal="center" vertical="center" wrapText="1"/>
    </xf>
    <xf numFmtId="0" fontId="100" fillId="0" borderId="2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21" xfId="0" applyFont="1" applyBorder="1" applyAlignment="1">
      <alignment horizontal="center" vertical="center" wrapText="1"/>
    </xf>
    <xf numFmtId="1" fontId="10" fillId="0" borderId="10" xfId="4" applyNumberFormat="1" applyFont="1" applyBorder="1" applyAlignment="1">
      <alignment horizontal="center" vertical="center"/>
    </xf>
    <xf numFmtId="1" fontId="10" fillId="0" borderId="1" xfId="4" applyNumberFormat="1" applyFont="1" applyBorder="1" applyAlignment="1">
      <alignment horizontal="center" vertical="center"/>
    </xf>
    <xf numFmtId="1" fontId="10" fillId="0" borderId="9" xfId="4" applyNumberFormat="1" applyFont="1" applyBorder="1" applyAlignment="1">
      <alignment horizontal="center" vertical="center"/>
    </xf>
    <xf numFmtId="0" fontId="39" fillId="2" borderId="16" xfId="0" applyFont="1" applyFill="1" applyBorder="1" applyAlignment="1">
      <alignment horizontal="center" vertical="center" wrapText="1"/>
    </xf>
    <xf numFmtId="0" fontId="39" fillId="2" borderId="18"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28" fillId="2" borderId="16" xfId="0" applyFont="1" applyFill="1" applyBorder="1" applyAlignment="1">
      <alignment horizontal="center" vertical="center" wrapText="1"/>
    </xf>
    <xf numFmtId="0" fontId="28" fillId="2" borderId="18" xfId="0" applyFont="1" applyFill="1" applyBorder="1" applyAlignment="1">
      <alignment horizontal="center" vertical="center" wrapText="1"/>
    </xf>
    <xf numFmtId="0" fontId="28" fillId="2" borderId="17" xfId="0" applyFont="1" applyFill="1" applyBorder="1" applyAlignment="1">
      <alignment horizontal="center" vertical="center" wrapText="1"/>
    </xf>
    <xf numFmtId="0" fontId="5" fillId="0" borderId="16"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50" xfId="0" applyFont="1" applyBorder="1" applyAlignment="1">
      <alignment horizontal="center" vertical="center" wrapText="1"/>
    </xf>
    <xf numFmtId="0" fontId="89" fillId="0" borderId="34" xfId="0" applyFont="1" applyBorder="1" applyAlignment="1">
      <alignment horizontal="center" vertical="center" wrapText="1"/>
    </xf>
    <xf numFmtId="0" fontId="89" fillId="0" borderId="18" xfId="0" applyFont="1" applyBorder="1" applyAlignment="1">
      <alignment horizontal="center" vertical="center" wrapText="1"/>
    </xf>
    <xf numFmtId="0" fontId="89" fillId="0" borderId="17" xfId="0" applyFont="1" applyBorder="1" applyAlignment="1">
      <alignment horizontal="center" vertical="center" wrapText="1"/>
    </xf>
    <xf numFmtId="3" fontId="5" fillId="0" borderId="16" xfId="0" applyNumberFormat="1" applyFont="1" applyBorder="1" applyAlignment="1" applyProtection="1">
      <alignment horizontal="center" vertical="center"/>
      <protection locked="0"/>
    </xf>
    <xf numFmtId="3" fontId="5" fillId="0" borderId="17" xfId="0" applyNumberFormat="1" applyFont="1" applyBorder="1" applyAlignment="1" applyProtection="1">
      <alignment horizontal="center" vertical="center"/>
      <protection locked="0"/>
    </xf>
    <xf numFmtId="3" fontId="22" fillId="4" borderId="40" xfId="0" applyNumberFormat="1" applyFont="1" applyFill="1" applyBorder="1" applyAlignment="1" applyProtection="1">
      <alignment horizontal="center" vertical="center"/>
      <protection locked="0"/>
    </xf>
    <xf numFmtId="3" fontId="22" fillId="4" borderId="26" xfId="0" applyNumberFormat="1" applyFont="1" applyFill="1" applyBorder="1" applyAlignment="1" applyProtection="1">
      <alignment horizontal="center" vertical="center"/>
      <protection locked="0"/>
    </xf>
    <xf numFmtId="0" fontId="28" fillId="2" borderId="3" xfId="0" applyFont="1" applyFill="1" applyBorder="1" applyAlignment="1">
      <alignment horizontal="center" vertical="center"/>
    </xf>
    <xf numFmtId="0" fontId="28" fillId="2" borderId="19" xfId="0" applyFont="1" applyFill="1" applyBorder="1" applyAlignment="1">
      <alignment horizontal="center" vertical="center"/>
    </xf>
    <xf numFmtId="0" fontId="28" fillId="2" borderId="6" xfId="0" applyFont="1" applyFill="1" applyBorder="1" applyAlignment="1">
      <alignment horizontal="center" vertical="center"/>
    </xf>
    <xf numFmtId="0" fontId="28" fillId="2" borderId="16" xfId="0" applyFont="1" applyFill="1" applyBorder="1" applyAlignment="1">
      <alignment horizontal="center" vertical="center"/>
    </xf>
    <xf numFmtId="0" fontId="28" fillId="2" borderId="18" xfId="0" applyFont="1" applyFill="1" applyBorder="1" applyAlignment="1">
      <alignment horizontal="center" vertical="center"/>
    </xf>
    <xf numFmtId="0" fontId="28" fillId="2" borderId="17" xfId="0" applyFont="1" applyFill="1" applyBorder="1" applyAlignment="1">
      <alignment horizontal="center" vertical="center"/>
    </xf>
    <xf numFmtId="3" fontId="89" fillId="0" borderId="35" xfId="0" applyNumberFormat="1" applyFont="1" applyBorder="1" applyAlignment="1">
      <alignment horizontal="center" vertical="center" wrapText="1"/>
    </xf>
    <xf numFmtId="3" fontId="89" fillId="0" borderId="68" xfId="0" applyNumberFormat="1" applyFont="1" applyBorder="1" applyAlignment="1">
      <alignment horizontal="center" vertical="center" wrapText="1"/>
    </xf>
    <xf numFmtId="3" fontId="89" fillId="0" borderId="26" xfId="0" applyNumberFormat="1" applyFont="1" applyBorder="1" applyAlignment="1">
      <alignment horizontal="center" vertical="center" wrapText="1"/>
    </xf>
    <xf numFmtId="0" fontId="82" fillId="0" borderId="79" xfId="0" applyFont="1" applyBorder="1" applyAlignment="1" applyProtection="1">
      <alignment horizontal="left"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left" vertical="center" wrapText="1"/>
      <protection locked="0"/>
    </xf>
    <xf numFmtId="0" fontId="82" fillId="0" borderId="80" xfId="0" applyFont="1" applyBorder="1" applyAlignment="1" applyProtection="1">
      <alignment horizontal="left"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left" vertical="center" wrapText="1"/>
      <protection locked="0"/>
    </xf>
    <xf numFmtId="3" fontId="89" fillId="0" borderId="34" xfId="0" applyNumberFormat="1" applyFont="1" applyBorder="1" applyAlignment="1">
      <alignment horizontal="center" vertical="center" wrapText="1"/>
    </xf>
    <xf numFmtId="3" fontId="89" fillId="0" borderId="18" xfId="0" applyNumberFormat="1" applyFont="1" applyBorder="1" applyAlignment="1">
      <alignment horizontal="center" vertical="center" wrapText="1"/>
    </xf>
    <xf numFmtId="3" fontId="89" fillId="0" borderId="17" xfId="0" applyNumberFormat="1" applyFont="1" applyBorder="1" applyAlignment="1">
      <alignment horizontal="center" vertical="center" wrapText="1"/>
    </xf>
    <xf numFmtId="0" fontId="82" fillId="0" borderId="34" xfId="0" applyFont="1" applyBorder="1" applyAlignment="1">
      <alignment horizontal="center" vertical="center" wrapText="1"/>
    </xf>
    <xf numFmtId="0" fontId="82" fillId="0" borderId="18" xfId="0" applyFont="1" applyBorder="1" applyAlignment="1">
      <alignment horizontal="center" vertical="center" wrapText="1"/>
    </xf>
    <xf numFmtId="0" fontId="82" fillId="0" borderId="50" xfId="0" applyFont="1" applyBorder="1" applyAlignment="1">
      <alignment horizontal="center" vertical="center" wrapText="1"/>
    </xf>
    <xf numFmtId="3" fontId="10" fillId="8" borderId="5" xfId="0" applyNumberFormat="1" applyFont="1" applyFill="1" applyBorder="1" applyAlignment="1">
      <alignment horizontal="center" vertical="center" wrapText="1"/>
    </xf>
    <xf numFmtId="3" fontId="10" fillId="8" borderId="67" xfId="0" applyNumberFormat="1" applyFont="1" applyFill="1" applyBorder="1" applyAlignment="1">
      <alignment horizontal="center" vertical="center" wrapText="1"/>
    </xf>
    <xf numFmtId="3" fontId="10" fillId="8" borderId="8" xfId="0" applyNumberFormat="1" applyFont="1" applyFill="1" applyBorder="1" applyAlignment="1">
      <alignment horizontal="center" vertical="center" wrapText="1"/>
    </xf>
    <xf numFmtId="0" fontId="82" fillId="0" borderId="48" xfId="0" applyFont="1" applyBorder="1" applyAlignment="1">
      <alignment horizontal="center" vertical="center" wrapText="1"/>
    </xf>
    <xf numFmtId="0" fontId="82" fillId="0" borderId="62" xfId="0" applyFont="1" applyBorder="1" applyAlignment="1">
      <alignment horizontal="center" vertical="center" wrapText="1"/>
    </xf>
    <xf numFmtId="0" fontId="82" fillId="0" borderId="49" xfId="0" applyFont="1" applyBorder="1" applyAlignment="1">
      <alignment horizontal="center" vertical="center" wrapText="1"/>
    </xf>
    <xf numFmtId="1" fontId="94" fillId="0" borderId="10" xfId="4" applyNumberFormat="1" applyFont="1" applyBorder="1" applyAlignment="1">
      <alignment horizontal="center" vertical="center"/>
    </xf>
    <xf numFmtId="1" fontId="94" fillId="0" borderId="1" xfId="4" applyNumberFormat="1" applyFont="1" applyBorder="1" applyAlignment="1">
      <alignment horizontal="center" vertical="center"/>
    </xf>
    <xf numFmtId="1" fontId="94" fillId="0" borderId="9" xfId="4" applyNumberFormat="1" applyFont="1" applyBorder="1" applyAlignment="1">
      <alignment horizontal="center" vertical="center"/>
    </xf>
    <xf numFmtId="0" fontId="72" fillId="0" borderId="0" xfId="0" applyFont="1" applyAlignment="1">
      <alignment horizontal="left"/>
    </xf>
    <xf numFmtId="1" fontId="94" fillId="0" borderId="2" xfId="4" applyNumberFormat="1" applyFont="1" applyBorder="1" applyAlignment="1">
      <alignment horizontal="center" vertical="center"/>
    </xf>
    <xf numFmtId="1" fontId="10" fillId="0" borderId="2" xfId="4" applyNumberFormat="1" applyFont="1" applyBorder="1" applyAlignment="1">
      <alignment horizontal="center" vertical="center"/>
    </xf>
    <xf numFmtId="0" fontId="39" fillId="2" borderId="2" xfId="0" applyFont="1" applyFill="1" applyBorder="1" applyAlignment="1">
      <alignment horizontal="center" vertical="center" wrapText="1"/>
    </xf>
    <xf numFmtId="0" fontId="95" fillId="2" borderId="2" xfId="0" applyFont="1" applyFill="1" applyBorder="1" applyAlignment="1">
      <alignment horizontal="center" vertical="center" wrapText="1"/>
    </xf>
    <xf numFmtId="0" fontId="28" fillId="2" borderId="2" xfId="0" applyFont="1" applyFill="1" applyBorder="1" applyAlignment="1">
      <alignment horizontal="center" vertical="center"/>
    </xf>
    <xf numFmtId="0" fontId="28" fillId="2" borderId="10" xfId="0" applyFont="1" applyFill="1" applyBorder="1" applyAlignment="1">
      <alignment horizontal="center" vertical="center"/>
    </xf>
    <xf numFmtId="3" fontId="10" fillId="8" borderId="2" xfId="0" applyNumberFormat="1" applyFont="1" applyFill="1" applyBorder="1" applyAlignment="1">
      <alignment horizontal="center" vertical="center" wrapText="1"/>
    </xf>
    <xf numFmtId="3" fontId="10" fillId="8" borderId="1" xfId="0" applyNumberFormat="1" applyFont="1" applyFill="1" applyBorder="1" applyAlignment="1">
      <alignment horizontal="center" vertical="center" wrapText="1"/>
    </xf>
    <xf numFmtId="3" fontId="10" fillId="8" borderId="9" xfId="0" applyNumberFormat="1" applyFont="1" applyFill="1" applyBorder="1" applyAlignment="1">
      <alignment horizontal="center" vertical="center" wrapText="1"/>
    </xf>
    <xf numFmtId="0" fontId="86" fillId="0" borderId="70" xfId="0" applyFont="1" applyBorder="1" applyAlignment="1">
      <alignment horizontal="center" vertical="center"/>
    </xf>
    <xf numFmtId="0" fontId="86" fillId="0" borderId="71" xfId="0" applyFont="1" applyBorder="1" applyAlignment="1">
      <alignment horizontal="center" vertical="center"/>
    </xf>
    <xf numFmtId="0" fontId="86" fillId="0" borderId="69" xfId="0" applyFont="1" applyBorder="1" applyAlignment="1">
      <alignment horizontal="center" vertical="center"/>
    </xf>
    <xf numFmtId="0" fontId="2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9"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5" fillId="0" borderId="10" xfId="0" applyFont="1" applyBorder="1" applyAlignment="1">
      <alignment horizontal="center" vertical="center"/>
    </xf>
    <xf numFmtId="0" fontId="85" fillId="0" borderId="1" xfId="0" applyFont="1" applyBorder="1" applyAlignment="1">
      <alignment horizontal="center" vertical="center"/>
    </xf>
    <xf numFmtId="0" fontId="85" fillId="0" borderId="9" xfId="0" applyFont="1" applyBorder="1" applyAlignment="1">
      <alignment horizontal="center" vertical="center"/>
    </xf>
    <xf numFmtId="0" fontId="8" fillId="8" borderId="16" xfId="0" applyFont="1" applyFill="1" applyBorder="1" applyAlignment="1">
      <alignment horizontal="center" vertical="center" wrapText="1"/>
    </xf>
    <xf numFmtId="0" fontId="8" fillId="8" borderId="17" xfId="0" applyFont="1" applyFill="1" applyBorder="1" applyAlignment="1">
      <alignment horizontal="center" vertical="center" wrapText="1"/>
    </xf>
    <xf numFmtId="3" fontId="10" fillId="8" borderId="4" xfId="0" applyNumberFormat="1" applyFont="1" applyFill="1" applyBorder="1" applyAlignment="1">
      <alignment horizontal="center" vertical="center" wrapText="1"/>
    </xf>
    <xf numFmtId="3" fontId="10" fillId="8" borderId="0" xfId="0" applyNumberFormat="1" applyFont="1" applyFill="1" applyAlignment="1">
      <alignment horizontal="center" vertical="center" wrapText="1"/>
    </xf>
    <xf numFmtId="3" fontId="10" fillId="8" borderId="7" xfId="0" applyNumberFormat="1" applyFont="1" applyFill="1" applyBorder="1" applyAlignment="1">
      <alignment horizontal="center" vertical="center" wrapText="1"/>
    </xf>
    <xf numFmtId="0" fontId="80" fillId="0" borderId="77" xfId="0" applyFont="1" applyBorder="1" applyAlignment="1">
      <alignment horizontal="center" vertical="top" wrapText="1"/>
    </xf>
    <xf numFmtId="0" fontId="80" fillId="0" borderId="78" xfId="0" applyFont="1" applyBorder="1" applyAlignment="1">
      <alignment horizontal="center" vertical="top" wrapText="1"/>
    </xf>
    <xf numFmtId="0" fontId="80" fillId="0" borderId="87" xfId="0" applyFont="1" applyBorder="1" applyAlignment="1">
      <alignment horizontal="center" vertical="top"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3" fontId="10" fillId="8" borderId="16" xfId="0" applyNumberFormat="1" applyFont="1" applyFill="1" applyBorder="1" applyAlignment="1">
      <alignment horizontal="center" vertical="center" wrapText="1"/>
    </xf>
    <xf numFmtId="3" fontId="10" fillId="8" borderId="18" xfId="0" applyNumberFormat="1" applyFont="1" applyFill="1" applyBorder="1" applyAlignment="1">
      <alignment horizontal="center" vertical="center" wrapText="1"/>
    </xf>
    <xf numFmtId="3" fontId="10" fillId="8" borderId="17" xfId="0" applyNumberFormat="1" applyFont="1" applyFill="1" applyBorder="1" applyAlignment="1">
      <alignment horizontal="center" vertical="center" wrapText="1"/>
    </xf>
    <xf numFmtId="1" fontId="82" fillId="4" borderId="85" xfId="4" applyNumberFormat="1" applyFont="1" applyFill="1" applyBorder="1" applyAlignment="1">
      <alignment horizontal="center" vertical="center"/>
    </xf>
    <xf numFmtId="1" fontId="82" fillId="4" borderId="86" xfId="4" applyNumberFormat="1" applyFont="1" applyFill="1" applyBorder="1" applyAlignment="1">
      <alignment horizontal="center" vertical="center"/>
    </xf>
    <xf numFmtId="1" fontId="82" fillId="4" borderId="47" xfId="4" applyNumberFormat="1" applyFont="1" applyFill="1" applyBorder="1" applyAlignment="1">
      <alignment horizontal="center" vertical="center"/>
    </xf>
    <xf numFmtId="0" fontId="73" fillId="0" borderId="52" xfId="0" applyFont="1" applyBorder="1" applyAlignment="1">
      <alignment horizontal="center" vertical="center" wrapText="1"/>
    </xf>
    <xf numFmtId="0" fontId="73" fillId="0" borderId="54" xfId="0" applyFont="1" applyBorder="1" applyAlignment="1">
      <alignment horizontal="center" vertical="center" wrapText="1"/>
    </xf>
    <xf numFmtId="0" fontId="80" fillId="4" borderId="85" xfId="0" applyFont="1" applyFill="1" applyBorder="1" applyAlignment="1">
      <alignment horizontal="left" vertical="center" wrapText="1"/>
    </xf>
    <xf numFmtId="0" fontId="80" fillId="4" borderId="86" xfId="0" applyFont="1" applyFill="1" applyBorder="1" applyAlignment="1">
      <alignment horizontal="left" vertical="center" wrapText="1"/>
    </xf>
    <xf numFmtId="0" fontId="80" fillId="4" borderId="47" xfId="0" applyFont="1" applyFill="1" applyBorder="1" applyAlignment="1">
      <alignment horizontal="left" vertical="center" wrapText="1"/>
    </xf>
    <xf numFmtId="0" fontId="73" fillId="0" borderId="80" xfId="0" applyFont="1" applyBorder="1" applyAlignment="1">
      <alignment horizontal="left" vertical="center" wrapText="1"/>
    </xf>
    <xf numFmtId="0" fontId="73" fillId="0" borderId="7" xfId="0" applyFont="1" applyBorder="1" applyAlignment="1">
      <alignment horizontal="left" vertical="center" wrapText="1"/>
    </xf>
    <xf numFmtId="0" fontId="73" fillId="0" borderId="81" xfId="0" applyFont="1" applyBorder="1" applyAlignment="1">
      <alignment horizontal="left" vertical="center" wrapText="1"/>
    </xf>
    <xf numFmtId="0" fontId="136" fillId="0" borderId="82" xfId="0" applyFont="1" applyBorder="1" applyAlignment="1">
      <alignment horizontal="center" vertical="center"/>
    </xf>
    <xf numFmtId="0" fontId="136" fillId="0" borderId="83" xfId="0" applyFont="1" applyBorder="1" applyAlignment="1">
      <alignment horizontal="center" vertical="center"/>
    </xf>
    <xf numFmtId="0" fontId="136" fillId="0" borderId="84" xfId="0" applyFont="1" applyBorder="1" applyAlignment="1">
      <alignment horizontal="center" vertical="center"/>
    </xf>
    <xf numFmtId="0" fontId="22" fillId="0" borderId="38" xfId="0" applyFont="1" applyBorder="1" applyAlignment="1" applyProtection="1">
      <alignment horizontal="center" vertical="center"/>
      <protection locked="0"/>
    </xf>
    <xf numFmtId="0" fontId="22" fillId="0" borderId="36" xfId="0" applyFont="1" applyBorder="1" applyAlignment="1" applyProtection="1">
      <alignment horizontal="center" vertical="center"/>
      <protection locked="0"/>
    </xf>
    <xf numFmtId="0" fontId="82" fillId="0" borderId="28" xfId="0" applyFont="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0" fillId="4" borderId="23" xfId="0" applyFont="1" applyFill="1" applyBorder="1" applyAlignment="1" applyProtection="1">
      <alignment horizontal="left" vertical="center" wrapText="1"/>
      <protection locked="0"/>
    </xf>
    <xf numFmtId="0" fontId="80" fillId="4" borderId="21" xfId="0" applyFont="1" applyFill="1" applyBorder="1" applyAlignment="1" applyProtection="1">
      <alignment horizontal="left" vertical="center" wrapText="1"/>
      <protection locked="0"/>
    </xf>
    <xf numFmtId="0" fontId="80" fillId="0" borderId="23" xfId="0" applyFont="1" applyBorder="1" applyAlignment="1">
      <alignment horizontal="left" vertical="center" wrapText="1"/>
    </xf>
    <xf numFmtId="0" fontId="80" fillId="0" borderId="21" xfId="0" applyFont="1" applyBorder="1" applyAlignment="1">
      <alignment horizontal="left" vertical="center" wrapText="1"/>
    </xf>
    <xf numFmtId="49" fontId="82" fillId="0" borderId="21" xfId="0" applyNumberFormat="1" applyFont="1" applyBorder="1" applyAlignment="1">
      <alignment horizontal="left" vertical="center"/>
    </xf>
    <xf numFmtId="0" fontId="82" fillId="0" borderId="21" xfId="0" applyFont="1" applyBorder="1" applyAlignment="1">
      <alignment horizontal="left" vertical="center"/>
    </xf>
    <xf numFmtId="0" fontId="82" fillId="0" borderId="22" xfId="0" applyFont="1" applyBorder="1" applyAlignment="1">
      <alignment horizontal="left" vertical="center"/>
    </xf>
    <xf numFmtId="0" fontId="76" fillId="0" borderId="58"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59" xfId="0" applyFont="1" applyBorder="1" applyAlignment="1" applyProtection="1">
      <alignment horizontal="left" vertical="center" wrapText="1"/>
      <protection locked="0"/>
    </xf>
    <xf numFmtId="0" fontId="76" fillId="0" borderId="60" xfId="0" applyFont="1" applyBorder="1" applyAlignment="1">
      <alignment horizontal="left" vertical="center" wrapText="1"/>
    </xf>
    <xf numFmtId="0" fontId="76" fillId="0" borderId="39" xfId="0" applyFont="1" applyBorder="1" applyAlignment="1">
      <alignment horizontal="left" vertical="center" wrapText="1"/>
    </xf>
    <xf numFmtId="0" fontId="76" fillId="0" borderId="61" xfId="0" applyFont="1" applyBorder="1" applyAlignment="1">
      <alignment horizontal="left" vertical="center" wrapText="1"/>
    </xf>
    <xf numFmtId="0" fontId="76" fillId="8" borderId="58" xfId="0" applyFont="1" applyFill="1" applyBorder="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6" fillId="8" borderId="59" xfId="0" applyFont="1" applyFill="1" applyBorder="1" applyAlignment="1" applyProtection="1">
      <alignment horizontal="left" vertical="center" wrapText="1"/>
      <protection locked="0"/>
    </xf>
    <xf numFmtId="0" fontId="71" fillId="0" borderId="75" xfId="0" applyFont="1" applyBorder="1" applyAlignment="1">
      <alignment horizontal="center" vertical="center" wrapText="1"/>
    </xf>
    <xf numFmtId="0" fontId="71" fillId="0" borderId="76" xfId="0" applyFont="1" applyBorder="1" applyAlignment="1">
      <alignment horizontal="center" vertical="center" wrapText="1"/>
    </xf>
    <xf numFmtId="1" fontId="82" fillId="0" borderId="74" xfId="4" applyNumberFormat="1" applyFont="1" applyBorder="1" applyAlignment="1">
      <alignment horizontal="center" vertical="center"/>
    </xf>
    <xf numFmtId="1" fontId="82" fillId="0" borderId="1" xfId="4" applyNumberFormat="1" applyFont="1" applyBorder="1" applyAlignment="1">
      <alignment horizontal="center" vertical="center"/>
    </xf>
    <xf numFmtId="1" fontId="82" fillId="0" borderId="46" xfId="4" applyNumberFormat="1" applyFont="1" applyBorder="1" applyAlignment="1">
      <alignment horizontal="center" vertical="center"/>
    </xf>
    <xf numFmtId="0" fontId="71" fillId="0" borderId="45" xfId="0" applyFont="1" applyBorder="1" applyAlignment="1">
      <alignment horizontal="center" vertical="center" wrapText="1"/>
    </xf>
    <xf numFmtId="0" fontId="140" fillId="0" borderId="77" xfId="1" applyFont="1" applyBorder="1" applyAlignment="1">
      <alignment horizontal="center" vertical="center" wrapText="1"/>
    </xf>
    <xf numFmtId="0" fontId="140" fillId="0" borderId="78" xfId="1" applyFont="1" applyBorder="1" applyAlignment="1">
      <alignment horizontal="center" vertical="center" wrapText="1"/>
    </xf>
    <xf numFmtId="0" fontId="144" fillId="0" borderId="79" xfId="0" applyFont="1" applyBorder="1" applyAlignment="1" applyProtection="1">
      <alignment horizontal="left" vertical="center" wrapText="1"/>
      <protection locked="0"/>
    </xf>
    <xf numFmtId="0" fontId="144" fillId="0" borderId="4" xfId="0" applyFont="1" applyBorder="1" applyAlignment="1" applyProtection="1">
      <alignment horizontal="left" vertical="center" wrapText="1"/>
      <protection locked="0"/>
    </xf>
    <xf numFmtId="0" fontId="144" fillId="0" borderId="5" xfId="0" applyFont="1" applyBorder="1" applyAlignment="1" applyProtection="1">
      <alignment horizontal="left" vertical="center" wrapText="1"/>
      <protection locked="0"/>
    </xf>
    <xf numFmtId="0" fontId="144" fillId="0" borderId="80" xfId="0" applyFont="1" applyBorder="1" applyAlignment="1" applyProtection="1">
      <alignment horizontal="left" vertical="center" wrapText="1"/>
      <protection locked="0"/>
    </xf>
    <xf numFmtId="0" fontId="144" fillId="0" borderId="7" xfId="0" applyFont="1" applyBorder="1" applyAlignment="1" applyProtection="1">
      <alignment horizontal="left" vertical="center" wrapText="1"/>
      <protection locked="0"/>
    </xf>
    <xf numFmtId="0" fontId="144" fillId="0" borderId="8" xfId="0" applyFont="1" applyBorder="1" applyAlignment="1" applyProtection="1">
      <alignment horizontal="left" vertical="center" wrapText="1"/>
      <protection locked="0"/>
    </xf>
    <xf numFmtId="3" fontId="146" fillId="0" borderId="16" xfId="0" applyNumberFormat="1" applyFont="1" applyBorder="1" applyAlignment="1" applyProtection="1">
      <alignment horizontal="center" vertical="center"/>
      <protection locked="0"/>
    </xf>
    <xf numFmtId="3" fontId="146" fillId="0" borderId="17" xfId="0" applyNumberFormat="1" applyFont="1" applyBorder="1" applyAlignment="1" applyProtection="1">
      <alignment horizontal="center" vertical="center"/>
      <protection locked="0"/>
    </xf>
    <xf numFmtId="0" fontId="76" fillId="2" borderId="58" xfId="0" applyFont="1" applyFill="1" applyBorder="1" applyAlignment="1" applyProtection="1">
      <alignment horizontal="left" vertical="center" wrapText="1"/>
      <protection locked="0"/>
    </xf>
    <xf numFmtId="0" fontId="76" fillId="2" borderId="0" xfId="0" applyFont="1" applyFill="1" applyAlignment="1" applyProtection="1">
      <alignment horizontal="left" vertical="center" wrapText="1"/>
      <protection locked="0"/>
    </xf>
    <xf numFmtId="0" fontId="76" fillId="2" borderId="59" xfId="0" applyFont="1" applyFill="1" applyBorder="1" applyAlignment="1" applyProtection="1">
      <alignment horizontal="left" vertical="center" wrapText="1"/>
      <protection locked="0"/>
    </xf>
    <xf numFmtId="0" fontId="39" fillId="0" borderId="2"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56" xfId="0" applyFont="1" applyBorder="1" applyAlignment="1">
      <alignment horizontal="center" vertical="center" wrapText="1"/>
    </xf>
    <xf numFmtId="0" fontId="71" fillId="0" borderId="57" xfId="0" applyFont="1" applyBorder="1" applyAlignment="1">
      <alignment horizontal="center" vertical="center" wrapText="1"/>
    </xf>
    <xf numFmtId="0" fontId="71" fillId="0" borderId="60" xfId="0" applyFont="1" applyBorder="1" applyAlignment="1">
      <alignment horizontal="center" vertical="center" wrapText="1"/>
    </xf>
    <xf numFmtId="0" fontId="71" fillId="0" borderId="39" xfId="0" applyFont="1" applyBorder="1" applyAlignment="1">
      <alignment horizontal="center" vertical="center" wrapText="1"/>
    </xf>
    <xf numFmtId="0" fontId="71" fillId="0" borderId="61" xfId="0" applyFont="1" applyBorder="1" applyAlignment="1">
      <alignment horizontal="center" vertical="center" wrapText="1"/>
    </xf>
    <xf numFmtId="0" fontId="80" fillId="0" borderId="74" xfId="0" applyFont="1" applyBorder="1" applyAlignment="1">
      <alignment horizontal="left" vertical="center" wrapText="1"/>
    </xf>
    <xf numFmtId="0" fontId="80" fillId="0" borderId="1" xfId="0" applyFont="1" applyBorder="1" applyAlignment="1">
      <alignment horizontal="left" vertical="center" wrapText="1"/>
    </xf>
    <xf numFmtId="0" fontId="80" fillId="0" borderId="46" xfId="0" applyFont="1" applyBorder="1" applyAlignment="1">
      <alignment horizontal="left" vertical="center" wrapText="1"/>
    </xf>
    <xf numFmtId="0" fontId="80" fillId="0" borderId="28" xfId="0" applyFont="1" applyBorder="1" applyAlignment="1">
      <alignment horizontal="left" vertical="center" wrapText="1"/>
    </xf>
    <xf numFmtId="0" fontId="80" fillId="0" borderId="2" xfId="0" applyFont="1" applyBorder="1" applyAlignment="1">
      <alignment horizontal="left" vertical="center" wrapText="1"/>
    </xf>
    <xf numFmtId="0" fontId="82" fillId="0" borderId="36" xfId="0" applyFont="1" applyBorder="1" applyAlignment="1">
      <alignment horizontal="left" vertical="center" wrapText="1"/>
    </xf>
    <xf numFmtId="0" fontId="82" fillId="0" borderId="37" xfId="0" applyFont="1" applyBorder="1" applyAlignment="1">
      <alignment horizontal="left" vertical="center" wrapText="1"/>
    </xf>
    <xf numFmtId="0" fontId="82" fillId="0" borderId="2" xfId="0" applyFont="1" applyBorder="1" applyAlignment="1">
      <alignment horizontal="left" vertical="center"/>
    </xf>
    <xf numFmtId="0" fontId="82" fillId="0" borderId="20" xfId="0" applyFont="1" applyBorder="1" applyAlignment="1">
      <alignment horizontal="left" vertical="center"/>
    </xf>
    <xf numFmtId="0" fontId="73" fillId="0" borderId="55" xfId="0" applyFont="1" applyBorder="1" applyAlignment="1" applyProtection="1">
      <alignment horizontal="center" vertical="center" wrapText="1"/>
      <protection locked="0"/>
    </xf>
    <xf numFmtId="0" fontId="73" fillId="0" borderId="56" xfId="0" applyFont="1" applyBorder="1" applyAlignment="1" applyProtection="1">
      <alignment horizontal="center" vertical="center" wrapText="1"/>
      <protection locked="0"/>
    </xf>
    <xf numFmtId="0" fontId="73" fillId="0" borderId="57" xfId="0" applyFont="1" applyBorder="1" applyAlignment="1" applyProtection="1">
      <alignment horizontal="center" vertical="center" wrapText="1"/>
      <protection locked="0"/>
    </xf>
    <xf numFmtId="0" fontId="80" fillId="0" borderId="38" xfId="0" applyFont="1" applyBorder="1" applyAlignment="1">
      <alignment horizontal="left" vertical="center" wrapText="1"/>
    </xf>
    <xf numFmtId="0" fontId="80" fillId="0" borderId="36" xfId="0" applyFont="1" applyBorder="1" applyAlignment="1">
      <alignment horizontal="left" vertical="center" wrapText="1"/>
    </xf>
    <xf numFmtId="0" fontId="85" fillId="14" borderId="10" xfId="0" applyFont="1" applyFill="1" applyBorder="1" applyAlignment="1">
      <alignment horizontal="center" vertical="center"/>
    </xf>
    <xf numFmtId="0" fontId="85" fillId="14" borderId="1" xfId="0" applyFont="1" applyFill="1" applyBorder="1" applyAlignment="1">
      <alignment horizontal="center" vertical="center"/>
    </xf>
    <xf numFmtId="0" fontId="85" fillId="14" borderId="9" xfId="0" applyFont="1" applyFill="1" applyBorder="1" applyAlignment="1">
      <alignment horizontal="center" vertical="center"/>
    </xf>
    <xf numFmtId="0" fontId="85" fillId="10" borderId="0" xfId="0" applyFont="1" applyFill="1" applyAlignment="1" applyProtection="1">
      <alignment horizontal="left" vertical="center" wrapText="1"/>
      <protection locked="0"/>
    </xf>
    <xf numFmtId="0" fontId="5" fillId="0" borderId="74" xfId="0" applyFont="1" applyBorder="1" applyAlignment="1" applyProtection="1">
      <alignment horizontal="left" vertical="center" wrapText="1"/>
      <protection locked="0"/>
    </xf>
    <xf numFmtId="0" fontId="5" fillId="0" borderId="9" xfId="0" applyFont="1" applyBorder="1" applyAlignment="1" applyProtection="1">
      <alignment horizontal="left" vertical="center" wrapText="1"/>
      <protection locked="0"/>
    </xf>
    <xf numFmtId="0" fontId="5" fillId="0" borderId="74" xfId="0" applyFont="1" applyBorder="1" applyAlignment="1" applyProtection="1">
      <alignment wrapText="1"/>
      <protection locked="0"/>
    </xf>
    <xf numFmtId="0" fontId="5" fillId="0" borderId="9" xfId="0" applyFont="1" applyBorder="1" applyAlignment="1" applyProtection="1">
      <alignment wrapText="1"/>
      <protection locked="0"/>
    </xf>
    <xf numFmtId="0" fontId="5" fillId="0" borderId="74" xfId="0" applyFont="1" applyBorder="1" applyAlignment="1" applyProtection="1">
      <alignment horizontal="left" vertical="center" wrapText="1" indent="2"/>
      <protection locked="0"/>
    </xf>
    <xf numFmtId="0" fontId="5" fillId="0" borderId="9" xfId="0" applyFont="1" applyBorder="1" applyAlignment="1" applyProtection="1">
      <alignment horizontal="left" vertical="center" wrapText="1" indent="2"/>
      <protection locked="0"/>
    </xf>
    <xf numFmtId="0" fontId="5" fillId="0" borderId="28"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8" fillId="0" borderId="23" xfId="0" applyFont="1" applyBorder="1" applyAlignment="1" applyProtection="1">
      <alignment horizontal="left" vertical="center" wrapText="1"/>
      <protection locked="0"/>
    </xf>
    <xf numFmtId="0" fontId="8" fillId="0" borderId="21" xfId="0" applyFont="1" applyBorder="1" applyAlignment="1" applyProtection="1">
      <alignment horizontal="left" vertical="center" wrapText="1"/>
      <protection locked="0"/>
    </xf>
    <xf numFmtId="0" fontId="57" fillId="0" borderId="48" xfId="0" applyFont="1" applyBorder="1" applyAlignment="1" applyProtection="1">
      <alignment horizontal="center" vertical="center"/>
      <protection locked="0"/>
    </xf>
    <xf numFmtId="0" fontId="57" fillId="0" borderId="34" xfId="0" applyFont="1" applyBorder="1" applyAlignment="1" applyProtection="1">
      <alignment horizontal="center" vertical="center"/>
      <protection locked="0"/>
    </xf>
    <xf numFmtId="0" fontId="5" fillId="0" borderId="38" xfId="0" applyFont="1" applyBorder="1" applyAlignment="1" applyProtection="1">
      <alignment horizontal="left" vertical="center" wrapText="1"/>
      <protection locked="0"/>
    </xf>
    <xf numFmtId="0" fontId="5" fillId="0" borderId="36" xfId="0" applyFont="1" applyBorder="1" applyAlignment="1" applyProtection="1">
      <alignment horizontal="left" vertical="center" wrapText="1"/>
      <protection locked="0"/>
    </xf>
    <xf numFmtId="49" fontId="39" fillId="0" borderId="37" xfId="0" applyNumberFormat="1" applyFont="1" applyBorder="1" applyAlignment="1">
      <alignment horizontal="center" vertical="center"/>
    </xf>
    <xf numFmtId="49" fontId="39" fillId="0" borderId="22" xfId="0" applyNumberFormat="1" applyFont="1" applyBorder="1" applyAlignment="1">
      <alignment horizontal="center" vertical="center"/>
    </xf>
    <xf numFmtId="0" fontId="22" fillId="0" borderId="44" xfId="0" applyFont="1" applyBorder="1" applyAlignment="1">
      <alignment horizontal="center" vertical="center" wrapText="1"/>
    </xf>
    <xf numFmtId="0" fontId="22" fillId="0" borderId="41" xfId="0" applyFont="1" applyBorder="1" applyAlignment="1">
      <alignment horizontal="center" vertical="center" wrapText="1"/>
    </xf>
    <xf numFmtId="49" fontId="39" fillId="0" borderId="36" xfId="0" applyNumberFormat="1" applyFont="1" applyBorder="1" applyAlignment="1">
      <alignment horizontal="center" vertical="center"/>
    </xf>
    <xf numFmtId="49" fontId="39" fillId="0" borderId="21" xfId="0" applyNumberFormat="1" applyFont="1" applyBorder="1" applyAlignment="1">
      <alignment horizontal="center" vertical="center"/>
    </xf>
    <xf numFmtId="0" fontId="22" fillId="0" borderId="38"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21" xfId="0" applyFont="1" applyBorder="1" applyAlignment="1">
      <alignment horizontal="center" vertical="center" wrapText="1"/>
    </xf>
    <xf numFmtId="0" fontId="57" fillId="0" borderId="0" xfId="0" applyFont="1" applyAlignment="1" applyProtection="1">
      <alignment horizontal="left" vertical="center" wrapText="1"/>
      <protection locked="0"/>
    </xf>
    <xf numFmtId="0" fontId="39" fillId="0" borderId="36" xfId="0" applyFont="1" applyBorder="1" applyAlignment="1">
      <alignment horizontal="center" vertical="center" wrapText="1"/>
    </xf>
    <xf numFmtId="0" fontId="39" fillId="0" borderId="21" xfId="0" applyFont="1" applyBorder="1" applyAlignment="1">
      <alignment horizontal="center" vertical="center" wrapText="1"/>
    </xf>
    <xf numFmtId="0" fontId="28" fillId="2" borderId="2" xfId="0" applyFont="1" applyFill="1" applyBorder="1" applyAlignment="1">
      <alignment horizontal="center" vertical="center" wrapText="1"/>
    </xf>
    <xf numFmtId="0" fontId="50" fillId="0" borderId="28" xfId="0" applyFont="1" applyBorder="1" applyAlignment="1">
      <alignment horizontal="left" vertical="center" wrapText="1"/>
    </xf>
    <xf numFmtId="0" fontId="50" fillId="0" borderId="2" xfId="0" applyFont="1" applyBorder="1" applyAlignment="1">
      <alignment horizontal="left" vertical="center" wrapText="1"/>
    </xf>
    <xf numFmtId="0" fontId="50" fillId="0" borderId="20" xfId="0" applyFont="1" applyBorder="1" applyAlignment="1">
      <alignment horizontal="left" vertical="center" wrapText="1"/>
    </xf>
    <xf numFmtId="0" fontId="15" fillId="0" borderId="28" xfId="0" applyFont="1" applyBorder="1" applyAlignment="1">
      <alignment horizontal="left" vertical="center" wrapText="1"/>
    </xf>
    <xf numFmtId="0" fontId="15" fillId="0" borderId="2" xfId="0" applyFont="1" applyBorder="1" applyAlignment="1">
      <alignment horizontal="left" vertical="center" wrapText="1"/>
    </xf>
    <xf numFmtId="0" fontId="15" fillId="0" borderId="20" xfId="0" applyFont="1" applyBorder="1" applyAlignment="1">
      <alignment horizontal="left" vertical="center" wrapText="1"/>
    </xf>
    <xf numFmtId="0" fontId="15" fillId="0" borderId="74" xfId="0" applyFont="1" applyBorder="1" applyAlignment="1">
      <alignment horizontal="left" vertical="center" wrapText="1"/>
    </xf>
    <xf numFmtId="0" fontId="15" fillId="0" borderId="1" xfId="0" applyFont="1" applyBorder="1" applyAlignment="1">
      <alignment horizontal="left" vertical="center" wrapText="1"/>
    </xf>
    <xf numFmtId="0" fontId="15" fillId="0" borderId="46" xfId="0" applyFont="1" applyBorder="1" applyAlignment="1">
      <alignment horizontal="left" vertical="center" wrapText="1"/>
    </xf>
    <xf numFmtId="0" fontId="15" fillId="0" borderId="23"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3" borderId="28" xfId="0" applyFont="1" applyFill="1" applyBorder="1" applyAlignment="1">
      <alignment horizontal="left" vertical="center" wrapText="1"/>
    </xf>
    <xf numFmtId="0" fontId="15" fillId="3" borderId="2" xfId="0" applyFont="1" applyFill="1" applyBorder="1" applyAlignment="1">
      <alignment horizontal="left" vertical="center" wrapText="1"/>
    </xf>
    <xf numFmtId="0" fontId="15" fillId="3" borderId="20" xfId="0" applyFont="1" applyFill="1" applyBorder="1" applyAlignment="1">
      <alignment horizontal="left" vertical="center" wrapText="1"/>
    </xf>
    <xf numFmtId="0" fontId="15" fillId="2" borderId="74"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5" fillId="2" borderId="46" xfId="0" applyFont="1" applyFill="1" applyBorder="1" applyAlignment="1">
      <alignment horizontal="left" vertical="center" wrapText="1"/>
    </xf>
    <xf numFmtId="0" fontId="15" fillId="0" borderId="79" xfId="0" applyFont="1" applyBorder="1" applyAlignment="1">
      <alignment horizontal="left" vertical="center"/>
    </xf>
    <xf numFmtId="0" fontId="15" fillId="0" borderId="4" xfId="0" applyFont="1" applyBorder="1" applyAlignment="1">
      <alignment horizontal="left" vertical="center"/>
    </xf>
    <xf numFmtId="0" fontId="15" fillId="0" borderId="88" xfId="0" applyFont="1" applyBorder="1" applyAlignment="1">
      <alignment horizontal="left" vertical="center"/>
    </xf>
    <xf numFmtId="0" fontId="15" fillId="0" borderId="38" xfId="0" applyFont="1" applyBorder="1" applyAlignment="1">
      <alignment horizontal="left" vertical="center" wrapText="1"/>
    </xf>
    <xf numFmtId="0" fontId="15" fillId="0" borderId="36" xfId="0" applyFont="1" applyBorder="1" applyAlignment="1">
      <alignment horizontal="left" vertical="center" wrapText="1"/>
    </xf>
    <xf numFmtId="0" fontId="15" fillId="0" borderId="37" xfId="0" applyFont="1" applyBorder="1" applyAlignment="1">
      <alignment horizontal="left" vertical="center" wrapText="1"/>
    </xf>
    <xf numFmtId="0" fontId="15" fillId="0" borderId="28" xfId="0" applyFont="1" applyBorder="1" applyAlignment="1">
      <alignment horizontal="left" vertical="top" wrapText="1"/>
    </xf>
    <xf numFmtId="0" fontId="15" fillId="0" borderId="2" xfId="0" applyFont="1" applyBorder="1" applyAlignment="1">
      <alignment horizontal="left" vertical="top" wrapText="1"/>
    </xf>
    <xf numFmtId="0" fontId="15" fillId="0" borderId="20" xfId="0" applyFont="1" applyBorder="1" applyAlignment="1">
      <alignment horizontal="left" vertical="top" wrapText="1"/>
    </xf>
    <xf numFmtId="0" fontId="53" fillId="0" borderId="58" xfId="0" applyNumberFormat="1" applyFont="1" applyBorder="1" applyAlignment="1">
      <alignment horizontal="left" vertical="top" wrapText="1"/>
    </xf>
    <xf numFmtId="0" fontId="53" fillId="0" borderId="0" xfId="0" applyNumberFormat="1" applyFont="1" applyBorder="1" applyAlignment="1">
      <alignment horizontal="left" vertical="top" wrapText="1"/>
    </xf>
    <xf numFmtId="0" fontId="20" fillId="13" borderId="0" xfId="0" applyFont="1" applyFill="1" applyAlignment="1" applyProtection="1">
      <alignment horizontal="center" vertical="center" wrapText="1"/>
      <protection locked="0"/>
    </xf>
    <xf numFmtId="0" fontId="16" fillId="0" borderId="48" xfId="0" applyFont="1" applyBorder="1" applyAlignment="1">
      <alignment horizontal="center" vertical="center"/>
    </xf>
    <xf numFmtId="0" fontId="16" fillId="0" borderId="34" xfId="0" applyFont="1" applyBorder="1" applyAlignment="1">
      <alignment horizontal="center" vertical="center"/>
    </xf>
    <xf numFmtId="0" fontId="16" fillId="0" borderId="35" xfId="0" applyFont="1" applyBorder="1" applyAlignment="1">
      <alignment horizontal="center" vertical="center"/>
    </xf>
    <xf numFmtId="0" fontId="22" fillId="0" borderId="25" xfId="3" applyFont="1" applyBorder="1" applyAlignment="1">
      <alignment horizontal="center" vertical="center" wrapText="1"/>
    </xf>
    <xf numFmtId="0" fontId="22" fillId="0" borderId="28" xfId="3" applyFont="1" applyBorder="1" applyAlignment="1">
      <alignment horizontal="center" vertical="center" wrapText="1"/>
    </xf>
    <xf numFmtId="0" fontId="22" fillId="0" borderId="42" xfId="3" applyFont="1" applyBorder="1" applyAlignment="1">
      <alignment horizontal="center" vertical="center" wrapText="1"/>
    </xf>
    <xf numFmtId="0" fontId="15" fillId="2" borderId="23" xfId="0" applyFont="1" applyFill="1" applyBorder="1" applyAlignment="1">
      <alignment horizontal="left" vertical="center" wrapText="1"/>
    </xf>
    <xf numFmtId="0" fontId="15" fillId="2" borderId="21"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5" fillId="2" borderId="38" xfId="0" applyFont="1" applyFill="1" applyBorder="1" applyAlignment="1">
      <alignment horizontal="left" vertical="center"/>
    </xf>
    <xf numFmtId="0" fontId="15" fillId="2" borderId="36" xfId="0" applyFont="1" applyFill="1" applyBorder="1" applyAlignment="1">
      <alignment horizontal="left" vertical="center"/>
    </xf>
    <xf numFmtId="0" fontId="15" fillId="2" borderId="37" xfId="0" applyFont="1" applyFill="1" applyBorder="1" applyAlignment="1">
      <alignment horizontal="left" vertical="center"/>
    </xf>
    <xf numFmtId="0" fontId="15" fillId="3" borderId="28" xfId="0" applyFont="1" applyFill="1" applyBorder="1" applyAlignment="1">
      <alignment horizontal="left" vertical="top" wrapText="1"/>
    </xf>
    <xf numFmtId="0" fontId="15" fillId="3" borderId="2" xfId="0" applyFont="1" applyFill="1" applyBorder="1" applyAlignment="1">
      <alignment horizontal="left" vertical="top" wrapText="1"/>
    </xf>
    <xf numFmtId="0" fontId="15" fillId="3" borderId="20" xfId="0" applyFont="1" applyFill="1" applyBorder="1" applyAlignment="1">
      <alignment horizontal="left" vertical="top" wrapText="1"/>
    </xf>
    <xf numFmtId="0" fontId="22" fillId="0" borderId="37" xfId="0" applyFont="1" applyBorder="1" applyAlignment="1">
      <alignment horizontal="center" vertical="center" wrapText="1"/>
    </xf>
    <xf numFmtId="0" fontId="107" fillId="0" borderId="0" xfId="0" applyFont="1" applyAlignment="1">
      <alignment horizontal="center" vertical="center"/>
    </xf>
    <xf numFmtId="0" fontId="22" fillId="0" borderId="38" xfId="3" applyFont="1" applyBorder="1" applyAlignment="1">
      <alignment horizontal="center" vertical="center" wrapText="1"/>
    </xf>
    <xf numFmtId="0" fontId="22" fillId="0" borderId="23" xfId="3" applyFont="1" applyBorder="1" applyAlignment="1">
      <alignment horizontal="center" vertical="center" wrapText="1"/>
    </xf>
    <xf numFmtId="0" fontId="29" fillId="0" borderId="0" xfId="0" applyFont="1" applyAlignment="1">
      <alignment horizontal="left"/>
    </xf>
    <xf numFmtId="0" fontId="124" fillId="0" borderId="82" xfId="0" applyFont="1" applyBorder="1" applyAlignment="1">
      <alignment horizontal="center" vertical="center"/>
    </xf>
    <xf numFmtId="0" fontId="124" fillId="0" borderId="83" xfId="0" applyFont="1" applyBorder="1" applyAlignment="1">
      <alignment horizontal="center" vertical="center"/>
    </xf>
    <xf numFmtId="0" fontId="124" fillId="0" borderId="84" xfId="0" applyFont="1" applyBorder="1" applyAlignment="1">
      <alignment horizontal="center" vertical="center"/>
    </xf>
    <xf numFmtId="0" fontId="57" fillId="0" borderId="38" xfId="0" applyFont="1" applyBorder="1" applyAlignment="1">
      <alignment horizontal="left" vertical="center" wrapText="1"/>
    </xf>
    <xf numFmtId="0" fontId="57" fillId="0" borderId="36" xfId="0" applyFont="1" applyBorder="1" applyAlignment="1">
      <alignment horizontal="left" vertical="center" wrapText="1"/>
    </xf>
    <xf numFmtId="0" fontId="57" fillId="0" borderId="28" xfId="0" applyFont="1" applyBorder="1" applyAlignment="1">
      <alignment horizontal="left" vertical="center" wrapText="1"/>
    </xf>
    <xf numFmtId="0" fontId="57" fillId="0" borderId="2" xfId="0" applyFont="1" applyBorder="1" applyAlignment="1">
      <alignment horizontal="left" vertical="center" wrapText="1"/>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2" xfId="0" applyFont="1" applyBorder="1" applyAlignment="1">
      <alignment horizontal="left" vertical="center"/>
    </xf>
    <xf numFmtId="0" fontId="15" fillId="0" borderId="20" xfId="0" applyFont="1" applyBorder="1" applyAlignment="1">
      <alignment horizontal="left" vertical="center"/>
    </xf>
    <xf numFmtId="0" fontId="39" fillId="0" borderId="52" xfId="0" applyFont="1" applyBorder="1" applyAlignment="1">
      <alignment horizontal="center" vertical="top" wrapText="1"/>
    </xf>
    <xf numFmtId="0" fontId="39" fillId="0" borderId="53" xfId="0" applyFont="1" applyBorder="1" applyAlignment="1">
      <alignment horizontal="center" vertical="top" wrapText="1"/>
    </xf>
    <xf numFmtId="0" fontId="39" fillId="0" borderId="54" xfId="0" applyFont="1" applyBorder="1" applyAlignment="1">
      <alignment horizontal="center" vertical="top" wrapText="1"/>
    </xf>
    <xf numFmtId="0" fontId="15" fillId="0" borderId="58"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59" xfId="0" applyFont="1" applyBorder="1" applyAlignment="1" applyProtection="1">
      <alignment horizontal="left" vertical="center" wrapText="1"/>
      <protection locked="0"/>
    </xf>
    <xf numFmtId="0" fontId="15" fillId="0" borderId="60" xfId="0" applyFont="1" applyBorder="1" applyAlignment="1">
      <alignment horizontal="left" vertical="center" wrapText="1"/>
    </xf>
    <xf numFmtId="0" fontId="15" fillId="0" borderId="39" xfId="0" applyFont="1" applyBorder="1" applyAlignment="1">
      <alignment horizontal="left" vertical="center" wrapText="1"/>
    </xf>
    <xf numFmtId="0" fontId="15" fillId="0" borderId="61" xfId="0" applyFont="1" applyBorder="1" applyAlignment="1">
      <alignment horizontal="left" vertical="center" wrapText="1"/>
    </xf>
    <xf numFmtId="0" fontId="39" fillId="0" borderId="38" xfId="0" applyFont="1" applyBorder="1" applyAlignment="1">
      <alignment horizontal="center" vertical="center"/>
    </xf>
    <xf numFmtId="0" fontId="39" fillId="0" borderId="43" xfId="0" applyFont="1" applyBorder="1" applyAlignment="1">
      <alignment horizontal="center" vertical="center"/>
    </xf>
    <xf numFmtId="0" fontId="39" fillId="0" borderId="55" xfId="0" applyFont="1" applyBorder="1" applyAlignment="1" applyProtection="1">
      <alignment horizontal="center" vertical="center" wrapText="1"/>
      <protection locked="0"/>
    </xf>
    <xf numFmtId="0" fontId="39" fillId="0" borderId="56"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15" fillId="2" borderId="58" xfId="0" applyFont="1" applyFill="1" applyBorder="1" applyAlignment="1" applyProtection="1">
      <alignment horizontal="left" vertical="center" wrapText="1"/>
      <protection locked="0"/>
    </xf>
    <xf numFmtId="0" fontId="15" fillId="2" borderId="0" xfId="0" applyFont="1" applyFill="1" applyAlignment="1" applyProtection="1">
      <alignment horizontal="left" vertical="center" wrapText="1"/>
      <protection locked="0"/>
    </xf>
    <xf numFmtId="0" fontId="15" fillId="2" borderId="59" xfId="0" applyFont="1" applyFill="1" applyBorder="1" applyAlignment="1" applyProtection="1">
      <alignment horizontal="left" vertical="center" wrapText="1"/>
      <protection locked="0"/>
    </xf>
    <xf numFmtId="0" fontId="15" fillId="0" borderId="58" xfId="0" applyFont="1" applyBorder="1" applyAlignment="1">
      <alignment vertical="center"/>
    </xf>
    <xf numFmtId="0" fontId="15" fillId="0" borderId="0" xfId="0" applyFont="1" applyAlignment="1">
      <alignment vertical="center"/>
    </xf>
    <xf numFmtId="0" fontId="57" fillId="0" borderId="23" xfId="0" applyFont="1" applyBorder="1" applyAlignment="1">
      <alignment horizontal="left" vertical="center" wrapText="1"/>
    </xf>
    <xf numFmtId="0" fontId="57" fillId="0" borderId="21" xfId="0" applyFont="1" applyBorder="1" applyAlignment="1">
      <alignment horizontal="left" vertical="center" wrapText="1"/>
    </xf>
    <xf numFmtId="49" fontId="15" fillId="0" borderId="21" xfId="0" applyNumberFormat="1" applyFont="1" applyBorder="1" applyAlignment="1">
      <alignment horizontal="left" vertical="center"/>
    </xf>
    <xf numFmtId="49" fontId="15" fillId="0" borderId="22" xfId="0" applyNumberFormat="1" applyFont="1" applyBorder="1" applyAlignment="1">
      <alignment horizontal="left" vertical="center"/>
    </xf>
    <xf numFmtId="0" fontId="22" fillId="11" borderId="55" xfId="0" applyFont="1" applyFill="1" applyBorder="1" applyAlignment="1">
      <alignment horizontal="left" vertical="center"/>
    </xf>
    <xf numFmtId="0" fontId="22" fillId="11" borderId="56" xfId="0" applyFont="1" applyFill="1" applyBorder="1" applyAlignment="1">
      <alignment horizontal="left" vertical="center"/>
    </xf>
    <xf numFmtId="0" fontId="22" fillId="11" borderId="57" xfId="0" applyFont="1" applyFill="1" applyBorder="1" applyAlignment="1">
      <alignment horizontal="left" vertical="center"/>
    </xf>
    <xf numFmtId="0" fontId="22" fillId="0" borderId="2" xfId="3" applyFont="1" applyBorder="1" applyAlignment="1">
      <alignment horizontal="center" vertical="center" wrapText="1"/>
    </xf>
    <xf numFmtId="0" fontId="80" fillId="5" borderId="0" xfId="0" applyFont="1" applyFill="1" applyBorder="1" applyAlignment="1">
      <alignment horizontal="center" vertical="center" wrapText="1"/>
    </xf>
    <xf numFmtId="0" fontId="15" fillId="0" borderId="58" xfId="0" applyFont="1" applyFill="1" applyBorder="1" applyAlignment="1" applyProtection="1">
      <alignment horizontal="left" vertical="center" wrapText="1"/>
      <protection locked="0"/>
    </xf>
    <xf numFmtId="0" fontId="15" fillId="0" borderId="0" xfId="0" applyFont="1" applyFill="1" applyAlignment="1" applyProtection="1">
      <alignment horizontal="left" vertical="center" wrapText="1"/>
      <protection locked="0"/>
    </xf>
    <xf numFmtId="0" fontId="15" fillId="0" borderId="59" xfId="0" applyFont="1" applyFill="1" applyBorder="1" applyAlignment="1" applyProtection="1">
      <alignment horizontal="left" vertical="center" wrapText="1"/>
      <protection locked="0"/>
    </xf>
    <xf numFmtId="0" fontId="50" fillId="5" borderId="58" xfId="0" applyFont="1" applyFill="1" applyBorder="1" applyAlignment="1" applyProtection="1">
      <alignment horizontal="left" vertical="center" wrapText="1"/>
      <protection locked="0"/>
    </xf>
    <xf numFmtId="0" fontId="50" fillId="5" borderId="0" xfId="0" applyFont="1" applyFill="1" applyAlignment="1" applyProtection="1">
      <alignment horizontal="left" vertical="center" wrapText="1"/>
      <protection locked="0"/>
    </xf>
    <xf numFmtId="0" fontId="50" fillId="5" borderId="59" xfId="0" applyFont="1" applyFill="1" applyBorder="1" applyAlignment="1" applyProtection="1">
      <alignment horizontal="left" vertical="center" wrapText="1"/>
      <protection locked="0"/>
    </xf>
    <xf numFmtId="0" fontId="22" fillId="4" borderId="2" xfId="0" applyFont="1" applyFill="1" applyBorder="1" applyAlignment="1">
      <alignment horizontal="center" vertical="center" wrapText="1"/>
    </xf>
    <xf numFmtId="0" fontId="123" fillId="0" borderId="82" xfId="0" applyFont="1" applyBorder="1" applyAlignment="1">
      <alignment horizontal="center" vertical="center" wrapText="1"/>
    </xf>
    <xf numFmtId="0" fontId="123" fillId="0" borderId="83" xfId="0" applyFont="1" applyBorder="1" applyAlignment="1">
      <alignment horizontal="center" vertical="center" wrapText="1"/>
    </xf>
    <xf numFmtId="0" fontId="123" fillId="0" borderId="84" xfId="0" applyFont="1" applyBorder="1" applyAlignment="1">
      <alignment horizontal="center" vertical="center" wrapText="1"/>
    </xf>
    <xf numFmtId="0" fontId="85" fillId="0" borderId="0" xfId="0" applyFont="1" applyAlignment="1">
      <alignment horizontal="left"/>
    </xf>
    <xf numFmtId="172" fontId="38" fillId="3" borderId="0" xfId="0" applyNumberFormat="1" applyFont="1" applyFill="1" applyAlignment="1">
      <alignment horizontal="center" vertical="center"/>
    </xf>
    <xf numFmtId="0" fontId="20" fillId="0" borderId="55" xfId="0" applyFont="1" applyBorder="1" applyAlignment="1" applyProtection="1">
      <alignment horizontal="center" vertical="center" wrapText="1"/>
      <protection locked="0"/>
    </xf>
    <xf numFmtId="0" fontId="20" fillId="0" borderId="56" xfId="0" applyFont="1" applyBorder="1" applyAlignment="1" applyProtection="1">
      <alignment horizontal="center" vertical="center" wrapText="1"/>
      <protection locked="0"/>
    </xf>
    <xf numFmtId="0" fontId="20" fillId="0" borderId="57" xfId="0" applyFont="1" applyBorder="1" applyAlignment="1" applyProtection="1">
      <alignment horizontal="center" vertical="center" wrapText="1"/>
      <protection locked="0"/>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118" fillId="4" borderId="2" xfId="0" applyFont="1" applyFill="1" applyBorder="1" applyAlignment="1">
      <alignment horizontal="left" vertical="center" wrapText="1" readingOrder="1"/>
    </xf>
    <xf numFmtId="0" fontId="116" fillId="0" borderId="2" xfId="0" applyFont="1" applyBorder="1" applyAlignment="1">
      <alignment horizontal="center" vertical="center" wrapText="1" readingOrder="1"/>
    </xf>
    <xf numFmtId="0" fontId="117" fillId="0" borderId="2" xfId="0" applyFont="1" applyBorder="1" applyAlignment="1">
      <alignment horizontal="center" vertical="center" wrapText="1" readingOrder="1"/>
    </xf>
    <xf numFmtId="0" fontId="116" fillId="0" borderId="10" xfId="0" applyFont="1" applyBorder="1" applyAlignment="1">
      <alignment horizontal="left" vertical="center" wrapText="1" readingOrder="1"/>
    </xf>
    <xf numFmtId="0" fontId="116" fillId="0" borderId="1" xfId="0" applyFont="1" applyBorder="1" applyAlignment="1">
      <alignment horizontal="left" vertical="center" wrapText="1" readingOrder="1"/>
    </xf>
    <xf numFmtId="0" fontId="116" fillId="0" borderId="9" xfId="0" applyFont="1" applyBorder="1" applyAlignment="1">
      <alignment horizontal="left" vertical="center" wrapText="1" readingOrder="1"/>
    </xf>
    <xf numFmtId="0" fontId="54" fillId="0" borderId="89" xfId="0" applyFont="1" applyBorder="1" applyAlignment="1">
      <alignment horizontal="center" vertical="center" wrapText="1"/>
    </xf>
    <xf numFmtId="0" fontId="54" fillId="0" borderId="89" xfId="0" applyFont="1" applyBorder="1" applyAlignment="1">
      <alignment horizontal="center" vertical="center"/>
    </xf>
    <xf numFmtId="0" fontId="115" fillId="0" borderId="82" xfId="0" applyFont="1" applyBorder="1" applyAlignment="1">
      <alignment horizontal="center" vertical="center"/>
    </xf>
    <xf numFmtId="0" fontId="115" fillId="0" borderId="83" xfId="0" applyFont="1" applyBorder="1" applyAlignment="1">
      <alignment horizontal="center" vertical="center"/>
    </xf>
    <xf numFmtId="0" fontId="115" fillId="0" borderId="84" xfId="0" applyFont="1" applyBorder="1" applyAlignment="1">
      <alignment horizontal="center" vertical="center"/>
    </xf>
    <xf numFmtId="0" fontId="57" fillId="9" borderId="0" xfId="0" applyFont="1" applyFill="1" applyAlignment="1">
      <alignment horizontal="center" vertical="center" wrapText="1"/>
    </xf>
    <xf numFmtId="0" fontId="114" fillId="0" borderId="2" xfId="0" applyFont="1" applyBorder="1" applyAlignment="1">
      <alignment horizontal="center" vertical="center" wrapText="1"/>
    </xf>
    <xf numFmtId="1" fontId="114" fillId="0" borderId="2" xfId="0" applyNumberFormat="1" applyFont="1" applyBorder="1" applyAlignment="1">
      <alignment horizontal="center" vertical="center" wrapText="1"/>
    </xf>
    <xf numFmtId="0" fontId="120" fillId="0" borderId="2" xfId="0" applyFont="1" applyBorder="1" applyAlignment="1">
      <alignment horizontal="center" vertical="center" wrapText="1" readingOrder="1"/>
    </xf>
    <xf numFmtId="0" fontId="56" fillId="0" borderId="36" xfId="0" applyFont="1" applyBorder="1" applyAlignment="1">
      <alignment horizontal="left" vertical="center" wrapText="1"/>
    </xf>
    <xf numFmtId="0" fontId="56" fillId="0" borderId="37" xfId="0" applyFont="1" applyBorder="1" applyAlignment="1">
      <alignment horizontal="left" vertical="center" wrapText="1"/>
    </xf>
    <xf numFmtId="0" fontId="56" fillId="0" borderId="2" xfId="0" applyFont="1" applyBorder="1" applyAlignment="1">
      <alignment horizontal="left" vertical="center" wrapText="1"/>
    </xf>
    <xf numFmtId="0" fontId="56" fillId="0" borderId="20" xfId="0" applyFont="1" applyBorder="1" applyAlignment="1">
      <alignment horizontal="left" vertical="center" wrapText="1"/>
    </xf>
    <xf numFmtId="0" fontId="114" fillId="0" borderId="2" xfId="0" applyFont="1" applyBorder="1" applyAlignment="1">
      <alignment horizontal="center" vertical="center" wrapText="1" readingOrder="1"/>
    </xf>
    <xf numFmtId="49" fontId="56" fillId="0" borderId="21" xfId="0" applyNumberFormat="1" applyFont="1" applyBorder="1" applyAlignment="1">
      <alignment horizontal="left" vertical="center" wrapText="1"/>
    </xf>
    <xf numFmtId="49" fontId="56" fillId="0" borderId="22" xfId="0" applyNumberFormat="1" applyFont="1" applyBorder="1" applyAlignment="1">
      <alignment horizontal="left" vertical="center" wrapText="1"/>
    </xf>
    <xf numFmtId="0" fontId="5" fillId="0" borderId="1" xfId="3" applyFont="1" applyBorder="1" applyAlignment="1">
      <alignment horizontal="left" vertical="center" wrapText="1"/>
    </xf>
    <xf numFmtId="0" fontId="5" fillId="0" borderId="9" xfId="3" applyFont="1" applyBorder="1" applyAlignment="1">
      <alignment horizontal="left" vertical="center" wrapText="1"/>
    </xf>
    <xf numFmtId="0" fontId="5" fillId="0" borderId="10" xfId="3" applyFont="1" applyBorder="1" applyAlignment="1">
      <alignment horizontal="left" vertical="center"/>
    </xf>
    <xf numFmtId="0" fontId="5" fillId="0" borderId="9" xfId="3" applyFont="1" applyBorder="1" applyAlignment="1">
      <alignment horizontal="left" vertical="center"/>
    </xf>
    <xf numFmtId="0" fontId="5" fillId="0" borderId="4" xfId="3" applyFont="1" applyBorder="1" applyAlignment="1">
      <alignment horizontal="center"/>
    </xf>
    <xf numFmtId="0" fontId="6" fillId="0" borderId="2" xfId="3" applyFont="1" applyBorder="1" applyAlignment="1">
      <alignment horizontal="left" vertical="center"/>
    </xf>
    <xf numFmtId="0" fontId="6" fillId="0" borderId="10" xfId="3" applyFont="1" applyBorder="1" applyAlignment="1">
      <alignment horizontal="center" vertical="center"/>
    </xf>
    <xf numFmtId="0" fontId="6" fillId="0" borderId="1" xfId="3" applyFont="1" applyBorder="1" applyAlignment="1">
      <alignment horizontal="center" vertical="center"/>
    </xf>
    <xf numFmtId="0" fontId="6" fillId="0" borderId="9" xfId="3" applyFont="1" applyBorder="1" applyAlignment="1">
      <alignment horizontal="center" vertical="center"/>
    </xf>
    <xf numFmtId="0" fontId="6" fillId="0" borderId="1" xfId="3" applyFont="1" applyBorder="1" applyAlignment="1">
      <alignment horizontal="left" vertical="center" wrapText="1"/>
    </xf>
    <xf numFmtId="0" fontId="6" fillId="0" borderId="9" xfId="3" applyFont="1" applyBorder="1" applyAlignment="1">
      <alignment horizontal="left" vertical="center" wrapText="1"/>
    </xf>
    <xf numFmtId="0" fontId="6" fillId="0" borderId="10" xfId="3" applyFont="1" applyBorder="1" applyAlignment="1">
      <alignment horizontal="center" vertical="center" wrapText="1"/>
    </xf>
    <xf numFmtId="0" fontId="6" fillId="0" borderId="1" xfId="3" applyFont="1" applyBorder="1" applyAlignment="1">
      <alignment horizontal="center" vertical="center" wrapText="1"/>
    </xf>
    <xf numFmtId="0" fontId="6" fillId="0" borderId="9" xfId="3" applyFont="1" applyBorder="1" applyAlignment="1">
      <alignment horizontal="center" vertical="center" wrapText="1"/>
    </xf>
    <xf numFmtId="0" fontId="8" fillId="0" borderId="10" xfId="3" applyFont="1" applyBorder="1" applyAlignment="1">
      <alignment horizontal="center" vertical="center" wrapText="1"/>
    </xf>
    <xf numFmtId="0" fontId="8" fillId="0" borderId="1" xfId="3" applyFont="1" applyBorder="1" applyAlignment="1">
      <alignment horizontal="center" vertical="center" wrapText="1"/>
    </xf>
    <xf numFmtId="0" fontId="8" fillId="0" borderId="9" xfId="3" applyFont="1" applyBorder="1" applyAlignment="1">
      <alignment horizontal="center" vertical="center" wrapText="1"/>
    </xf>
    <xf numFmtId="0" fontId="8" fillId="0" borderId="10" xfId="3" applyFont="1" applyBorder="1" applyAlignment="1">
      <alignment horizontal="left" vertical="center" wrapText="1"/>
    </xf>
    <xf numFmtId="0" fontId="8" fillId="0" borderId="1" xfId="3" applyFont="1" applyBorder="1" applyAlignment="1">
      <alignment horizontal="left" vertical="center" wrapText="1"/>
    </xf>
    <xf numFmtId="0" fontId="8" fillId="0" borderId="9" xfId="3" applyFont="1" applyBorder="1" applyAlignment="1">
      <alignment horizontal="left" vertical="center" wrapText="1"/>
    </xf>
    <xf numFmtId="0" fontId="10" fillId="0" borderId="0" xfId="3" applyFont="1" applyAlignment="1">
      <alignment horizontal="left" vertical="center"/>
    </xf>
    <xf numFmtId="0" fontId="10" fillId="0" borderId="0" xfId="3" applyFont="1" applyAlignment="1">
      <alignment horizontal="center" vertical="center"/>
    </xf>
    <xf numFmtId="165" fontId="6" fillId="0" borderId="0" xfId="3" applyNumberFormat="1" applyFont="1" applyAlignment="1">
      <alignment horizontal="left" vertical="center" wrapText="1"/>
    </xf>
    <xf numFmtId="0" fontId="6" fillId="0" borderId="7" xfId="3" applyFont="1" applyBorder="1" applyAlignment="1">
      <alignment horizontal="center" vertical="center"/>
    </xf>
    <xf numFmtId="0" fontId="6" fillId="0" borderId="2" xfId="3" applyFont="1" applyBorder="1" applyAlignment="1">
      <alignment horizontal="center" vertical="center"/>
    </xf>
    <xf numFmtId="0" fontId="13" fillId="0" borderId="10"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9" xfId="3" applyFont="1" applyBorder="1" applyAlignment="1">
      <alignment horizontal="center" vertical="center" wrapText="1"/>
    </xf>
    <xf numFmtId="0" fontId="5" fillId="0" borderId="10" xfId="3" applyFont="1" applyBorder="1" applyAlignment="1">
      <alignment horizontal="left" vertical="center" wrapText="1"/>
    </xf>
    <xf numFmtId="0" fontId="5" fillId="3" borderId="1" xfId="3" applyFont="1" applyFill="1" applyBorder="1" applyAlignment="1">
      <alignment horizontal="left" vertical="center" wrapText="1"/>
    </xf>
    <xf numFmtId="0" fontId="5" fillId="3" borderId="9" xfId="3" applyFont="1" applyFill="1" applyBorder="1" applyAlignment="1">
      <alignment horizontal="left" vertical="center" wrapText="1"/>
    </xf>
    <xf numFmtId="0" fontId="5" fillId="0" borderId="7" xfId="3" applyFont="1" applyBorder="1" applyAlignment="1">
      <alignment horizontal="center"/>
    </xf>
    <xf numFmtId="0" fontId="5" fillId="0" borderId="0" xfId="3" applyFont="1" applyBorder="1" applyAlignment="1">
      <alignment horizontal="center"/>
    </xf>
    <xf numFmtId="0" fontId="22" fillId="0" borderId="0" xfId="3" applyFont="1" applyAlignment="1">
      <alignment horizontal="center" vertical="center"/>
    </xf>
    <xf numFmtId="0" fontId="6" fillId="0" borderId="2" xfId="3" applyFont="1" applyBorder="1" applyAlignment="1">
      <alignment horizontal="center" vertical="center" wrapText="1"/>
    </xf>
    <xf numFmtId="0" fontId="56" fillId="0" borderId="22" xfId="0" applyFont="1" applyBorder="1" applyAlignment="1">
      <alignment horizontal="left" vertical="center" wrapText="1"/>
    </xf>
    <xf numFmtId="0" fontId="56" fillId="0" borderId="21" xfId="0" applyFont="1" applyBorder="1" applyAlignment="1">
      <alignment horizontal="left" vertical="center" wrapText="1"/>
    </xf>
  </cellXfs>
  <cellStyles count="5">
    <cellStyle name="Гиперссылка" xfId="1" builtinId="8"/>
    <cellStyle name="Денежный 2" xfId="2"/>
    <cellStyle name="Обычный" xfId="0" builtinId="0"/>
    <cellStyle name="Обычный 2" xfId="3"/>
    <cellStyle name="Процентный" xfId="4" builtinId="5"/>
  </cellStyles>
  <dxfs count="8748">
    <dxf>
      <fill>
        <patternFill>
          <bgColor theme="0"/>
        </patternFill>
      </fill>
    </dxf>
    <dxf>
      <fill>
        <patternFill>
          <bgColor theme="0"/>
        </patternFill>
      </fill>
    </dxf>
    <dxf>
      <fill>
        <patternFill>
          <bgColor theme="0"/>
        </patternFill>
      </fill>
    </dxf>
    <dxf>
      <fill>
        <patternFill>
          <bgColor theme="0"/>
        </patternFill>
      </fill>
    </dxf>
    <dxf>
      <font>
        <color rgb="FFFF0000"/>
      </font>
      <fill>
        <patternFill patternType="none">
          <bgColor indexed="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theme="0"/>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lang="uk-UA" sz="2000" b="1" i="0" u="none" strike="noStrike" kern="1200" spc="0" baseline="0">
                <a:solidFill>
                  <a:sysClr val="windowText" lastClr="000000"/>
                </a:solidFill>
                <a:latin typeface="+mn-lt"/>
                <a:ea typeface="+mn-ea"/>
                <a:cs typeface="+mn-cs"/>
              </a:defRPr>
            </a:pPr>
            <a:r>
              <a:rPr lang="ru-RU" sz="2000" b="1"/>
              <a:t>Доходи надавача ПМД</a:t>
            </a:r>
          </a:p>
        </c:rich>
      </c:tx>
      <c:layout>
        <c:manualLayout>
          <c:xMode val="edge"/>
          <c:yMode val="edge"/>
          <c:x val="5.1592229600989928E-2"/>
          <c:y val="7.9272561285570531E-2"/>
        </c:manualLayout>
      </c:layout>
      <c:spPr>
        <a:noFill/>
        <a:ln w="25400">
          <a:noFill/>
        </a:ln>
      </c:spPr>
    </c:title>
    <c:plotArea>
      <c:layout>
        <c:manualLayout>
          <c:layoutTarget val="inner"/>
          <c:xMode val="edge"/>
          <c:yMode val="edge"/>
          <c:x val="8.8691738875106368E-2"/>
          <c:y val="0.29406648786467382"/>
          <c:w val="0.89826194670871617"/>
          <c:h val="0.56508936698818901"/>
        </c:manualLayout>
      </c:layout>
      <c:barChart>
        <c:barDir val="col"/>
        <c:grouping val="clustered"/>
        <c:ser>
          <c:idx val="0"/>
          <c:order val="0"/>
          <c:tx>
            <c:strRef>
              <c:f>ДРУК!$B$9</c:f>
              <c:strCache>
                <c:ptCount val="1"/>
                <c:pt idx="0">
                  <c:v>Надходження надавача ПМД від медичного обслуговування населення за програмою медичних гарантій, грн. В.т.числі ПМД</c:v>
                </c:pt>
              </c:strCache>
            </c:strRef>
          </c:tx>
          <c:spPr>
            <a:solidFill>
              <a:srgbClr val="00B050"/>
            </a:solidFill>
            <a:ln w="25400">
              <a:noFill/>
            </a:ln>
          </c:spPr>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ДРУК!$C$9:$G$9</c:f>
              <c:numCache>
                <c:formatCode>#,##0</c:formatCode>
                <c:ptCount val="5"/>
                <c:pt idx="0">
                  <c:v>6976731.0240491508</c:v>
                </c:pt>
                <c:pt idx="1">
                  <c:v>6929145.5677158171</c:v>
                </c:pt>
                <c:pt idx="2">
                  <c:v>6930984.1466221679</c:v>
                </c:pt>
                <c:pt idx="3">
                  <c:v>6928202.4272283698</c:v>
                </c:pt>
                <c:pt idx="4">
                  <c:v>27765063.165615506</c:v>
                </c:pt>
              </c:numCache>
            </c:numRef>
          </c:val>
        </c:ser>
        <c:ser>
          <c:idx val="2"/>
          <c:order val="1"/>
          <c:tx>
            <c:strRef>
              <c:f>ДРУК!$B$10</c:f>
              <c:strCache>
                <c:ptCount val="1"/>
                <c:pt idx="0">
                  <c:v>Інші надходження/доходи надавача ПМД, грн.</c:v>
                </c:pt>
              </c:strCache>
            </c:strRef>
          </c:tx>
          <c:spPr>
            <a:solidFill>
              <a:srgbClr val="A5A5A5"/>
            </a:solidFill>
            <a:ln w="25400">
              <a:noFill/>
            </a:ln>
          </c:spPr>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ДРУК!$C$10:$G$10</c:f>
              <c:numCache>
                <c:formatCode>#,##0</c:formatCode>
                <c:ptCount val="5"/>
                <c:pt idx="0">
                  <c:v>1174042.1599999999</c:v>
                </c:pt>
                <c:pt idx="1">
                  <c:v>768955.41</c:v>
                </c:pt>
                <c:pt idx="2">
                  <c:v>939617.29</c:v>
                </c:pt>
                <c:pt idx="3">
                  <c:v>1130620.56</c:v>
                </c:pt>
                <c:pt idx="4">
                  <c:v>4013235.42</c:v>
                </c:pt>
              </c:numCache>
            </c:numRef>
          </c:val>
        </c:ser>
        <c:ser>
          <c:idx val="3"/>
          <c:order val="2"/>
          <c:tx>
            <c:strRef>
              <c:f>ДРУК!$B$11</c:f>
              <c:strCache>
                <c:ptCount val="1"/>
                <c:pt idx="0">
                  <c:v>ВСЬОГО ДОХОДІВ надавача ПМД, грн.</c:v>
                </c:pt>
              </c:strCache>
            </c:strRef>
          </c:tx>
          <c:spPr>
            <a:solidFill>
              <a:srgbClr val="FFC000"/>
            </a:solidFill>
            <a:ln w="25400">
              <a:noFill/>
            </a:ln>
          </c:spPr>
          <c:dLbls>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dLbls>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ДРУК!$C$11:$G$11</c:f>
              <c:numCache>
                <c:formatCode>#,##0</c:formatCode>
                <c:ptCount val="5"/>
                <c:pt idx="0">
                  <c:v>8150773.18404915</c:v>
                </c:pt>
                <c:pt idx="1">
                  <c:v>7698100.9777158163</c:v>
                </c:pt>
                <c:pt idx="2">
                  <c:v>7870601.4366221679</c:v>
                </c:pt>
                <c:pt idx="3">
                  <c:v>8058822.9872283693</c:v>
                </c:pt>
                <c:pt idx="4">
                  <c:v>31778298.585615501</c:v>
                </c:pt>
              </c:numCache>
            </c:numRef>
          </c:val>
        </c:ser>
        <c:gapWidth val="219"/>
        <c:overlap val="-27"/>
        <c:axId val="76667904"/>
        <c:axId val="76673792"/>
      </c:barChart>
      <c:catAx>
        <c:axId val="7666790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uk-UA" sz="1400" b="0" i="0" u="none" strike="noStrike" kern="1200" baseline="0">
                <a:solidFill>
                  <a:sysClr val="windowText" lastClr="000000"/>
                </a:solidFill>
                <a:latin typeface="+mn-lt"/>
                <a:ea typeface="+mn-ea"/>
                <a:cs typeface="+mn-cs"/>
              </a:defRPr>
            </a:pPr>
            <a:endParaRPr lang="en-US"/>
          </a:p>
        </c:txPr>
        <c:crossAx val="76673792"/>
        <c:crosses val="autoZero"/>
        <c:auto val="1"/>
        <c:lblAlgn val="ctr"/>
        <c:lblOffset val="100"/>
      </c:catAx>
      <c:valAx>
        <c:axId val="76673792"/>
        <c:scaling>
          <c:orientation val="minMax"/>
          <c:max val="180000000"/>
        </c:scaling>
        <c:axPos val="l"/>
        <c:numFmt formatCode="#,##0" sourceLinked="1"/>
        <c:majorTickMark val="none"/>
        <c:tickLblPos val="nextTo"/>
        <c:spPr>
          <a:ln w="6350">
            <a:noFill/>
          </a:ln>
        </c:spPr>
        <c:txPr>
          <a:bodyPr rot="-60000000" spcFirstLastPara="1" vertOverflow="ellipsis" vert="horz" wrap="square" anchor="ctr" anchorCtr="1"/>
          <a:lstStyle/>
          <a:p>
            <a:pPr>
              <a:defRPr lang="uk-UA" sz="1400" b="0" i="0" u="none" strike="noStrike" kern="1200" baseline="0">
                <a:solidFill>
                  <a:sysClr val="windowText" lastClr="000000"/>
                </a:solidFill>
                <a:latin typeface="+mn-lt"/>
                <a:ea typeface="+mn-ea"/>
                <a:cs typeface="+mn-cs"/>
              </a:defRPr>
            </a:pPr>
            <a:endParaRPr lang="en-US"/>
          </a:p>
        </c:txPr>
        <c:crossAx val="76667904"/>
        <c:crosses val="autoZero"/>
        <c:crossBetween val="between"/>
      </c:valAx>
      <c:spPr>
        <a:noFill/>
        <a:ln w="25400">
          <a:noFill/>
        </a:ln>
      </c:spPr>
    </c:plotArea>
    <c:legend>
      <c:legendPos val="r"/>
      <c:layout>
        <c:manualLayout>
          <c:xMode val="edge"/>
          <c:yMode val="edge"/>
          <c:x val="0.37000844444692055"/>
          <c:y val="2.9702999016668296E-2"/>
          <c:w val="0.61858239941676807"/>
          <c:h val="0.18415859390334344"/>
        </c:manualLayout>
      </c:layout>
      <c:spPr>
        <a:noFill/>
        <a:ln w="25400">
          <a:noFill/>
        </a:ln>
      </c:spPr>
      <c:txPr>
        <a:bodyPr rot="0" spcFirstLastPara="1" vertOverflow="ellipsis" vert="horz" wrap="square" anchor="ctr" anchorCtr="1"/>
        <a:lstStyle/>
        <a:p>
          <a:pPr>
            <a:defRPr lang="uk-UA" sz="1200" b="0" i="0" u="none" strike="noStrike" kern="1200" baseline="0">
              <a:solidFill>
                <a:sysClr val="windowText" lastClr="000000"/>
              </a:solidFill>
              <a:latin typeface="+mn-lt"/>
              <a:ea typeface="+mn-ea"/>
              <a:cs typeface="+mn-cs"/>
            </a:defRPr>
          </a:pPr>
          <a:endParaRPr lang="en-US"/>
        </a:p>
      </c:txPr>
    </c:legend>
    <c:plotVisOnly val="1"/>
    <c:dispBlanksAs val="gap"/>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0"/>
          <c:order val="0"/>
          <c:tx>
            <c:strRef>
              <c:f>ДРУК!$E$13</c:f>
              <c:strCache>
                <c:ptCount val="1"/>
                <c:pt idx="0">
                  <c:v>Видатки у ІІІ кварталі,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dLbls>
            <c:spPr>
              <a:noFill/>
              <a:ln w="25400">
                <a:noFill/>
              </a:ln>
            </c:spPr>
            <c:txPr>
              <a:bodyPr rot="0" spcFirstLastPara="1" vertOverflow="ellipsis" vert="horz" wrap="square" lIns="38100" tIns="19050" rIns="38100" bIns="19050" anchor="ctr" anchorCtr="1">
                <a:spAutoFit/>
              </a:bodyPr>
              <a:lstStyle/>
              <a:p>
                <a:pPr>
                  <a:defRPr lang="uk-UA" sz="900" b="0"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ДРУК!$E$14:$E$20</c:f>
              <c:numCache>
                <c:formatCode>#,##0</c:formatCode>
                <c:ptCount val="7"/>
                <c:pt idx="0">
                  <c:v>5443455</c:v>
                </c:pt>
                <c:pt idx="1">
                  <c:v>1181852.1000000001</c:v>
                </c:pt>
                <c:pt idx="2">
                  <c:v>0</c:v>
                </c:pt>
                <c:pt idx="3">
                  <c:v>318416.47311999998</c:v>
                </c:pt>
                <c:pt idx="4">
                  <c:v>150000</c:v>
                </c:pt>
                <c:pt idx="5">
                  <c:v>35100</c:v>
                </c:pt>
                <c:pt idx="6">
                  <c:v>30000</c:v>
                </c:pt>
              </c:numCache>
            </c:numRef>
          </c:val>
        </c:ser>
      </c:pie3DChart>
      <c:spPr>
        <a:noFill/>
        <a:ln w="25400">
          <a:noFill/>
        </a:ln>
      </c:spPr>
    </c:plotArea>
    <c:legend>
      <c:legendPos val="r"/>
      <c:layout>
        <c:manualLayout>
          <c:xMode val="edge"/>
          <c:yMode val="edge"/>
          <c:x val="0.26825633383010433"/>
          <c:y val="0.62727272727272732"/>
          <c:w val="0.45901639344262296"/>
          <c:h val="0.35454545454545455"/>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0"/>
          <c:order val="0"/>
          <c:tx>
            <c:strRef>
              <c:f>ДРУК!$F$13</c:f>
              <c:strCache>
                <c:ptCount val="1"/>
                <c:pt idx="0">
                  <c:v>Видатки у IV кварталі,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dLbls>
            <c:spPr>
              <a:noFill/>
              <a:ln w="25400">
                <a:noFill/>
              </a:ln>
            </c:spPr>
            <c:txPr>
              <a:bodyPr rot="0" spcFirstLastPara="1" vertOverflow="ellipsis" vert="horz" wrap="square" lIns="38100" tIns="19050" rIns="38100" bIns="19050" anchor="ctr" anchorCtr="1">
                <a:spAutoFit/>
              </a:bodyPr>
              <a:lstStyle/>
              <a:p>
                <a:pPr>
                  <a:defRPr lang="uk-UA" sz="900" b="0"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ДРУК!$F$14:$F$20</c:f>
              <c:numCache>
                <c:formatCode>#,##0</c:formatCode>
                <c:ptCount val="7"/>
                <c:pt idx="0">
                  <c:v>5613615</c:v>
                </c:pt>
                <c:pt idx="1">
                  <c:v>1219287.3</c:v>
                </c:pt>
                <c:pt idx="2">
                  <c:v>0</c:v>
                </c:pt>
                <c:pt idx="3">
                  <c:v>463423.13347199996</c:v>
                </c:pt>
                <c:pt idx="4">
                  <c:v>150000</c:v>
                </c:pt>
                <c:pt idx="5">
                  <c:v>35100</c:v>
                </c:pt>
                <c:pt idx="6">
                  <c:v>45000</c:v>
                </c:pt>
              </c:numCache>
            </c:numRef>
          </c:val>
        </c:ser>
      </c:pie3DChart>
      <c:spPr>
        <a:noFill/>
        <a:ln w="25400">
          <a:noFill/>
        </a:ln>
      </c:spPr>
    </c:plotArea>
    <c:legend>
      <c:legendPos val="r"/>
      <c:layout>
        <c:manualLayout>
          <c:xMode val="edge"/>
          <c:yMode val="edge"/>
          <c:x val="0.26267320509493369"/>
          <c:y val="0.61805695271121042"/>
          <c:w val="0.47311898929379875"/>
          <c:h val="0.36111192742677461"/>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20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6.4406940291565032E-2"/>
          <c:y val="0.15716808582282085"/>
          <c:w val="0.91229789568932862"/>
          <c:h val="0.61380723556286243"/>
        </c:manualLayout>
      </c:layout>
      <c:pie3DChart>
        <c:varyColors val="1"/>
        <c:ser>
          <c:idx val="0"/>
          <c:order val="0"/>
          <c:tx>
            <c:strRef>
              <c:f>ДРУК!$G$13</c:f>
              <c:strCache>
                <c:ptCount val="1"/>
                <c:pt idx="0">
                  <c:v>Всього річні ВИДАТКИ надавача ПМД,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dLbls>
            <c:spPr>
              <a:noFill/>
              <a:ln w="25400">
                <a:noFill/>
              </a:ln>
            </c:spPr>
            <c:txPr>
              <a:bodyPr rot="0" spcFirstLastPara="1" vertOverflow="ellipsis" vert="horz" wrap="square" lIns="38100" tIns="19050" rIns="38100" bIns="19050" anchor="ctr" anchorCtr="1">
                <a:spAutoFit/>
              </a:bodyPr>
              <a:lstStyle/>
              <a:p>
                <a:pPr>
                  <a:defRPr lang="uk-UA" sz="11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ДРУК!$G$14:$G$20</c:f>
              <c:numCache>
                <c:formatCode>#,##0</c:formatCode>
                <c:ptCount val="7"/>
                <c:pt idx="0">
                  <c:v>21935250</c:v>
                </c:pt>
                <c:pt idx="1">
                  <c:v>4762923</c:v>
                </c:pt>
                <c:pt idx="2">
                  <c:v>0</c:v>
                </c:pt>
                <c:pt idx="3">
                  <c:v>1435738.8371599999</c:v>
                </c:pt>
                <c:pt idx="4">
                  <c:v>550000</c:v>
                </c:pt>
                <c:pt idx="5">
                  <c:v>140400</c:v>
                </c:pt>
                <c:pt idx="6">
                  <c:v>490000</c:v>
                </c:pt>
              </c:numCache>
            </c:numRef>
          </c:val>
        </c:ser>
      </c:pie3DChart>
      <c:spPr>
        <a:noFill/>
        <a:ln w="25400">
          <a:noFill/>
        </a:ln>
      </c:spPr>
    </c:plotArea>
    <c:legend>
      <c:legendPos val="r"/>
      <c:layout>
        <c:manualLayout>
          <c:xMode val="edge"/>
          <c:yMode val="edge"/>
          <c:x val="0.13436393056764326"/>
          <c:y val="0.82740285410195702"/>
          <c:w val="0.73365084212598131"/>
          <c:h val="0.15658376593757467"/>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4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4.7722652464515403E-2"/>
          <c:y val="0.14345744700618893"/>
          <c:w val="0.91427861415993061"/>
          <c:h val="0.63205568789887812"/>
        </c:manualLayout>
      </c:layout>
      <c:pie3DChart>
        <c:varyColors val="1"/>
        <c:ser>
          <c:idx val="2"/>
          <c:order val="0"/>
          <c:tx>
            <c:strRef>
              <c:f>ДРУК!$C$8</c:f>
              <c:strCache>
                <c:ptCount val="1"/>
                <c:pt idx="0">
                  <c:v>Доходи у І кварталі, грн.</c:v>
                </c:pt>
              </c:strCache>
            </c:strRef>
          </c:tx>
          <c:dPt>
            <c:idx val="0"/>
            <c:spPr>
              <a:solidFill>
                <a:srgbClr val="00B050"/>
              </a:solidFill>
              <a:ln w="25400">
                <a:solidFill>
                  <a:srgbClr val="FFFFFF"/>
                </a:solidFill>
                <a:prstDash val="solid"/>
              </a:ln>
            </c:spPr>
          </c:dPt>
          <c:dPt>
            <c:idx val="1"/>
            <c:spPr>
              <a:solidFill>
                <a:schemeClr val="bg1">
                  <a:lumMod val="65000"/>
                </a:schemeClr>
              </a:solidFill>
              <a:ln w="25400">
                <a:solidFill>
                  <a:schemeClr val="lt1"/>
                </a:solidFill>
              </a:ln>
              <a:effectLst/>
              <a:sp3d contourW="25400">
                <a:contourClr>
                  <a:schemeClr val="lt1"/>
                </a:contourClr>
              </a:sp3d>
            </c:spPr>
          </c:dPt>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ДРУК!$C$9:$C$10</c:f>
              <c:numCache>
                <c:formatCode>#,##0</c:formatCode>
                <c:ptCount val="2"/>
                <c:pt idx="0">
                  <c:v>6976731.0240491508</c:v>
                </c:pt>
                <c:pt idx="1">
                  <c:v>1174042.1599999999</c:v>
                </c:pt>
              </c:numCache>
            </c:numRef>
          </c:val>
        </c:ser>
      </c:pie3DChart>
      <c:spPr>
        <a:noFill/>
        <a:ln w="25400">
          <a:noFill/>
        </a:ln>
      </c:spPr>
    </c:plotArea>
    <c:legend>
      <c:legendPos val="r"/>
      <c:layout>
        <c:manualLayout>
          <c:xMode val="edge"/>
          <c:yMode val="edge"/>
          <c:x val="8.1833060556464818E-2"/>
          <c:y val="0.84172858992943911"/>
          <c:w val="0.82978723404255317"/>
          <c:h val="0.13669096759537899"/>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4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0.12041218015514646"/>
          <c:y val="0.18813049176030378"/>
          <c:w val="0.71286326270695799"/>
          <c:h val="0.49731897161325622"/>
        </c:manualLayout>
      </c:layout>
      <c:pie3DChart>
        <c:varyColors val="1"/>
        <c:ser>
          <c:idx val="0"/>
          <c:order val="0"/>
          <c:tx>
            <c:strRef>
              <c:f>ДРУК!$D$8</c:f>
              <c:strCache>
                <c:ptCount val="1"/>
                <c:pt idx="0">
                  <c:v>Доходи у ІІ кварталі, грн.</c:v>
                </c:pt>
              </c:strCache>
            </c:strRef>
          </c:tx>
          <c:spPr>
            <a:solidFill>
              <a:srgbClr val="00B050"/>
            </a:solidFill>
          </c:spPr>
          <c:dPt>
            <c:idx val="0"/>
            <c:explosion val="1"/>
            <c:spPr>
              <a:solidFill>
                <a:srgbClr val="00B050"/>
              </a:solidFill>
              <a:ln w="25400">
                <a:solidFill>
                  <a:srgbClr val="FFFFFF"/>
                </a:solidFill>
                <a:prstDash val="solid"/>
              </a:ln>
            </c:spPr>
          </c:dPt>
          <c:dPt>
            <c:idx val="1"/>
            <c:spPr>
              <a:solidFill>
                <a:schemeClr val="bg1">
                  <a:lumMod val="65000"/>
                </a:schemeClr>
              </a:solidFill>
              <a:ln w="25400">
                <a:solidFill>
                  <a:schemeClr val="lt1"/>
                </a:solidFill>
              </a:ln>
              <a:effectLst/>
              <a:sp3d contourW="25400">
                <a:contourClr>
                  <a:schemeClr val="lt1"/>
                </a:contourClr>
              </a:sp3d>
            </c:spPr>
          </c:dPt>
          <c:dLbls>
            <c:dLbl>
              <c:idx val="0"/>
              <c:layout>
                <c:manualLayout>
                  <c:x val="0.10251955740683517"/>
                  <c:y val="-7.9794606220210382E-2"/>
                </c:manualLayout>
              </c:layout>
              <c:dLblPos val="bestFit"/>
              <c:showVal val="1"/>
            </c:dLbl>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ДРУК!$D$9:$D$10</c:f>
              <c:numCache>
                <c:formatCode>#,##0</c:formatCode>
                <c:ptCount val="2"/>
                <c:pt idx="0">
                  <c:v>6929145.5677158171</c:v>
                </c:pt>
                <c:pt idx="1">
                  <c:v>768955.41</c:v>
                </c:pt>
              </c:numCache>
            </c:numRef>
          </c:val>
        </c:ser>
      </c:pie3DChart>
      <c:spPr>
        <a:noFill/>
        <a:ln w="25400">
          <a:noFill/>
        </a:ln>
      </c:spPr>
    </c:plotArea>
    <c:legend>
      <c:legendPos val="r"/>
      <c:layout>
        <c:manualLayout>
          <c:xMode val="edge"/>
          <c:yMode val="edge"/>
          <c:x val="9.8566480746109061E-2"/>
          <c:y val="0.81755288497862499"/>
          <c:w val="0.89426679804197129"/>
          <c:h val="0.17551982841349012"/>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4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0.18196735877254"/>
          <c:y val="0.16829268292682928"/>
          <c:w val="0.63442673734209887"/>
          <c:h val="0.58780487804878045"/>
        </c:manualLayout>
      </c:layout>
      <c:pie3DChart>
        <c:varyColors val="1"/>
        <c:ser>
          <c:idx val="0"/>
          <c:order val="0"/>
          <c:tx>
            <c:strRef>
              <c:f>ДРУК!$E$8</c:f>
              <c:strCache>
                <c:ptCount val="1"/>
                <c:pt idx="0">
                  <c:v>Доходи у ІІІ кварталі, грн.</c:v>
                </c:pt>
              </c:strCache>
            </c:strRef>
          </c:tx>
          <c:dPt>
            <c:idx val="0"/>
            <c:spPr>
              <a:solidFill>
                <a:srgbClr val="00B050"/>
              </a:solidFill>
              <a:ln w="25400">
                <a:solidFill>
                  <a:srgbClr val="FFFFFF"/>
                </a:solidFill>
                <a:prstDash val="solid"/>
              </a:ln>
            </c:spPr>
          </c:dPt>
          <c:dPt>
            <c:idx val="1"/>
            <c:spPr>
              <a:solidFill>
                <a:srgbClr val="ED7D31"/>
              </a:solidFill>
              <a:ln w="25400">
                <a:solidFill>
                  <a:srgbClr val="FFFFFF"/>
                </a:solidFill>
                <a:prstDash val="solid"/>
              </a:ln>
            </c:spPr>
          </c:dPt>
          <c:dLbls>
            <c:dLbl>
              <c:idx val="1"/>
              <c:layout>
                <c:manualLayout>
                  <c:x val="0.17556367251846339"/>
                  <c:y val="1.343517123376543E-2"/>
                </c:manualLayout>
              </c:layout>
              <c:dLblPos val="bestFit"/>
              <c:showVal val="1"/>
            </c:dLbl>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ДРУК!$E$9:$E$10</c:f>
              <c:numCache>
                <c:formatCode>#,##0</c:formatCode>
                <c:ptCount val="2"/>
                <c:pt idx="0">
                  <c:v>6930984.1466221679</c:v>
                </c:pt>
                <c:pt idx="1">
                  <c:v>939617.29</c:v>
                </c:pt>
              </c:numCache>
            </c:numRef>
          </c:val>
        </c:ser>
      </c:pie3DChart>
      <c:spPr>
        <a:noFill/>
        <a:ln w="25400">
          <a:noFill/>
        </a:ln>
      </c:spPr>
    </c:plotArea>
    <c:legend>
      <c:legendPos val="r"/>
      <c:layout>
        <c:manualLayout>
          <c:xMode val="edge"/>
          <c:yMode val="edge"/>
          <c:x val="8.3606624300896756E-2"/>
          <c:y val="0.83902439024390241"/>
          <c:w val="0.83114820628538544"/>
          <c:h val="0.13902439024390245"/>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4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0"/>
          <c:order val="0"/>
          <c:tx>
            <c:strRef>
              <c:f>ДРУК!$F$8</c:f>
              <c:strCache>
                <c:ptCount val="1"/>
                <c:pt idx="0">
                  <c:v>Доходи у IV кварталі, грн.</c:v>
                </c:pt>
              </c:strCache>
            </c:strRef>
          </c:tx>
          <c:dPt>
            <c:idx val="0"/>
            <c:spPr>
              <a:solidFill>
                <a:srgbClr val="00B050"/>
              </a:solidFill>
              <a:ln w="25400">
                <a:solidFill>
                  <a:srgbClr val="FFFFFF"/>
                </a:solidFill>
                <a:prstDash val="solid"/>
              </a:ln>
            </c:spPr>
          </c:dPt>
          <c:dPt>
            <c:idx val="1"/>
            <c:spPr>
              <a:solidFill>
                <a:srgbClr val="ED7D31"/>
              </a:solidFill>
              <a:ln w="25400">
                <a:solidFill>
                  <a:srgbClr val="FFFFFF"/>
                </a:solidFill>
                <a:prstDash val="solid"/>
              </a:ln>
            </c:spPr>
          </c:dPt>
          <c:dLbls>
            <c:dLbl>
              <c:idx val="1"/>
              <c:layout>
                <c:manualLayout>
                  <c:x val="0.12184237614119627"/>
                  <c:y val="-1.8051347642458401E-2"/>
                </c:manualLayout>
              </c:layout>
              <c:dLblPos val="bestFit"/>
              <c:showVal val="1"/>
            </c:dLbl>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ДРУК!$F$9:$F$10</c:f>
              <c:numCache>
                <c:formatCode>#,##0</c:formatCode>
                <c:ptCount val="2"/>
                <c:pt idx="0">
                  <c:v>6928202.4272283698</c:v>
                </c:pt>
                <c:pt idx="1">
                  <c:v>1130620.56</c:v>
                </c:pt>
              </c:numCache>
            </c:numRef>
          </c:val>
        </c:ser>
      </c:pie3DChart>
      <c:spPr>
        <a:noFill/>
        <a:ln w="25400">
          <a:noFill/>
        </a:ln>
      </c:spPr>
    </c:plotArea>
    <c:legend>
      <c:legendPos val="r"/>
      <c:layout>
        <c:manualLayout>
          <c:xMode val="edge"/>
          <c:yMode val="edge"/>
          <c:x val="9.6428571428571433E-2"/>
          <c:y val="0.84058169294821139"/>
          <c:w val="0.80892857142857144"/>
          <c:h val="0.13768148418979326"/>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manualLayout>
          <c:layoutTarget val="inner"/>
          <c:xMode val="edge"/>
          <c:yMode val="edge"/>
          <c:x val="0.19274104394472824"/>
          <c:y val="0.154296875"/>
          <c:w val="0.65331704505940347"/>
          <c:h val="0.63671875"/>
        </c:manualLayout>
      </c:layout>
      <c:pie3DChart>
        <c:varyColors val="1"/>
        <c:ser>
          <c:idx val="0"/>
          <c:order val="0"/>
          <c:tx>
            <c:strRef>
              <c:f>ДРУК!$G$8</c:f>
              <c:strCache>
                <c:ptCount val="1"/>
                <c:pt idx="0">
                  <c:v>Всього річні ДОХОДИ надавача ПМД, грн.</c:v>
                </c:pt>
              </c:strCache>
            </c:strRef>
          </c:tx>
          <c:dPt>
            <c:idx val="0"/>
            <c:spPr>
              <a:solidFill>
                <a:srgbClr val="00B050"/>
              </a:solidFill>
              <a:ln w="25400">
                <a:solidFill>
                  <a:srgbClr val="FFFFFF"/>
                </a:solidFill>
                <a:prstDash val="solid"/>
              </a:ln>
            </c:spPr>
          </c:dPt>
          <c:dPt>
            <c:idx val="1"/>
            <c:spPr>
              <a:solidFill>
                <a:srgbClr val="ED7D31"/>
              </a:solidFill>
              <a:ln w="25400">
                <a:solidFill>
                  <a:srgbClr val="FFFFFF"/>
                </a:solidFill>
                <a:prstDash val="solid"/>
              </a:ln>
            </c:spPr>
          </c:dPt>
          <c:dLbls>
            <c:spPr>
              <a:noFill/>
              <a:ln w="25400">
                <a:noFill/>
              </a:ln>
            </c:spPr>
            <c:txPr>
              <a:bodyPr rot="0" spcFirstLastPara="1" vertOverflow="ellipsis" vert="horz" wrap="square" lIns="38100" tIns="19050" rIns="38100" bIns="19050" anchor="ctr" anchorCtr="1">
                <a:spAutoFit/>
              </a:bodyPr>
              <a:lstStyle/>
              <a:p>
                <a:pPr>
                  <a:defRPr lang="uk-UA" sz="1400" b="1"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ДРУК!$B$9:$B$10</c:f>
              <c:strCache>
                <c:ptCount val="2"/>
                <c:pt idx="0">
                  <c:v>Надходження надавача ПМД від медичного обслуговування населення за програмою медичних гарантій, грн. В.т.числі ПМД</c:v>
                </c:pt>
                <c:pt idx="1">
                  <c:v>Інші надходження/доходи надавача ПМД, грн.</c:v>
                </c:pt>
              </c:strCache>
            </c:strRef>
          </c:cat>
          <c:val>
            <c:numRef>
              <c:f>ДРУК!$G$9:$G$10</c:f>
              <c:numCache>
                <c:formatCode>#,##0</c:formatCode>
                <c:ptCount val="2"/>
                <c:pt idx="0">
                  <c:v>27765063.165615506</c:v>
                </c:pt>
                <c:pt idx="1">
                  <c:v>4013235.42</c:v>
                </c:pt>
              </c:numCache>
            </c:numRef>
          </c:val>
        </c:ser>
      </c:pie3DChart>
      <c:spPr>
        <a:noFill/>
        <a:ln w="25400">
          <a:noFill/>
        </a:ln>
      </c:spPr>
    </c:plotArea>
    <c:legend>
      <c:legendPos val="r"/>
      <c:layout>
        <c:manualLayout>
          <c:xMode val="edge"/>
          <c:yMode val="edge"/>
          <c:x val="6.5081391461856292E-2"/>
          <c:y val="0.861328125"/>
          <c:w val="0.86733469775127703"/>
          <c:h val="0.12109375"/>
        </c:manualLayout>
      </c:layout>
      <c:spPr>
        <a:noFill/>
        <a:ln w="25400">
          <a:noFill/>
        </a:ln>
      </c:spPr>
      <c:txPr>
        <a:bodyPr rot="0" spcFirstLastPara="1" vertOverflow="ellipsis" vert="horz" wrap="square" anchor="ctr" anchorCtr="1"/>
        <a:lstStyle/>
        <a:p>
          <a:pPr>
            <a:defRPr lang="uk-UA" sz="10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lang="uk-UA" sz="2400" b="1" i="0" u="none" strike="noStrike" kern="1200" spc="0" baseline="0">
                <a:solidFill>
                  <a:sysClr val="windowText" lastClr="000000"/>
                </a:solidFill>
                <a:latin typeface="+mn-lt"/>
                <a:ea typeface="+mn-ea"/>
                <a:cs typeface="+mn-cs"/>
              </a:defRPr>
            </a:pPr>
            <a:r>
              <a:rPr lang="ru-RU" sz="2400" b="1"/>
              <a:t>ВИДАТКИ НАДАВАЧА</a:t>
            </a:r>
          </a:p>
        </c:rich>
      </c:tx>
      <c:spPr>
        <a:noFill/>
        <a:ln w="25400">
          <a:noFill/>
        </a:ln>
      </c:spPr>
    </c:title>
    <c:view3D>
      <c:depthPercent val="100"/>
      <c:rAngAx val="1"/>
    </c:view3D>
    <c:floor>
      <c:spPr>
        <a:noFill/>
        <a:ln w="6350">
          <a:noFill/>
        </a:ln>
      </c:spPr>
    </c:floor>
    <c:sideWall>
      <c:spPr>
        <a:noFill/>
        <a:ln w="25400">
          <a:noFill/>
        </a:ln>
      </c:spPr>
    </c:sideWall>
    <c:backWall>
      <c:spPr>
        <a:noFill/>
        <a:ln w="25400">
          <a:noFill/>
        </a:ln>
      </c:spPr>
    </c:backWall>
    <c:plotArea>
      <c:layout/>
      <c:bar3DChart>
        <c:barDir val="col"/>
        <c:grouping val="clustered"/>
        <c:ser>
          <c:idx val="0"/>
          <c:order val="0"/>
          <c:tx>
            <c:strRef>
              <c:f>ДРУК!$B$14</c:f>
              <c:strCache>
                <c:ptCount val="1"/>
                <c:pt idx="0">
                  <c:v>Заробітна плата, грн.</c:v>
                </c:pt>
              </c:strCache>
            </c:strRef>
          </c:tx>
          <c:spPr>
            <a:solidFill>
              <a:srgbClr val="5B9BD5"/>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ДРУК!$C$14:$G$14</c:f>
              <c:numCache>
                <c:formatCode>#,##0</c:formatCode>
                <c:ptCount val="5"/>
                <c:pt idx="0">
                  <c:v>5484705</c:v>
                </c:pt>
                <c:pt idx="1">
                  <c:v>5393475</c:v>
                </c:pt>
                <c:pt idx="2">
                  <c:v>5443455</c:v>
                </c:pt>
                <c:pt idx="3">
                  <c:v>5613615</c:v>
                </c:pt>
                <c:pt idx="4">
                  <c:v>21935250</c:v>
                </c:pt>
              </c:numCache>
            </c:numRef>
          </c:val>
        </c:ser>
        <c:ser>
          <c:idx val="1"/>
          <c:order val="1"/>
          <c:tx>
            <c:strRef>
              <c:f>ДРУК!$B$15</c:f>
              <c:strCache>
                <c:ptCount val="1"/>
                <c:pt idx="0">
                  <c:v>Нарахування на оплату праці, грн.</c:v>
                </c:pt>
              </c:strCache>
            </c:strRef>
          </c:tx>
          <c:spPr>
            <a:solidFill>
              <a:srgbClr val="ED7D31"/>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ДРУК!$C$15:$G$15</c:f>
              <c:numCache>
                <c:formatCode>#,##0</c:formatCode>
                <c:ptCount val="5"/>
                <c:pt idx="0">
                  <c:v>1190927.1000000001</c:v>
                </c:pt>
                <c:pt idx="1">
                  <c:v>1170856.5</c:v>
                </c:pt>
                <c:pt idx="2">
                  <c:v>1181852.1000000001</c:v>
                </c:pt>
                <c:pt idx="3">
                  <c:v>1219287.3</c:v>
                </c:pt>
                <c:pt idx="4">
                  <c:v>4762923</c:v>
                </c:pt>
              </c:numCache>
            </c:numRef>
          </c:val>
        </c:ser>
        <c:ser>
          <c:idx val="2"/>
          <c:order val="2"/>
          <c:tx>
            <c:strRef>
              <c:f>ДРУК!$B$16</c:f>
              <c:strCache>
                <c:ptCount val="1"/>
                <c:pt idx="0">
                  <c:v>Витрати на канцтовари, офісне приладдя та устаткування </c:v>
                </c:pt>
              </c:strCache>
            </c:strRef>
          </c:tx>
          <c:spPr>
            <a:solidFill>
              <a:srgbClr val="A5A5A5"/>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ДРУК!$C$16:$G$16</c:f>
              <c:numCache>
                <c:formatCode>#,##0</c:formatCode>
                <c:ptCount val="5"/>
                <c:pt idx="0">
                  <c:v>0</c:v>
                </c:pt>
                <c:pt idx="1">
                  <c:v>0</c:v>
                </c:pt>
                <c:pt idx="2">
                  <c:v>0</c:v>
                </c:pt>
                <c:pt idx="3">
                  <c:v>0</c:v>
                </c:pt>
                <c:pt idx="4">
                  <c:v>0</c:v>
                </c:pt>
              </c:numCache>
            </c:numRef>
          </c:val>
        </c:ser>
        <c:ser>
          <c:idx val="3"/>
          <c:order val="3"/>
          <c:tx>
            <c:strRef>
              <c:f>ДРУК!$B$17</c:f>
              <c:strCache>
                <c:ptCount val="1"/>
                <c:pt idx="0">
                  <c:v>Оплата комунальних послуг та енергоносіїв, грн.</c:v>
                </c:pt>
              </c:strCache>
            </c:strRef>
          </c:tx>
          <c:spPr>
            <a:solidFill>
              <a:srgbClr val="FFC000"/>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ДРУК!$C$17:$G$17</c:f>
              <c:numCache>
                <c:formatCode>#,##0</c:formatCode>
                <c:ptCount val="5"/>
                <c:pt idx="0">
                  <c:v>527628.53622399992</c:v>
                </c:pt>
                <c:pt idx="1">
                  <c:v>126270.694344</c:v>
                </c:pt>
                <c:pt idx="2">
                  <c:v>318416.47311999998</c:v>
                </c:pt>
                <c:pt idx="3">
                  <c:v>463423.13347199996</c:v>
                </c:pt>
                <c:pt idx="4">
                  <c:v>1435738.8371599999</c:v>
                </c:pt>
              </c:numCache>
            </c:numRef>
          </c:val>
        </c:ser>
        <c:ser>
          <c:idx val="4"/>
          <c:order val="4"/>
          <c:spPr>
            <a:solidFill>
              <a:srgbClr val="4472C4"/>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ser>
        <c:ser>
          <c:idx val="5"/>
          <c:order val="5"/>
          <c:tx>
            <c:strRef>
              <c:f>ДРУК!$B$18</c:f>
              <c:strCache>
                <c:ptCount val="1"/>
                <c:pt idx="0">
                  <c:v>Медикаменти та перев'язувальні матеріали, грн.</c:v>
                </c:pt>
              </c:strCache>
            </c:strRef>
          </c:tx>
          <c:spPr>
            <a:solidFill>
              <a:srgbClr val="70AD47"/>
            </a:solidFill>
            <a:ln w="25400">
              <a:noFill/>
            </a:ln>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ДРУК!$C$18:$G$18</c:f>
              <c:numCache>
                <c:formatCode>#,##0</c:formatCode>
                <c:ptCount val="5"/>
                <c:pt idx="0">
                  <c:v>100000</c:v>
                </c:pt>
                <c:pt idx="1">
                  <c:v>150000</c:v>
                </c:pt>
                <c:pt idx="2">
                  <c:v>150000</c:v>
                </c:pt>
                <c:pt idx="3">
                  <c:v>150000</c:v>
                </c:pt>
                <c:pt idx="4">
                  <c:v>550000</c:v>
                </c:pt>
              </c:numCache>
            </c:numRef>
          </c:val>
        </c:ser>
        <c:ser>
          <c:idx val="6"/>
          <c:order val="6"/>
          <c:tx>
            <c:strRef>
              <c:f>ДРУК!$B$19</c:f>
              <c:strCache>
                <c:ptCount val="1"/>
                <c:pt idx="0">
                  <c:v>Видатки на відрядження, грн.</c:v>
                </c:pt>
              </c:strCache>
            </c:strRef>
          </c:tx>
          <c:spPr>
            <a:solidFill>
              <a:schemeClr val="accent1">
                <a:lumMod val="60000"/>
              </a:schemeClr>
            </a:solidFill>
            <a:ln>
              <a:noFill/>
            </a:ln>
            <a:effectLst/>
            <a:sp3d/>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ДРУК!$C$19:$G$19</c:f>
              <c:numCache>
                <c:formatCode>#,##0</c:formatCode>
                <c:ptCount val="5"/>
                <c:pt idx="0">
                  <c:v>35100</c:v>
                </c:pt>
                <c:pt idx="1">
                  <c:v>35100</c:v>
                </c:pt>
                <c:pt idx="2">
                  <c:v>35100</c:v>
                </c:pt>
                <c:pt idx="3">
                  <c:v>35100</c:v>
                </c:pt>
                <c:pt idx="4">
                  <c:v>140400</c:v>
                </c:pt>
              </c:numCache>
            </c:numRef>
          </c:val>
        </c:ser>
        <c:ser>
          <c:idx val="7"/>
          <c:order val="7"/>
          <c:tx>
            <c:strRef>
              <c:f>ДРУК!$B$20</c:f>
              <c:strCache>
                <c:ptCount val="1"/>
                <c:pt idx="0">
                  <c:v>Капітальні інвестиції, грн.</c:v>
                </c:pt>
              </c:strCache>
            </c:strRef>
          </c:tx>
          <c:spPr>
            <a:solidFill>
              <a:schemeClr val="accent2">
                <a:lumMod val="60000"/>
              </a:schemeClr>
            </a:solidFill>
            <a:ln>
              <a:noFill/>
            </a:ln>
            <a:effectLst/>
            <a:sp3d/>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ДРУК!$C$20:$G$20</c:f>
              <c:numCache>
                <c:formatCode>#,##0</c:formatCode>
                <c:ptCount val="5"/>
                <c:pt idx="0">
                  <c:v>290000</c:v>
                </c:pt>
                <c:pt idx="1">
                  <c:v>125000</c:v>
                </c:pt>
                <c:pt idx="2">
                  <c:v>30000</c:v>
                </c:pt>
                <c:pt idx="3">
                  <c:v>45000</c:v>
                </c:pt>
                <c:pt idx="4">
                  <c:v>490000</c:v>
                </c:pt>
              </c:numCache>
            </c:numRef>
          </c:val>
        </c:ser>
        <c:ser>
          <c:idx val="8"/>
          <c:order val="8"/>
          <c:spPr>
            <a:solidFill>
              <a:schemeClr val="accent3">
                <a:lumMod val="60000"/>
              </a:schemeClr>
            </a:solidFill>
            <a:ln>
              <a:noFill/>
            </a:ln>
            <a:effectLst/>
            <a:sp3d/>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ser>
        <c:ser>
          <c:idx val="9"/>
          <c:order val="9"/>
          <c:spPr>
            <a:solidFill>
              <a:schemeClr val="accent4">
                <a:lumMod val="60000"/>
              </a:schemeClr>
            </a:solidFill>
            <a:ln>
              <a:noFill/>
            </a:ln>
            <a:effectLst/>
            <a:sp3d/>
          </c:spPr>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ser>
        <c:ser>
          <c:idx val="10"/>
          <c:order val="10"/>
          <c:tx>
            <c:strRef>
              <c:f>ДРУК!$B$21</c:f>
              <c:strCache>
                <c:ptCount val="1"/>
                <c:pt idx="0">
                  <c:v>ВСЬОГО ВИДАТКІВ надавача ПМД, грн.</c:v>
                </c:pt>
              </c:strCache>
            </c:strRef>
          </c:tx>
          <c:spPr>
            <a:solidFill>
              <a:schemeClr val="accent5">
                <a:lumMod val="60000"/>
              </a:schemeClr>
            </a:solidFill>
            <a:ln>
              <a:noFill/>
            </a:ln>
            <a:effectLst/>
            <a:sp3d/>
          </c:spPr>
          <c:dLbls>
            <c:spPr>
              <a:noFill/>
              <a:ln w="25400">
                <a:noFill/>
              </a:ln>
            </c:spPr>
            <c:txPr>
              <a:bodyPr rot="0" spcFirstLastPara="1" vertOverflow="ellipsis" vert="horz" wrap="square" lIns="38100" tIns="19050" rIns="38100" bIns="19050" anchor="ctr" anchorCtr="1">
                <a:spAutoFit/>
              </a:bodyPr>
              <a:lstStyle/>
              <a:p>
                <a:pPr>
                  <a:defRPr lang="uk-UA" sz="1100" b="1" i="0" u="none" strike="noStrike" kern="1200" baseline="0">
                    <a:solidFill>
                      <a:sysClr val="windowText" lastClr="000000"/>
                    </a:solidFill>
                    <a:latin typeface="+mn-lt"/>
                    <a:ea typeface="+mn-ea"/>
                    <a:cs typeface="+mn-cs"/>
                  </a:defRPr>
                </a:pPr>
                <a:endParaRPr lang="en-US"/>
              </a:p>
            </c:txPr>
            <c:showVal val="1"/>
          </c:dLbls>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ДРУК!$C$21:$G$21</c:f>
              <c:numCache>
                <c:formatCode>#,##0</c:formatCode>
                <c:ptCount val="5"/>
                <c:pt idx="0">
                  <c:v>8033360.6362239998</c:v>
                </c:pt>
                <c:pt idx="1">
                  <c:v>7473202.194344</c:v>
                </c:pt>
                <c:pt idx="2">
                  <c:v>7529323.5731199998</c:v>
                </c:pt>
                <c:pt idx="3">
                  <c:v>8038925.4334720001</c:v>
                </c:pt>
                <c:pt idx="4">
                  <c:v>31074811.837159999</c:v>
                </c:pt>
              </c:numCache>
            </c:numRef>
          </c:val>
        </c:ser>
        <c:shape val="box"/>
        <c:axId val="137676672"/>
        <c:axId val="137678208"/>
        <c:axId val="0"/>
      </c:bar3DChart>
      <c:catAx>
        <c:axId val="137676672"/>
        <c:scaling>
          <c:orientation val="minMax"/>
        </c:scaling>
        <c:axPos val="b"/>
        <c:numFmt formatCode="General" sourceLinked="1"/>
        <c:majorTickMark val="none"/>
        <c:tickLblPos val="nextTo"/>
        <c:spPr>
          <a:ln w="6350">
            <a:noFill/>
          </a:ln>
        </c:spPr>
        <c:txPr>
          <a:bodyPr rot="-60000000" spcFirstLastPara="1" vertOverflow="ellipsis" vert="horz" wrap="square" anchor="ctr" anchorCtr="1"/>
          <a:lstStyle/>
          <a:p>
            <a:pPr>
              <a:defRPr lang="uk-UA" sz="1100" b="0" i="0" u="none" strike="noStrike" kern="1200" baseline="0">
                <a:solidFill>
                  <a:sysClr val="windowText" lastClr="000000"/>
                </a:solidFill>
                <a:latin typeface="+mn-lt"/>
                <a:ea typeface="+mn-ea"/>
                <a:cs typeface="+mn-cs"/>
              </a:defRPr>
            </a:pPr>
            <a:endParaRPr lang="en-US"/>
          </a:p>
        </c:txPr>
        <c:crossAx val="137678208"/>
        <c:crosses val="autoZero"/>
        <c:auto val="1"/>
        <c:lblAlgn val="ctr"/>
        <c:lblOffset val="100"/>
      </c:catAx>
      <c:valAx>
        <c:axId val="137678208"/>
        <c:scaling>
          <c:orientation val="minMax"/>
        </c:scaling>
        <c:axPos val="l"/>
        <c:majorGridlines>
          <c:spPr>
            <a:ln w="9525" cap="flat" cmpd="sng" algn="ctr">
              <a:solidFill>
                <a:schemeClr val="tx1">
                  <a:lumMod val="15000"/>
                  <a:lumOff val="85000"/>
                </a:schemeClr>
              </a:solidFill>
              <a:round/>
            </a:ln>
            <a:effectLst/>
          </c:spPr>
        </c:majorGridlines>
        <c:numFmt formatCode="#,##0" sourceLinked="1"/>
        <c:majorTickMark val="none"/>
        <c:tickLblPos val="nextTo"/>
        <c:spPr>
          <a:ln w="6350">
            <a:noFill/>
          </a:ln>
        </c:spPr>
        <c:txPr>
          <a:bodyPr rot="-60000000" spcFirstLastPara="1" vertOverflow="ellipsis" vert="horz" wrap="square" anchor="ctr" anchorCtr="1"/>
          <a:lstStyle/>
          <a:p>
            <a:pPr>
              <a:defRPr lang="uk-UA" sz="1100" b="0" i="0" u="none" strike="noStrike" kern="1200" baseline="0">
                <a:solidFill>
                  <a:sysClr val="windowText" lastClr="000000"/>
                </a:solidFill>
                <a:latin typeface="+mn-lt"/>
                <a:ea typeface="+mn-ea"/>
                <a:cs typeface="+mn-cs"/>
              </a:defRPr>
            </a:pPr>
            <a:endParaRPr lang="en-US"/>
          </a:p>
        </c:txPr>
        <c:crossAx val="137676672"/>
        <c:crosses val="autoZero"/>
        <c:crossBetween val="between"/>
      </c:valAx>
      <c:spPr>
        <a:noFill/>
        <a:ln w="25400">
          <a:noFill/>
        </a:ln>
      </c:spPr>
    </c:plotArea>
    <c:legend>
      <c:legendPos val="r"/>
      <c:layout>
        <c:manualLayout>
          <c:xMode val="edge"/>
          <c:yMode val="edge"/>
          <c:x val="9.5855003116063459E-2"/>
          <c:y val="0.81355932203389836"/>
          <c:w val="0.85233232500499667"/>
          <c:h val="0.16949152542372881"/>
        </c:manualLayout>
      </c:layout>
      <c:spPr>
        <a:noFill/>
        <a:ln w="25400">
          <a:noFill/>
        </a:ln>
      </c:spPr>
      <c:txPr>
        <a:bodyPr rot="0" spcFirstLastPara="1" vertOverflow="ellipsis" vert="horz" wrap="square" anchor="ctr" anchorCtr="1"/>
        <a:lstStyle/>
        <a:p>
          <a:pPr>
            <a:defRPr lang="uk-UA" sz="1100" b="0" i="0" u="none" strike="noStrike" kern="1200" baseline="0">
              <a:solidFill>
                <a:sysClr val="windowText" lastClr="000000"/>
              </a:solidFill>
              <a:latin typeface="+mn-lt"/>
              <a:ea typeface="+mn-ea"/>
              <a:cs typeface="+mn-cs"/>
            </a:defRPr>
          </a:pPr>
          <a:endParaRPr lang="en-US"/>
        </a:p>
      </c:txPr>
    </c:legend>
    <c:plotVisOnly val="1"/>
    <c:dispBlanksAs val="gap"/>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2"/>
          <c:order val="0"/>
          <c:tx>
            <c:strRef>
              <c:f>ДРУК!$C$13</c:f>
              <c:strCache>
                <c:ptCount val="1"/>
                <c:pt idx="0">
                  <c:v>Видатки у І кварталі,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ДРУК!$C$14:$C$20</c:f>
              <c:numCache>
                <c:formatCode>#,##0</c:formatCode>
                <c:ptCount val="7"/>
                <c:pt idx="0">
                  <c:v>5484705</c:v>
                </c:pt>
                <c:pt idx="1">
                  <c:v>1190927.1000000001</c:v>
                </c:pt>
                <c:pt idx="2">
                  <c:v>0</c:v>
                </c:pt>
                <c:pt idx="3">
                  <c:v>527628.53622399992</c:v>
                </c:pt>
                <c:pt idx="4">
                  <c:v>100000</c:v>
                </c:pt>
                <c:pt idx="5">
                  <c:v>35100</c:v>
                </c:pt>
                <c:pt idx="6">
                  <c:v>290000</c:v>
                </c:pt>
              </c:numCache>
            </c:numRef>
          </c:val>
        </c:ser>
      </c:pie3DChart>
      <c:spPr>
        <a:noFill/>
        <a:ln w="25400">
          <a:noFill/>
        </a:ln>
      </c:spPr>
    </c:plotArea>
    <c:legend>
      <c:legendPos val="r"/>
      <c:layout>
        <c:manualLayout>
          <c:xMode val="edge"/>
          <c:yMode val="edge"/>
          <c:x val="5.4597777755951635E-2"/>
          <c:y val="0.7645640129181358"/>
          <c:w val="0.88649549672163586"/>
          <c:h val="0.21359248614855855"/>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spPr>
        <a:noFill/>
        <a:ln w="25400">
          <a:noFill/>
        </a:ln>
      </c:spPr>
      <c:txPr>
        <a:bodyPr rot="0" spcFirstLastPara="1" vertOverflow="ellipsis" vert="horz" wrap="square" anchor="ctr" anchorCtr="1"/>
        <a:lstStyle/>
        <a:p>
          <a:pPr>
            <a:defRPr lang="uk-UA" sz="1600" b="1" i="0" u="none" strike="noStrike" kern="1200" spc="0" baseline="0">
              <a:solidFill>
                <a:sysClr val="windowText" lastClr="000000"/>
              </a:solidFill>
              <a:latin typeface="+mn-lt"/>
              <a:ea typeface="+mn-ea"/>
              <a:cs typeface="+mn-cs"/>
            </a:defRPr>
          </a:pPr>
          <a:endParaRPr lang="en-US"/>
        </a:p>
      </c:txPr>
    </c:title>
    <c:view3D>
      <c:rotX val="30"/>
      <c:perspective val="30"/>
    </c:view3D>
    <c:plotArea>
      <c:layout/>
      <c:pie3DChart>
        <c:varyColors val="1"/>
        <c:ser>
          <c:idx val="0"/>
          <c:order val="0"/>
          <c:tx>
            <c:strRef>
              <c:f>ДРУК!$D$13</c:f>
              <c:strCache>
                <c:ptCount val="1"/>
                <c:pt idx="0">
                  <c:v>Видатки у ІІ кварталі, грн.</c:v>
                </c:pt>
              </c:strCache>
            </c:strRef>
          </c:tx>
          <c:dPt>
            <c:idx val="0"/>
            <c:spPr>
              <a:solidFill>
                <a:srgbClr val="5B9BD5"/>
              </a:solidFill>
              <a:ln w="25400">
                <a:solidFill>
                  <a:srgbClr val="FFFFFF"/>
                </a:solidFill>
                <a:prstDash val="solid"/>
              </a:ln>
            </c:spPr>
          </c:dPt>
          <c:dPt>
            <c:idx val="1"/>
            <c:spPr>
              <a:solidFill>
                <a:srgbClr val="ED7D31"/>
              </a:solidFill>
              <a:ln w="25400">
                <a:solidFill>
                  <a:srgbClr val="FFFFFF"/>
                </a:solidFill>
                <a:prstDash val="solid"/>
              </a:ln>
            </c:spPr>
          </c:dPt>
          <c:dPt>
            <c:idx val="2"/>
            <c:spPr>
              <a:solidFill>
                <a:srgbClr val="A5A5A5"/>
              </a:solidFill>
              <a:ln w="25400">
                <a:solidFill>
                  <a:srgbClr val="FFFFFF"/>
                </a:solidFill>
                <a:prstDash val="solid"/>
              </a:ln>
            </c:spPr>
          </c:dPt>
          <c:dPt>
            <c:idx val="3"/>
            <c:spPr>
              <a:solidFill>
                <a:srgbClr val="FFC000"/>
              </a:solidFill>
              <a:ln w="25400">
                <a:solidFill>
                  <a:srgbClr val="FFFFFF"/>
                </a:solidFill>
                <a:prstDash val="solid"/>
              </a:ln>
            </c:spPr>
          </c:dPt>
          <c:dPt>
            <c:idx val="4"/>
            <c:spPr>
              <a:solidFill>
                <a:srgbClr val="4472C4"/>
              </a:solidFill>
              <a:ln w="25400">
                <a:solidFill>
                  <a:srgbClr val="FFFFFF"/>
                </a:solidFill>
                <a:prstDash val="solid"/>
              </a:ln>
            </c:spPr>
          </c:dPt>
          <c:dPt>
            <c:idx val="5"/>
            <c:spPr>
              <a:solidFill>
                <a:srgbClr val="70AD47"/>
              </a:solidFill>
              <a:ln w="25400">
                <a:solidFill>
                  <a:srgbClr val="FFFFFF"/>
                </a:solidFill>
                <a:prstDash val="solid"/>
              </a:ln>
            </c:spPr>
          </c:dPt>
          <c:dPt>
            <c:idx val="6"/>
            <c:spPr>
              <a:solidFill>
                <a:schemeClr val="accent1">
                  <a:lumMod val="60000"/>
                </a:schemeClr>
              </a:solidFill>
              <a:ln w="25400">
                <a:solidFill>
                  <a:schemeClr val="lt1"/>
                </a:solidFill>
              </a:ln>
              <a:effectLst/>
              <a:sp3d contourW="25400">
                <a:contourClr>
                  <a:schemeClr val="lt1"/>
                </a:contourClr>
              </a:sp3d>
            </c:spPr>
          </c:dPt>
          <c:dLbls>
            <c:spPr>
              <a:noFill/>
              <a:ln w="25400">
                <a:noFill/>
              </a:ln>
            </c:spPr>
            <c:txPr>
              <a:bodyPr rot="0" spcFirstLastPara="1" vertOverflow="ellipsis" vert="horz" wrap="square" lIns="38100" tIns="19050" rIns="38100" bIns="19050" anchor="ctr" anchorCtr="1">
                <a:spAutoFit/>
              </a:bodyPr>
              <a:lstStyle/>
              <a:p>
                <a:pPr>
                  <a:defRPr lang="uk-UA" sz="900" b="0" i="0" u="none" strike="noStrike" kern="1200" baseline="0">
                    <a:solidFill>
                      <a:sysClr val="windowText" lastClr="000000"/>
                    </a:solidFill>
                    <a:latin typeface="+mn-lt"/>
                    <a:ea typeface="+mn-ea"/>
                    <a:cs typeface="+mn-cs"/>
                  </a:defRPr>
                </a:pPr>
                <a:endParaRPr lang="en-US"/>
              </a:p>
            </c:txPr>
            <c:showVal val="1"/>
            <c:showLeaderLines val="1"/>
            <c:leaderLines>
              <c:spPr>
                <a:ln w="9525" cap="flat" cmpd="sng" algn="ctr">
                  <a:solidFill>
                    <a:schemeClr val="tx1">
                      <a:lumMod val="35000"/>
                      <a:lumOff val="65000"/>
                    </a:schemeClr>
                  </a:solidFill>
                  <a:round/>
                </a:ln>
                <a:effectLst/>
              </c:spPr>
            </c:leaderLines>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ДРУК!$D$14:$D$20</c:f>
              <c:numCache>
                <c:formatCode>#,##0</c:formatCode>
                <c:ptCount val="7"/>
                <c:pt idx="0">
                  <c:v>5393475</c:v>
                </c:pt>
                <c:pt idx="1">
                  <c:v>1170856.5</c:v>
                </c:pt>
                <c:pt idx="2">
                  <c:v>0</c:v>
                </c:pt>
                <c:pt idx="3">
                  <c:v>126270.694344</c:v>
                </c:pt>
                <c:pt idx="4">
                  <c:v>150000</c:v>
                </c:pt>
                <c:pt idx="5">
                  <c:v>35100</c:v>
                </c:pt>
                <c:pt idx="6">
                  <c:v>125000</c:v>
                </c:pt>
              </c:numCache>
            </c:numRef>
          </c:val>
        </c:ser>
      </c:pie3DChart>
      <c:spPr>
        <a:noFill/>
        <a:ln w="25400">
          <a:noFill/>
        </a:ln>
      </c:spPr>
    </c:plotArea>
    <c:legend>
      <c:legendPos val="r"/>
      <c:layout>
        <c:manualLayout>
          <c:xMode val="edge"/>
          <c:yMode val="edge"/>
          <c:x val="0.24878088284566"/>
          <c:y val="0.63063201768373822"/>
          <c:w val="0.50081380337557702"/>
          <c:h val="0.3513521241380827"/>
        </c:manualLayout>
      </c:layout>
      <c:spPr>
        <a:noFill/>
        <a:ln w="25400">
          <a:noFill/>
        </a:ln>
      </c:spPr>
      <c:txPr>
        <a:bodyPr rot="0" spcFirstLastPara="1" vertOverflow="ellipsis" vert="horz" wrap="square" anchor="ctr" anchorCtr="1"/>
        <a:lstStyle/>
        <a:p>
          <a:pPr>
            <a:defRPr lang="uk-UA" sz="900" b="0" i="0" u="none" strike="noStrike" kern="1200" baseline="0">
              <a:solidFill>
                <a:sysClr val="windowText" lastClr="000000"/>
              </a:solidFill>
              <a:latin typeface="+mn-lt"/>
              <a:ea typeface="+mn-ea"/>
              <a:cs typeface="+mn-cs"/>
            </a:defRPr>
          </a:pPr>
          <a:endParaRPr lang="en-US"/>
        </a:p>
      </c:txPr>
    </c:legend>
    <c:plotVisOnly val="1"/>
    <c:dispBlanksAs val="zero"/>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6" Type="http://schemas.openxmlformats.org/officeDocument/2006/relationships/hyperlink" Target="#'01_&#1044;&#1086;&#1093;&#1086;&#1076;&#1080;'!H10"/><Relationship Id="rId21" Type="http://schemas.openxmlformats.org/officeDocument/2006/relationships/hyperlink" Target="#'01_&#1044;&#1086;&#1093;&#1086;&#1076;&#1080;'!H10"/><Relationship Id="rId42" Type="http://schemas.openxmlformats.org/officeDocument/2006/relationships/hyperlink" Target="#'01_&#1044;&#1086;&#1093;&#1086;&#1076;&#1080;'!H10"/><Relationship Id="rId47" Type="http://schemas.openxmlformats.org/officeDocument/2006/relationships/hyperlink" Target="#'01_&#1044;&#1086;&#1093;&#1086;&#1076;&#1080;'!H10"/><Relationship Id="rId63" Type="http://schemas.openxmlformats.org/officeDocument/2006/relationships/hyperlink" Target="#'01_&#1044;&#1086;&#1093;&#1086;&#1076;&#1080;'!H10"/><Relationship Id="rId68" Type="http://schemas.openxmlformats.org/officeDocument/2006/relationships/hyperlink" Target="#'01_&#1044;&#1086;&#1093;&#1086;&#1076;&#1080;'!H10"/><Relationship Id="rId84" Type="http://schemas.openxmlformats.org/officeDocument/2006/relationships/hyperlink" Target="#'01_&#1044;&#1086;&#1093;&#1086;&#1076;&#1080;'!H10"/><Relationship Id="rId89" Type="http://schemas.openxmlformats.org/officeDocument/2006/relationships/hyperlink" Target="#'01_&#1044;&#1086;&#1093;&#1086;&#1076;&#1080;'!H10"/><Relationship Id="rId7" Type="http://schemas.openxmlformats.org/officeDocument/2006/relationships/hyperlink" Target="#'01_&#1044;&#1086;&#1093;&#1086;&#1076;&#1080;'!H10"/><Relationship Id="rId71" Type="http://schemas.openxmlformats.org/officeDocument/2006/relationships/hyperlink" Target="#'01_&#1044;&#1086;&#1093;&#1086;&#1076;&#1080;'!H10"/><Relationship Id="rId92" Type="http://schemas.openxmlformats.org/officeDocument/2006/relationships/hyperlink" Target="#'01_&#1044;&#1086;&#1093;&#1086;&#1076;&#1080;'!H10"/><Relationship Id="rId2" Type="http://schemas.openxmlformats.org/officeDocument/2006/relationships/hyperlink" Target="#'01_&#1044;&#1086;&#1093;&#1086;&#1076;&#1080;'!B9"/><Relationship Id="rId16" Type="http://schemas.openxmlformats.org/officeDocument/2006/relationships/hyperlink" Target="#'01_&#1044;&#1086;&#1093;&#1086;&#1076;&#1080;'!H10"/><Relationship Id="rId29" Type="http://schemas.openxmlformats.org/officeDocument/2006/relationships/hyperlink" Target="#'01_&#1044;&#1086;&#1093;&#1086;&#1076;&#1080;'!H10"/><Relationship Id="rId11" Type="http://schemas.openxmlformats.org/officeDocument/2006/relationships/hyperlink" Target="#'01_&#1044;&#1086;&#1093;&#1086;&#1076;&#1080;'!H10"/><Relationship Id="rId24" Type="http://schemas.openxmlformats.org/officeDocument/2006/relationships/hyperlink" Target="#'01_&#1044;&#1086;&#1093;&#1086;&#1076;&#1080;'!H10"/><Relationship Id="rId32" Type="http://schemas.openxmlformats.org/officeDocument/2006/relationships/hyperlink" Target="#'01_&#1044;&#1086;&#1093;&#1086;&#1076;&#1080;'!H10"/><Relationship Id="rId37" Type="http://schemas.openxmlformats.org/officeDocument/2006/relationships/hyperlink" Target="#'01_&#1044;&#1086;&#1093;&#1086;&#1076;&#1080;'!H10"/><Relationship Id="rId40" Type="http://schemas.openxmlformats.org/officeDocument/2006/relationships/hyperlink" Target="#'01_&#1044;&#1086;&#1093;&#1086;&#1076;&#1080;'!H10"/><Relationship Id="rId45" Type="http://schemas.openxmlformats.org/officeDocument/2006/relationships/hyperlink" Target="#'01_&#1044;&#1086;&#1093;&#1086;&#1076;&#1080;'!H10"/><Relationship Id="rId53" Type="http://schemas.openxmlformats.org/officeDocument/2006/relationships/hyperlink" Target="#'01_&#1044;&#1086;&#1093;&#1086;&#1076;&#1080;'!H10"/><Relationship Id="rId58" Type="http://schemas.openxmlformats.org/officeDocument/2006/relationships/hyperlink" Target="#'01_&#1044;&#1086;&#1093;&#1086;&#1076;&#1080;'!H10"/><Relationship Id="rId66" Type="http://schemas.openxmlformats.org/officeDocument/2006/relationships/hyperlink" Target="#'01_&#1044;&#1086;&#1093;&#1086;&#1076;&#1080;'!H10"/><Relationship Id="rId74" Type="http://schemas.openxmlformats.org/officeDocument/2006/relationships/hyperlink" Target="#'01_&#1044;&#1086;&#1093;&#1086;&#1076;&#1080;'!H10"/><Relationship Id="rId79" Type="http://schemas.openxmlformats.org/officeDocument/2006/relationships/hyperlink" Target="#'01_&#1044;&#1086;&#1093;&#1086;&#1076;&#1080;'!H10"/><Relationship Id="rId87" Type="http://schemas.openxmlformats.org/officeDocument/2006/relationships/hyperlink" Target="#'01_&#1044;&#1086;&#1093;&#1086;&#1076;&#1080;'!H10"/><Relationship Id="rId102" Type="http://schemas.openxmlformats.org/officeDocument/2006/relationships/hyperlink" Target="#'01_&#1044;&#1086;&#1093;&#1086;&#1076;&#1080;'!H10"/><Relationship Id="rId5" Type="http://schemas.openxmlformats.org/officeDocument/2006/relationships/image" Target="../media/image3.png"/><Relationship Id="rId61" Type="http://schemas.openxmlformats.org/officeDocument/2006/relationships/hyperlink" Target="#'01_&#1044;&#1086;&#1093;&#1086;&#1076;&#1080;'!H10"/><Relationship Id="rId82" Type="http://schemas.openxmlformats.org/officeDocument/2006/relationships/hyperlink" Target="#'01_&#1044;&#1086;&#1093;&#1086;&#1076;&#1080;'!H10"/><Relationship Id="rId90" Type="http://schemas.openxmlformats.org/officeDocument/2006/relationships/hyperlink" Target="#'01_&#1044;&#1086;&#1093;&#1086;&#1076;&#1080;'!H10"/><Relationship Id="rId95" Type="http://schemas.openxmlformats.org/officeDocument/2006/relationships/hyperlink" Target="#'01_&#1044;&#1086;&#1093;&#1086;&#1076;&#1080;'!H10"/><Relationship Id="rId19" Type="http://schemas.openxmlformats.org/officeDocument/2006/relationships/hyperlink" Target="#'01_&#1044;&#1086;&#1093;&#1086;&#1076;&#1080;'!H10"/><Relationship Id="rId14" Type="http://schemas.openxmlformats.org/officeDocument/2006/relationships/hyperlink" Target="#'01_&#1044;&#1086;&#1093;&#1086;&#1076;&#1080;'!H10"/><Relationship Id="rId22" Type="http://schemas.openxmlformats.org/officeDocument/2006/relationships/hyperlink" Target="#'01_&#1044;&#1086;&#1093;&#1086;&#1076;&#1080;'!H10"/><Relationship Id="rId27" Type="http://schemas.openxmlformats.org/officeDocument/2006/relationships/hyperlink" Target="#'01_&#1044;&#1086;&#1093;&#1086;&#1076;&#1080;'!H10"/><Relationship Id="rId30" Type="http://schemas.openxmlformats.org/officeDocument/2006/relationships/hyperlink" Target="#'01_&#1044;&#1086;&#1093;&#1086;&#1076;&#1080;'!H10"/><Relationship Id="rId35" Type="http://schemas.openxmlformats.org/officeDocument/2006/relationships/hyperlink" Target="#'01_&#1044;&#1086;&#1093;&#1086;&#1076;&#1080;'!H10"/><Relationship Id="rId43" Type="http://schemas.openxmlformats.org/officeDocument/2006/relationships/hyperlink" Target="#'01_&#1044;&#1086;&#1093;&#1086;&#1076;&#1080;'!H10"/><Relationship Id="rId48" Type="http://schemas.openxmlformats.org/officeDocument/2006/relationships/hyperlink" Target="#'01_&#1044;&#1086;&#1093;&#1086;&#1076;&#1080;'!H10"/><Relationship Id="rId56" Type="http://schemas.openxmlformats.org/officeDocument/2006/relationships/hyperlink" Target="#'01_&#1044;&#1086;&#1093;&#1086;&#1076;&#1080;'!H10"/><Relationship Id="rId64" Type="http://schemas.openxmlformats.org/officeDocument/2006/relationships/hyperlink" Target="#'01_&#1044;&#1086;&#1093;&#1086;&#1076;&#1080;'!H10"/><Relationship Id="rId69" Type="http://schemas.openxmlformats.org/officeDocument/2006/relationships/hyperlink" Target="#'01_&#1044;&#1086;&#1093;&#1086;&#1076;&#1080;'!H10"/><Relationship Id="rId77" Type="http://schemas.openxmlformats.org/officeDocument/2006/relationships/hyperlink" Target="#'01_&#1044;&#1086;&#1093;&#1086;&#1076;&#1080;'!H10"/><Relationship Id="rId100" Type="http://schemas.openxmlformats.org/officeDocument/2006/relationships/hyperlink" Target="#'01_&#1044;&#1086;&#1093;&#1086;&#1076;&#1080;'!H10"/><Relationship Id="rId8" Type="http://schemas.openxmlformats.org/officeDocument/2006/relationships/hyperlink" Target="#'01_&#1044;&#1086;&#1093;&#1086;&#1076;&#1080;'!H10"/><Relationship Id="rId51" Type="http://schemas.openxmlformats.org/officeDocument/2006/relationships/hyperlink" Target="#'01_&#1044;&#1086;&#1093;&#1086;&#1076;&#1080;'!H10"/><Relationship Id="rId72" Type="http://schemas.openxmlformats.org/officeDocument/2006/relationships/hyperlink" Target="#'01_&#1044;&#1086;&#1093;&#1086;&#1076;&#1080;'!H10"/><Relationship Id="rId80" Type="http://schemas.openxmlformats.org/officeDocument/2006/relationships/hyperlink" Target="#'01_&#1044;&#1086;&#1093;&#1086;&#1076;&#1080;'!H10"/><Relationship Id="rId85" Type="http://schemas.openxmlformats.org/officeDocument/2006/relationships/hyperlink" Target="#'01_&#1044;&#1086;&#1093;&#1086;&#1076;&#1080;'!H10"/><Relationship Id="rId93" Type="http://schemas.openxmlformats.org/officeDocument/2006/relationships/hyperlink" Target="#'01_&#1044;&#1086;&#1093;&#1086;&#1076;&#1080;'!H10"/><Relationship Id="rId98" Type="http://schemas.openxmlformats.org/officeDocument/2006/relationships/hyperlink" Target="#'01_&#1044;&#1086;&#1093;&#1086;&#1076;&#1080;'!H10"/><Relationship Id="rId3" Type="http://schemas.openxmlformats.org/officeDocument/2006/relationships/image" Target="../media/image2.jpeg"/><Relationship Id="rId12" Type="http://schemas.openxmlformats.org/officeDocument/2006/relationships/hyperlink" Target="#'01_&#1044;&#1086;&#1093;&#1086;&#1076;&#1080;'!H10"/><Relationship Id="rId17" Type="http://schemas.openxmlformats.org/officeDocument/2006/relationships/hyperlink" Target="#'01_&#1044;&#1086;&#1093;&#1086;&#1076;&#1080;'!H10"/><Relationship Id="rId25" Type="http://schemas.openxmlformats.org/officeDocument/2006/relationships/hyperlink" Target="#'01_&#1044;&#1086;&#1093;&#1086;&#1076;&#1080;'!H10"/><Relationship Id="rId33" Type="http://schemas.openxmlformats.org/officeDocument/2006/relationships/hyperlink" Target="#'01_&#1044;&#1086;&#1093;&#1086;&#1076;&#1080;'!H10"/><Relationship Id="rId38" Type="http://schemas.openxmlformats.org/officeDocument/2006/relationships/hyperlink" Target="#'01_&#1044;&#1086;&#1093;&#1086;&#1076;&#1080;'!H10"/><Relationship Id="rId46" Type="http://schemas.openxmlformats.org/officeDocument/2006/relationships/hyperlink" Target="#'01_&#1044;&#1086;&#1093;&#1086;&#1076;&#1080;'!H10"/><Relationship Id="rId59" Type="http://schemas.openxmlformats.org/officeDocument/2006/relationships/hyperlink" Target="#'01_&#1044;&#1086;&#1093;&#1086;&#1076;&#1080;'!H10"/><Relationship Id="rId67" Type="http://schemas.openxmlformats.org/officeDocument/2006/relationships/hyperlink" Target="#'01_&#1044;&#1086;&#1093;&#1086;&#1076;&#1080;'!H10"/><Relationship Id="rId103" Type="http://schemas.openxmlformats.org/officeDocument/2006/relationships/hyperlink" Target="#'01_&#1044;&#1086;&#1093;&#1086;&#1076;&#1080;'!H10"/><Relationship Id="rId20" Type="http://schemas.openxmlformats.org/officeDocument/2006/relationships/hyperlink" Target="#'01_&#1044;&#1086;&#1093;&#1086;&#1076;&#1080;'!H10"/><Relationship Id="rId41" Type="http://schemas.openxmlformats.org/officeDocument/2006/relationships/hyperlink" Target="#'01_&#1044;&#1086;&#1093;&#1086;&#1076;&#1080;'!H10"/><Relationship Id="rId54" Type="http://schemas.openxmlformats.org/officeDocument/2006/relationships/hyperlink" Target="#'01_&#1044;&#1086;&#1093;&#1086;&#1076;&#1080;'!H10"/><Relationship Id="rId62" Type="http://schemas.openxmlformats.org/officeDocument/2006/relationships/hyperlink" Target="#'01_&#1044;&#1086;&#1093;&#1086;&#1076;&#1080;'!H10"/><Relationship Id="rId70" Type="http://schemas.openxmlformats.org/officeDocument/2006/relationships/hyperlink" Target="#'01_&#1044;&#1086;&#1093;&#1086;&#1076;&#1080;'!H10"/><Relationship Id="rId75" Type="http://schemas.openxmlformats.org/officeDocument/2006/relationships/hyperlink" Target="#'01_&#1044;&#1086;&#1093;&#1086;&#1076;&#1080;'!H10"/><Relationship Id="rId83" Type="http://schemas.openxmlformats.org/officeDocument/2006/relationships/hyperlink" Target="#'01_&#1044;&#1086;&#1093;&#1086;&#1076;&#1080;'!H10"/><Relationship Id="rId88" Type="http://schemas.openxmlformats.org/officeDocument/2006/relationships/hyperlink" Target="#'01_&#1044;&#1086;&#1093;&#1086;&#1076;&#1080;'!H10"/><Relationship Id="rId91" Type="http://schemas.openxmlformats.org/officeDocument/2006/relationships/hyperlink" Target="#'01_&#1044;&#1086;&#1093;&#1086;&#1076;&#1080;'!H10"/><Relationship Id="rId96" Type="http://schemas.openxmlformats.org/officeDocument/2006/relationships/hyperlink" Target="#'01_&#1044;&#1086;&#1093;&#1086;&#1076;&#1080;'!H10"/><Relationship Id="rId1" Type="http://schemas.openxmlformats.org/officeDocument/2006/relationships/hyperlink" Target="#'01_&#1044;&#1086;&#1093;&#1086;&#1076;&#1080;'!B9"/><Relationship Id="rId6" Type="http://schemas.openxmlformats.org/officeDocument/2006/relationships/hyperlink" Target="#'01_&#1044;&#1086;&#1093;&#1086;&#1076;&#1080;'!H10"/><Relationship Id="rId15" Type="http://schemas.openxmlformats.org/officeDocument/2006/relationships/hyperlink" Target="#'01_&#1044;&#1086;&#1093;&#1086;&#1076;&#1080;'!H10"/><Relationship Id="rId23" Type="http://schemas.openxmlformats.org/officeDocument/2006/relationships/hyperlink" Target="#'01_&#1044;&#1086;&#1093;&#1086;&#1076;&#1080;'!H10"/><Relationship Id="rId28" Type="http://schemas.openxmlformats.org/officeDocument/2006/relationships/hyperlink" Target="#'01_&#1044;&#1086;&#1093;&#1086;&#1076;&#1080;'!H10"/><Relationship Id="rId36" Type="http://schemas.openxmlformats.org/officeDocument/2006/relationships/hyperlink" Target="#'01_&#1044;&#1086;&#1093;&#1086;&#1076;&#1080;'!H10"/><Relationship Id="rId49" Type="http://schemas.openxmlformats.org/officeDocument/2006/relationships/hyperlink" Target="#'01_&#1044;&#1086;&#1093;&#1086;&#1076;&#1080;'!H10"/><Relationship Id="rId57" Type="http://schemas.openxmlformats.org/officeDocument/2006/relationships/hyperlink" Target="#'01_&#1044;&#1086;&#1093;&#1086;&#1076;&#1080;'!H10"/><Relationship Id="rId10" Type="http://schemas.openxmlformats.org/officeDocument/2006/relationships/hyperlink" Target="#'01_&#1044;&#1086;&#1093;&#1086;&#1076;&#1080;'!H10"/><Relationship Id="rId31" Type="http://schemas.openxmlformats.org/officeDocument/2006/relationships/hyperlink" Target="#'01_&#1044;&#1086;&#1093;&#1086;&#1076;&#1080;'!H10"/><Relationship Id="rId44" Type="http://schemas.openxmlformats.org/officeDocument/2006/relationships/hyperlink" Target="#'01_&#1044;&#1086;&#1093;&#1086;&#1076;&#1080;'!H10"/><Relationship Id="rId52" Type="http://schemas.openxmlformats.org/officeDocument/2006/relationships/hyperlink" Target="#'01_&#1044;&#1086;&#1093;&#1086;&#1076;&#1080;'!H10"/><Relationship Id="rId60" Type="http://schemas.openxmlformats.org/officeDocument/2006/relationships/hyperlink" Target="#'01_&#1044;&#1086;&#1093;&#1086;&#1076;&#1080;'!H10"/><Relationship Id="rId65" Type="http://schemas.openxmlformats.org/officeDocument/2006/relationships/hyperlink" Target="#'01_&#1044;&#1086;&#1093;&#1086;&#1076;&#1080;'!H10"/><Relationship Id="rId73" Type="http://schemas.openxmlformats.org/officeDocument/2006/relationships/hyperlink" Target="#'01_&#1044;&#1086;&#1093;&#1086;&#1076;&#1080;'!H10"/><Relationship Id="rId78" Type="http://schemas.openxmlformats.org/officeDocument/2006/relationships/hyperlink" Target="#'01_&#1044;&#1086;&#1093;&#1086;&#1076;&#1080;'!H10"/><Relationship Id="rId81" Type="http://schemas.openxmlformats.org/officeDocument/2006/relationships/hyperlink" Target="#'01_&#1044;&#1086;&#1093;&#1086;&#1076;&#1080;'!H10"/><Relationship Id="rId86" Type="http://schemas.openxmlformats.org/officeDocument/2006/relationships/hyperlink" Target="#'01_&#1044;&#1086;&#1093;&#1086;&#1076;&#1080;'!H10"/><Relationship Id="rId94" Type="http://schemas.openxmlformats.org/officeDocument/2006/relationships/hyperlink" Target="#'01_&#1044;&#1086;&#1093;&#1086;&#1076;&#1080;'!H10"/><Relationship Id="rId99" Type="http://schemas.openxmlformats.org/officeDocument/2006/relationships/hyperlink" Target="#'01_&#1044;&#1086;&#1093;&#1086;&#1076;&#1080;'!H10"/><Relationship Id="rId101" Type="http://schemas.openxmlformats.org/officeDocument/2006/relationships/hyperlink" Target="#'01_&#1044;&#1086;&#1093;&#1086;&#1076;&#1080;'!H10"/><Relationship Id="rId4" Type="http://schemas.openxmlformats.org/officeDocument/2006/relationships/hyperlink" Target="#'01_&#1044;&#1086;&#1093;&#1086;&#1076;&#1080;'!H10"/><Relationship Id="rId9" Type="http://schemas.openxmlformats.org/officeDocument/2006/relationships/hyperlink" Target="#'01_&#1044;&#1086;&#1093;&#1086;&#1076;&#1080;'!H10"/><Relationship Id="rId13" Type="http://schemas.openxmlformats.org/officeDocument/2006/relationships/hyperlink" Target="#'01_&#1044;&#1086;&#1093;&#1086;&#1076;&#1080;'!H10"/><Relationship Id="rId18" Type="http://schemas.openxmlformats.org/officeDocument/2006/relationships/hyperlink" Target="#'01_&#1044;&#1086;&#1093;&#1086;&#1076;&#1080;'!H10"/><Relationship Id="rId39" Type="http://schemas.openxmlformats.org/officeDocument/2006/relationships/hyperlink" Target="#'01_&#1044;&#1086;&#1093;&#1086;&#1076;&#1080;'!H10"/><Relationship Id="rId34" Type="http://schemas.openxmlformats.org/officeDocument/2006/relationships/hyperlink" Target="#'01_&#1044;&#1086;&#1093;&#1086;&#1076;&#1080;'!H10"/><Relationship Id="rId50" Type="http://schemas.openxmlformats.org/officeDocument/2006/relationships/hyperlink" Target="#'01_&#1044;&#1086;&#1093;&#1086;&#1076;&#1080;'!H10"/><Relationship Id="rId55" Type="http://schemas.openxmlformats.org/officeDocument/2006/relationships/hyperlink" Target="#'01_&#1044;&#1086;&#1093;&#1086;&#1076;&#1080;'!H10"/><Relationship Id="rId76" Type="http://schemas.openxmlformats.org/officeDocument/2006/relationships/hyperlink" Target="#'01_&#1044;&#1086;&#1093;&#1086;&#1076;&#1080;'!H10"/><Relationship Id="rId97" Type="http://schemas.openxmlformats.org/officeDocument/2006/relationships/hyperlink" Target="#'01_&#1044;&#1086;&#1093;&#1086;&#1076;&#1080;'!H10"/><Relationship Id="rId104" Type="http://schemas.openxmlformats.org/officeDocument/2006/relationships/hyperlink" Target="#'01_&#1044;&#1086;&#1093;&#1086;&#1076;&#1080;'!H10"/></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02_&#1042;&#1080;&#1076;&#1072;&#1090;&#1082;&#1080;'!A1"/></Relationships>
</file>

<file path=xl/drawings/_rels/drawing5.xml.rels><?xml version="1.0" encoding="UTF-8" standalone="yes"?>
<Relationships xmlns="http://schemas.openxmlformats.org/package/2006/relationships"><Relationship Id="rId1" Type="http://schemas.openxmlformats.org/officeDocument/2006/relationships/hyperlink" Target="#'03_&#1052;&#1058;&#1054;'!A1"/></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xdr:row>
      <xdr:rowOff>57150</xdr:rowOff>
    </xdr:from>
    <xdr:to>
      <xdr:col>4</xdr:col>
      <xdr:colOff>581025</xdr:colOff>
      <xdr:row>1</xdr:row>
      <xdr:rowOff>1562100</xdr:rowOff>
    </xdr:to>
    <xdr:pic>
      <xdr:nvPicPr>
        <xdr:cNvPr id="5121" name="Рисунок 1"/>
        <xdr:cNvPicPr>
          <a:picLocks noChangeAspect="1"/>
        </xdr:cNvPicPr>
      </xdr:nvPicPr>
      <xdr:blipFill>
        <a:blip xmlns:r="http://schemas.openxmlformats.org/officeDocument/2006/relationships" r:embed="rId1" cstate="print"/>
        <a:srcRect l="33191" t="37022" r="34943" b="36549"/>
        <a:stretch>
          <a:fillRect/>
        </a:stretch>
      </xdr:blipFill>
      <xdr:spPr bwMode="auto">
        <a:xfrm>
          <a:off x="323850" y="200025"/>
          <a:ext cx="3086100" cy="1504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390525</xdr:colOff>
      <xdr:row>1</xdr:row>
      <xdr:rowOff>85725</xdr:rowOff>
    </xdr:from>
    <xdr:to>
      <xdr:col>1</xdr:col>
      <xdr:colOff>3524250</xdr:colOff>
      <xdr:row>1</xdr:row>
      <xdr:rowOff>1543050</xdr:rowOff>
    </xdr:to>
    <xdr:pic>
      <xdr:nvPicPr>
        <xdr:cNvPr id="6145" name="Рисунок 1"/>
        <xdr:cNvPicPr>
          <a:picLocks noChangeAspect="1"/>
        </xdr:cNvPicPr>
      </xdr:nvPicPr>
      <xdr:blipFill>
        <a:blip xmlns:r="http://schemas.openxmlformats.org/officeDocument/2006/relationships" r:embed="rId1" cstate="print"/>
        <a:srcRect l="33191" t="37022" r="34943" b="36549"/>
        <a:stretch>
          <a:fillRect/>
        </a:stretch>
      </xdr:blipFill>
      <xdr:spPr bwMode="auto">
        <a:xfrm>
          <a:off x="866775" y="228600"/>
          <a:ext cx="3133725" cy="14573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498475</xdr:colOff>
      <xdr:row>1374</xdr:row>
      <xdr:rowOff>155575</xdr:rowOff>
    </xdr:from>
    <xdr:to>
      <xdr:col>8</xdr:col>
      <xdr:colOff>177800</xdr:colOff>
      <xdr:row>1382</xdr:row>
      <xdr:rowOff>41275</xdr:rowOff>
    </xdr:to>
    <xdr:sp macro="" textlink="">
      <xdr:nvSpPr>
        <xdr:cNvPr id="2" name="Прямоугольник: скругленные углы 1">
          <a:hlinkClick xmlns:r="http://schemas.openxmlformats.org/officeDocument/2006/relationships" r:id="rId1"/>
          <a:extLst>
            <a:ext uri="{FF2B5EF4-FFF2-40B4-BE49-F238E27FC236}"/>
          </a:extLst>
        </xdr:cNvPr>
        <xdr:cNvSpPr/>
      </xdr:nvSpPr>
      <xdr:spPr>
        <a:xfrm>
          <a:off x="720725" y="51479450"/>
          <a:ext cx="11807825" cy="128270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r>
            <a:rPr lang="uk-UA" sz="3200" b="1">
              <a:solidFill>
                <a:schemeClr val="dk1"/>
              </a:solidFill>
              <a:effectLst/>
              <a:latin typeface="+mn-lt"/>
              <a:ea typeface="+mn-ea"/>
              <a:cs typeface="+mn-cs"/>
            </a:rPr>
            <a:t>до розрахованих доходів надавача ПМД</a:t>
          </a:r>
          <a:endParaRPr lang="x-none" sz="6000" b="1">
            <a:effectLst/>
          </a:endParaRPr>
        </a:p>
      </xdr:txBody>
    </xdr:sp>
    <xdr:clientData/>
  </xdr:twoCellAnchor>
  <xdr:twoCellAnchor>
    <xdr:from>
      <xdr:col>1</xdr:col>
      <xdr:colOff>953669</xdr:colOff>
      <xdr:row>1343</xdr:row>
      <xdr:rowOff>964853</xdr:rowOff>
    </xdr:from>
    <xdr:to>
      <xdr:col>8</xdr:col>
      <xdr:colOff>499183</xdr:colOff>
      <xdr:row>1345</xdr:row>
      <xdr:rowOff>166601</xdr:rowOff>
    </xdr:to>
    <xdr:sp macro="" textlink="">
      <xdr:nvSpPr>
        <xdr:cNvPr id="5" name="Прямоугольник: скругленные углы 4">
          <a:hlinkClick xmlns:r="http://schemas.openxmlformats.org/officeDocument/2006/relationships" r:id="rId2"/>
          <a:extLst>
            <a:ext uri="{FF2B5EF4-FFF2-40B4-BE49-F238E27FC236}"/>
          </a:extLst>
        </xdr:cNvPr>
        <xdr:cNvSpPr/>
      </xdr:nvSpPr>
      <xdr:spPr>
        <a:xfrm>
          <a:off x="1663714" y="548531126"/>
          <a:ext cx="11945333" cy="108943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переходу на початок сторінки</a:t>
          </a:r>
          <a:endParaRPr lang="x-none" sz="6000" b="1">
            <a:effectLst/>
          </a:endParaRPr>
        </a:p>
      </xdr:txBody>
    </xdr:sp>
    <xdr:clientData/>
  </xdr:twoCellAnchor>
  <xdr:twoCellAnchor editAs="oneCell">
    <xdr:from>
      <xdr:col>7</xdr:col>
      <xdr:colOff>666750</xdr:colOff>
      <xdr:row>11</xdr:row>
      <xdr:rowOff>104775</xdr:rowOff>
    </xdr:from>
    <xdr:to>
      <xdr:col>7</xdr:col>
      <xdr:colOff>1485900</xdr:colOff>
      <xdr:row>11</xdr:row>
      <xdr:rowOff>971550</xdr:rowOff>
    </xdr:to>
    <xdr:pic>
      <xdr:nvPicPr>
        <xdr:cNvPr id="3076" name="Рисунок 6" descr="ÐÐ¾Ð²âÑÐ·Ð°Ð½Ðµ Ð·Ð¾Ð±ÑÐ°Ð¶ÐµÐ½Ð½Ñ"/>
        <xdr:cNvPicPr>
          <a:picLocks noChangeAspect="1" noChangeArrowheads="1"/>
        </xdr:cNvPicPr>
      </xdr:nvPicPr>
      <xdr:blipFill>
        <a:blip xmlns:r="http://schemas.openxmlformats.org/officeDocument/2006/relationships" r:embed="rId3" cstate="print"/>
        <a:srcRect/>
        <a:stretch>
          <a:fillRect/>
        </a:stretch>
      </xdr:blipFill>
      <xdr:spPr bwMode="auto">
        <a:xfrm>
          <a:off x="12725400" y="5553075"/>
          <a:ext cx="819150" cy="866775"/>
        </a:xfrm>
        <a:prstGeom prst="rect">
          <a:avLst/>
        </a:prstGeom>
        <a:noFill/>
        <a:ln w="9525">
          <a:noFill/>
          <a:miter lim="800000"/>
          <a:headEnd/>
          <a:tailEnd/>
        </a:ln>
      </xdr:spPr>
    </xdr:pic>
    <xdr:clientData/>
  </xdr:twoCellAnchor>
  <xdr:twoCellAnchor editAs="oneCell">
    <xdr:from>
      <xdr:col>0</xdr:col>
      <xdr:colOff>38100</xdr:colOff>
      <xdr:row>40</xdr:row>
      <xdr:rowOff>104775</xdr:rowOff>
    </xdr:from>
    <xdr:to>
      <xdr:col>1</xdr:col>
      <xdr:colOff>0</xdr:colOff>
      <xdr:row>42</xdr:row>
      <xdr:rowOff>19050</xdr:rowOff>
    </xdr:to>
    <xdr:pic>
      <xdr:nvPicPr>
        <xdr:cNvPr id="3077" name="Рисунок 2">
          <a:hlinkClick xmlns:r="http://schemas.openxmlformats.org/officeDocument/2006/relationships" r:id="rId4"/>
        </xdr:cNvPr>
        <xdr:cNvPicPr>
          <a:picLocks noChangeAspect="1"/>
        </xdr:cNvPicPr>
      </xdr:nvPicPr>
      <xdr:blipFill>
        <a:blip xmlns:r="http://schemas.openxmlformats.org/officeDocument/2006/relationships" r:embed="rId5" cstate="print"/>
        <a:srcRect/>
        <a:stretch>
          <a:fillRect/>
        </a:stretch>
      </xdr:blipFill>
      <xdr:spPr bwMode="auto">
        <a:xfrm>
          <a:off x="38100" y="26498550"/>
          <a:ext cx="657225" cy="657225"/>
        </a:xfrm>
        <a:prstGeom prst="rect">
          <a:avLst/>
        </a:prstGeom>
        <a:noFill/>
        <a:ln w="9525">
          <a:noFill/>
          <a:miter lim="800000"/>
          <a:headEnd/>
          <a:tailEnd/>
        </a:ln>
      </xdr:spPr>
    </xdr:pic>
    <xdr:clientData/>
  </xdr:twoCellAnchor>
  <xdr:twoCellAnchor editAs="oneCell">
    <xdr:from>
      <xdr:col>0</xdr:col>
      <xdr:colOff>0</xdr:colOff>
      <xdr:row>66</xdr:row>
      <xdr:rowOff>209550</xdr:rowOff>
    </xdr:from>
    <xdr:to>
      <xdr:col>0</xdr:col>
      <xdr:colOff>666750</xdr:colOff>
      <xdr:row>68</xdr:row>
      <xdr:rowOff>133350</xdr:rowOff>
    </xdr:to>
    <xdr:pic>
      <xdr:nvPicPr>
        <xdr:cNvPr id="3078" name="Рисунок 7">
          <a:hlinkClick xmlns:r="http://schemas.openxmlformats.org/officeDocument/2006/relationships" r:id="rId6"/>
        </xdr:cNvPr>
        <xdr:cNvPicPr>
          <a:picLocks noChangeAspect="1"/>
        </xdr:cNvPicPr>
      </xdr:nvPicPr>
      <xdr:blipFill>
        <a:blip xmlns:r="http://schemas.openxmlformats.org/officeDocument/2006/relationships" r:embed="rId5" cstate="print"/>
        <a:srcRect/>
        <a:stretch>
          <a:fillRect/>
        </a:stretch>
      </xdr:blipFill>
      <xdr:spPr bwMode="auto">
        <a:xfrm>
          <a:off x="0" y="37080825"/>
          <a:ext cx="666750" cy="666750"/>
        </a:xfrm>
        <a:prstGeom prst="rect">
          <a:avLst/>
        </a:prstGeom>
        <a:noFill/>
        <a:ln w="9525">
          <a:noFill/>
          <a:miter lim="800000"/>
          <a:headEnd/>
          <a:tailEnd/>
        </a:ln>
      </xdr:spPr>
    </xdr:pic>
    <xdr:clientData/>
  </xdr:twoCellAnchor>
  <xdr:twoCellAnchor editAs="oneCell">
    <xdr:from>
      <xdr:col>0</xdr:col>
      <xdr:colOff>0</xdr:colOff>
      <xdr:row>53</xdr:row>
      <xdr:rowOff>47625</xdr:rowOff>
    </xdr:from>
    <xdr:to>
      <xdr:col>0</xdr:col>
      <xdr:colOff>666750</xdr:colOff>
      <xdr:row>54</xdr:row>
      <xdr:rowOff>361950</xdr:rowOff>
    </xdr:to>
    <xdr:pic>
      <xdr:nvPicPr>
        <xdr:cNvPr id="3079" name="Рисунок 8">
          <a:hlinkClick xmlns:r="http://schemas.openxmlformats.org/officeDocument/2006/relationships" r:id="rId7"/>
        </xdr:cNvPr>
        <xdr:cNvPicPr>
          <a:picLocks noChangeAspect="1"/>
        </xdr:cNvPicPr>
      </xdr:nvPicPr>
      <xdr:blipFill>
        <a:blip xmlns:r="http://schemas.openxmlformats.org/officeDocument/2006/relationships" r:embed="rId5" cstate="print"/>
        <a:srcRect/>
        <a:stretch>
          <a:fillRect/>
        </a:stretch>
      </xdr:blipFill>
      <xdr:spPr bwMode="auto">
        <a:xfrm>
          <a:off x="0" y="31680150"/>
          <a:ext cx="666750" cy="666750"/>
        </a:xfrm>
        <a:prstGeom prst="rect">
          <a:avLst/>
        </a:prstGeom>
        <a:noFill/>
        <a:ln w="9525">
          <a:noFill/>
          <a:miter lim="800000"/>
          <a:headEnd/>
          <a:tailEnd/>
        </a:ln>
      </xdr:spPr>
    </xdr:pic>
    <xdr:clientData/>
  </xdr:twoCellAnchor>
  <xdr:twoCellAnchor editAs="oneCell">
    <xdr:from>
      <xdr:col>0</xdr:col>
      <xdr:colOff>0</xdr:colOff>
      <xdr:row>79</xdr:row>
      <xdr:rowOff>276225</xdr:rowOff>
    </xdr:from>
    <xdr:to>
      <xdr:col>0</xdr:col>
      <xdr:colOff>666750</xdr:colOff>
      <xdr:row>81</xdr:row>
      <xdr:rowOff>209550</xdr:rowOff>
    </xdr:to>
    <xdr:pic>
      <xdr:nvPicPr>
        <xdr:cNvPr id="3080" name="Рисунок 9">
          <a:hlinkClick xmlns:r="http://schemas.openxmlformats.org/officeDocument/2006/relationships" r:id="rId8"/>
        </xdr:cNvPr>
        <xdr:cNvPicPr>
          <a:picLocks noChangeAspect="1"/>
        </xdr:cNvPicPr>
      </xdr:nvPicPr>
      <xdr:blipFill>
        <a:blip xmlns:r="http://schemas.openxmlformats.org/officeDocument/2006/relationships" r:embed="rId5" cstate="print"/>
        <a:srcRect/>
        <a:stretch>
          <a:fillRect/>
        </a:stretch>
      </xdr:blipFill>
      <xdr:spPr bwMode="auto">
        <a:xfrm>
          <a:off x="0" y="42443400"/>
          <a:ext cx="666750" cy="676275"/>
        </a:xfrm>
        <a:prstGeom prst="rect">
          <a:avLst/>
        </a:prstGeom>
        <a:noFill/>
        <a:ln w="9525">
          <a:noFill/>
          <a:miter lim="800000"/>
          <a:headEnd/>
          <a:tailEnd/>
        </a:ln>
      </xdr:spPr>
    </xdr:pic>
    <xdr:clientData/>
  </xdr:twoCellAnchor>
  <xdr:twoCellAnchor editAs="oneCell">
    <xdr:from>
      <xdr:col>0</xdr:col>
      <xdr:colOff>0</xdr:colOff>
      <xdr:row>92</xdr:row>
      <xdr:rowOff>66675</xdr:rowOff>
    </xdr:from>
    <xdr:to>
      <xdr:col>0</xdr:col>
      <xdr:colOff>666750</xdr:colOff>
      <xdr:row>94</xdr:row>
      <xdr:rowOff>0</xdr:rowOff>
    </xdr:to>
    <xdr:pic>
      <xdr:nvPicPr>
        <xdr:cNvPr id="3081" name="Рисунок 10">
          <a:hlinkClick xmlns:r="http://schemas.openxmlformats.org/officeDocument/2006/relationships" r:id="rId9"/>
        </xdr:cNvPr>
        <xdr:cNvPicPr>
          <a:picLocks noChangeAspect="1"/>
        </xdr:cNvPicPr>
      </xdr:nvPicPr>
      <xdr:blipFill>
        <a:blip xmlns:r="http://schemas.openxmlformats.org/officeDocument/2006/relationships" r:embed="rId5" cstate="print"/>
        <a:srcRect/>
        <a:stretch>
          <a:fillRect/>
        </a:stretch>
      </xdr:blipFill>
      <xdr:spPr bwMode="auto">
        <a:xfrm>
          <a:off x="0" y="47482125"/>
          <a:ext cx="666750" cy="676275"/>
        </a:xfrm>
        <a:prstGeom prst="rect">
          <a:avLst/>
        </a:prstGeom>
        <a:noFill/>
        <a:ln w="9525">
          <a:noFill/>
          <a:miter lim="800000"/>
          <a:headEnd/>
          <a:tailEnd/>
        </a:ln>
      </xdr:spPr>
    </xdr:pic>
    <xdr:clientData/>
  </xdr:twoCellAnchor>
  <xdr:twoCellAnchor editAs="oneCell">
    <xdr:from>
      <xdr:col>0</xdr:col>
      <xdr:colOff>0</xdr:colOff>
      <xdr:row>105</xdr:row>
      <xdr:rowOff>171450</xdr:rowOff>
    </xdr:from>
    <xdr:to>
      <xdr:col>0</xdr:col>
      <xdr:colOff>666750</xdr:colOff>
      <xdr:row>107</xdr:row>
      <xdr:rowOff>95250</xdr:rowOff>
    </xdr:to>
    <xdr:pic>
      <xdr:nvPicPr>
        <xdr:cNvPr id="3082" name="Рисунок 11">
          <a:hlinkClick xmlns:r="http://schemas.openxmlformats.org/officeDocument/2006/relationships" r:id="rId10"/>
        </xdr:cNvPr>
        <xdr:cNvPicPr>
          <a:picLocks noChangeAspect="1"/>
        </xdr:cNvPicPr>
      </xdr:nvPicPr>
      <xdr:blipFill>
        <a:blip xmlns:r="http://schemas.openxmlformats.org/officeDocument/2006/relationships" r:embed="rId5" cstate="print"/>
        <a:srcRect/>
        <a:stretch>
          <a:fillRect/>
        </a:stretch>
      </xdr:blipFill>
      <xdr:spPr bwMode="auto">
        <a:xfrm>
          <a:off x="0" y="52854225"/>
          <a:ext cx="666750" cy="666750"/>
        </a:xfrm>
        <a:prstGeom prst="rect">
          <a:avLst/>
        </a:prstGeom>
        <a:noFill/>
        <a:ln w="9525">
          <a:noFill/>
          <a:miter lim="800000"/>
          <a:headEnd/>
          <a:tailEnd/>
        </a:ln>
      </xdr:spPr>
    </xdr:pic>
    <xdr:clientData/>
  </xdr:twoCellAnchor>
  <xdr:twoCellAnchor editAs="oneCell">
    <xdr:from>
      <xdr:col>0</xdr:col>
      <xdr:colOff>0</xdr:colOff>
      <xdr:row>118</xdr:row>
      <xdr:rowOff>114300</xdr:rowOff>
    </xdr:from>
    <xdr:to>
      <xdr:col>0</xdr:col>
      <xdr:colOff>666750</xdr:colOff>
      <xdr:row>120</xdr:row>
      <xdr:rowOff>57150</xdr:rowOff>
    </xdr:to>
    <xdr:pic>
      <xdr:nvPicPr>
        <xdr:cNvPr id="3083" name="Рисунок 12">
          <a:hlinkClick xmlns:r="http://schemas.openxmlformats.org/officeDocument/2006/relationships" r:id="rId11"/>
        </xdr:cNvPr>
        <xdr:cNvPicPr>
          <a:picLocks noChangeAspect="1"/>
        </xdr:cNvPicPr>
      </xdr:nvPicPr>
      <xdr:blipFill>
        <a:blip xmlns:r="http://schemas.openxmlformats.org/officeDocument/2006/relationships" r:embed="rId5" cstate="print"/>
        <a:srcRect/>
        <a:stretch>
          <a:fillRect/>
        </a:stretch>
      </xdr:blipFill>
      <xdr:spPr bwMode="auto">
        <a:xfrm>
          <a:off x="0" y="58035825"/>
          <a:ext cx="666750" cy="685800"/>
        </a:xfrm>
        <a:prstGeom prst="rect">
          <a:avLst/>
        </a:prstGeom>
        <a:noFill/>
        <a:ln w="9525">
          <a:noFill/>
          <a:miter lim="800000"/>
          <a:headEnd/>
          <a:tailEnd/>
        </a:ln>
      </xdr:spPr>
    </xdr:pic>
    <xdr:clientData/>
  </xdr:twoCellAnchor>
  <xdr:twoCellAnchor editAs="oneCell">
    <xdr:from>
      <xdr:col>0</xdr:col>
      <xdr:colOff>0</xdr:colOff>
      <xdr:row>131</xdr:row>
      <xdr:rowOff>133350</xdr:rowOff>
    </xdr:from>
    <xdr:to>
      <xdr:col>0</xdr:col>
      <xdr:colOff>666750</xdr:colOff>
      <xdr:row>133</xdr:row>
      <xdr:rowOff>76200</xdr:rowOff>
    </xdr:to>
    <xdr:pic>
      <xdr:nvPicPr>
        <xdr:cNvPr id="3084" name="Рисунок 13">
          <a:hlinkClick xmlns:r="http://schemas.openxmlformats.org/officeDocument/2006/relationships" r:id="rId12"/>
        </xdr:cNvPr>
        <xdr:cNvPicPr>
          <a:picLocks noChangeAspect="1"/>
        </xdr:cNvPicPr>
      </xdr:nvPicPr>
      <xdr:blipFill>
        <a:blip xmlns:r="http://schemas.openxmlformats.org/officeDocument/2006/relationships" r:embed="rId5" cstate="print"/>
        <a:srcRect/>
        <a:stretch>
          <a:fillRect/>
        </a:stretch>
      </xdr:blipFill>
      <xdr:spPr bwMode="auto">
        <a:xfrm>
          <a:off x="0" y="63322200"/>
          <a:ext cx="666750" cy="685800"/>
        </a:xfrm>
        <a:prstGeom prst="rect">
          <a:avLst/>
        </a:prstGeom>
        <a:noFill/>
        <a:ln w="9525">
          <a:noFill/>
          <a:miter lim="800000"/>
          <a:headEnd/>
          <a:tailEnd/>
        </a:ln>
      </xdr:spPr>
    </xdr:pic>
    <xdr:clientData/>
  </xdr:twoCellAnchor>
  <xdr:twoCellAnchor editAs="oneCell">
    <xdr:from>
      <xdr:col>0</xdr:col>
      <xdr:colOff>47625</xdr:colOff>
      <xdr:row>144</xdr:row>
      <xdr:rowOff>180975</xdr:rowOff>
    </xdr:from>
    <xdr:to>
      <xdr:col>1</xdr:col>
      <xdr:colOff>19050</xdr:colOff>
      <xdr:row>146</xdr:row>
      <xdr:rowOff>133350</xdr:rowOff>
    </xdr:to>
    <xdr:pic>
      <xdr:nvPicPr>
        <xdr:cNvPr id="3085" name="Рисунок 14">
          <a:hlinkClick xmlns:r="http://schemas.openxmlformats.org/officeDocument/2006/relationships" r:id="rId13"/>
        </xdr:cNvPr>
        <xdr:cNvPicPr>
          <a:picLocks noChangeAspect="1"/>
        </xdr:cNvPicPr>
      </xdr:nvPicPr>
      <xdr:blipFill>
        <a:blip xmlns:r="http://schemas.openxmlformats.org/officeDocument/2006/relationships" r:embed="rId5" cstate="print"/>
        <a:srcRect/>
        <a:stretch>
          <a:fillRect/>
        </a:stretch>
      </xdr:blipFill>
      <xdr:spPr bwMode="auto">
        <a:xfrm>
          <a:off x="47625" y="68608575"/>
          <a:ext cx="666750" cy="695325"/>
        </a:xfrm>
        <a:prstGeom prst="rect">
          <a:avLst/>
        </a:prstGeom>
        <a:noFill/>
        <a:ln w="9525">
          <a:noFill/>
          <a:miter lim="800000"/>
          <a:headEnd/>
          <a:tailEnd/>
        </a:ln>
      </xdr:spPr>
    </xdr:pic>
    <xdr:clientData/>
  </xdr:twoCellAnchor>
  <xdr:twoCellAnchor editAs="oneCell">
    <xdr:from>
      <xdr:col>0</xdr:col>
      <xdr:colOff>28575</xdr:colOff>
      <xdr:row>157</xdr:row>
      <xdr:rowOff>266700</xdr:rowOff>
    </xdr:from>
    <xdr:to>
      <xdr:col>1</xdr:col>
      <xdr:colOff>0</xdr:colOff>
      <xdr:row>159</xdr:row>
      <xdr:rowOff>209550</xdr:rowOff>
    </xdr:to>
    <xdr:pic>
      <xdr:nvPicPr>
        <xdr:cNvPr id="3086" name="Рисунок 15">
          <a:hlinkClick xmlns:r="http://schemas.openxmlformats.org/officeDocument/2006/relationships" r:id="rId14"/>
        </xdr:cNvPr>
        <xdr:cNvPicPr>
          <a:picLocks noChangeAspect="1"/>
        </xdr:cNvPicPr>
      </xdr:nvPicPr>
      <xdr:blipFill>
        <a:blip xmlns:r="http://schemas.openxmlformats.org/officeDocument/2006/relationships" r:embed="rId5" cstate="print"/>
        <a:srcRect/>
        <a:stretch>
          <a:fillRect/>
        </a:stretch>
      </xdr:blipFill>
      <xdr:spPr bwMode="auto">
        <a:xfrm>
          <a:off x="28575" y="73942575"/>
          <a:ext cx="666750" cy="685800"/>
        </a:xfrm>
        <a:prstGeom prst="rect">
          <a:avLst/>
        </a:prstGeom>
        <a:noFill/>
        <a:ln w="9525">
          <a:noFill/>
          <a:miter lim="800000"/>
          <a:headEnd/>
          <a:tailEnd/>
        </a:ln>
      </xdr:spPr>
    </xdr:pic>
    <xdr:clientData/>
  </xdr:twoCellAnchor>
  <xdr:twoCellAnchor editAs="oneCell">
    <xdr:from>
      <xdr:col>0</xdr:col>
      <xdr:colOff>0</xdr:colOff>
      <xdr:row>170</xdr:row>
      <xdr:rowOff>104775</xdr:rowOff>
    </xdr:from>
    <xdr:to>
      <xdr:col>0</xdr:col>
      <xdr:colOff>666750</xdr:colOff>
      <xdr:row>172</xdr:row>
      <xdr:rowOff>57150</xdr:rowOff>
    </xdr:to>
    <xdr:pic>
      <xdr:nvPicPr>
        <xdr:cNvPr id="3087" name="Рисунок 16">
          <a:hlinkClick xmlns:r="http://schemas.openxmlformats.org/officeDocument/2006/relationships" r:id="rId15"/>
        </xdr:cNvPr>
        <xdr:cNvPicPr>
          <a:picLocks noChangeAspect="1"/>
        </xdr:cNvPicPr>
      </xdr:nvPicPr>
      <xdr:blipFill>
        <a:blip xmlns:r="http://schemas.openxmlformats.org/officeDocument/2006/relationships" r:embed="rId5" cstate="print"/>
        <a:srcRect/>
        <a:stretch>
          <a:fillRect/>
        </a:stretch>
      </xdr:blipFill>
      <xdr:spPr bwMode="auto">
        <a:xfrm>
          <a:off x="0" y="79038450"/>
          <a:ext cx="666750" cy="695325"/>
        </a:xfrm>
        <a:prstGeom prst="rect">
          <a:avLst/>
        </a:prstGeom>
        <a:noFill/>
        <a:ln w="9525">
          <a:noFill/>
          <a:miter lim="800000"/>
          <a:headEnd/>
          <a:tailEnd/>
        </a:ln>
      </xdr:spPr>
    </xdr:pic>
    <xdr:clientData/>
  </xdr:twoCellAnchor>
  <xdr:twoCellAnchor editAs="oneCell">
    <xdr:from>
      <xdr:col>0</xdr:col>
      <xdr:colOff>19050</xdr:colOff>
      <xdr:row>183</xdr:row>
      <xdr:rowOff>142875</xdr:rowOff>
    </xdr:from>
    <xdr:to>
      <xdr:col>0</xdr:col>
      <xdr:colOff>695325</xdr:colOff>
      <xdr:row>185</xdr:row>
      <xdr:rowOff>95250</xdr:rowOff>
    </xdr:to>
    <xdr:pic>
      <xdr:nvPicPr>
        <xdr:cNvPr id="3088" name="Рисунок 17">
          <a:hlinkClick xmlns:r="http://schemas.openxmlformats.org/officeDocument/2006/relationships" r:id="rId16"/>
        </xdr:cNvPr>
        <xdr:cNvPicPr>
          <a:picLocks noChangeAspect="1"/>
        </xdr:cNvPicPr>
      </xdr:nvPicPr>
      <xdr:blipFill>
        <a:blip xmlns:r="http://schemas.openxmlformats.org/officeDocument/2006/relationships" r:embed="rId5" cstate="print"/>
        <a:srcRect/>
        <a:stretch>
          <a:fillRect/>
        </a:stretch>
      </xdr:blipFill>
      <xdr:spPr bwMode="auto">
        <a:xfrm>
          <a:off x="19050" y="84381975"/>
          <a:ext cx="676275" cy="695325"/>
        </a:xfrm>
        <a:prstGeom prst="rect">
          <a:avLst/>
        </a:prstGeom>
        <a:noFill/>
        <a:ln w="9525">
          <a:noFill/>
          <a:miter lim="800000"/>
          <a:headEnd/>
          <a:tailEnd/>
        </a:ln>
      </xdr:spPr>
    </xdr:pic>
    <xdr:clientData/>
  </xdr:twoCellAnchor>
  <xdr:twoCellAnchor editAs="oneCell">
    <xdr:from>
      <xdr:col>0</xdr:col>
      <xdr:colOff>0</xdr:colOff>
      <xdr:row>196</xdr:row>
      <xdr:rowOff>142875</xdr:rowOff>
    </xdr:from>
    <xdr:to>
      <xdr:col>0</xdr:col>
      <xdr:colOff>666750</xdr:colOff>
      <xdr:row>198</xdr:row>
      <xdr:rowOff>95250</xdr:rowOff>
    </xdr:to>
    <xdr:pic>
      <xdr:nvPicPr>
        <xdr:cNvPr id="3089" name="Рисунок 18">
          <a:hlinkClick xmlns:r="http://schemas.openxmlformats.org/officeDocument/2006/relationships" r:id="rId17"/>
        </xdr:cNvPr>
        <xdr:cNvPicPr>
          <a:picLocks noChangeAspect="1"/>
        </xdr:cNvPicPr>
      </xdr:nvPicPr>
      <xdr:blipFill>
        <a:blip xmlns:r="http://schemas.openxmlformats.org/officeDocument/2006/relationships" r:embed="rId5" cstate="print"/>
        <a:srcRect/>
        <a:stretch>
          <a:fillRect/>
        </a:stretch>
      </xdr:blipFill>
      <xdr:spPr bwMode="auto">
        <a:xfrm>
          <a:off x="0" y="89649300"/>
          <a:ext cx="666750" cy="695325"/>
        </a:xfrm>
        <a:prstGeom prst="rect">
          <a:avLst/>
        </a:prstGeom>
        <a:noFill/>
        <a:ln w="9525">
          <a:noFill/>
          <a:miter lim="800000"/>
          <a:headEnd/>
          <a:tailEnd/>
        </a:ln>
      </xdr:spPr>
    </xdr:pic>
    <xdr:clientData/>
  </xdr:twoCellAnchor>
  <xdr:twoCellAnchor editAs="oneCell">
    <xdr:from>
      <xdr:col>0</xdr:col>
      <xdr:colOff>38100</xdr:colOff>
      <xdr:row>209</xdr:row>
      <xdr:rowOff>190500</xdr:rowOff>
    </xdr:from>
    <xdr:to>
      <xdr:col>1</xdr:col>
      <xdr:colOff>0</xdr:colOff>
      <xdr:row>211</xdr:row>
      <xdr:rowOff>152400</xdr:rowOff>
    </xdr:to>
    <xdr:pic>
      <xdr:nvPicPr>
        <xdr:cNvPr id="3090" name="Рисунок 19">
          <a:hlinkClick xmlns:r="http://schemas.openxmlformats.org/officeDocument/2006/relationships" r:id="rId18"/>
        </xdr:cNvPr>
        <xdr:cNvPicPr>
          <a:picLocks noChangeAspect="1"/>
        </xdr:cNvPicPr>
      </xdr:nvPicPr>
      <xdr:blipFill>
        <a:blip xmlns:r="http://schemas.openxmlformats.org/officeDocument/2006/relationships" r:embed="rId5" cstate="print"/>
        <a:srcRect/>
        <a:stretch>
          <a:fillRect/>
        </a:stretch>
      </xdr:blipFill>
      <xdr:spPr bwMode="auto">
        <a:xfrm>
          <a:off x="38100" y="94964250"/>
          <a:ext cx="657225" cy="704850"/>
        </a:xfrm>
        <a:prstGeom prst="rect">
          <a:avLst/>
        </a:prstGeom>
        <a:noFill/>
        <a:ln w="9525">
          <a:noFill/>
          <a:miter lim="800000"/>
          <a:headEnd/>
          <a:tailEnd/>
        </a:ln>
      </xdr:spPr>
    </xdr:pic>
    <xdr:clientData/>
  </xdr:twoCellAnchor>
  <xdr:twoCellAnchor editAs="oneCell">
    <xdr:from>
      <xdr:col>0</xdr:col>
      <xdr:colOff>0</xdr:colOff>
      <xdr:row>222</xdr:row>
      <xdr:rowOff>152400</xdr:rowOff>
    </xdr:from>
    <xdr:to>
      <xdr:col>0</xdr:col>
      <xdr:colOff>666750</xdr:colOff>
      <xdr:row>224</xdr:row>
      <xdr:rowOff>114300</xdr:rowOff>
    </xdr:to>
    <xdr:pic>
      <xdr:nvPicPr>
        <xdr:cNvPr id="3091" name="Рисунок 20">
          <a:hlinkClick xmlns:r="http://schemas.openxmlformats.org/officeDocument/2006/relationships" r:id="rId19"/>
        </xdr:cNvPr>
        <xdr:cNvPicPr>
          <a:picLocks noChangeAspect="1"/>
        </xdr:cNvPicPr>
      </xdr:nvPicPr>
      <xdr:blipFill>
        <a:blip xmlns:r="http://schemas.openxmlformats.org/officeDocument/2006/relationships" r:embed="rId5" cstate="print"/>
        <a:srcRect/>
        <a:stretch>
          <a:fillRect/>
        </a:stretch>
      </xdr:blipFill>
      <xdr:spPr bwMode="auto">
        <a:xfrm>
          <a:off x="0" y="100193475"/>
          <a:ext cx="666750" cy="704850"/>
        </a:xfrm>
        <a:prstGeom prst="rect">
          <a:avLst/>
        </a:prstGeom>
        <a:noFill/>
        <a:ln w="9525">
          <a:noFill/>
          <a:miter lim="800000"/>
          <a:headEnd/>
          <a:tailEnd/>
        </a:ln>
      </xdr:spPr>
    </xdr:pic>
    <xdr:clientData/>
  </xdr:twoCellAnchor>
  <xdr:twoCellAnchor editAs="oneCell">
    <xdr:from>
      <xdr:col>0</xdr:col>
      <xdr:colOff>0</xdr:colOff>
      <xdr:row>235</xdr:row>
      <xdr:rowOff>57150</xdr:rowOff>
    </xdr:from>
    <xdr:to>
      <xdr:col>0</xdr:col>
      <xdr:colOff>666750</xdr:colOff>
      <xdr:row>237</xdr:row>
      <xdr:rowOff>19050</xdr:rowOff>
    </xdr:to>
    <xdr:pic>
      <xdr:nvPicPr>
        <xdr:cNvPr id="3092" name="Рисунок 21">
          <a:hlinkClick xmlns:r="http://schemas.openxmlformats.org/officeDocument/2006/relationships" r:id="rId20"/>
        </xdr:cNvPr>
        <xdr:cNvPicPr>
          <a:picLocks noChangeAspect="1"/>
        </xdr:cNvPicPr>
      </xdr:nvPicPr>
      <xdr:blipFill>
        <a:blip xmlns:r="http://schemas.openxmlformats.org/officeDocument/2006/relationships" r:embed="rId5" cstate="print"/>
        <a:srcRect/>
        <a:stretch>
          <a:fillRect/>
        </a:stretch>
      </xdr:blipFill>
      <xdr:spPr bwMode="auto">
        <a:xfrm>
          <a:off x="0" y="105365550"/>
          <a:ext cx="666750" cy="704850"/>
        </a:xfrm>
        <a:prstGeom prst="rect">
          <a:avLst/>
        </a:prstGeom>
        <a:noFill/>
        <a:ln w="9525">
          <a:noFill/>
          <a:miter lim="800000"/>
          <a:headEnd/>
          <a:tailEnd/>
        </a:ln>
      </xdr:spPr>
    </xdr:pic>
    <xdr:clientData/>
  </xdr:twoCellAnchor>
  <xdr:twoCellAnchor editAs="oneCell">
    <xdr:from>
      <xdr:col>0</xdr:col>
      <xdr:colOff>0</xdr:colOff>
      <xdr:row>248</xdr:row>
      <xdr:rowOff>247650</xdr:rowOff>
    </xdr:from>
    <xdr:to>
      <xdr:col>0</xdr:col>
      <xdr:colOff>666750</xdr:colOff>
      <xdr:row>250</xdr:row>
      <xdr:rowOff>209550</xdr:rowOff>
    </xdr:to>
    <xdr:pic>
      <xdr:nvPicPr>
        <xdr:cNvPr id="3093" name="Рисунок 22">
          <a:hlinkClick xmlns:r="http://schemas.openxmlformats.org/officeDocument/2006/relationships" r:id="rId21"/>
        </xdr:cNvPr>
        <xdr:cNvPicPr>
          <a:picLocks noChangeAspect="1"/>
        </xdr:cNvPicPr>
      </xdr:nvPicPr>
      <xdr:blipFill>
        <a:blip xmlns:r="http://schemas.openxmlformats.org/officeDocument/2006/relationships" r:embed="rId5" cstate="print"/>
        <a:srcRect/>
        <a:stretch>
          <a:fillRect/>
        </a:stretch>
      </xdr:blipFill>
      <xdr:spPr bwMode="auto">
        <a:xfrm>
          <a:off x="0" y="110823375"/>
          <a:ext cx="666750" cy="704850"/>
        </a:xfrm>
        <a:prstGeom prst="rect">
          <a:avLst/>
        </a:prstGeom>
        <a:noFill/>
        <a:ln w="9525">
          <a:noFill/>
          <a:miter lim="800000"/>
          <a:headEnd/>
          <a:tailEnd/>
        </a:ln>
      </xdr:spPr>
    </xdr:pic>
    <xdr:clientData/>
  </xdr:twoCellAnchor>
  <xdr:twoCellAnchor editAs="oneCell">
    <xdr:from>
      <xdr:col>0</xdr:col>
      <xdr:colOff>0</xdr:colOff>
      <xdr:row>261</xdr:row>
      <xdr:rowOff>200025</xdr:rowOff>
    </xdr:from>
    <xdr:to>
      <xdr:col>0</xdr:col>
      <xdr:colOff>666750</xdr:colOff>
      <xdr:row>263</xdr:row>
      <xdr:rowOff>171450</xdr:rowOff>
    </xdr:to>
    <xdr:pic>
      <xdr:nvPicPr>
        <xdr:cNvPr id="3094" name="Рисунок 23">
          <a:hlinkClick xmlns:r="http://schemas.openxmlformats.org/officeDocument/2006/relationships" r:id="rId22"/>
        </xdr:cNvPr>
        <xdr:cNvPicPr>
          <a:picLocks noChangeAspect="1"/>
        </xdr:cNvPicPr>
      </xdr:nvPicPr>
      <xdr:blipFill>
        <a:blip xmlns:r="http://schemas.openxmlformats.org/officeDocument/2006/relationships" r:embed="rId5" cstate="print"/>
        <a:srcRect/>
        <a:stretch>
          <a:fillRect/>
        </a:stretch>
      </xdr:blipFill>
      <xdr:spPr bwMode="auto">
        <a:xfrm>
          <a:off x="0" y="116043075"/>
          <a:ext cx="666750" cy="714375"/>
        </a:xfrm>
        <a:prstGeom prst="rect">
          <a:avLst/>
        </a:prstGeom>
        <a:noFill/>
        <a:ln w="9525">
          <a:noFill/>
          <a:miter lim="800000"/>
          <a:headEnd/>
          <a:tailEnd/>
        </a:ln>
      </xdr:spPr>
    </xdr:pic>
    <xdr:clientData/>
  </xdr:twoCellAnchor>
  <xdr:twoCellAnchor editAs="oneCell">
    <xdr:from>
      <xdr:col>0</xdr:col>
      <xdr:colOff>0</xdr:colOff>
      <xdr:row>274</xdr:row>
      <xdr:rowOff>161925</xdr:rowOff>
    </xdr:from>
    <xdr:to>
      <xdr:col>0</xdr:col>
      <xdr:colOff>666750</xdr:colOff>
      <xdr:row>276</xdr:row>
      <xdr:rowOff>133350</xdr:rowOff>
    </xdr:to>
    <xdr:pic>
      <xdr:nvPicPr>
        <xdr:cNvPr id="3095" name="Рисунок 24">
          <a:hlinkClick xmlns:r="http://schemas.openxmlformats.org/officeDocument/2006/relationships" r:id="rId23"/>
        </xdr:cNvPr>
        <xdr:cNvPicPr>
          <a:picLocks noChangeAspect="1"/>
        </xdr:cNvPicPr>
      </xdr:nvPicPr>
      <xdr:blipFill>
        <a:blip xmlns:r="http://schemas.openxmlformats.org/officeDocument/2006/relationships" r:embed="rId5" cstate="print"/>
        <a:srcRect/>
        <a:stretch>
          <a:fillRect/>
        </a:stretch>
      </xdr:blipFill>
      <xdr:spPr bwMode="auto">
        <a:xfrm>
          <a:off x="0" y="121272300"/>
          <a:ext cx="666750" cy="714375"/>
        </a:xfrm>
        <a:prstGeom prst="rect">
          <a:avLst/>
        </a:prstGeom>
        <a:noFill/>
        <a:ln w="9525">
          <a:noFill/>
          <a:miter lim="800000"/>
          <a:headEnd/>
          <a:tailEnd/>
        </a:ln>
      </xdr:spPr>
    </xdr:pic>
    <xdr:clientData/>
  </xdr:twoCellAnchor>
  <xdr:twoCellAnchor editAs="oneCell">
    <xdr:from>
      <xdr:col>0</xdr:col>
      <xdr:colOff>19050</xdr:colOff>
      <xdr:row>287</xdr:row>
      <xdr:rowOff>171450</xdr:rowOff>
    </xdr:from>
    <xdr:to>
      <xdr:col>0</xdr:col>
      <xdr:colOff>685800</xdr:colOff>
      <xdr:row>289</xdr:row>
      <xdr:rowOff>133350</xdr:rowOff>
    </xdr:to>
    <xdr:pic>
      <xdr:nvPicPr>
        <xdr:cNvPr id="3096" name="Рисунок 25">
          <a:hlinkClick xmlns:r="http://schemas.openxmlformats.org/officeDocument/2006/relationships" r:id="rId24"/>
        </xdr:cNvPr>
        <xdr:cNvPicPr>
          <a:picLocks noChangeAspect="1"/>
        </xdr:cNvPicPr>
      </xdr:nvPicPr>
      <xdr:blipFill>
        <a:blip xmlns:r="http://schemas.openxmlformats.org/officeDocument/2006/relationships" r:embed="rId5" cstate="print"/>
        <a:srcRect/>
        <a:stretch>
          <a:fillRect/>
        </a:stretch>
      </xdr:blipFill>
      <xdr:spPr bwMode="auto">
        <a:xfrm>
          <a:off x="19050" y="126549150"/>
          <a:ext cx="666750" cy="704850"/>
        </a:xfrm>
        <a:prstGeom prst="rect">
          <a:avLst/>
        </a:prstGeom>
        <a:noFill/>
        <a:ln w="9525">
          <a:noFill/>
          <a:miter lim="800000"/>
          <a:headEnd/>
          <a:tailEnd/>
        </a:ln>
      </xdr:spPr>
    </xdr:pic>
    <xdr:clientData/>
  </xdr:twoCellAnchor>
  <xdr:twoCellAnchor editAs="oneCell">
    <xdr:from>
      <xdr:col>0</xdr:col>
      <xdr:colOff>19050</xdr:colOff>
      <xdr:row>300</xdr:row>
      <xdr:rowOff>66675</xdr:rowOff>
    </xdr:from>
    <xdr:to>
      <xdr:col>0</xdr:col>
      <xdr:colOff>685800</xdr:colOff>
      <xdr:row>302</xdr:row>
      <xdr:rowOff>19050</xdr:rowOff>
    </xdr:to>
    <xdr:pic>
      <xdr:nvPicPr>
        <xdr:cNvPr id="3097" name="Рисунок 26">
          <a:hlinkClick xmlns:r="http://schemas.openxmlformats.org/officeDocument/2006/relationships" r:id="rId25"/>
        </xdr:cNvPr>
        <xdr:cNvPicPr>
          <a:picLocks noChangeAspect="1"/>
        </xdr:cNvPicPr>
      </xdr:nvPicPr>
      <xdr:blipFill>
        <a:blip xmlns:r="http://schemas.openxmlformats.org/officeDocument/2006/relationships" r:embed="rId5" cstate="print"/>
        <a:srcRect/>
        <a:stretch>
          <a:fillRect/>
        </a:stretch>
      </xdr:blipFill>
      <xdr:spPr bwMode="auto">
        <a:xfrm>
          <a:off x="19050" y="131711700"/>
          <a:ext cx="666750" cy="695325"/>
        </a:xfrm>
        <a:prstGeom prst="rect">
          <a:avLst/>
        </a:prstGeom>
        <a:noFill/>
        <a:ln w="9525">
          <a:noFill/>
          <a:miter lim="800000"/>
          <a:headEnd/>
          <a:tailEnd/>
        </a:ln>
      </xdr:spPr>
    </xdr:pic>
    <xdr:clientData/>
  </xdr:twoCellAnchor>
  <xdr:twoCellAnchor editAs="oneCell">
    <xdr:from>
      <xdr:col>0</xdr:col>
      <xdr:colOff>19050</xdr:colOff>
      <xdr:row>313</xdr:row>
      <xdr:rowOff>47625</xdr:rowOff>
    </xdr:from>
    <xdr:to>
      <xdr:col>0</xdr:col>
      <xdr:colOff>685800</xdr:colOff>
      <xdr:row>1339</xdr:row>
      <xdr:rowOff>314325</xdr:rowOff>
    </xdr:to>
    <xdr:pic>
      <xdr:nvPicPr>
        <xdr:cNvPr id="3098" name="Рисунок 27">
          <a:hlinkClick xmlns:r="http://schemas.openxmlformats.org/officeDocument/2006/relationships" r:id="rId26"/>
        </xdr:cNvPr>
        <xdr:cNvPicPr>
          <a:picLocks noChangeAspect="1"/>
        </xdr:cNvPicPr>
      </xdr:nvPicPr>
      <xdr:blipFill>
        <a:blip xmlns:r="http://schemas.openxmlformats.org/officeDocument/2006/relationships" r:embed="rId5" cstate="print"/>
        <a:srcRect/>
        <a:stretch>
          <a:fillRect/>
        </a:stretch>
      </xdr:blipFill>
      <xdr:spPr bwMode="auto">
        <a:xfrm>
          <a:off x="19050" y="136569450"/>
          <a:ext cx="666750" cy="714375"/>
        </a:xfrm>
        <a:prstGeom prst="rect">
          <a:avLst/>
        </a:prstGeom>
        <a:noFill/>
        <a:ln w="9525">
          <a:noFill/>
          <a:miter lim="800000"/>
          <a:headEnd/>
          <a:tailEnd/>
        </a:ln>
      </xdr:spPr>
    </xdr:pic>
    <xdr:clientData/>
  </xdr:twoCellAnchor>
  <xdr:twoCellAnchor editAs="oneCell">
    <xdr:from>
      <xdr:col>0</xdr:col>
      <xdr:colOff>0</xdr:colOff>
      <xdr:row>326</xdr:row>
      <xdr:rowOff>123825</xdr:rowOff>
    </xdr:from>
    <xdr:to>
      <xdr:col>0</xdr:col>
      <xdr:colOff>666750</xdr:colOff>
      <xdr:row>1339</xdr:row>
      <xdr:rowOff>314325</xdr:rowOff>
    </xdr:to>
    <xdr:pic>
      <xdr:nvPicPr>
        <xdr:cNvPr id="3099" name="Рисунок 28">
          <a:hlinkClick xmlns:r="http://schemas.openxmlformats.org/officeDocument/2006/relationships" r:id="rId27"/>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19050</xdr:colOff>
      <xdr:row>339</xdr:row>
      <xdr:rowOff>161925</xdr:rowOff>
    </xdr:from>
    <xdr:to>
      <xdr:col>0</xdr:col>
      <xdr:colOff>685800</xdr:colOff>
      <xdr:row>1339</xdr:row>
      <xdr:rowOff>314325</xdr:rowOff>
    </xdr:to>
    <xdr:pic>
      <xdr:nvPicPr>
        <xdr:cNvPr id="3100" name="Рисунок 29">
          <a:hlinkClick xmlns:r="http://schemas.openxmlformats.org/officeDocument/2006/relationships" r:id="rId28"/>
        </xdr:cNvPr>
        <xdr:cNvPicPr>
          <a:picLocks noChangeAspect="1"/>
        </xdr:cNvPicPr>
      </xdr:nvPicPr>
      <xdr:blipFill>
        <a:blip xmlns:r="http://schemas.openxmlformats.org/officeDocument/2006/relationships" r:embed="rId5" cstate="print"/>
        <a:srcRect/>
        <a:stretch>
          <a:fillRect/>
        </a:stretch>
      </xdr:blipFill>
      <xdr:spPr bwMode="auto">
        <a:xfrm>
          <a:off x="19050" y="136569450"/>
          <a:ext cx="666750" cy="714375"/>
        </a:xfrm>
        <a:prstGeom prst="rect">
          <a:avLst/>
        </a:prstGeom>
        <a:noFill/>
        <a:ln w="9525">
          <a:noFill/>
          <a:miter lim="800000"/>
          <a:headEnd/>
          <a:tailEnd/>
        </a:ln>
      </xdr:spPr>
    </xdr:pic>
    <xdr:clientData/>
  </xdr:twoCellAnchor>
  <xdr:twoCellAnchor editAs="oneCell">
    <xdr:from>
      <xdr:col>0</xdr:col>
      <xdr:colOff>0</xdr:colOff>
      <xdr:row>352</xdr:row>
      <xdr:rowOff>180975</xdr:rowOff>
    </xdr:from>
    <xdr:to>
      <xdr:col>0</xdr:col>
      <xdr:colOff>666750</xdr:colOff>
      <xdr:row>1339</xdr:row>
      <xdr:rowOff>314325</xdr:rowOff>
    </xdr:to>
    <xdr:pic>
      <xdr:nvPicPr>
        <xdr:cNvPr id="3101" name="Рисунок 30">
          <a:hlinkClick xmlns:r="http://schemas.openxmlformats.org/officeDocument/2006/relationships" r:id="rId29"/>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365</xdr:row>
      <xdr:rowOff>142875</xdr:rowOff>
    </xdr:from>
    <xdr:to>
      <xdr:col>0</xdr:col>
      <xdr:colOff>666750</xdr:colOff>
      <xdr:row>1339</xdr:row>
      <xdr:rowOff>323850</xdr:rowOff>
    </xdr:to>
    <xdr:pic>
      <xdr:nvPicPr>
        <xdr:cNvPr id="3102" name="Рисунок 31">
          <a:hlinkClick xmlns:r="http://schemas.openxmlformats.org/officeDocument/2006/relationships" r:id="rId30"/>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23900"/>
        </a:xfrm>
        <a:prstGeom prst="rect">
          <a:avLst/>
        </a:prstGeom>
        <a:noFill/>
        <a:ln w="9525">
          <a:noFill/>
          <a:miter lim="800000"/>
          <a:headEnd/>
          <a:tailEnd/>
        </a:ln>
      </xdr:spPr>
    </xdr:pic>
    <xdr:clientData/>
  </xdr:twoCellAnchor>
  <xdr:twoCellAnchor editAs="oneCell">
    <xdr:from>
      <xdr:col>0</xdr:col>
      <xdr:colOff>0</xdr:colOff>
      <xdr:row>378</xdr:row>
      <xdr:rowOff>152400</xdr:rowOff>
    </xdr:from>
    <xdr:to>
      <xdr:col>0</xdr:col>
      <xdr:colOff>666750</xdr:colOff>
      <xdr:row>1339</xdr:row>
      <xdr:rowOff>323850</xdr:rowOff>
    </xdr:to>
    <xdr:pic>
      <xdr:nvPicPr>
        <xdr:cNvPr id="3103" name="Рисунок 32">
          <a:hlinkClick xmlns:r="http://schemas.openxmlformats.org/officeDocument/2006/relationships" r:id="rId31"/>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23900"/>
        </a:xfrm>
        <a:prstGeom prst="rect">
          <a:avLst/>
        </a:prstGeom>
        <a:noFill/>
        <a:ln w="9525">
          <a:noFill/>
          <a:miter lim="800000"/>
          <a:headEnd/>
          <a:tailEnd/>
        </a:ln>
      </xdr:spPr>
    </xdr:pic>
    <xdr:clientData/>
  </xdr:twoCellAnchor>
  <xdr:twoCellAnchor editAs="oneCell">
    <xdr:from>
      <xdr:col>0</xdr:col>
      <xdr:colOff>0</xdr:colOff>
      <xdr:row>391</xdr:row>
      <xdr:rowOff>114300</xdr:rowOff>
    </xdr:from>
    <xdr:to>
      <xdr:col>0</xdr:col>
      <xdr:colOff>666750</xdr:colOff>
      <xdr:row>1339</xdr:row>
      <xdr:rowOff>323850</xdr:rowOff>
    </xdr:to>
    <xdr:pic>
      <xdr:nvPicPr>
        <xdr:cNvPr id="3104" name="Рисунок 33">
          <a:hlinkClick xmlns:r="http://schemas.openxmlformats.org/officeDocument/2006/relationships" r:id="rId32"/>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23900"/>
        </a:xfrm>
        <a:prstGeom prst="rect">
          <a:avLst/>
        </a:prstGeom>
        <a:noFill/>
        <a:ln w="9525">
          <a:noFill/>
          <a:miter lim="800000"/>
          <a:headEnd/>
          <a:tailEnd/>
        </a:ln>
      </xdr:spPr>
    </xdr:pic>
    <xdr:clientData/>
  </xdr:twoCellAnchor>
  <xdr:twoCellAnchor editAs="oneCell">
    <xdr:from>
      <xdr:col>0</xdr:col>
      <xdr:colOff>28575</xdr:colOff>
      <xdr:row>404</xdr:row>
      <xdr:rowOff>200025</xdr:rowOff>
    </xdr:from>
    <xdr:to>
      <xdr:col>1</xdr:col>
      <xdr:colOff>0</xdr:colOff>
      <xdr:row>1339</xdr:row>
      <xdr:rowOff>323850</xdr:rowOff>
    </xdr:to>
    <xdr:pic>
      <xdr:nvPicPr>
        <xdr:cNvPr id="3105" name="Рисунок 34">
          <a:hlinkClick xmlns:r="http://schemas.openxmlformats.org/officeDocument/2006/relationships" r:id="rId33"/>
        </xdr:cNvPr>
        <xdr:cNvPicPr>
          <a:picLocks noChangeAspect="1"/>
        </xdr:cNvPicPr>
      </xdr:nvPicPr>
      <xdr:blipFill>
        <a:blip xmlns:r="http://schemas.openxmlformats.org/officeDocument/2006/relationships" r:embed="rId5" cstate="print"/>
        <a:srcRect/>
        <a:stretch>
          <a:fillRect/>
        </a:stretch>
      </xdr:blipFill>
      <xdr:spPr bwMode="auto">
        <a:xfrm>
          <a:off x="28575" y="136569450"/>
          <a:ext cx="666750" cy="723900"/>
        </a:xfrm>
        <a:prstGeom prst="rect">
          <a:avLst/>
        </a:prstGeom>
        <a:noFill/>
        <a:ln w="9525">
          <a:noFill/>
          <a:miter lim="800000"/>
          <a:headEnd/>
          <a:tailEnd/>
        </a:ln>
      </xdr:spPr>
    </xdr:pic>
    <xdr:clientData/>
  </xdr:twoCellAnchor>
  <xdr:twoCellAnchor editAs="oneCell">
    <xdr:from>
      <xdr:col>0</xdr:col>
      <xdr:colOff>0</xdr:colOff>
      <xdr:row>417</xdr:row>
      <xdr:rowOff>66675</xdr:rowOff>
    </xdr:from>
    <xdr:to>
      <xdr:col>0</xdr:col>
      <xdr:colOff>666750</xdr:colOff>
      <xdr:row>1339</xdr:row>
      <xdr:rowOff>314325</xdr:rowOff>
    </xdr:to>
    <xdr:pic>
      <xdr:nvPicPr>
        <xdr:cNvPr id="3106" name="Рисунок 35">
          <a:hlinkClick xmlns:r="http://schemas.openxmlformats.org/officeDocument/2006/relationships" r:id="rId34"/>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430</xdr:row>
      <xdr:rowOff>142875</xdr:rowOff>
    </xdr:from>
    <xdr:to>
      <xdr:col>0</xdr:col>
      <xdr:colOff>666750</xdr:colOff>
      <xdr:row>1339</xdr:row>
      <xdr:rowOff>333375</xdr:rowOff>
    </xdr:to>
    <xdr:pic>
      <xdr:nvPicPr>
        <xdr:cNvPr id="3107" name="Рисунок 36">
          <a:hlinkClick xmlns:r="http://schemas.openxmlformats.org/officeDocument/2006/relationships" r:id="rId35"/>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443</xdr:row>
      <xdr:rowOff>123825</xdr:rowOff>
    </xdr:from>
    <xdr:to>
      <xdr:col>0</xdr:col>
      <xdr:colOff>666750</xdr:colOff>
      <xdr:row>1339</xdr:row>
      <xdr:rowOff>314325</xdr:rowOff>
    </xdr:to>
    <xdr:pic>
      <xdr:nvPicPr>
        <xdr:cNvPr id="3108" name="Рисунок 37">
          <a:hlinkClick xmlns:r="http://schemas.openxmlformats.org/officeDocument/2006/relationships" r:id="rId36"/>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456</xdr:row>
      <xdr:rowOff>95250</xdr:rowOff>
    </xdr:from>
    <xdr:to>
      <xdr:col>0</xdr:col>
      <xdr:colOff>666750</xdr:colOff>
      <xdr:row>1339</xdr:row>
      <xdr:rowOff>304800</xdr:rowOff>
    </xdr:to>
    <xdr:pic>
      <xdr:nvPicPr>
        <xdr:cNvPr id="3109" name="Рисунок 38">
          <a:hlinkClick xmlns:r="http://schemas.openxmlformats.org/officeDocument/2006/relationships" r:id="rId37"/>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469</xdr:row>
      <xdr:rowOff>76200</xdr:rowOff>
    </xdr:from>
    <xdr:to>
      <xdr:col>0</xdr:col>
      <xdr:colOff>666750</xdr:colOff>
      <xdr:row>1339</xdr:row>
      <xdr:rowOff>323850</xdr:rowOff>
    </xdr:to>
    <xdr:pic>
      <xdr:nvPicPr>
        <xdr:cNvPr id="3110" name="Рисунок 39">
          <a:hlinkClick xmlns:r="http://schemas.openxmlformats.org/officeDocument/2006/relationships" r:id="rId38"/>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23900"/>
        </a:xfrm>
        <a:prstGeom prst="rect">
          <a:avLst/>
        </a:prstGeom>
        <a:noFill/>
        <a:ln w="9525">
          <a:noFill/>
          <a:miter lim="800000"/>
          <a:headEnd/>
          <a:tailEnd/>
        </a:ln>
      </xdr:spPr>
    </xdr:pic>
    <xdr:clientData/>
  </xdr:twoCellAnchor>
  <xdr:twoCellAnchor editAs="oneCell">
    <xdr:from>
      <xdr:col>0</xdr:col>
      <xdr:colOff>0</xdr:colOff>
      <xdr:row>482</xdr:row>
      <xdr:rowOff>276225</xdr:rowOff>
    </xdr:from>
    <xdr:to>
      <xdr:col>0</xdr:col>
      <xdr:colOff>666750</xdr:colOff>
      <xdr:row>1339</xdr:row>
      <xdr:rowOff>314325</xdr:rowOff>
    </xdr:to>
    <xdr:pic>
      <xdr:nvPicPr>
        <xdr:cNvPr id="3111" name="Рисунок 40">
          <a:hlinkClick xmlns:r="http://schemas.openxmlformats.org/officeDocument/2006/relationships" r:id="rId39"/>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495</xdr:row>
      <xdr:rowOff>142875</xdr:rowOff>
    </xdr:from>
    <xdr:to>
      <xdr:col>0</xdr:col>
      <xdr:colOff>666750</xdr:colOff>
      <xdr:row>1339</xdr:row>
      <xdr:rowOff>333375</xdr:rowOff>
    </xdr:to>
    <xdr:pic>
      <xdr:nvPicPr>
        <xdr:cNvPr id="3112" name="Рисунок 41">
          <a:hlinkClick xmlns:r="http://schemas.openxmlformats.org/officeDocument/2006/relationships" r:id="rId40"/>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508</xdr:row>
      <xdr:rowOff>76200</xdr:rowOff>
    </xdr:from>
    <xdr:to>
      <xdr:col>0</xdr:col>
      <xdr:colOff>666750</xdr:colOff>
      <xdr:row>1339</xdr:row>
      <xdr:rowOff>333375</xdr:rowOff>
    </xdr:to>
    <xdr:pic>
      <xdr:nvPicPr>
        <xdr:cNvPr id="3113" name="Рисунок 42">
          <a:hlinkClick xmlns:r="http://schemas.openxmlformats.org/officeDocument/2006/relationships" r:id="rId41"/>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521</xdr:row>
      <xdr:rowOff>190500</xdr:rowOff>
    </xdr:from>
    <xdr:to>
      <xdr:col>0</xdr:col>
      <xdr:colOff>666750</xdr:colOff>
      <xdr:row>1339</xdr:row>
      <xdr:rowOff>323850</xdr:rowOff>
    </xdr:to>
    <xdr:pic>
      <xdr:nvPicPr>
        <xdr:cNvPr id="3114" name="Рисунок 43">
          <a:hlinkClick xmlns:r="http://schemas.openxmlformats.org/officeDocument/2006/relationships" r:id="rId42"/>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23900"/>
        </a:xfrm>
        <a:prstGeom prst="rect">
          <a:avLst/>
        </a:prstGeom>
        <a:noFill/>
        <a:ln w="9525">
          <a:noFill/>
          <a:miter lim="800000"/>
          <a:headEnd/>
          <a:tailEnd/>
        </a:ln>
      </xdr:spPr>
    </xdr:pic>
    <xdr:clientData/>
  </xdr:twoCellAnchor>
  <xdr:twoCellAnchor editAs="oneCell">
    <xdr:from>
      <xdr:col>0</xdr:col>
      <xdr:colOff>0</xdr:colOff>
      <xdr:row>534</xdr:row>
      <xdr:rowOff>85725</xdr:rowOff>
    </xdr:from>
    <xdr:to>
      <xdr:col>0</xdr:col>
      <xdr:colOff>666750</xdr:colOff>
      <xdr:row>1339</xdr:row>
      <xdr:rowOff>323850</xdr:rowOff>
    </xdr:to>
    <xdr:pic>
      <xdr:nvPicPr>
        <xdr:cNvPr id="3115" name="Рисунок 44">
          <a:hlinkClick xmlns:r="http://schemas.openxmlformats.org/officeDocument/2006/relationships" r:id="rId43"/>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23900"/>
        </a:xfrm>
        <a:prstGeom prst="rect">
          <a:avLst/>
        </a:prstGeom>
        <a:noFill/>
        <a:ln w="9525">
          <a:noFill/>
          <a:miter lim="800000"/>
          <a:headEnd/>
          <a:tailEnd/>
        </a:ln>
      </xdr:spPr>
    </xdr:pic>
    <xdr:clientData/>
  </xdr:twoCellAnchor>
  <xdr:twoCellAnchor editAs="oneCell">
    <xdr:from>
      <xdr:col>0</xdr:col>
      <xdr:colOff>0</xdr:colOff>
      <xdr:row>547</xdr:row>
      <xdr:rowOff>142875</xdr:rowOff>
    </xdr:from>
    <xdr:to>
      <xdr:col>0</xdr:col>
      <xdr:colOff>666750</xdr:colOff>
      <xdr:row>1339</xdr:row>
      <xdr:rowOff>304800</xdr:rowOff>
    </xdr:to>
    <xdr:pic>
      <xdr:nvPicPr>
        <xdr:cNvPr id="3116" name="Рисунок 45">
          <a:hlinkClick xmlns:r="http://schemas.openxmlformats.org/officeDocument/2006/relationships" r:id="rId44"/>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19050</xdr:colOff>
      <xdr:row>560</xdr:row>
      <xdr:rowOff>133350</xdr:rowOff>
    </xdr:from>
    <xdr:to>
      <xdr:col>0</xdr:col>
      <xdr:colOff>685800</xdr:colOff>
      <xdr:row>1339</xdr:row>
      <xdr:rowOff>304800</xdr:rowOff>
    </xdr:to>
    <xdr:pic>
      <xdr:nvPicPr>
        <xdr:cNvPr id="3117" name="Рисунок 46">
          <a:hlinkClick xmlns:r="http://schemas.openxmlformats.org/officeDocument/2006/relationships" r:id="rId45"/>
        </xdr:cNvPr>
        <xdr:cNvPicPr>
          <a:picLocks noChangeAspect="1"/>
        </xdr:cNvPicPr>
      </xdr:nvPicPr>
      <xdr:blipFill>
        <a:blip xmlns:r="http://schemas.openxmlformats.org/officeDocument/2006/relationships" r:embed="rId5" cstate="print"/>
        <a:srcRect/>
        <a:stretch>
          <a:fillRect/>
        </a:stretch>
      </xdr:blipFill>
      <xdr:spPr bwMode="auto">
        <a:xfrm>
          <a:off x="19050" y="136569450"/>
          <a:ext cx="666750" cy="704850"/>
        </a:xfrm>
        <a:prstGeom prst="rect">
          <a:avLst/>
        </a:prstGeom>
        <a:noFill/>
        <a:ln w="9525">
          <a:noFill/>
          <a:miter lim="800000"/>
          <a:headEnd/>
          <a:tailEnd/>
        </a:ln>
      </xdr:spPr>
    </xdr:pic>
    <xdr:clientData/>
  </xdr:twoCellAnchor>
  <xdr:twoCellAnchor editAs="oneCell">
    <xdr:from>
      <xdr:col>0</xdr:col>
      <xdr:colOff>57150</xdr:colOff>
      <xdr:row>573</xdr:row>
      <xdr:rowOff>133350</xdr:rowOff>
    </xdr:from>
    <xdr:to>
      <xdr:col>1</xdr:col>
      <xdr:colOff>19050</xdr:colOff>
      <xdr:row>1339</xdr:row>
      <xdr:rowOff>314325</xdr:rowOff>
    </xdr:to>
    <xdr:pic>
      <xdr:nvPicPr>
        <xdr:cNvPr id="3118" name="Рисунок 47">
          <a:hlinkClick xmlns:r="http://schemas.openxmlformats.org/officeDocument/2006/relationships" r:id="rId46"/>
        </xdr:cNvPr>
        <xdr:cNvPicPr>
          <a:picLocks noChangeAspect="1"/>
        </xdr:cNvPicPr>
      </xdr:nvPicPr>
      <xdr:blipFill>
        <a:blip xmlns:r="http://schemas.openxmlformats.org/officeDocument/2006/relationships" r:embed="rId5" cstate="print"/>
        <a:srcRect/>
        <a:stretch>
          <a:fillRect/>
        </a:stretch>
      </xdr:blipFill>
      <xdr:spPr bwMode="auto">
        <a:xfrm>
          <a:off x="57150" y="136569450"/>
          <a:ext cx="657225" cy="714375"/>
        </a:xfrm>
        <a:prstGeom prst="rect">
          <a:avLst/>
        </a:prstGeom>
        <a:noFill/>
        <a:ln w="9525">
          <a:noFill/>
          <a:miter lim="800000"/>
          <a:headEnd/>
          <a:tailEnd/>
        </a:ln>
      </xdr:spPr>
    </xdr:pic>
    <xdr:clientData/>
  </xdr:twoCellAnchor>
  <xdr:twoCellAnchor editAs="oneCell">
    <xdr:from>
      <xdr:col>0</xdr:col>
      <xdr:colOff>0</xdr:colOff>
      <xdr:row>586</xdr:row>
      <xdr:rowOff>133350</xdr:rowOff>
    </xdr:from>
    <xdr:to>
      <xdr:col>0</xdr:col>
      <xdr:colOff>666750</xdr:colOff>
      <xdr:row>1339</xdr:row>
      <xdr:rowOff>304800</xdr:rowOff>
    </xdr:to>
    <xdr:pic>
      <xdr:nvPicPr>
        <xdr:cNvPr id="3119" name="Рисунок 48">
          <a:hlinkClick xmlns:r="http://schemas.openxmlformats.org/officeDocument/2006/relationships" r:id="rId47"/>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599</xdr:row>
      <xdr:rowOff>57150</xdr:rowOff>
    </xdr:from>
    <xdr:to>
      <xdr:col>0</xdr:col>
      <xdr:colOff>666750</xdr:colOff>
      <xdr:row>1339</xdr:row>
      <xdr:rowOff>304800</xdr:rowOff>
    </xdr:to>
    <xdr:pic>
      <xdr:nvPicPr>
        <xdr:cNvPr id="3120" name="Рисунок 49">
          <a:hlinkClick xmlns:r="http://schemas.openxmlformats.org/officeDocument/2006/relationships" r:id="rId48"/>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612</xdr:row>
      <xdr:rowOff>180975</xdr:rowOff>
    </xdr:from>
    <xdr:to>
      <xdr:col>0</xdr:col>
      <xdr:colOff>666750</xdr:colOff>
      <xdr:row>1339</xdr:row>
      <xdr:rowOff>304800</xdr:rowOff>
    </xdr:to>
    <xdr:pic>
      <xdr:nvPicPr>
        <xdr:cNvPr id="3121" name="Рисунок 50">
          <a:hlinkClick xmlns:r="http://schemas.openxmlformats.org/officeDocument/2006/relationships" r:id="rId49"/>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19050</xdr:colOff>
      <xdr:row>625</xdr:row>
      <xdr:rowOff>142875</xdr:rowOff>
    </xdr:from>
    <xdr:to>
      <xdr:col>0</xdr:col>
      <xdr:colOff>685800</xdr:colOff>
      <xdr:row>1339</xdr:row>
      <xdr:rowOff>295275</xdr:rowOff>
    </xdr:to>
    <xdr:pic>
      <xdr:nvPicPr>
        <xdr:cNvPr id="3122" name="Рисунок 51">
          <a:hlinkClick xmlns:r="http://schemas.openxmlformats.org/officeDocument/2006/relationships" r:id="rId50"/>
        </xdr:cNvPr>
        <xdr:cNvPicPr>
          <a:picLocks noChangeAspect="1"/>
        </xdr:cNvPicPr>
      </xdr:nvPicPr>
      <xdr:blipFill>
        <a:blip xmlns:r="http://schemas.openxmlformats.org/officeDocument/2006/relationships" r:embed="rId5" cstate="print"/>
        <a:srcRect/>
        <a:stretch>
          <a:fillRect/>
        </a:stretch>
      </xdr:blipFill>
      <xdr:spPr bwMode="auto">
        <a:xfrm>
          <a:off x="19050" y="136569450"/>
          <a:ext cx="666750" cy="695325"/>
        </a:xfrm>
        <a:prstGeom prst="rect">
          <a:avLst/>
        </a:prstGeom>
        <a:noFill/>
        <a:ln w="9525">
          <a:noFill/>
          <a:miter lim="800000"/>
          <a:headEnd/>
          <a:tailEnd/>
        </a:ln>
      </xdr:spPr>
    </xdr:pic>
    <xdr:clientData/>
  </xdr:twoCellAnchor>
  <xdr:twoCellAnchor editAs="oneCell">
    <xdr:from>
      <xdr:col>0</xdr:col>
      <xdr:colOff>0</xdr:colOff>
      <xdr:row>638</xdr:row>
      <xdr:rowOff>133350</xdr:rowOff>
    </xdr:from>
    <xdr:to>
      <xdr:col>0</xdr:col>
      <xdr:colOff>666750</xdr:colOff>
      <xdr:row>1339</xdr:row>
      <xdr:rowOff>304800</xdr:rowOff>
    </xdr:to>
    <xdr:pic>
      <xdr:nvPicPr>
        <xdr:cNvPr id="3123" name="Рисунок 52">
          <a:hlinkClick xmlns:r="http://schemas.openxmlformats.org/officeDocument/2006/relationships" r:id="rId51"/>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19050</xdr:colOff>
      <xdr:row>651</xdr:row>
      <xdr:rowOff>171450</xdr:rowOff>
    </xdr:from>
    <xdr:to>
      <xdr:col>0</xdr:col>
      <xdr:colOff>685800</xdr:colOff>
      <xdr:row>1339</xdr:row>
      <xdr:rowOff>314325</xdr:rowOff>
    </xdr:to>
    <xdr:pic>
      <xdr:nvPicPr>
        <xdr:cNvPr id="3124" name="Рисунок 53">
          <a:hlinkClick xmlns:r="http://schemas.openxmlformats.org/officeDocument/2006/relationships" r:id="rId52"/>
        </xdr:cNvPr>
        <xdr:cNvPicPr>
          <a:picLocks noChangeAspect="1"/>
        </xdr:cNvPicPr>
      </xdr:nvPicPr>
      <xdr:blipFill>
        <a:blip xmlns:r="http://schemas.openxmlformats.org/officeDocument/2006/relationships" r:embed="rId5" cstate="print"/>
        <a:srcRect/>
        <a:stretch>
          <a:fillRect/>
        </a:stretch>
      </xdr:blipFill>
      <xdr:spPr bwMode="auto">
        <a:xfrm>
          <a:off x="19050" y="136569450"/>
          <a:ext cx="666750" cy="714375"/>
        </a:xfrm>
        <a:prstGeom prst="rect">
          <a:avLst/>
        </a:prstGeom>
        <a:noFill/>
        <a:ln w="9525">
          <a:noFill/>
          <a:miter lim="800000"/>
          <a:headEnd/>
          <a:tailEnd/>
        </a:ln>
      </xdr:spPr>
    </xdr:pic>
    <xdr:clientData/>
  </xdr:twoCellAnchor>
  <xdr:twoCellAnchor editAs="oneCell">
    <xdr:from>
      <xdr:col>0</xdr:col>
      <xdr:colOff>0</xdr:colOff>
      <xdr:row>664</xdr:row>
      <xdr:rowOff>133350</xdr:rowOff>
    </xdr:from>
    <xdr:to>
      <xdr:col>0</xdr:col>
      <xdr:colOff>666750</xdr:colOff>
      <xdr:row>1339</xdr:row>
      <xdr:rowOff>304800</xdr:rowOff>
    </xdr:to>
    <xdr:pic>
      <xdr:nvPicPr>
        <xdr:cNvPr id="3125" name="Рисунок 54">
          <a:hlinkClick xmlns:r="http://schemas.openxmlformats.org/officeDocument/2006/relationships" r:id="rId53"/>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38100</xdr:colOff>
      <xdr:row>677</xdr:row>
      <xdr:rowOff>152400</xdr:rowOff>
    </xdr:from>
    <xdr:to>
      <xdr:col>1</xdr:col>
      <xdr:colOff>9525</xdr:colOff>
      <xdr:row>1339</xdr:row>
      <xdr:rowOff>304800</xdr:rowOff>
    </xdr:to>
    <xdr:pic>
      <xdr:nvPicPr>
        <xdr:cNvPr id="3126" name="Рисунок 55">
          <a:hlinkClick xmlns:r="http://schemas.openxmlformats.org/officeDocument/2006/relationships" r:id="rId54"/>
        </xdr:cNvPr>
        <xdr:cNvPicPr>
          <a:picLocks noChangeAspect="1"/>
        </xdr:cNvPicPr>
      </xdr:nvPicPr>
      <xdr:blipFill>
        <a:blip xmlns:r="http://schemas.openxmlformats.org/officeDocument/2006/relationships" r:embed="rId5" cstate="print"/>
        <a:srcRect/>
        <a:stretch>
          <a:fillRect/>
        </a:stretch>
      </xdr:blipFill>
      <xdr:spPr bwMode="auto">
        <a:xfrm>
          <a:off x="38100" y="136569450"/>
          <a:ext cx="666750" cy="704850"/>
        </a:xfrm>
        <a:prstGeom prst="rect">
          <a:avLst/>
        </a:prstGeom>
        <a:noFill/>
        <a:ln w="9525">
          <a:noFill/>
          <a:miter lim="800000"/>
          <a:headEnd/>
          <a:tailEnd/>
        </a:ln>
      </xdr:spPr>
    </xdr:pic>
    <xdr:clientData/>
  </xdr:twoCellAnchor>
  <xdr:twoCellAnchor editAs="oneCell">
    <xdr:from>
      <xdr:col>0</xdr:col>
      <xdr:colOff>0</xdr:colOff>
      <xdr:row>690</xdr:row>
      <xdr:rowOff>161925</xdr:rowOff>
    </xdr:from>
    <xdr:to>
      <xdr:col>0</xdr:col>
      <xdr:colOff>666750</xdr:colOff>
      <xdr:row>1339</xdr:row>
      <xdr:rowOff>314325</xdr:rowOff>
    </xdr:to>
    <xdr:pic>
      <xdr:nvPicPr>
        <xdr:cNvPr id="3127" name="Рисунок 56">
          <a:hlinkClick xmlns:r="http://schemas.openxmlformats.org/officeDocument/2006/relationships" r:id="rId55"/>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703</xdr:row>
      <xdr:rowOff>57150</xdr:rowOff>
    </xdr:from>
    <xdr:to>
      <xdr:col>0</xdr:col>
      <xdr:colOff>666750</xdr:colOff>
      <xdr:row>1339</xdr:row>
      <xdr:rowOff>304800</xdr:rowOff>
    </xdr:to>
    <xdr:pic>
      <xdr:nvPicPr>
        <xdr:cNvPr id="3128" name="Рисунок 57">
          <a:hlinkClick xmlns:r="http://schemas.openxmlformats.org/officeDocument/2006/relationships" r:id="rId56"/>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716</xdr:row>
      <xdr:rowOff>142875</xdr:rowOff>
    </xdr:from>
    <xdr:to>
      <xdr:col>0</xdr:col>
      <xdr:colOff>666750</xdr:colOff>
      <xdr:row>1339</xdr:row>
      <xdr:rowOff>314325</xdr:rowOff>
    </xdr:to>
    <xdr:pic>
      <xdr:nvPicPr>
        <xdr:cNvPr id="3129" name="Рисунок 58">
          <a:hlinkClick xmlns:r="http://schemas.openxmlformats.org/officeDocument/2006/relationships" r:id="rId57"/>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729</xdr:row>
      <xdr:rowOff>180975</xdr:rowOff>
    </xdr:from>
    <xdr:to>
      <xdr:col>0</xdr:col>
      <xdr:colOff>666750</xdr:colOff>
      <xdr:row>1339</xdr:row>
      <xdr:rowOff>304800</xdr:rowOff>
    </xdr:to>
    <xdr:pic>
      <xdr:nvPicPr>
        <xdr:cNvPr id="3130" name="Рисунок 59">
          <a:hlinkClick xmlns:r="http://schemas.openxmlformats.org/officeDocument/2006/relationships" r:id="rId58"/>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742</xdr:row>
      <xdr:rowOff>171450</xdr:rowOff>
    </xdr:from>
    <xdr:to>
      <xdr:col>0</xdr:col>
      <xdr:colOff>666750</xdr:colOff>
      <xdr:row>1339</xdr:row>
      <xdr:rowOff>304800</xdr:rowOff>
    </xdr:to>
    <xdr:pic>
      <xdr:nvPicPr>
        <xdr:cNvPr id="3131" name="Рисунок 60">
          <a:hlinkClick xmlns:r="http://schemas.openxmlformats.org/officeDocument/2006/relationships" r:id="rId59"/>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755</xdr:row>
      <xdr:rowOff>219075</xdr:rowOff>
    </xdr:from>
    <xdr:to>
      <xdr:col>0</xdr:col>
      <xdr:colOff>666750</xdr:colOff>
      <xdr:row>1339</xdr:row>
      <xdr:rowOff>314325</xdr:rowOff>
    </xdr:to>
    <xdr:pic>
      <xdr:nvPicPr>
        <xdr:cNvPr id="3132" name="Рисунок 61">
          <a:hlinkClick xmlns:r="http://schemas.openxmlformats.org/officeDocument/2006/relationships" r:id="rId60"/>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768</xdr:row>
      <xdr:rowOff>180975</xdr:rowOff>
    </xdr:from>
    <xdr:to>
      <xdr:col>0</xdr:col>
      <xdr:colOff>666750</xdr:colOff>
      <xdr:row>1339</xdr:row>
      <xdr:rowOff>333375</xdr:rowOff>
    </xdr:to>
    <xdr:pic>
      <xdr:nvPicPr>
        <xdr:cNvPr id="3133" name="Рисунок 62">
          <a:hlinkClick xmlns:r="http://schemas.openxmlformats.org/officeDocument/2006/relationships" r:id="rId61"/>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781</xdr:row>
      <xdr:rowOff>133350</xdr:rowOff>
    </xdr:from>
    <xdr:to>
      <xdr:col>0</xdr:col>
      <xdr:colOff>666750</xdr:colOff>
      <xdr:row>1339</xdr:row>
      <xdr:rowOff>314325</xdr:rowOff>
    </xdr:to>
    <xdr:pic>
      <xdr:nvPicPr>
        <xdr:cNvPr id="3134" name="Рисунок 63">
          <a:hlinkClick xmlns:r="http://schemas.openxmlformats.org/officeDocument/2006/relationships" r:id="rId62"/>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38100</xdr:colOff>
      <xdr:row>794</xdr:row>
      <xdr:rowOff>66675</xdr:rowOff>
    </xdr:from>
    <xdr:to>
      <xdr:col>1</xdr:col>
      <xdr:colOff>0</xdr:colOff>
      <xdr:row>1339</xdr:row>
      <xdr:rowOff>314325</xdr:rowOff>
    </xdr:to>
    <xdr:pic>
      <xdr:nvPicPr>
        <xdr:cNvPr id="3135" name="Рисунок 64">
          <a:hlinkClick xmlns:r="http://schemas.openxmlformats.org/officeDocument/2006/relationships" r:id="rId63"/>
        </xdr:cNvPr>
        <xdr:cNvPicPr>
          <a:picLocks noChangeAspect="1"/>
        </xdr:cNvPicPr>
      </xdr:nvPicPr>
      <xdr:blipFill>
        <a:blip xmlns:r="http://schemas.openxmlformats.org/officeDocument/2006/relationships" r:embed="rId5" cstate="print"/>
        <a:srcRect/>
        <a:stretch>
          <a:fillRect/>
        </a:stretch>
      </xdr:blipFill>
      <xdr:spPr bwMode="auto">
        <a:xfrm>
          <a:off x="38100" y="136569450"/>
          <a:ext cx="657225" cy="714375"/>
        </a:xfrm>
        <a:prstGeom prst="rect">
          <a:avLst/>
        </a:prstGeom>
        <a:noFill/>
        <a:ln w="9525">
          <a:noFill/>
          <a:miter lim="800000"/>
          <a:headEnd/>
          <a:tailEnd/>
        </a:ln>
      </xdr:spPr>
    </xdr:pic>
    <xdr:clientData/>
  </xdr:twoCellAnchor>
  <xdr:twoCellAnchor editAs="oneCell">
    <xdr:from>
      <xdr:col>0</xdr:col>
      <xdr:colOff>38100</xdr:colOff>
      <xdr:row>807</xdr:row>
      <xdr:rowOff>114300</xdr:rowOff>
    </xdr:from>
    <xdr:to>
      <xdr:col>1</xdr:col>
      <xdr:colOff>0</xdr:colOff>
      <xdr:row>1339</xdr:row>
      <xdr:rowOff>323850</xdr:rowOff>
    </xdr:to>
    <xdr:pic>
      <xdr:nvPicPr>
        <xdr:cNvPr id="3136" name="Рисунок 65">
          <a:hlinkClick xmlns:r="http://schemas.openxmlformats.org/officeDocument/2006/relationships" r:id="rId64"/>
        </xdr:cNvPr>
        <xdr:cNvPicPr>
          <a:picLocks noChangeAspect="1"/>
        </xdr:cNvPicPr>
      </xdr:nvPicPr>
      <xdr:blipFill>
        <a:blip xmlns:r="http://schemas.openxmlformats.org/officeDocument/2006/relationships" r:embed="rId5" cstate="print"/>
        <a:srcRect/>
        <a:stretch>
          <a:fillRect/>
        </a:stretch>
      </xdr:blipFill>
      <xdr:spPr bwMode="auto">
        <a:xfrm>
          <a:off x="38100" y="136569450"/>
          <a:ext cx="657225" cy="723900"/>
        </a:xfrm>
        <a:prstGeom prst="rect">
          <a:avLst/>
        </a:prstGeom>
        <a:noFill/>
        <a:ln w="9525">
          <a:noFill/>
          <a:miter lim="800000"/>
          <a:headEnd/>
          <a:tailEnd/>
        </a:ln>
      </xdr:spPr>
    </xdr:pic>
    <xdr:clientData/>
  </xdr:twoCellAnchor>
  <xdr:twoCellAnchor editAs="oneCell">
    <xdr:from>
      <xdr:col>0</xdr:col>
      <xdr:colOff>0</xdr:colOff>
      <xdr:row>820</xdr:row>
      <xdr:rowOff>95250</xdr:rowOff>
    </xdr:from>
    <xdr:to>
      <xdr:col>0</xdr:col>
      <xdr:colOff>666750</xdr:colOff>
      <xdr:row>1339</xdr:row>
      <xdr:rowOff>323850</xdr:rowOff>
    </xdr:to>
    <xdr:pic>
      <xdr:nvPicPr>
        <xdr:cNvPr id="3137" name="Рисунок 66">
          <a:hlinkClick xmlns:r="http://schemas.openxmlformats.org/officeDocument/2006/relationships" r:id="rId65"/>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23900"/>
        </a:xfrm>
        <a:prstGeom prst="rect">
          <a:avLst/>
        </a:prstGeom>
        <a:noFill/>
        <a:ln w="9525">
          <a:noFill/>
          <a:miter lim="800000"/>
          <a:headEnd/>
          <a:tailEnd/>
        </a:ln>
      </xdr:spPr>
    </xdr:pic>
    <xdr:clientData/>
  </xdr:twoCellAnchor>
  <xdr:twoCellAnchor editAs="oneCell">
    <xdr:from>
      <xdr:col>0</xdr:col>
      <xdr:colOff>19050</xdr:colOff>
      <xdr:row>833</xdr:row>
      <xdr:rowOff>219075</xdr:rowOff>
    </xdr:from>
    <xdr:to>
      <xdr:col>0</xdr:col>
      <xdr:colOff>685800</xdr:colOff>
      <xdr:row>1339</xdr:row>
      <xdr:rowOff>333375</xdr:rowOff>
    </xdr:to>
    <xdr:pic>
      <xdr:nvPicPr>
        <xdr:cNvPr id="3138" name="Рисунок 67">
          <a:hlinkClick xmlns:r="http://schemas.openxmlformats.org/officeDocument/2006/relationships" r:id="rId66"/>
        </xdr:cNvPr>
        <xdr:cNvPicPr>
          <a:picLocks noChangeAspect="1"/>
        </xdr:cNvPicPr>
      </xdr:nvPicPr>
      <xdr:blipFill>
        <a:blip xmlns:r="http://schemas.openxmlformats.org/officeDocument/2006/relationships" r:embed="rId5" cstate="print"/>
        <a:srcRect/>
        <a:stretch>
          <a:fillRect/>
        </a:stretch>
      </xdr:blipFill>
      <xdr:spPr bwMode="auto">
        <a:xfrm>
          <a:off x="19050" y="136569450"/>
          <a:ext cx="666750" cy="733425"/>
        </a:xfrm>
        <a:prstGeom prst="rect">
          <a:avLst/>
        </a:prstGeom>
        <a:noFill/>
        <a:ln w="9525">
          <a:noFill/>
          <a:miter lim="800000"/>
          <a:headEnd/>
          <a:tailEnd/>
        </a:ln>
      </xdr:spPr>
    </xdr:pic>
    <xdr:clientData/>
  </xdr:twoCellAnchor>
  <xdr:twoCellAnchor editAs="oneCell">
    <xdr:from>
      <xdr:col>0</xdr:col>
      <xdr:colOff>38100</xdr:colOff>
      <xdr:row>846</xdr:row>
      <xdr:rowOff>180975</xdr:rowOff>
    </xdr:from>
    <xdr:to>
      <xdr:col>1</xdr:col>
      <xdr:colOff>0</xdr:colOff>
      <xdr:row>1339</xdr:row>
      <xdr:rowOff>333375</xdr:rowOff>
    </xdr:to>
    <xdr:pic>
      <xdr:nvPicPr>
        <xdr:cNvPr id="3139" name="Рисунок 68">
          <a:hlinkClick xmlns:r="http://schemas.openxmlformats.org/officeDocument/2006/relationships" r:id="rId67"/>
        </xdr:cNvPr>
        <xdr:cNvPicPr>
          <a:picLocks noChangeAspect="1"/>
        </xdr:cNvPicPr>
      </xdr:nvPicPr>
      <xdr:blipFill>
        <a:blip xmlns:r="http://schemas.openxmlformats.org/officeDocument/2006/relationships" r:embed="rId5" cstate="print"/>
        <a:srcRect/>
        <a:stretch>
          <a:fillRect/>
        </a:stretch>
      </xdr:blipFill>
      <xdr:spPr bwMode="auto">
        <a:xfrm>
          <a:off x="38100" y="136569450"/>
          <a:ext cx="657225" cy="733425"/>
        </a:xfrm>
        <a:prstGeom prst="rect">
          <a:avLst/>
        </a:prstGeom>
        <a:noFill/>
        <a:ln w="9525">
          <a:noFill/>
          <a:miter lim="800000"/>
          <a:headEnd/>
          <a:tailEnd/>
        </a:ln>
      </xdr:spPr>
    </xdr:pic>
    <xdr:clientData/>
  </xdr:twoCellAnchor>
  <xdr:twoCellAnchor editAs="oneCell">
    <xdr:from>
      <xdr:col>0</xdr:col>
      <xdr:colOff>0</xdr:colOff>
      <xdr:row>859</xdr:row>
      <xdr:rowOff>200025</xdr:rowOff>
    </xdr:from>
    <xdr:to>
      <xdr:col>0</xdr:col>
      <xdr:colOff>666750</xdr:colOff>
      <xdr:row>1339</xdr:row>
      <xdr:rowOff>333375</xdr:rowOff>
    </xdr:to>
    <xdr:pic>
      <xdr:nvPicPr>
        <xdr:cNvPr id="3140" name="Рисунок 69">
          <a:hlinkClick xmlns:r="http://schemas.openxmlformats.org/officeDocument/2006/relationships" r:id="rId68"/>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872</xdr:row>
      <xdr:rowOff>200025</xdr:rowOff>
    </xdr:from>
    <xdr:to>
      <xdr:col>0</xdr:col>
      <xdr:colOff>666750</xdr:colOff>
      <xdr:row>1339</xdr:row>
      <xdr:rowOff>333375</xdr:rowOff>
    </xdr:to>
    <xdr:pic>
      <xdr:nvPicPr>
        <xdr:cNvPr id="3141" name="Рисунок 70">
          <a:hlinkClick xmlns:r="http://schemas.openxmlformats.org/officeDocument/2006/relationships" r:id="rId69"/>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885</xdr:row>
      <xdr:rowOff>180975</xdr:rowOff>
    </xdr:from>
    <xdr:to>
      <xdr:col>0</xdr:col>
      <xdr:colOff>666750</xdr:colOff>
      <xdr:row>1339</xdr:row>
      <xdr:rowOff>333375</xdr:rowOff>
    </xdr:to>
    <xdr:pic>
      <xdr:nvPicPr>
        <xdr:cNvPr id="3142" name="Рисунок 71">
          <a:hlinkClick xmlns:r="http://schemas.openxmlformats.org/officeDocument/2006/relationships" r:id="rId70"/>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898</xdr:row>
      <xdr:rowOff>47625</xdr:rowOff>
    </xdr:from>
    <xdr:to>
      <xdr:col>0</xdr:col>
      <xdr:colOff>666750</xdr:colOff>
      <xdr:row>1339</xdr:row>
      <xdr:rowOff>333375</xdr:rowOff>
    </xdr:to>
    <xdr:pic>
      <xdr:nvPicPr>
        <xdr:cNvPr id="3143" name="Рисунок 72">
          <a:hlinkClick xmlns:r="http://schemas.openxmlformats.org/officeDocument/2006/relationships" r:id="rId71"/>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911</xdr:row>
      <xdr:rowOff>219075</xdr:rowOff>
    </xdr:from>
    <xdr:to>
      <xdr:col>0</xdr:col>
      <xdr:colOff>666750</xdr:colOff>
      <xdr:row>1339</xdr:row>
      <xdr:rowOff>333375</xdr:rowOff>
    </xdr:to>
    <xdr:pic>
      <xdr:nvPicPr>
        <xdr:cNvPr id="3144" name="Рисунок 73">
          <a:hlinkClick xmlns:r="http://schemas.openxmlformats.org/officeDocument/2006/relationships" r:id="rId72"/>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924</xdr:row>
      <xdr:rowOff>200025</xdr:rowOff>
    </xdr:from>
    <xdr:to>
      <xdr:col>0</xdr:col>
      <xdr:colOff>666750</xdr:colOff>
      <xdr:row>1339</xdr:row>
      <xdr:rowOff>333375</xdr:rowOff>
    </xdr:to>
    <xdr:pic>
      <xdr:nvPicPr>
        <xdr:cNvPr id="3145" name="Рисунок 74">
          <a:hlinkClick xmlns:r="http://schemas.openxmlformats.org/officeDocument/2006/relationships" r:id="rId73"/>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937</xdr:row>
      <xdr:rowOff>180975</xdr:rowOff>
    </xdr:from>
    <xdr:to>
      <xdr:col>0</xdr:col>
      <xdr:colOff>666750</xdr:colOff>
      <xdr:row>1339</xdr:row>
      <xdr:rowOff>333375</xdr:rowOff>
    </xdr:to>
    <xdr:pic>
      <xdr:nvPicPr>
        <xdr:cNvPr id="3146" name="Рисунок 75">
          <a:hlinkClick xmlns:r="http://schemas.openxmlformats.org/officeDocument/2006/relationships" r:id="rId74"/>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33425"/>
        </a:xfrm>
        <a:prstGeom prst="rect">
          <a:avLst/>
        </a:prstGeom>
        <a:noFill/>
        <a:ln w="9525">
          <a:noFill/>
          <a:miter lim="800000"/>
          <a:headEnd/>
          <a:tailEnd/>
        </a:ln>
      </xdr:spPr>
    </xdr:pic>
    <xdr:clientData/>
  </xdr:twoCellAnchor>
  <xdr:twoCellAnchor editAs="oneCell">
    <xdr:from>
      <xdr:col>0</xdr:col>
      <xdr:colOff>0</xdr:colOff>
      <xdr:row>950</xdr:row>
      <xdr:rowOff>76200</xdr:rowOff>
    </xdr:from>
    <xdr:to>
      <xdr:col>0</xdr:col>
      <xdr:colOff>666750</xdr:colOff>
      <xdr:row>1339</xdr:row>
      <xdr:rowOff>323850</xdr:rowOff>
    </xdr:to>
    <xdr:pic>
      <xdr:nvPicPr>
        <xdr:cNvPr id="3147" name="Рисунок 76">
          <a:hlinkClick xmlns:r="http://schemas.openxmlformats.org/officeDocument/2006/relationships" r:id="rId75"/>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23900"/>
        </a:xfrm>
        <a:prstGeom prst="rect">
          <a:avLst/>
        </a:prstGeom>
        <a:noFill/>
        <a:ln w="9525">
          <a:noFill/>
          <a:miter lim="800000"/>
          <a:headEnd/>
          <a:tailEnd/>
        </a:ln>
      </xdr:spPr>
    </xdr:pic>
    <xdr:clientData/>
  </xdr:twoCellAnchor>
  <xdr:twoCellAnchor editAs="oneCell">
    <xdr:from>
      <xdr:col>0</xdr:col>
      <xdr:colOff>0</xdr:colOff>
      <xdr:row>963</xdr:row>
      <xdr:rowOff>200025</xdr:rowOff>
    </xdr:from>
    <xdr:to>
      <xdr:col>0</xdr:col>
      <xdr:colOff>666750</xdr:colOff>
      <xdr:row>1339</xdr:row>
      <xdr:rowOff>314325</xdr:rowOff>
    </xdr:to>
    <xdr:pic>
      <xdr:nvPicPr>
        <xdr:cNvPr id="3148" name="Рисунок 77">
          <a:hlinkClick xmlns:r="http://schemas.openxmlformats.org/officeDocument/2006/relationships" r:id="rId76"/>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976</xdr:row>
      <xdr:rowOff>200025</xdr:rowOff>
    </xdr:from>
    <xdr:to>
      <xdr:col>0</xdr:col>
      <xdr:colOff>666750</xdr:colOff>
      <xdr:row>1339</xdr:row>
      <xdr:rowOff>314325</xdr:rowOff>
    </xdr:to>
    <xdr:pic>
      <xdr:nvPicPr>
        <xdr:cNvPr id="3149" name="Рисунок 78">
          <a:hlinkClick xmlns:r="http://schemas.openxmlformats.org/officeDocument/2006/relationships" r:id="rId77"/>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989</xdr:row>
      <xdr:rowOff>133350</xdr:rowOff>
    </xdr:from>
    <xdr:to>
      <xdr:col>0</xdr:col>
      <xdr:colOff>666750</xdr:colOff>
      <xdr:row>1339</xdr:row>
      <xdr:rowOff>304800</xdr:rowOff>
    </xdr:to>
    <xdr:pic>
      <xdr:nvPicPr>
        <xdr:cNvPr id="3150" name="Рисунок 79">
          <a:hlinkClick xmlns:r="http://schemas.openxmlformats.org/officeDocument/2006/relationships" r:id="rId78"/>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1002</xdr:row>
      <xdr:rowOff>219075</xdr:rowOff>
    </xdr:from>
    <xdr:to>
      <xdr:col>0</xdr:col>
      <xdr:colOff>666750</xdr:colOff>
      <xdr:row>1339</xdr:row>
      <xdr:rowOff>295275</xdr:rowOff>
    </xdr:to>
    <xdr:pic>
      <xdr:nvPicPr>
        <xdr:cNvPr id="3151" name="Рисунок 80">
          <a:hlinkClick xmlns:r="http://schemas.openxmlformats.org/officeDocument/2006/relationships" r:id="rId79"/>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1015</xdr:row>
      <xdr:rowOff>133350</xdr:rowOff>
    </xdr:from>
    <xdr:to>
      <xdr:col>0</xdr:col>
      <xdr:colOff>666750</xdr:colOff>
      <xdr:row>1339</xdr:row>
      <xdr:rowOff>314325</xdr:rowOff>
    </xdr:to>
    <xdr:pic>
      <xdr:nvPicPr>
        <xdr:cNvPr id="3152" name="Рисунок 81">
          <a:hlinkClick xmlns:r="http://schemas.openxmlformats.org/officeDocument/2006/relationships" r:id="rId80"/>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1028</xdr:row>
      <xdr:rowOff>142875</xdr:rowOff>
    </xdr:from>
    <xdr:to>
      <xdr:col>0</xdr:col>
      <xdr:colOff>666750</xdr:colOff>
      <xdr:row>1339</xdr:row>
      <xdr:rowOff>314325</xdr:rowOff>
    </xdr:to>
    <xdr:pic>
      <xdr:nvPicPr>
        <xdr:cNvPr id="3153" name="Рисунок 82">
          <a:hlinkClick xmlns:r="http://schemas.openxmlformats.org/officeDocument/2006/relationships" r:id="rId81"/>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1041</xdr:row>
      <xdr:rowOff>180975</xdr:rowOff>
    </xdr:from>
    <xdr:to>
      <xdr:col>0</xdr:col>
      <xdr:colOff>666750</xdr:colOff>
      <xdr:row>1339</xdr:row>
      <xdr:rowOff>304800</xdr:rowOff>
    </xdr:to>
    <xdr:pic>
      <xdr:nvPicPr>
        <xdr:cNvPr id="3154" name="Рисунок 83">
          <a:hlinkClick xmlns:r="http://schemas.openxmlformats.org/officeDocument/2006/relationships" r:id="rId82"/>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1054</xdr:row>
      <xdr:rowOff>104775</xdr:rowOff>
    </xdr:from>
    <xdr:to>
      <xdr:col>0</xdr:col>
      <xdr:colOff>666750</xdr:colOff>
      <xdr:row>1339</xdr:row>
      <xdr:rowOff>314325</xdr:rowOff>
    </xdr:to>
    <xdr:pic>
      <xdr:nvPicPr>
        <xdr:cNvPr id="3155" name="Рисунок 84">
          <a:hlinkClick xmlns:r="http://schemas.openxmlformats.org/officeDocument/2006/relationships" r:id="rId83"/>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1067</xdr:row>
      <xdr:rowOff>142875</xdr:rowOff>
    </xdr:from>
    <xdr:to>
      <xdr:col>0</xdr:col>
      <xdr:colOff>666750</xdr:colOff>
      <xdr:row>1339</xdr:row>
      <xdr:rowOff>295275</xdr:rowOff>
    </xdr:to>
    <xdr:pic>
      <xdr:nvPicPr>
        <xdr:cNvPr id="3156" name="Рисунок 85">
          <a:hlinkClick xmlns:r="http://schemas.openxmlformats.org/officeDocument/2006/relationships" r:id="rId84"/>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1080</xdr:row>
      <xdr:rowOff>171450</xdr:rowOff>
    </xdr:from>
    <xdr:to>
      <xdr:col>0</xdr:col>
      <xdr:colOff>666750</xdr:colOff>
      <xdr:row>1339</xdr:row>
      <xdr:rowOff>304800</xdr:rowOff>
    </xdr:to>
    <xdr:pic>
      <xdr:nvPicPr>
        <xdr:cNvPr id="3157" name="Рисунок 86">
          <a:hlinkClick xmlns:r="http://schemas.openxmlformats.org/officeDocument/2006/relationships" r:id="rId85"/>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1093</xdr:row>
      <xdr:rowOff>171450</xdr:rowOff>
    </xdr:from>
    <xdr:to>
      <xdr:col>0</xdr:col>
      <xdr:colOff>666750</xdr:colOff>
      <xdr:row>1339</xdr:row>
      <xdr:rowOff>314325</xdr:rowOff>
    </xdr:to>
    <xdr:pic>
      <xdr:nvPicPr>
        <xdr:cNvPr id="3158" name="Рисунок 87">
          <a:hlinkClick xmlns:r="http://schemas.openxmlformats.org/officeDocument/2006/relationships" r:id="rId86"/>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1106</xdr:row>
      <xdr:rowOff>123825</xdr:rowOff>
    </xdr:from>
    <xdr:to>
      <xdr:col>0</xdr:col>
      <xdr:colOff>666750</xdr:colOff>
      <xdr:row>1339</xdr:row>
      <xdr:rowOff>304800</xdr:rowOff>
    </xdr:to>
    <xdr:pic>
      <xdr:nvPicPr>
        <xdr:cNvPr id="3159" name="Рисунок 88">
          <a:hlinkClick xmlns:r="http://schemas.openxmlformats.org/officeDocument/2006/relationships" r:id="rId87"/>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1119</xdr:row>
      <xdr:rowOff>161925</xdr:rowOff>
    </xdr:from>
    <xdr:to>
      <xdr:col>0</xdr:col>
      <xdr:colOff>666750</xdr:colOff>
      <xdr:row>1339</xdr:row>
      <xdr:rowOff>304800</xdr:rowOff>
    </xdr:to>
    <xdr:pic>
      <xdr:nvPicPr>
        <xdr:cNvPr id="3160" name="Рисунок 89">
          <a:hlinkClick xmlns:r="http://schemas.openxmlformats.org/officeDocument/2006/relationships" r:id="rId88"/>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04850"/>
        </a:xfrm>
        <a:prstGeom prst="rect">
          <a:avLst/>
        </a:prstGeom>
        <a:noFill/>
        <a:ln w="9525">
          <a:noFill/>
          <a:miter lim="800000"/>
          <a:headEnd/>
          <a:tailEnd/>
        </a:ln>
      </xdr:spPr>
    </xdr:pic>
    <xdr:clientData/>
  </xdr:twoCellAnchor>
  <xdr:twoCellAnchor editAs="oneCell">
    <xdr:from>
      <xdr:col>0</xdr:col>
      <xdr:colOff>0</xdr:colOff>
      <xdr:row>1132</xdr:row>
      <xdr:rowOff>161925</xdr:rowOff>
    </xdr:from>
    <xdr:to>
      <xdr:col>0</xdr:col>
      <xdr:colOff>666750</xdr:colOff>
      <xdr:row>1339</xdr:row>
      <xdr:rowOff>295275</xdr:rowOff>
    </xdr:to>
    <xdr:pic>
      <xdr:nvPicPr>
        <xdr:cNvPr id="3161" name="Рисунок 90">
          <a:hlinkClick xmlns:r="http://schemas.openxmlformats.org/officeDocument/2006/relationships" r:id="rId89"/>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47625</xdr:colOff>
      <xdr:row>1145</xdr:row>
      <xdr:rowOff>228600</xdr:rowOff>
    </xdr:from>
    <xdr:to>
      <xdr:col>1</xdr:col>
      <xdr:colOff>19050</xdr:colOff>
      <xdr:row>1339</xdr:row>
      <xdr:rowOff>285750</xdr:rowOff>
    </xdr:to>
    <xdr:pic>
      <xdr:nvPicPr>
        <xdr:cNvPr id="3162" name="Рисунок 91">
          <a:hlinkClick xmlns:r="http://schemas.openxmlformats.org/officeDocument/2006/relationships" r:id="rId90"/>
        </xdr:cNvPr>
        <xdr:cNvPicPr>
          <a:picLocks noChangeAspect="1"/>
        </xdr:cNvPicPr>
      </xdr:nvPicPr>
      <xdr:blipFill>
        <a:blip xmlns:r="http://schemas.openxmlformats.org/officeDocument/2006/relationships" r:embed="rId5" cstate="print"/>
        <a:srcRect/>
        <a:stretch>
          <a:fillRect/>
        </a:stretch>
      </xdr:blipFill>
      <xdr:spPr bwMode="auto">
        <a:xfrm>
          <a:off x="47625" y="136569450"/>
          <a:ext cx="666750" cy="685800"/>
        </a:xfrm>
        <a:prstGeom prst="rect">
          <a:avLst/>
        </a:prstGeom>
        <a:noFill/>
        <a:ln w="9525">
          <a:noFill/>
          <a:miter lim="800000"/>
          <a:headEnd/>
          <a:tailEnd/>
        </a:ln>
      </xdr:spPr>
    </xdr:pic>
    <xdr:clientData/>
  </xdr:twoCellAnchor>
  <xdr:twoCellAnchor editAs="oneCell">
    <xdr:from>
      <xdr:col>0</xdr:col>
      <xdr:colOff>0</xdr:colOff>
      <xdr:row>1158</xdr:row>
      <xdr:rowOff>123825</xdr:rowOff>
    </xdr:from>
    <xdr:to>
      <xdr:col>0</xdr:col>
      <xdr:colOff>666750</xdr:colOff>
      <xdr:row>1339</xdr:row>
      <xdr:rowOff>295275</xdr:rowOff>
    </xdr:to>
    <xdr:pic>
      <xdr:nvPicPr>
        <xdr:cNvPr id="3163" name="Рисунок 92">
          <a:hlinkClick xmlns:r="http://schemas.openxmlformats.org/officeDocument/2006/relationships" r:id="rId91"/>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1171</xdr:row>
      <xdr:rowOff>152400</xdr:rowOff>
    </xdr:from>
    <xdr:to>
      <xdr:col>0</xdr:col>
      <xdr:colOff>666750</xdr:colOff>
      <xdr:row>1339</xdr:row>
      <xdr:rowOff>295275</xdr:rowOff>
    </xdr:to>
    <xdr:pic>
      <xdr:nvPicPr>
        <xdr:cNvPr id="3164" name="Рисунок 93">
          <a:hlinkClick xmlns:r="http://schemas.openxmlformats.org/officeDocument/2006/relationships" r:id="rId92"/>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1184</xdr:row>
      <xdr:rowOff>142875</xdr:rowOff>
    </xdr:from>
    <xdr:to>
      <xdr:col>0</xdr:col>
      <xdr:colOff>666750</xdr:colOff>
      <xdr:row>1339</xdr:row>
      <xdr:rowOff>295275</xdr:rowOff>
    </xdr:to>
    <xdr:pic>
      <xdr:nvPicPr>
        <xdr:cNvPr id="3165" name="Рисунок 94">
          <a:hlinkClick xmlns:r="http://schemas.openxmlformats.org/officeDocument/2006/relationships" r:id="rId93"/>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1197</xdr:row>
      <xdr:rowOff>285750</xdr:rowOff>
    </xdr:from>
    <xdr:to>
      <xdr:col>0</xdr:col>
      <xdr:colOff>666750</xdr:colOff>
      <xdr:row>1339</xdr:row>
      <xdr:rowOff>314325</xdr:rowOff>
    </xdr:to>
    <xdr:pic>
      <xdr:nvPicPr>
        <xdr:cNvPr id="3166" name="Рисунок 95">
          <a:hlinkClick xmlns:r="http://schemas.openxmlformats.org/officeDocument/2006/relationships" r:id="rId94"/>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1210</xdr:row>
      <xdr:rowOff>200025</xdr:rowOff>
    </xdr:from>
    <xdr:to>
      <xdr:col>0</xdr:col>
      <xdr:colOff>666750</xdr:colOff>
      <xdr:row>1339</xdr:row>
      <xdr:rowOff>295275</xdr:rowOff>
    </xdr:to>
    <xdr:pic>
      <xdr:nvPicPr>
        <xdr:cNvPr id="3167" name="Рисунок 96">
          <a:hlinkClick xmlns:r="http://schemas.openxmlformats.org/officeDocument/2006/relationships" r:id="rId95"/>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1223</xdr:row>
      <xdr:rowOff>238125</xdr:rowOff>
    </xdr:from>
    <xdr:to>
      <xdr:col>0</xdr:col>
      <xdr:colOff>666750</xdr:colOff>
      <xdr:row>1339</xdr:row>
      <xdr:rowOff>295275</xdr:rowOff>
    </xdr:to>
    <xdr:pic>
      <xdr:nvPicPr>
        <xdr:cNvPr id="3168" name="Рисунок 97">
          <a:hlinkClick xmlns:r="http://schemas.openxmlformats.org/officeDocument/2006/relationships" r:id="rId96"/>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1236</xdr:row>
      <xdr:rowOff>219075</xdr:rowOff>
    </xdr:from>
    <xdr:to>
      <xdr:col>0</xdr:col>
      <xdr:colOff>666750</xdr:colOff>
      <xdr:row>1339</xdr:row>
      <xdr:rowOff>295275</xdr:rowOff>
    </xdr:to>
    <xdr:pic>
      <xdr:nvPicPr>
        <xdr:cNvPr id="3169" name="Рисунок 98">
          <a:hlinkClick xmlns:r="http://schemas.openxmlformats.org/officeDocument/2006/relationships" r:id="rId97"/>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1249</xdr:row>
      <xdr:rowOff>266700</xdr:rowOff>
    </xdr:from>
    <xdr:to>
      <xdr:col>0</xdr:col>
      <xdr:colOff>666750</xdr:colOff>
      <xdr:row>1339</xdr:row>
      <xdr:rowOff>285750</xdr:rowOff>
    </xdr:to>
    <xdr:pic>
      <xdr:nvPicPr>
        <xdr:cNvPr id="3170" name="Рисунок 99">
          <a:hlinkClick xmlns:r="http://schemas.openxmlformats.org/officeDocument/2006/relationships" r:id="rId98"/>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85800"/>
        </a:xfrm>
        <a:prstGeom prst="rect">
          <a:avLst/>
        </a:prstGeom>
        <a:noFill/>
        <a:ln w="9525">
          <a:noFill/>
          <a:miter lim="800000"/>
          <a:headEnd/>
          <a:tailEnd/>
        </a:ln>
      </xdr:spPr>
    </xdr:pic>
    <xdr:clientData/>
  </xdr:twoCellAnchor>
  <xdr:twoCellAnchor editAs="oneCell">
    <xdr:from>
      <xdr:col>0</xdr:col>
      <xdr:colOff>0</xdr:colOff>
      <xdr:row>1262</xdr:row>
      <xdr:rowOff>190500</xdr:rowOff>
    </xdr:from>
    <xdr:to>
      <xdr:col>0</xdr:col>
      <xdr:colOff>666750</xdr:colOff>
      <xdr:row>1339</xdr:row>
      <xdr:rowOff>295275</xdr:rowOff>
    </xdr:to>
    <xdr:pic>
      <xdr:nvPicPr>
        <xdr:cNvPr id="3171" name="Рисунок 100">
          <a:hlinkClick xmlns:r="http://schemas.openxmlformats.org/officeDocument/2006/relationships" r:id="rId99"/>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1276</xdr:row>
      <xdr:rowOff>28575</xdr:rowOff>
    </xdr:from>
    <xdr:to>
      <xdr:col>0</xdr:col>
      <xdr:colOff>666750</xdr:colOff>
      <xdr:row>1339</xdr:row>
      <xdr:rowOff>314325</xdr:rowOff>
    </xdr:to>
    <xdr:pic>
      <xdr:nvPicPr>
        <xdr:cNvPr id="3172" name="Рисунок 101">
          <a:hlinkClick xmlns:r="http://schemas.openxmlformats.org/officeDocument/2006/relationships" r:id="rId100"/>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714375"/>
        </a:xfrm>
        <a:prstGeom prst="rect">
          <a:avLst/>
        </a:prstGeom>
        <a:noFill/>
        <a:ln w="9525">
          <a:noFill/>
          <a:miter lim="800000"/>
          <a:headEnd/>
          <a:tailEnd/>
        </a:ln>
      </xdr:spPr>
    </xdr:pic>
    <xdr:clientData/>
  </xdr:twoCellAnchor>
  <xdr:twoCellAnchor editAs="oneCell">
    <xdr:from>
      <xdr:col>0</xdr:col>
      <xdr:colOff>0</xdr:colOff>
      <xdr:row>1288</xdr:row>
      <xdr:rowOff>200025</xdr:rowOff>
    </xdr:from>
    <xdr:to>
      <xdr:col>0</xdr:col>
      <xdr:colOff>666750</xdr:colOff>
      <xdr:row>1339</xdr:row>
      <xdr:rowOff>295275</xdr:rowOff>
    </xdr:to>
    <xdr:pic>
      <xdr:nvPicPr>
        <xdr:cNvPr id="3173" name="Рисунок 102">
          <a:hlinkClick xmlns:r="http://schemas.openxmlformats.org/officeDocument/2006/relationships" r:id="rId101"/>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95325"/>
        </a:xfrm>
        <a:prstGeom prst="rect">
          <a:avLst/>
        </a:prstGeom>
        <a:noFill/>
        <a:ln w="9525">
          <a:noFill/>
          <a:miter lim="800000"/>
          <a:headEnd/>
          <a:tailEnd/>
        </a:ln>
      </xdr:spPr>
    </xdr:pic>
    <xdr:clientData/>
  </xdr:twoCellAnchor>
  <xdr:twoCellAnchor editAs="oneCell">
    <xdr:from>
      <xdr:col>0</xdr:col>
      <xdr:colOff>0</xdr:colOff>
      <xdr:row>1301</xdr:row>
      <xdr:rowOff>304800</xdr:rowOff>
    </xdr:from>
    <xdr:to>
      <xdr:col>0</xdr:col>
      <xdr:colOff>666750</xdr:colOff>
      <xdr:row>1339</xdr:row>
      <xdr:rowOff>285750</xdr:rowOff>
    </xdr:to>
    <xdr:pic>
      <xdr:nvPicPr>
        <xdr:cNvPr id="3174" name="Рисунок 103">
          <a:hlinkClick xmlns:r="http://schemas.openxmlformats.org/officeDocument/2006/relationships" r:id="rId102"/>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85800"/>
        </a:xfrm>
        <a:prstGeom prst="rect">
          <a:avLst/>
        </a:prstGeom>
        <a:noFill/>
        <a:ln w="9525">
          <a:noFill/>
          <a:miter lim="800000"/>
          <a:headEnd/>
          <a:tailEnd/>
        </a:ln>
      </xdr:spPr>
    </xdr:pic>
    <xdr:clientData/>
  </xdr:twoCellAnchor>
  <xdr:twoCellAnchor editAs="oneCell">
    <xdr:from>
      <xdr:col>0</xdr:col>
      <xdr:colOff>0</xdr:colOff>
      <xdr:row>1314</xdr:row>
      <xdr:rowOff>114300</xdr:rowOff>
    </xdr:from>
    <xdr:to>
      <xdr:col>0</xdr:col>
      <xdr:colOff>666750</xdr:colOff>
      <xdr:row>1339</xdr:row>
      <xdr:rowOff>285750</xdr:rowOff>
    </xdr:to>
    <xdr:pic>
      <xdr:nvPicPr>
        <xdr:cNvPr id="3175" name="Рисунок 104">
          <a:hlinkClick xmlns:r="http://schemas.openxmlformats.org/officeDocument/2006/relationships" r:id="rId103"/>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85800"/>
        </a:xfrm>
        <a:prstGeom prst="rect">
          <a:avLst/>
        </a:prstGeom>
        <a:noFill/>
        <a:ln w="9525">
          <a:noFill/>
          <a:miter lim="800000"/>
          <a:headEnd/>
          <a:tailEnd/>
        </a:ln>
      </xdr:spPr>
    </xdr:pic>
    <xdr:clientData/>
  </xdr:twoCellAnchor>
  <xdr:twoCellAnchor editAs="oneCell">
    <xdr:from>
      <xdr:col>0</xdr:col>
      <xdr:colOff>0</xdr:colOff>
      <xdr:row>1327</xdr:row>
      <xdr:rowOff>219075</xdr:rowOff>
    </xdr:from>
    <xdr:to>
      <xdr:col>0</xdr:col>
      <xdr:colOff>666750</xdr:colOff>
      <xdr:row>1339</xdr:row>
      <xdr:rowOff>285750</xdr:rowOff>
    </xdr:to>
    <xdr:pic>
      <xdr:nvPicPr>
        <xdr:cNvPr id="3176" name="Рисунок 105">
          <a:hlinkClick xmlns:r="http://schemas.openxmlformats.org/officeDocument/2006/relationships" r:id="rId104"/>
        </xdr:cNvPr>
        <xdr:cNvPicPr>
          <a:picLocks noChangeAspect="1"/>
        </xdr:cNvPicPr>
      </xdr:nvPicPr>
      <xdr:blipFill>
        <a:blip xmlns:r="http://schemas.openxmlformats.org/officeDocument/2006/relationships" r:embed="rId5" cstate="print"/>
        <a:srcRect/>
        <a:stretch>
          <a:fillRect/>
        </a:stretch>
      </xdr:blipFill>
      <xdr:spPr bwMode="auto">
        <a:xfrm>
          <a:off x="0" y="136569450"/>
          <a:ext cx="666750" cy="6858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211</xdr:row>
      <xdr:rowOff>0</xdr:rowOff>
    </xdr:from>
    <xdr:to>
      <xdr:col>10</xdr:col>
      <xdr:colOff>77470</xdr:colOff>
      <xdr:row>216</xdr:row>
      <xdr:rowOff>83820</xdr:rowOff>
    </xdr:to>
    <xdr:sp macro="" textlink="">
      <xdr:nvSpPr>
        <xdr:cNvPr id="3" name="Прямоугольник: скругленные углы 2">
          <a:hlinkClick xmlns:r="http://schemas.openxmlformats.org/officeDocument/2006/relationships" r:id="rId1"/>
          <a:extLst>
            <a:ext uri="{FF2B5EF4-FFF2-40B4-BE49-F238E27FC236}"/>
          </a:extLst>
        </xdr:cNvPr>
        <xdr:cNvSpPr/>
      </xdr:nvSpPr>
      <xdr:spPr>
        <a:xfrm>
          <a:off x="787400" y="85610700"/>
          <a:ext cx="11799570" cy="141732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p>
        <a:p>
          <a:pPr algn="ctr"/>
          <a:r>
            <a:rPr lang="uk-UA" sz="3200" b="1">
              <a:solidFill>
                <a:schemeClr val="dk1"/>
              </a:solidFill>
              <a:effectLst/>
              <a:latin typeface="+mn-lt"/>
              <a:ea typeface="+mn-ea"/>
              <a:cs typeface="+mn-cs"/>
            </a:rPr>
            <a:t>до початку</a:t>
          </a:r>
          <a:r>
            <a:rPr lang="uk-UA" sz="3200" b="1" baseline="0">
              <a:solidFill>
                <a:schemeClr val="dk1"/>
              </a:solidFill>
              <a:effectLst/>
              <a:latin typeface="+mn-lt"/>
              <a:ea typeface="+mn-ea"/>
              <a:cs typeface="+mn-cs"/>
            </a:rPr>
            <a:t> сторінки</a:t>
          </a:r>
          <a:endParaRPr lang="x-none" sz="6000" b="1">
            <a:effectLst/>
          </a:endParaRPr>
        </a:p>
      </xdr:txBody>
    </xdr:sp>
    <xdr:clientData/>
  </xdr:twoCellAnchor>
  <xdr:twoCellAnchor editAs="oneCell">
    <xdr:from>
      <xdr:col>6</xdr:col>
      <xdr:colOff>581025</xdr:colOff>
      <xdr:row>10</xdr:row>
      <xdr:rowOff>314325</xdr:rowOff>
    </xdr:from>
    <xdr:to>
      <xdr:col>6</xdr:col>
      <xdr:colOff>1295400</xdr:colOff>
      <xdr:row>11</xdr:row>
      <xdr:rowOff>352425</xdr:rowOff>
    </xdr:to>
    <xdr:pic>
      <xdr:nvPicPr>
        <xdr:cNvPr id="7170" name="Рисунок 4"/>
        <xdr:cNvPicPr>
          <a:picLocks noChangeAspect="1"/>
        </xdr:cNvPicPr>
      </xdr:nvPicPr>
      <xdr:blipFill>
        <a:blip xmlns:r="http://schemas.openxmlformats.org/officeDocument/2006/relationships" r:embed="rId2" cstate="print"/>
        <a:srcRect/>
        <a:stretch>
          <a:fillRect/>
        </a:stretch>
      </xdr:blipFill>
      <xdr:spPr bwMode="auto">
        <a:xfrm>
          <a:off x="7981950" y="3895725"/>
          <a:ext cx="714375" cy="7334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762000</xdr:colOff>
      <xdr:row>167</xdr:row>
      <xdr:rowOff>177800</xdr:rowOff>
    </xdr:from>
    <xdr:to>
      <xdr:col>5</xdr:col>
      <xdr:colOff>1344006</xdr:colOff>
      <xdr:row>174</xdr:row>
      <xdr:rowOff>155402</xdr:rowOff>
    </xdr:to>
    <xdr:sp macro="" textlink="">
      <xdr:nvSpPr>
        <xdr:cNvPr id="2" name="Прямоугольник: скругленные углы 1">
          <a:hlinkClick xmlns:r="http://schemas.openxmlformats.org/officeDocument/2006/relationships" r:id="rId1"/>
          <a:extLst>
            <a:ext uri="{FF2B5EF4-FFF2-40B4-BE49-F238E27FC236}"/>
          </a:extLst>
        </xdr:cNvPr>
        <xdr:cNvSpPr/>
      </xdr:nvSpPr>
      <xdr:spPr>
        <a:xfrm>
          <a:off x="1028700" y="47459900"/>
          <a:ext cx="11313506" cy="1400002"/>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p>
        <a:p>
          <a:pPr algn="ctr"/>
          <a:r>
            <a:rPr lang="uk-UA" sz="3200" b="1">
              <a:solidFill>
                <a:schemeClr val="dk1"/>
              </a:solidFill>
              <a:effectLst/>
              <a:latin typeface="+mn-lt"/>
              <a:ea typeface="+mn-ea"/>
              <a:cs typeface="+mn-cs"/>
            </a:rPr>
            <a:t>до початку</a:t>
          </a:r>
          <a:r>
            <a:rPr lang="uk-UA" sz="3200" b="1" baseline="0">
              <a:solidFill>
                <a:schemeClr val="dk1"/>
              </a:solidFill>
              <a:effectLst/>
              <a:latin typeface="+mn-lt"/>
              <a:ea typeface="+mn-ea"/>
              <a:cs typeface="+mn-cs"/>
            </a:rPr>
            <a:t> сторінки</a:t>
          </a:r>
          <a:endParaRPr lang="x-none" sz="6000" b="1">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19050</xdr:colOff>
      <xdr:row>6</xdr:row>
      <xdr:rowOff>161925</xdr:rowOff>
    </xdr:from>
    <xdr:to>
      <xdr:col>23</xdr:col>
      <xdr:colOff>485775</xdr:colOff>
      <xdr:row>32</xdr:row>
      <xdr:rowOff>19050</xdr:rowOff>
    </xdr:to>
    <xdr:graphicFrame macro="">
      <xdr:nvGraphicFramePr>
        <xdr:cNvPr id="9217"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400050</xdr:colOff>
      <xdr:row>33</xdr:row>
      <xdr:rowOff>95250</xdr:rowOff>
    </xdr:from>
    <xdr:to>
      <xdr:col>14</xdr:col>
      <xdr:colOff>314325</xdr:colOff>
      <xdr:row>54</xdr:row>
      <xdr:rowOff>66675</xdr:rowOff>
    </xdr:to>
    <xdr:graphicFrame macro="">
      <xdr:nvGraphicFramePr>
        <xdr:cNvPr id="9218"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33</xdr:row>
      <xdr:rowOff>66675</xdr:rowOff>
    </xdr:from>
    <xdr:to>
      <xdr:col>24</xdr:col>
      <xdr:colOff>0</xdr:colOff>
      <xdr:row>55</xdr:row>
      <xdr:rowOff>0</xdr:rowOff>
    </xdr:to>
    <xdr:graphicFrame macro="">
      <xdr:nvGraphicFramePr>
        <xdr:cNvPr id="9219"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476250</xdr:colOff>
      <xdr:row>55</xdr:row>
      <xdr:rowOff>38100</xdr:rowOff>
    </xdr:from>
    <xdr:to>
      <xdr:col>14</xdr:col>
      <xdr:colOff>381000</xdr:colOff>
      <xdr:row>75</xdr:row>
      <xdr:rowOff>133350</xdr:rowOff>
    </xdr:to>
    <xdr:graphicFrame macro="">
      <xdr:nvGraphicFramePr>
        <xdr:cNvPr id="9220"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19050</xdr:colOff>
      <xdr:row>55</xdr:row>
      <xdr:rowOff>38100</xdr:rowOff>
    </xdr:from>
    <xdr:to>
      <xdr:col>24</xdr:col>
      <xdr:colOff>38100</xdr:colOff>
      <xdr:row>75</xdr:row>
      <xdr:rowOff>171450</xdr:rowOff>
    </xdr:to>
    <xdr:graphicFrame macro="">
      <xdr:nvGraphicFramePr>
        <xdr:cNvPr id="9221"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171450</xdr:colOff>
      <xdr:row>6</xdr:row>
      <xdr:rowOff>123825</xdr:rowOff>
    </xdr:from>
    <xdr:to>
      <xdr:col>37</xdr:col>
      <xdr:colOff>104775</xdr:colOff>
      <xdr:row>32</xdr:row>
      <xdr:rowOff>47625</xdr:rowOff>
    </xdr:to>
    <xdr:graphicFrame macro="">
      <xdr:nvGraphicFramePr>
        <xdr:cNvPr id="9222"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314325</xdr:colOff>
      <xdr:row>78</xdr:row>
      <xdr:rowOff>123825</xdr:rowOff>
    </xdr:from>
    <xdr:to>
      <xdr:col>24</xdr:col>
      <xdr:colOff>123825</xdr:colOff>
      <xdr:row>108</xdr:row>
      <xdr:rowOff>28575</xdr:rowOff>
    </xdr:to>
    <xdr:graphicFrame macro="">
      <xdr:nvGraphicFramePr>
        <xdr:cNvPr id="922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371475</xdr:colOff>
      <xdr:row>109</xdr:row>
      <xdr:rowOff>123825</xdr:rowOff>
    </xdr:from>
    <xdr:to>
      <xdr:col>16</xdr:col>
      <xdr:colOff>504825</xdr:colOff>
      <xdr:row>130</xdr:row>
      <xdr:rowOff>47625</xdr:rowOff>
    </xdr:to>
    <xdr:graphicFrame macro="">
      <xdr:nvGraphicFramePr>
        <xdr:cNvPr id="9224"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276225</xdr:colOff>
      <xdr:row>109</xdr:row>
      <xdr:rowOff>47625</xdr:rowOff>
    </xdr:from>
    <xdr:to>
      <xdr:col>27</xdr:col>
      <xdr:colOff>228600</xdr:colOff>
      <xdr:row>131</xdr:row>
      <xdr:rowOff>85725</xdr:rowOff>
    </xdr:to>
    <xdr:graphicFrame macro="">
      <xdr:nvGraphicFramePr>
        <xdr:cNvPr id="922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123825</xdr:colOff>
      <xdr:row>132</xdr:row>
      <xdr:rowOff>142875</xdr:rowOff>
    </xdr:from>
    <xdr:to>
      <xdr:col>17</xdr:col>
      <xdr:colOff>19050</xdr:colOff>
      <xdr:row>154</xdr:row>
      <xdr:rowOff>142875</xdr:rowOff>
    </xdr:to>
    <xdr:graphicFrame macro="">
      <xdr:nvGraphicFramePr>
        <xdr:cNvPr id="9226"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333375</xdr:colOff>
      <xdr:row>132</xdr:row>
      <xdr:rowOff>114300</xdr:rowOff>
    </xdr:from>
    <xdr:to>
      <xdr:col>28</xdr:col>
      <xdr:colOff>38100</xdr:colOff>
      <xdr:row>154</xdr:row>
      <xdr:rowOff>38100</xdr:rowOff>
    </xdr:to>
    <xdr:graphicFrame macro="">
      <xdr:nvGraphicFramePr>
        <xdr:cNvPr id="9227"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428625</xdr:colOff>
      <xdr:row>79</xdr:row>
      <xdr:rowOff>28575</xdr:rowOff>
    </xdr:from>
    <xdr:to>
      <xdr:col>38</xdr:col>
      <xdr:colOff>171450</xdr:colOff>
      <xdr:row>107</xdr:row>
      <xdr:rowOff>47625</xdr:rowOff>
    </xdr:to>
    <xdr:graphicFrame macro="">
      <xdr:nvGraphicFramePr>
        <xdr:cNvPr id="9228"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ank.gov.ua/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72rc2j\vera\DOCUME~1\Chirich\LOCALS~1\Temp\Rar$DI00.938\Dept\Plan\Exchange\!_Plan-2006\&#1042;&#1040;&#1058;%20&#1048;&#1074;&#1072;&#1085;&#1086;%20&#1092;&#1088;&#1072;&#1085;&#1082;&#1080;&#1074;&#1089;&#1100;&#1082;&#1075;&#1072;&#1079;\Dodatok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72rc2j\vera\&#1052;&#1086;&#1080;%20&#1076;&#1086;&#1082;&#1091;&#1084;&#1077;&#1085;&#1090;&#1099;\Plan-2006_kons_rabota\Dept\Plan\Exchange\_________________________Plan_ZP\!_&#1055;&#1077;&#1095;&#1072;&#1090;&#1100;\&#1052;&#1058;&#1056;%20&#1074;&#1089;&#1077;%20-%2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72rc2j\vera\Dept\Plan\Exchange\!_Plan-2006\&#1042;&#1040;&#1058;%20&#1048;&#1074;&#1072;&#1085;&#1086;%20&#1092;&#1088;&#1072;&#1085;&#1082;&#1080;&#1074;&#1089;&#1100;&#1082;&#1075;&#1072;&#1079;\Dodatok1%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echiporenko\2007&#1053;&#1054;&#1042;\DOCUME~1\Chirich\LOCALS~1\Temp\Dept\Plan\Exchange\_________________________Plan_ZP\!_&#1055;&#1077;&#1095;&#1072;&#1090;&#1100;\&#1052;&#1058;&#1056;%20&#1074;&#1089;&#1077;%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1052;&#1086;&#1080;%20&#1076;&#1086;&#1082;&#1091;&#1084;&#1077;&#1085;&#1090;&#1099;\Plan-2006_kons_rabota\Dept\Plan\Exchange\_________________________Plan_ZP\!_&#1055;&#1077;&#1095;&#1072;&#1090;&#1100;\&#1052;&#1058;&#1056;%20&#1074;&#1089;&#1077;%20-%2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Dept\Plan\Exchange\!_Plan-2006\&#1042;&#1040;&#1058;%20&#1048;&#1074;&#1072;&#1085;&#1086;%20&#1092;&#1088;&#1072;&#1085;&#1082;&#1080;&#1074;&#1089;&#1100;&#1082;&#1075;&#1072;&#1079;\Dodatok1%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DOCUME~1\Chirich\LOCALS~1\Temp\Dept\Plan\Exchange\_________________________Plan_ZP\!_&#1055;&#1077;&#1095;&#1072;&#1090;&#1100;\&#1052;&#1058;&#1056;%20&#1074;&#1089;&#1077;%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Dept\Plan\Exchange\!_Plan-2006\VAT%20Sevastop\Dept\Plan\Exchange\_________________________Plan_ZP\!_&#1055;&#1077;&#1095;&#1072;&#1090;&#1100;\&#1052;&#1058;&#1056;%20&#1074;&#1089;&#1077;%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Dept\Plan\Exchange\_________________________Plan_ZP\!_&#1055;&#1077;&#1095;&#1072;&#1090;&#1100;\&#1052;&#1058;&#1056;%20&#1074;&#1089;&#1077;%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File1\aaaa\2007%20finplan\DOCUME~1\SINKEV~1\LOCALS~1\Temp\Rar$DI00.781\Dept\Plan\Exchange\_________________________Plan_ZP\!_&#1055;&#1077;&#1095;&#1072;&#1090;&#1100;\&#1052;&#1058;&#1056;%20&#1074;&#1089;&#1077;%20-%2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redo\work\Dept\Plan\Exchange\_________________________Plan_ZP\!_&#1055;&#1077;&#1095;&#1072;&#1090;&#1100;\&#1052;&#1058;&#1056;%20&#1074;&#1089;&#1077;%20-%2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72rc2j\vera\Dept\Plan\Exchange\!_Plan-2006\VAT%20Sevastop\Dept\Plan\Exchange\_________________________Plan_ZP\!_&#1055;&#1077;&#1095;&#1072;&#1090;&#1100;\&#1052;&#1058;&#1056;%20&#1074;&#1089;&#1077;%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72rc2j\vera\DOCUME~1\Chirich\LOCALS~1\Temp\DOCUME~1\VOYTOV~1\LOCALS~1\Temp\Rar$DI00.867\Planning%20System%20Project\consolidation%20hq%20formatt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72rc2j\vera\DOCUME~1\Chirich\LOCALS~1\Temp\Dept\Plan\Exchange\_________________________Plan_ZP\!_&#1055;&#1077;&#1095;&#1072;&#1090;&#1100;\&#1052;&#1058;&#1056;%20&#1074;&#1089;&#1077;%2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72rc2j\vera\Documents%20and%20Settings\SUDNIKOVA\Local%20Settings\Temporary%20Internet%20Files\Content.IE5\C5MFSXEF\Subv2006\Rich%20Roz%20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main1\DOCUME~1\Chirich\LOCALS~1\Temp\Dept\Plan\Exchange\_________________________Plan_ZP\!_&#1055;&#1077;&#1095;&#1072;&#1090;&#1100;\&#1052;&#1058;&#1056;%20&#1074;&#1089;&#1077;%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72rc2j\vera\Documents%20and%20Settings\andreyevskaya\&#1052;&#1086;&#1080;%20&#1076;&#1086;&#1082;&#1091;&#1084;&#1077;&#1085;&#1090;&#1099;\OLGA\&#1056;&#1045;&#1040;&#1051;&#1048;&#1047;&#1040;&#1062;&#1048;&#1071;_2006\2006_REALIZ_&#1058;&#1045;(&#1090;&#1088;&#1072;&#1074;&#1077;&#1085;&#11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bank.gov.ua/S_N_A/1July2001/GDP/realgdp/LENA/BGVN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72rc2j\vera\&#1052;&#1086;&#1080;%20&#1076;&#1086;&#1082;&#1091;&#1084;&#1077;&#1085;&#1090;&#1099;\Plan-2006_kons_rabota\Dept\FinPlan-Economy\Planning%20System%20Project\consolidation%20hq%20format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DOCUME~1\Chirich\LOCALS~1\Temp\Rar$DI00.938\Dept\Plan\Exchange\!_Plan-2006\&#1042;&#1040;&#1058;%20&#1048;&#1074;&#1072;&#1085;&#1086;%20&#1092;&#1088;&#1072;&#1085;&#1082;&#1080;&#1074;&#1089;&#1100;&#1082;&#1075;&#1072;&#1079;\Dodatok1%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72rc2j\vera\FinanceUTG\finek2008\&#1043;&#1088;&#1091;&#1076;&#1077;&#1085;&#1100;%20(&#1086;&#1095;&#1080;&#1082;)\DOCUME~1\SINKEV~1\LOCALS~1\Temp\Rar$DI00.781\Dept\Plan\Exchange\_________________________Plan_ZP\!_&#1055;&#1077;&#1095;&#1072;&#1090;&#1100;\&#1052;&#1058;&#1056;%20&#1074;&#1089;&#1077;%20-%2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DOCUME~1\SINKEV~1\LOCALS~1\Temp\Rar$DI00.781\Dept\FinPlan-Economy\Planning%20System%20Project\consolidation%20hq%20formatte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nkovalenko/Desktop/Kharkiv/03.%20ppt/&#1087;&#1088;&#1072;&#1082;&#1090;_InSight_E_tool_Fin_Planning_2019_f%20(&#1053;&#1045;&#1043;&#1030;&#1056;&#1057;&#1068;&#1050;&#1048;&#1049;_1_&#1083;&#1080;&#1087;&#1085;&#110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echiporenko\2007&#1053;&#1054;&#1042;\DOCUME~1\Chirich\LOCALS~1\Temp\DOCUME~1\VOYTOV~1\LOCALS~1\Temp\Rar$DI00.867\Planning%20System%20Project\consolidation%20hq%20formatt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Dept\FinPlan-Economy\Planning%20System%20Project\consolidation%20hq%20formatt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MAIN1\Dept\FinPlan-Economy\Planning%20System%20Project\consolidation%20hq%20forma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72rc2j\vera\Documents%20and%20Settings\likhachov\Local%20Settings\Temporary%20Internet%20Files\Content.IE5\RY4RBH0P\2006_REALIZ_&#1058;&#1045;(&#1083;&#1102;&#1090;&#1080;&#1081;20%2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72rc2j\vera\FinanceUTG\finek2008\&#1043;&#1088;&#1091;&#1076;&#1077;&#1085;&#1100;%20(&#1086;&#1095;&#1080;&#1082;)\DOCUME~1\SINKEV~1\LOCALS~1\Temp\Rar$DI00.781\Dept\FinPlan-Economy\Planning%20System%20Project\consolidation%20hq%20format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1052;&#1086;&#1080;%20&#1076;&#1086;&#1082;&#1091;&#1084;&#1077;&#1085;&#1090;&#1099;\Plan-2006_kons_rabota\Dept\FinPlan-Economy\Planning%20System%20Project\consolidation%20hq%20format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redo\work\Dept\FinPlan-Economy\Planning%20System%20Project\consolidation%20hq%20format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DOCUME~1\Chirich\LOCALS~1\Temp\DOCUME~1\VOYTOV~1\LOCALS~1\Temp\Rar$DI00.867\Planning%20System%20Project\consolidation%20hq%20formatt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chiporenko\2007&#1053;&#1054;&#1042;\Dept\Plan\Exchange\!_Plan-2006\VAT%20Sevastop\Dept\Plan\Exchange\_________________________Plan_ZP\!_&#1055;&#1077;&#1095;&#1072;&#1090;&#1100;\&#1052;&#1058;&#1056;%20&#1074;&#1089;&#1077;%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ank.gov.ua/&#1052;&#1086;&#1080;%20&#1076;&#1086;&#1082;&#1091;&#1084;&#1077;&#1085;&#1090;&#1099;/Sergey/&#1055;&#1088;&#1086;&#1075;&#1085;&#1086;&#1079;/&#1056;&#1072;&#1073;&#1086;&#1095;&#1080;&#1077;%20&#1090;&#1072;&#1073;&#1083;&#1080;&#1094;&#1099;/new/zvedena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DP"/>
      <sheetName val="Real GDP &amp; Real IP (u)"/>
      <sheetName val="Real GDP &amp; Real IP (e)"/>
      <sheetName val="GDP_gr"/>
      <sheetName val="Светлые"/>
    </sheet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s>
    <definedNames>
      <definedName name="ShowFi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 val="МТР_Апарат"/>
      <sheetName val="МТР_Газ_України"/>
      <sheetName val="МТР_Укртрансгаз"/>
      <sheetName val="МТР_Укргазвидобування"/>
      <sheetName val="МТР_Укрспецтрансгаз"/>
      <sheetName val="МТР_Чорноморнафтогаз"/>
      <sheetName val="МТР_Укртранснафта"/>
      <sheetName val="МТР_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form"/>
    </sheet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otac"/>
      <sheetName val="DodDot"/>
      <sheetName val="Dod ARK"/>
      <sheetName val="Dod Clavutich"/>
      <sheetName val="Svod 3511060"/>
      <sheetName val="Viluch(1-12)"/>
      <sheetName val="Diti "/>
      <sheetName val="TvPalGaz"/>
      <sheetName val="Ener "/>
      <sheetName val="IncsiPilgi (2)"/>
      <sheetName val="GirZakon"/>
      <sheetName val="Govti Vodi"/>
      <sheetName val="Chor Flot"/>
      <sheetName val="Afganci"/>
      <sheetName val="Shidka Dop"/>
      <sheetName val="Likarna"/>
      <sheetName val="Zoiot Pidkova"/>
      <sheetName val="Granti"/>
      <sheetName val="Granti1"/>
      <sheetName val="Vibori"/>
      <sheetName val="Metro"/>
      <sheetName val="Oper Teatr"/>
      <sheetName val="Makeevka"/>
      <sheetName val="Ctix Lixo IvFrank"/>
      <sheetName val="Groshi xodat za dit"/>
      <sheetName val="Ctix Lixo Zakarp"/>
      <sheetName val="Coc GKG Inv"/>
      <sheetName val="Tuzla"/>
      <sheetName val="Zmiinii"/>
      <sheetName val="Ctandarti"/>
      <sheetName val="CocEkon"/>
      <sheetName val="Ictor Zabudova"/>
      <sheetName val="Ict Zab"/>
      <sheetName val="Ukr Kultura"/>
      <sheetName val="Minoboroni"/>
      <sheetName val="Mic Arcenal"/>
      <sheetName val="Inekcini"/>
      <sheetName val="In"/>
      <sheetName val="diti ciroti -2(minmolod)"/>
      <sheetName val="Korek ocvita"/>
      <sheetName val="Tex Dic Ocvita"/>
      <sheetName val="Troleib"/>
      <sheetName val="Utoc.Zaoshadg"/>
      <sheetName val="Metro Cpec Fond"/>
      <sheetName val="Svitov Bank"/>
      <sheetName val="Shidka Dop Cp Fond"/>
      <sheetName val="Gazoprovodi"/>
      <sheetName val="Troleib Cpec Fond"/>
      <sheetName val="Zaporiggya"/>
      <sheetName val="Kremenchuk"/>
      <sheetName val="Pereviz ditey"/>
      <sheetName val="Kom dorigu"/>
      <sheetName val="Chor Fiot Cpec Fond"/>
      <sheetName val="Zaosch"/>
      <sheetName val="kryvRig"/>
      <sheetName val="OSVITA"/>
      <sheetName val="Tar"/>
      <sheetName val="Nar.instr"/>
      <sheetName val="DDot"/>
      <sheetName val="Dsub"/>
    </sheetNames>
    <sheetDataSet>
      <sheetData sheetId="0"/>
      <sheetData sheetId="1"/>
      <sheetData sheetId="2"/>
      <sheetData sheetId="3"/>
      <sheetData sheetId="4"/>
      <sheetData sheetId="5"/>
      <sheetData sheetId="6"/>
      <sheetData sheetId="7"/>
      <sheetData sheetId="8" refreshError="1">
        <row r="2">
          <cell r="A2" t="str">
            <v>Обсяг помісячного надходження субвенції з державного бюджету до місцевих бюджетів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вивезення побут</v>
          </cell>
        </row>
        <row r="5">
          <cell r="A5" t="str">
            <v>Код бюджету</v>
          </cell>
          <cell r="B5" t="str">
            <v>Назва адміністративно-територіальної одиниці</v>
          </cell>
          <cell r="C5" t="str">
            <v>січень</v>
          </cell>
          <cell r="D5" t="str">
            <v>лютий</v>
          </cell>
          <cell r="E5" t="str">
            <v>березень</v>
          </cell>
          <cell r="F5" t="str">
            <v>квітень</v>
          </cell>
          <cell r="G5" t="str">
            <v>травень</v>
          </cell>
        </row>
        <row r="6">
          <cell r="A6" t="str">
            <v>О1100000000</v>
          </cell>
          <cell r="B6" t="str">
            <v>бюджет Автономної Республіки Крим</v>
          </cell>
          <cell r="C6">
            <v>2463.5419999999999</v>
          </cell>
          <cell r="D6">
            <v>5004.6750000000002</v>
          </cell>
          <cell r="E6">
            <v>4874.01</v>
          </cell>
          <cell r="F6">
            <v>6713.2</v>
          </cell>
          <cell r="G6">
            <v>5483.6</v>
          </cell>
        </row>
        <row r="7">
          <cell r="A7" t="str">
            <v>О2100000000</v>
          </cell>
          <cell r="B7" t="str">
            <v>обласний бюджет Вiнницької області</v>
          </cell>
          <cell r="C7">
            <v>5585.9549999999999</v>
          </cell>
          <cell r="D7">
            <v>5130.4480000000003</v>
          </cell>
          <cell r="E7">
            <v>5614.5339999999997</v>
          </cell>
          <cell r="F7">
            <v>7821.4</v>
          </cell>
          <cell r="G7">
            <v>4676.6000000000004</v>
          </cell>
        </row>
        <row r="8">
          <cell r="A8" t="str">
            <v>О3100000000</v>
          </cell>
          <cell r="B8" t="str">
            <v>обласний бюджет Волинської області</v>
          </cell>
          <cell r="C8">
            <v>3419.413</v>
          </cell>
          <cell r="D8">
            <v>4547.1629999999996</v>
          </cell>
          <cell r="E8">
            <v>4267.8410000000003</v>
          </cell>
          <cell r="F8">
            <v>5180.2</v>
          </cell>
          <cell r="G8">
            <v>3258.4</v>
          </cell>
        </row>
        <row r="9">
          <cell r="A9" t="str">
            <v>О4100000000</v>
          </cell>
          <cell r="B9" t="str">
            <v>обласний бюджет Днiпропетровської області</v>
          </cell>
          <cell r="C9">
            <v>8288.7270000000008</v>
          </cell>
          <cell r="D9">
            <v>20991.351999999999</v>
          </cell>
          <cell r="E9">
            <v>16903.654999999999</v>
          </cell>
          <cell r="F9">
            <v>23535.787</v>
          </cell>
          <cell r="G9">
            <v>12935.2</v>
          </cell>
        </row>
        <row r="10">
          <cell r="A10" t="str">
            <v>О5100000000</v>
          </cell>
          <cell r="B10" t="str">
            <v>обласний бюджет Донецької області</v>
          </cell>
          <cell r="C10">
            <v>11729.522000000001</v>
          </cell>
          <cell r="D10">
            <v>19530.755000000001</v>
          </cell>
          <cell r="E10">
            <v>19355.436000000002</v>
          </cell>
          <cell r="F10">
            <v>26008.7</v>
          </cell>
          <cell r="G10">
            <v>15778.6</v>
          </cell>
        </row>
        <row r="11">
          <cell r="A11" t="str">
            <v>О6100000000</v>
          </cell>
          <cell r="B11" t="str">
            <v>обласний бюджет Житомирської області</v>
          </cell>
          <cell r="C11">
            <v>3202.2750000000001</v>
          </cell>
          <cell r="D11">
            <v>6561.0010000000002</v>
          </cell>
          <cell r="E11">
            <v>5316.2150000000001</v>
          </cell>
          <cell r="F11">
            <v>7407.8</v>
          </cell>
          <cell r="G11">
            <v>4605.7</v>
          </cell>
        </row>
        <row r="12">
          <cell r="A12" t="str">
            <v>О7100000000</v>
          </cell>
          <cell r="B12" t="str">
            <v>обласний бюджет Закарпатської області</v>
          </cell>
          <cell r="C12">
            <v>1513.9649999999999</v>
          </cell>
          <cell r="D12">
            <v>1806.577</v>
          </cell>
          <cell r="E12">
            <v>4712.2439999999997</v>
          </cell>
          <cell r="F12">
            <v>4277.8</v>
          </cell>
          <cell r="G12">
            <v>1586.9</v>
          </cell>
        </row>
        <row r="13">
          <cell r="A13" t="str">
            <v>О8100000000</v>
          </cell>
          <cell r="B13" t="str">
            <v>обласний бюджет Запорiзької області</v>
          </cell>
          <cell r="C13">
            <v>3867.2069999999999</v>
          </cell>
          <cell r="D13">
            <v>7903.7089999999998</v>
          </cell>
          <cell r="E13">
            <v>7399.4160000000002</v>
          </cell>
          <cell r="F13">
            <v>9874.5</v>
          </cell>
          <cell r="G13">
            <v>7155.4</v>
          </cell>
        </row>
        <row r="14">
          <cell r="A14" t="str">
            <v>О9100000000</v>
          </cell>
          <cell r="B14" t="str">
            <v>обласний бюджет Iвано-Франкiвської області</v>
          </cell>
          <cell r="C14">
            <v>3578.223</v>
          </cell>
          <cell r="D14">
            <v>5867.2309999999998</v>
          </cell>
          <cell r="E14">
            <v>6297.893</v>
          </cell>
          <cell r="F14">
            <v>9563.7000000000007</v>
          </cell>
          <cell r="G14">
            <v>3616.2</v>
          </cell>
        </row>
        <row r="15">
          <cell r="A15">
            <v>10100000000</v>
          </cell>
          <cell r="B15" t="str">
            <v>обласний бюджет Київської області</v>
          </cell>
          <cell r="C15">
            <v>10302.385</v>
          </cell>
          <cell r="D15">
            <v>16146.352999999999</v>
          </cell>
          <cell r="E15">
            <v>13833.255999999999</v>
          </cell>
          <cell r="F15">
            <v>18290.400000000001</v>
          </cell>
          <cell r="G15">
            <v>7404.9</v>
          </cell>
        </row>
        <row r="16">
          <cell r="A16">
            <v>11100000000</v>
          </cell>
          <cell r="B16" t="str">
            <v>обласний бюджет Кiровоградської області</v>
          </cell>
          <cell r="C16">
            <v>3580.96</v>
          </cell>
          <cell r="D16">
            <v>4993.7330000000002</v>
          </cell>
          <cell r="E16">
            <v>3976.05</v>
          </cell>
          <cell r="F16">
            <v>7419.8</v>
          </cell>
          <cell r="G16">
            <v>5284.3</v>
          </cell>
        </row>
        <row r="17">
          <cell r="A17">
            <v>12100000000</v>
          </cell>
          <cell r="B17" t="str">
            <v>обласний бюджет Луганської області</v>
          </cell>
          <cell r="C17">
            <v>2843.239</v>
          </cell>
          <cell r="D17">
            <v>8978.6</v>
          </cell>
          <cell r="E17">
            <v>6927.87</v>
          </cell>
          <cell r="F17">
            <v>9087.1</v>
          </cell>
          <cell r="G17">
            <v>6148.4</v>
          </cell>
        </row>
        <row r="18">
          <cell r="A18">
            <v>13100000000</v>
          </cell>
          <cell r="B18" t="str">
            <v>обласний бюджет Львiвської області</v>
          </cell>
          <cell r="C18">
            <v>13665.8</v>
          </cell>
          <cell r="D18">
            <v>12546.388000000001</v>
          </cell>
          <cell r="E18">
            <v>13924.588</v>
          </cell>
          <cell r="F18">
            <v>16320</v>
          </cell>
          <cell r="G18">
            <v>5542.7</v>
          </cell>
        </row>
        <row r="19">
          <cell r="A19">
            <v>14100000000</v>
          </cell>
          <cell r="B19" t="str">
            <v>обласний бюджет Миколаївської області</v>
          </cell>
          <cell r="C19">
            <v>1582.5519999999999</v>
          </cell>
          <cell r="D19">
            <v>4228.6229999999996</v>
          </cell>
          <cell r="E19">
            <v>4112.8190000000004</v>
          </cell>
          <cell r="F19">
            <v>5079.6000000000004</v>
          </cell>
          <cell r="G19">
            <v>4261.3</v>
          </cell>
        </row>
        <row r="20">
          <cell r="A20">
            <v>15100000000</v>
          </cell>
          <cell r="B20" t="str">
            <v>обласний бюджет Одеської області</v>
          </cell>
          <cell r="C20">
            <v>3570.1010000000001</v>
          </cell>
          <cell r="D20">
            <v>8569.5969999999998</v>
          </cell>
          <cell r="E20">
            <v>7127.8249999999998</v>
          </cell>
          <cell r="F20">
            <v>11636.5</v>
          </cell>
          <cell r="G20">
            <v>10163.4</v>
          </cell>
        </row>
        <row r="21">
          <cell r="A21">
            <v>16100000000</v>
          </cell>
          <cell r="B21" t="str">
            <v>обласний бюджет Полтавської області</v>
          </cell>
          <cell r="C21">
            <v>5666.1139999999996</v>
          </cell>
          <cell r="D21">
            <v>6422.4319999999998</v>
          </cell>
          <cell r="E21">
            <v>7489.7539999999999</v>
          </cell>
          <cell r="F21">
            <v>15258.1</v>
          </cell>
          <cell r="G21">
            <v>5827</v>
          </cell>
        </row>
        <row r="22">
          <cell r="A22">
            <v>17100000000</v>
          </cell>
          <cell r="B22" t="str">
            <v>обласний бюджет Рiвненської області</v>
          </cell>
          <cell r="C22">
            <v>1969.902</v>
          </cell>
          <cell r="D22">
            <v>3336.444</v>
          </cell>
          <cell r="E22">
            <v>5380.4470000000001</v>
          </cell>
          <cell r="F22">
            <v>5543.9</v>
          </cell>
          <cell r="G22">
            <v>2982.7</v>
          </cell>
        </row>
        <row r="23">
          <cell r="A23">
            <v>18100000000</v>
          </cell>
          <cell r="B23" t="str">
            <v>обласний бюджет Сумської області</v>
          </cell>
          <cell r="C23">
            <v>4169.5280000000002</v>
          </cell>
          <cell r="D23">
            <v>3622.9929999999999</v>
          </cell>
          <cell r="E23">
            <v>7895.424</v>
          </cell>
          <cell r="F23">
            <v>8377.1</v>
          </cell>
          <cell r="G23">
            <v>4032.7</v>
          </cell>
        </row>
        <row r="24">
          <cell r="A24">
            <v>19100000000</v>
          </cell>
          <cell r="B24" t="str">
            <v>обласний бюджет Тернопiльської області</v>
          </cell>
          <cell r="C24">
            <v>3701.9160000000002</v>
          </cell>
          <cell r="D24">
            <v>4896.8559999999998</v>
          </cell>
          <cell r="E24">
            <v>5147.2650000000003</v>
          </cell>
          <cell r="F24">
            <v>6839.9</v>
          </cell>
          <cell r="G24">
            <v>1830.2</v>
          </cell>
        </row>
        <row r="25">
          <cell r="A25">
            <v>20100000000</v>
          </cell>
          <cell r="B25" t="str">
            <v>обласний бюджет Харкiвської області</v>
          </cell>
          <cell r="C25">
            <v>8386.9330000000009</v>
          </cell>
          <cell r="D25">
            <v>11698.075000000001</v>
          </cell>
          <cell r="E25">
            <v>14592.047</v>
          </cell>
          <cell r="F25">
            <v>27208.2</v>
          </cell>
          <cell r="G25">
            <v>13691.3</v>
          </cell>
        </row>
        <row r="26">
          <cell r="A26">
            <v>21100000000</v>
          </cell>
          <cell r="B26" t="str">
            <v>обласний бюджет Херсонської області</v>
          </cell>
          <cell r="C26">
            <v>2200.9679999999998</v>
          </cell>
          <cell r="D26">
            <v>3252.5390000000002</v>
          </cell>
          <cell r="E26">
            <v>3255.58</v>
          </cell>
          <cell r="F26">
            <v>5299.7</v>
          </cell>
          <cell r="G26">
            <v>3272.2</v>
          </cell>
        </row>
        <row r="27">
          <cell r="A27">
            <v>22100000000</v>
          </cell>
          <cell r="B27" t="str">
            <v>обласний бюджет Хмельницької області</v>
          </cell>
          <cell r="C27">
            <v>4049.5320000000002</v>
          </cell>
          <cell r="D27">
            <v>6627.4</v>
          </cell>
          <cell r="E27">
            <v>4533.01</v>
          </cell>
          <cell r="F27">
            <v>8290.9</v>
          </cell>
          <cell r="G27">
            <v>5960.3</v>
          </cell>
        </row>
        <row r="28">
          <cell r="A28">
            <v>23100000000</v>
          </cell>
          <cell r="B28" t="str">
            <v>обласний бюджет Черкаської області</v>
          </cell>
          <cell r="C28">
            <v>5316.2910000000002</v>
          </cell>
          <cell r="D28">
            <v>6217.3370000000004</v>
          </cell>
          <cell r="E28">
            <v>6195.89</v>
          </cell>
          <cell r="F28">
            <v>10165</v>
          </cell>
          <cell r="G28">
            <v>4770.5</v>
          </cell>
        </row>
        <row r="29">
          <cell r="A29">
            <v>24100000000</v>
          </cell>
          <cell r="B29" t="str">
            <v>обласний бюджет Чернiвецької області</v>
          </cell>
          <cell r="C29">
            <v>1761.75</v>
          </cell>
          <cell r="D29">
            <v>2010.7829999999999</v>
          </cell>
          <cell r="E29">
            <v>1999.8030000000001</v>
          </cell>
          <cell r="F29">
            <v>3410.4</v>
          </cell>
          <cell r="G29">
            <v>2092.5</v>
          </cell>
        </row>
        <row r="30">
          <cell r="A30">
            <v>25100000000</v>
          </cell>
          <cell r="B30" t="str">
            <v>обласний бюджет Чернiгiвецької області</v>
          </cell>
          <cell r="C30">
            <v>4501.0339999999997</v>
          </cell>
          <cell r="D30">
            <v>5828.5460000000003</v>
          </cell>
          <cell r="E30">
            <v>5312.768</v>
          </cell>
          <cell r="F30">
            <v>8541</v>
          </cell>
          <cell r="G30">
            <v>4831.6000000000004</v>
          </cell>
        </row>
        <row r="31">
          <cell r="A31">
            <v>26000000000</v>
          </cell>
          <cell r="B31" t="str">
            <v>м.Київ</v>
          </cell>
          <cell r="C31">
            <v>4478.4290000000001</v>
          </cell>
          <cell r="D31">
            <v>7686.2479999999996</v>
          </cell>
          <cell r="E31">
            <v>8581.6080000000002</v>
          </cell>
          <cell r="F31">
            <v>12592.5</v>
          </cell>
          <cell r="G31">
            <v>10211.1</v>
          </cell>
        </row>
        <row r="32">
          <cell r="A32">
            <v>27000000000</v>
          </cell>
          <cell r="B32" t="str">
            <v>м.Севастополь</v>
          </cell>
          <cell r="C32">
            <v>656.43700000000001</v>
          </cell>
          <cell r="D32">
            <v>1870.8869999999999</v>
          </cell>
          <cell r="E32">
            <v>1073.652</v>
          </cell>
          <cell r="F32">
            <v>1527.6130000000001</v>
          </cell>
          <cell r="G32">
            <v>1254.8</v>
          </cell>
        </row>
        <row r="33">
          <cell r="B33" t="str">
            <v xml:space="preserve">Всього </v>
          </cell>
          <cell r="C33">
            <v>126052.70000000001</v>
          </cell>
          <cell r="D33">
            <v>196276.74499999997</v>
          </cell>
          <cell r="E33">
            <v>196100.90000000005</v>
          </cell>
          <cell r="F33">
            <v>281270.80000000005</v>
          </cell>
          <cell r="G33">
            <v>158658.49999999997</v>
          </cell>
        </row>
        <row r="38">
          <cell r="C38">
            <v>126052.7</v>
          </cell>
          <cell r="D38">
            <v>196276.74499999997</v>
          </cell>
          <cell r="E38">
            <v>196100.9</v>
          </cell>
          <cell r="F38">
            <v>281270.8</v>
          </cell>
          <cell r="G38">
            <v>158658.5</v>
          </cell>
        </row>
        <row r="41">
          <cell r="C41">
            <v>0</v>
          </cell>
          <cell r="D41">
            <v>0</v>
          </cell>
          <cell r="E41">
            <v>0</v>
          </cell>
          <cell r="F41">
            <v>0</v>
          </cell>
          <cell r="G4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БАЗА  "/>
      <sheetName val="ВАТ"/>
      <sheetName val="ВАТ_фил"/>
      <sheetName val="383,40ч"/>
      <sheetName val="383,40т"/>
      <sheetName val="686,00"/>
      <sheetName val="област"/>
      <sheetName val="Сторно"/>
      <sheetName val="Пряма_труба"/>
      <sheetName val="БАЗА   (2)"/>
      <sheetName val="БАЗА   (3)"/>
      <sheetName val="БАЗА   (5)"/>
      <sheetName val="БАЗА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1993"/>
    </sheetNames>
    <sheetDataSet>
      <sheetData sheetId="0" refreshError="1">
        <row r="1">
          <cell r="D1" t="str">
            <v>Баланс грошових доходiв i витрат населення Украјни у</v>
          </cell>
          <cell r="K1" t="str">
            <v>GOD</v>
          </cell>
        </row>
        <row r="2">
          <cell r="K2">
            <v>1993</v>
          </cell>
          <cell r="L2" t="str">
            <v>роцi</v>
          </cell>
        </row>
        <row r="3">
          <cell r="N3" t="str">
            <v>(млрд.крб)</v>
          </cell>
        </row>
        <row r="5">
          <cell r="A5" t="str">
            <v>А. ГРОШОВI ДОХОДИ</v>
          </cell>
        </row>
        <row r="6">
          <cell r="A6" t="str">
            <v>1.Заробiтна плата</v>
          </cell>
        </row>
        <row r="7">
          <cell r="A7" t="str">
            <v>2.Оплата працi робiтникiв</v>
          </cell>
        </row>
        <row r="8">
          <cell r="A8" t="str">
            <v xml:space="preserve">  кооперативiв</v>
          </cell>
        </row>
        <row r="9">
          <cell r="A9" t="str">
            <v>3.Доходи робiтникiв та служ-</v>
          </cell>
        </row>
        <row r="10">
          <cell r="A10" t="str">
            <v xml:space="preserve">  бовцiв вiд пiдприїмств та</v>
          </cell>
        </row>
        <row r="11">
          <cell r="A11" t="str">
            <v xml:space="preserve">  органiзацiй крiм зар.плати</v>
          </cell>
        </row>
        <row r="12">
          <cell r="A12" t="str">
            <v xml:space="preserve">4.Грошовi доходи вiд   </v>
          </cell>
        </row>
        <row r="13">
          <cell r="A13" t="str">
            <v xml:space="preserve">  колгоспiв            </v>
          </cell>
        </row>
        <row r="14">
          <cell r="A14" t="str">
            <v>5.Надходження вiд продажу</v>
          </cell>
        </row>
        <row r="15">
          <cell r="A15" t="str">
            <v xml:space="preserve">  продуктiв сiльсьгого госп.</v>
          </cell>
        </row>
        <row r="16">
          <cell r="A16" t="str">
            <v>Всього трудових доходiв</v>
          </cell>
        </row>
        <row r="17">
          <cell r="A17" t="str">
            <v>(рядки 1+2+3+4+5)</v>
          </cell>
        </row>
        <row r="18">
          <cell r="A18" t="str">
            <v>6.Пенсiј, допомоги,стипендiј</v>
          </cell>
        </row>
        <row r="19">
          <cell r="A19" t="str">
            <v xml:space="preserve">  та iншi надходження</v>
          </cell>
        </row>
        <row r="20">
          <cell r="A20" t="str">
            <v xml:space="preserve">     в тому числi:</v>
          </cell>
        </row>
        <row r="21">
          <cell r="A21" t="str">
            <v xml:space="preserve"> пенсiј, допомоги, стипендiј</v>
          </cell>
        </row>
        <row r="22">
          <cell r="A22" t="str">
            <v>Баланс</v>
          </cell>
        </row>
        <row r="23">
          <cell r="A23" t="str">
            <v>Б.ВИТРАТИ ТА ЗАОЩАДЖЕННЯ</v>
          </cell>
        </row>
        <row r="24">
          <cell r="A24" t="str">
            <v>1.Покупка товарiв та оплата</v>
          </cell>
        </row>
        <row r="25">
          <cell r="A25" t="str">
            <v xml:space="preserve">  послуг</v>
          </cell>
        </row>
        <row r="26">
          <cell r="A26" t="str">
            <v xml:space="preserve">    в тому числi:</v>
          </cell>
        </row>
        <row r="27">
          <cell r="A27" t="str">
            <v xml:space="preserve"> покупка товарiв       </v>
          </cell>
        </row>
        <row r="28">
          <cell r="A28" t="str">
            <v xml:space="preserve"> оплата послуг         </v>
          </cell>
        </row>
        <row r="29">
          <cell r="A29" t="str">
            <v>2.Обов'язковi платежi та</v>
          </cell>
        </row>
        <row r="30">
          <cell r="A30" t="str">
            <v xml:space="preserve">  добровiльнi внески</v>
          </cell>
        </row>
        <row r="31">
          <cell r="A31" t="str">
            <v xml:space="preserve">       iз них:</v>
          </cell>
        </row>
        <row r="32">
          <cell r="A32" t="str">
            <v xml:space="preserve"> прибутковий податок з </v>
          </cell>
        </row>
        <row r="33">
          <cell r="A33" t="str">
            <v xml:space="preserve"> населення             </v>
          </cell>
        </row>
        <row r="34">
          <cell r="A34" t="str">
            <v>3.Прирiст вкладiв,придбання</v>
          </cell>
        </row>
        <row r="35">
          <cell r="A35" t="str">
            <v xml:space="preserve">  облiгацiй Державној внутр.</v>
          </cell>
        </row>
        <row r="36">
          <cell r="A36" t="str">
            <v xml:space="preserve">  позики,iнш.цiнних паперiв  </v>
          </cell>
        </row>
        <row r="37">
          <cell r="A37" t="str">
            <v>Всього</v>
          </cell>
        </row>
        <row r="38">
          <cell r="A38" t="str">
            <v xml:space="preserve">В. Перевищення доходiв над </v>
          </cell>
        </row>
        <row r="39">
          <cell r="A39" t="str">
            <v xml:space="preserve">   витратами</v>
          </cell>
        </row>
        <row r="40">
          <cell r="A40" t="str">
            <v>Баланс</v>
          </cell>
        </row>
        <row r="41">
          <cell r="A41" t="str">
            <v>_x000C_</v>
          </cell>
        </row>
        <row r="46">
          <cell r="A46" t="str">
            <v>А. ГРОШОВI ДОХОДИ</v>
          </cell>
        </row>
        <row r="47">
          <cell r="A47" t="str">
            <v>1.Заробiтна плата</v>
          </cell>
        </row>
        <row r="48">
          <cell r="A48" t="str">
            <v>2.Оплата працi робiтникiв</v>
          </cell>
        </row>
        <row r="49">
          <cell r="A49" t="str">
            <v xml:space="preserve">  кооперативiв</v>
          </cell>
        </row>
        <row r="50">
          <cell r="A50" t="str">
            <v>3.Доходи робiтникiв та служ-</v>
          </cell>
        </row>
        <row r="51">
          <cell r="A51" t="str">
            <v xml:space="preserve">  бовцiв вiд пiдприїмств та</v>
          </cell>
        </row>
        <row r="52">
          <cell r="A52" t="str">
            <v xml:space="preserve">  органiзацiй крiм зар.плати</v>
          </cell>
        </row>
        <row r="53">
          <cell r="A53" t="str">
            <v xml:space="preserve">4.Грошовi доходи вiд   </v>
          </cell>
        </row>
        <row r="54">
          <cell r="A54" t="str">
            <v xml:space="preserve">  колгоспiв            </v>
          </cell>
        </row>
        <row r="55">
          <cell r="A55" t="str">
            <v>5.Надходження вiд продажу</v>
          </cell>
        </row>
        <row r="56">
          <cell r="A56" t="str">
            <v xml:space="preserve">  продуктiв сiльсьгого госп.</v>
          </cell>
        </row>
        <row r="57">
          <cell r="A57" t="str">
            <v>Всього трудових доходiв</v>
          </cell>
        </row>
        <row r="58">
          <cell r="A58" t="str">
            <v>(рядки 1+2+3+4+5)</v>
          </cell>
        </row>
        <row r="59">
          <cell r="A59" t="str">
            <v>6.Пенсiј, допомоги,стипендiј</v>
          </cell>
        </row>
        <row r="60">
          <cell r="A60" t="str">
            <v xml:space="preserve">  та iншi надходження</v>
          </cell>
        </row>
        <row r="61">
          <cell r="A61" t="str">
            <v xml:space="preserve">     в тому числi:</v>
          </cell>
        </row>
        <row r="62">
          <cell r="A62" t="str">
            <v xml:space="preserve"> пенсiј, допомоги, стипендiј</v>
          </cell>
        </row>
        <row r="63">
          <cell r="A63" t="str">
            <v>Баланс</v>
          </cell>
        </row>
        <row r="64">
          <cell r="A64" t="str">
            <v>Б.ВИТРАТИ ТА ЗАОЩАДЖЕННЯ</v>
          </cell>
        </row>
        <row r="65">
          <cell r="A65" t="str">
            <v>1.Покупка товарiв та оплата</v>
          </cell>
        </row>
        <row r="66">
          <cell r="A66" t="str">
            <v xml:space="preserve">  послуг</v>
          </cell>
        </row>
        <row r="67">
          <cell r="A67" t="str">
            <v xml:space="preserve">    в тому числi:</v>
          </cell>
        </row>
        <row r="68">
          <cell r="A68" t="str">
            <v xml:space="preserve"> покупка товарiв       </v>
          </cell>
        </row>
        <row r="69">
          <cell r="A69" t="str">
            <v xml:space="preserve"> оплата послуг         </v>
          </cell>
        </row>
        <row r="70">
          <cell r="A70" t="str">
            <v>2.Обов'язковi платежi та</v>
          </cell>
        </row>
        <row r="71">
          <cell r="A71" t="str">
            <v xml:space="preserve">  добровiльнi внески</v>
          </cell>
        </row>
        <row r="72">
          <cell r="A72" t="str">
            <v xml:space="preserve">       iз них:</v>
          </cell>
        </row>
        <row r="73">
          <cell r="A73" t="str">
            <v xml:space="preserve"> прибутковий податок з </v>
          </cell>
        </row>
        <row r="74">
          <cell r="A74" t="str">
            <v xml:space="preserve"> населення             </v>
          </cell>
        </row>
        <row r="75">
          <cell r="A75" t="str">
            <v>3.Прирiст вкладiв,придбання</v>
          </cell>
        </row>
        <row r="76">
          <cell r="A76" t="str">
            <v xml:space="preserve">  облiгацiй Державној внутр.</v>
          </cell>
        </row>
        <row r="77">
          <cell r="A77" t="str">
            <v xml:space="preserve">  позики,iнш.цiнних паперiв  </v>
          </cell>
        </row>
        <row r="78">
          <cell r="A78" t="str">
            <v>Всього</v>
          </cell>
        </row>
        <row r="79">
          <cell r="A79" t="str">
            <v xml:space="preserve">В. Перевищення доходiв над </v>
          </cell>
        </row>
        <row r="80">
          <cell r="A80" t="str">
            <v xml:space="preserve">   витратами</v>
          </cell>
        </row>
        <row r="81">
          <cell r="A81" t="str">
            <v>Баланс</v>
          </cell>
        </row>
        <row r="82">
          <cell r="A82" t="str">
            <v xml:space="preserve">        Довiдково: чисельнiсть населення в</v>
          </cell>
        </row>
        <row r="83">
          <cell r="A83" t="str">
            <v>_x000C_</v>
          </cell>
        </row>
        <row r="88">
          <cell r="A88" t="str">
            <v>А. ГРОШОВI ДОХОДИ</v>
          </cell>
        </row>
        <row r="89">
          <cell r="A89" t="str">
            <v>1.Заробiтна плата</v>
          </cell>
        </row>
        <row r="90">
          <cell r="A90" t="str">
            <v>2.Оплата працi робiтникiв</v>
          </cell>
        </row>
        <row r="91">
          <cell r="A91" t="str">
            <v xml:space="preserve">  кооперативiв</v>
          </cell>
        </row>
        <row r="92">
          <cell r="A92" t="str">
            <v>3.Доходи робiтникiв та служ-</v>
          </cell>
        </row>
        <row r="93">
          <cell r="A93" t="str">
            <v xml:space="preserve">  бовцiв вiд пiдприїмств та</v>
          </cell>
        </row>
        <row r="94">
          <cell r="A94" t="str">
            <v xml:space="preserve">  органiзацiй крiм зар.плати</v>
          </cell>
        </row>
        <row r="95">
          <cell r="A95" t="str">
            <v xml:space="preserve">4.Грошовi доходи вiд   </v>
          </cell>
        </row>
        <row r="96">
          <cell r="A96" t="str">
            <v xml:space="preserve">  колгоспiв            </v>
          </cell>
        </row>
        <row r="97">
          <cell r="A97" t="str">
            <v>5.Надходження вiд продажу</v>
          </cell>
        </row>
        <row r="98">
          <cell r="A98" t="str">
            <v xml:space="preserve">  продуктiв сiльсьгого госп.</v>
          </cell>
        </row>
        <row r="99">
          <cell r="A99" t="str">
            <v>Всього трудових доходiв</v>
          </cell>
        </row>
        <row r="100">
          <cell r="A100" t="str">
            <v>(рядки 1+2+3+4+5)</v>
          </cell>
        </row>
        <row r="101">
          <cell r="A101" t="str">
            <v>6.Пенсiј, допомоги,стипендiј</v>
          </cell>
        </row>
        <row r="102">
          <cell r="A102" t="str">
            <v xml:space="preserve">  та iншi надходження</v>
          </cell>
        </row>
        <row r="103">
          <cell r="A103" t="str">
            <v xml:space="preserve">     в тому числi:</v>
          </cell>
        </row>
        <row r="104">
          <cell r="A104" t="str">
            <v xml:space="preserve"> пенсiј, допомоги, стипендiј</v>
          </cell>
        </row>
        <row r="105">
          <cell r="A105" t="str">
            <v>Баланс</v>
          </cell>
        </row>
        <row r="106">
          <cell r="A106" t="str">
            <v>Б.ВИТРАТИ ТА ЗАОЩАДЖЕННЯ</v>
          </cell>
        </row>
        <row r="107">
          <cell r="A107" t="str">
            <v>1.Покупка товарiв та оплата</v>
          </cell>
        </row>
        <row r="108">
          <cell r="A108" t="str">
            <v xml:space="preserve">  послуг</v>
          </cell>
        </row>
        <row r="109">
          <cell r="A109" t="str">
            <v xml:space="preserve">    в тому числi:</v>
          </cell>
        </row>
        <row r="110">
          <cell r="A110" t="str">
            <v xml:space="preserve"> покупка товарiв       </v>
          </cell>
        </row>
        <row r="111">
          <cell r="A111" t="str">
            <v xml:space="preserve"> оплата послуг         </v>
          </cell>
        </row>
        <row r="112">
          <cell r="A112" t="str">
            <v>2.Обов'язковi платежi та</v>
          </cell>
        </row>
        <row r="113">
          <cell r="A113" t="str">
            <v xml:space="preserve">  добровiльнi внески</v>
          </cell>
        </row>
        <row r="114">
          <cell r="A114" t="str">
            <v xml:space="preserve">       iз них:</v>
          </cell>
        </row>
        <row r="115">
          <cell r="A115" t="str">
            <v xml:space="preserve"> прибутковий податок з </v>
          </cell>
        </row>
        <row r="116">
          <cell r="A116" t="str">
            <v xml:space="preserve"> населення             </v>
          </cell>
        </row>
        <row r="117">
          <cell r="A117" t="str">
            <v>3.Прирiст вкладiв,придбання</v>
          </cell>
        </row>
        <row r="118">
          <cell r="A118" t="str">
            <v xml:space="preserve">  облiгацiй Державној внутр.</v>
          </cell>
        </row>
        <row r="119">
          <cell r="A119" t="str">
            <v xml:space="preserve">  позики,iнш.цiнних паперiв  </v>
          </cell>
        </row>
        <row r="120">
          <cell r="A120" t="str">
            <v>Всього</v>
          </cell>
        </row>
        <row r="121">
          <cell r="A121" t="str">
            <v xml:space="preserve">В. Перевищення доходiв над </v>
          </cell>
        </row>
        <row r="122">
          <cell r="A122" t="str">
            <v xml:space="preserve">   витратами</v>
          </cell>
        </row>
        <row r="123">
          <cell r="A123" t="str">
            <v>Баланс</v>
          </cell>
        </row>
        <row r="124">
          <cell r="A124" t="str">
            <v>_x000C_</v>
          </cell>
        </row>
        <row r="130">
          <cell r="A130" t="str">
            <v>А. ГРОШОВI ДОХОДИ</v>
          </cell>
        </row>
        <row r="131">
          <cell r="A131" t="str">
            <v>1.Заробiтна плата</v>
          </cell>
        </row>
        <row r="132">
          <cell r="A132" t="str">
            <v>2.Оплата працi робiтникiв</v>
          </cell>
        </row>
        <row r="133">
          <cell r="A133" t="str">
            <v xml:space="preserve">  кооперативiв</v>
          </cell>
        </row>
        <row r="134">
          <cell r="A134" t="str">
            <v>3.Доходи робiтникiв та служ-</v>
          </cell>
        </row>
        <row r="135">
          <cell r="A135" t="str">
            <v xml:space="preserve">  бовцiв вiд пiдприїмств та</v>
          </cell>
        </row>
        <row r="136">
          <cell r="A136" t="str">
            <v xml:space="preserve">  органiзацiй крiм зар.плати</v>
          </cell>
        </row>
        <row r="137">
          <cell r="A137" t="str">
            <v xml:space="preserve">4.Грошовi доходи вiд   </v>
          </cell>
        </row>
        <row r="138">
          <cell r="A138" t="str">
            <v xml:space="preserve">  колгоспiв            </v>
          </cell>
        </row>
        <row r="139">
          <cell r="A139" t="str">
            <v>5.Надходження вiд продажу</v>
          </cell>
        </row>
        <row r="140">
          <cell r="A140" t="str">
            <v xml:space="preserve">  продуктiв сiльсьгого госп.</v>
          </cell>
        </row>
        <row r="141">
          <cell r="A141" t="str">
            <v>Всього трудових доходiв</v>
          </cell>
        </row>
        <row r="142">
          <cell r="A142" t="str">
            <v>(рядки 1+2+3+4+5)</v>
          </cell>
        </row>
        <row r="143">
          <cell r="A143" t="str">
            <v>6.Пенсiј, допомоги,стипендiј</v>
          </cell>
        </row>
        <row r="144">
          <cell r="A144" t="str">
            <v xml:space="preserve">  та iншi надходження</v>
          </cell>
        </row>
        <row r="145">
          <cell r="A145" t="str">
            <v xml:space="preserve">     в тому числi:</v>
          </cell>
        </row>
        <row r="146">
          <cell r="A146" t="str">
            <v xml:space="preserve"> пенсiј, допомоги, стипендiј</v>
          </cell>
        </row>
        <row r="147">
          <cell r="A147" t="str">
            <v>Баланс</v>
          </cell>
        </row>
        <row r="148">
          <cell r="A148" t="str">
            <v>Б.ВИТРАТИ ТА ЗАОЩАДЖЕННЯ</v>
          </cell>
        </row>
        <row r="149">
          <cell r="A149" t="str">
            <v>1.Покупка товарiв та оплата</v>
          </cell>
        </row>
        <row r="150">
          <cell r="A150" t="str">
            <v xml:space="preserve">  послуг</v>
          </cell>
        </row>
        <row r="151">
          <cell r="A151" t="str">
            <v xml:space="preserve">    в тому числi:</v>
          </cell>
        </row>
        <row r="152">
          <cell r="A152" t="str">
            <v xml:space="preserve"> покупка товарiв       </v>
          </cell>
        </row>
        <row r="153">
          <cell r="A153" t="str">
            <v xml:space="preserve"> оплата послуг         </v>
          </cell>
        </row>
        <row r="154">
          <cell r="A154" t="str">
            <v>2.Обов'язковi платежi та</v>
          </cell>
        </row>
        <row r="155">
          <cell r="A155" t="str">
            <v xml:space="preserve">  добровiльнi внески</v>
          </cell>
        </row>
        <row r="156">
          <cell r="A156" t="str">
            <v xml:space="preserve">       iз них:</v>
          </cell>
        </row>
        <row r="157">
          <cell r="A157" t="str">
            <v xml:space="preserve"> прибутковий податок з </v>
          </cell>
        </row>
        <row r="158">
          <cell r="A158" t="str">
            <v xml:space="preserve"> населення             </v>
          </cell>
        </row>
        <row r="159">
          <cell r="A159" t="str">
            <v>3.Прирiст вкладiв,придбання</v>
          </cell>
        </row>
        <row r="160">
          <cell r="A160" t="str">
            <v xml:space="preserve">  облiгацiй Державној внутр.</v>
          </cell>
        </row>
        <row r="161">
          <cell r="A161" t="str">
            <v xml:space="preserve">  позики,iнш.цiнних паперiв  </v>
          </cell>
        </row>
        <row r="162">
          <cell r="A162" t="str">
            <v>Всього</v>
          </cell>
        </row>
        <row r="163">
          <cell r="A163" t="str">
            <v xml:space="preserve">В. Перевищення доходiв над </v>
          </cell>
        </row>
        <row r="164">
          <cell r="A164" t="str">
            <v xml:space="preserve">   витратами</v>
          </cell>
        </row>
        <row r="165">
          <cell r="A165" t="str">
            <v>Баланс</v>
          </cell>
        </row>
        <row r="166">
          <cell r="A166" t="str">
            <v>_x000C_</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6">
          <cell r="E6" t="str">
            <v>31 декабря 2005 года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Титул"/>
      <sheetName val="Інструкція"/>
      <sheetName val="0_Загальне"/>
      <sheetName val="Законод"/>
      <sheetName val="01_Доходи"/>
      <sheetName val="02_Видатки"/>
      <sheetName val="03_МТО"/>
      <sheetName val="04_Фін_стійкість"/>
      <sheetName val="05_Фін_план"/>
      <sheetName val="ДРУК"/>
      <sheetName val="Графіки"/>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form"/>
    </sheetNames>
    <sheetDataSet>
      <sheetData sheetId="0"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 val="11)423+424"/>
      <sheetName val="Chart_of_accs"/>
    </sheetNames>
    <sheetDataSet>
      <sheetData sheetId="0" refreshError="1"/>
      <sheetData sheetId="1" refreshError="1">
        <row r="2">
          <cell r="G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 val="реестр заявок"/>
      <sheetName val="ЗКЛ"/>
      <sheetName val="реестр_заявок"/>
    </sheetNames>
    <sheetDataSet>
      <sheetData sheetId="0" refreshError="1"/>
      <sheetData sheetId="1" refreshError="1">
        <row r="2">
          <cell r="G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БАЗА  "/>
      <sheetName val="ВАТ"/>
      <sheetName val="ВАТ_фил"/>
      <sheetName val="210"/>
      <sheetName val="241,5"/>
      <sheetName val="област"/>
      <sheetName val="Сторно"/>
      <sheetName val="Пряма_труба"/>
      <sheetName val="БАЗА   (2)"/>
      <sheetName val="БАЗА   (3)"/>
      <sheetName val="БАЗА   (4)"/>
      <sheetName val="БАЗА   (5)"/>
      <sheetName val="БАЗА   (6)"/>
      <sheetName val="БАЗА   (7)"/>
      <sheetName val="БАЗА   (8)"/>
      <sheetName val="БАЗА   (9)"/>
      <sheetName val="БАЗА   (10)"/>
      <sheetName val="БАЗА   (12)"/>
      <sheetName val="БАЗА   (11)"/>
      <sheetName val="БАЗА   (13)"/>
      <sheetName val="БАЗА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form"/>
    </sheetNames>
    <sheetDataSet>
      <sheetData sheetId="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МТР Газ України"/>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зведена таб"/>
      <sheetName val="попер_роз"/>
      <sheetName val="попер_роз (4)"/>
      <sheetName val="звед_оптим (2)"/>
      <sheetName val="звед_баз(3)_СА"/>
      <sheetName val="звед_опт(3)_ca"/>
      <sheetName val="звед_баз(4)"/>
      <sheetName val="звед_опт(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duda@hrs.net.ua" TargetMode="External"/><Relationship Id="rId1" Type="http://schemas.openxmlformats.org/officeDocument/2006/relationships/hyperlink" Target="mailto:nkovalenko@hrs.net.u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8" Type="http://schemas.openxmlformats.org/officeDocument/2006/relationships/hyperlink" Target="http://zakon3.rada.gov.ua/laws/show/821-2017-%D1%80/print" TargetMode="External"/><Relationship Id="rId13" Type="http://schemas.openxmlformats.org/officeDocument/2006/relationships/hyperlink" Target="http://zakon5.rada.gov.ua/laws/show/2206-19" TargetMode="External"/><Relationship Id="rId18" Type="http://schemas.openxmlformats.org/officeDocument/2006/relationships/hyperlink" Target="https://moz.gov.ua/article/ministry-mandates/nakaz-moz-ukraini-vid-08052020--1103-pro-vnesennja-zmin-do-primirnogo-tabelja-materialno-tehnichnogo-osnaschennja-zakladiv-ohoroni-zdorov%e2%80%99ja-ta-fizichnih-osib-pidpriemciv-jaki-nadajut-pervinnu-medichnu-dopomogu" TargetMode="External"/><Relationship Id="rId3" Type="http://schemas.openxmlformats.org/officeDocument/2006/relationships/hyperlink" Target="https://zakon.rada.gov.ua/laws/show/65-2020-%D0%BF/print" TargetMode="External"/><Relationship Id="rId7" Type="http://schemas.openxmlformats.org/officeDocument/2006/relationships/hyperlink" Target="http://zakon3.rada.gov.ua/laws/show/2233-19/print" TargetMode="External"/><Relationship Id="rId12" Type="http://schemas.openxmlformats.org/officeDocument/2006/relationships/hyperlink" Target="http://zakon2.rada.gov.ua/laws/show/2801-12/print" TargetMode="External"/><Relationship Id="rId17" Type="http://schemas.openxmlformats.org/officeDocument/2006/relationships/hyperlink" Target="https://zakon.rada.gov.ua/laws/show/1086-2019-%D0%BF/print" TargetMode="External"/><Relationship Id="rId2" Type="http://schemas.openxmlformats.org/officeDocument/2006/relationships/hyperlink" Target="https://zakon.rada.gov.ua/laws/show/z0892-99" TargetMode="External"/><Relationship Id="rId16" Type="http://schemas.openxmlformats.org/officeDocument/2006/relationships/hyperlink" Target="https://zakon.rada.gov.ua/laws/show/1119-2019-%D0%BF/print" TargetMode="External"/><Relationship Id="rId20" Type="http://schemas.openxmlformats.org/officeDocument/2006/relationships/drawing" Target="../drawings/drawing2.xml"/><Relationship Id="rId1" Type="http://schemas.openxmlformats.org/officeDocument/2006/relationships/hyperlink" Target="https://zakon.rada.gov.ua/laws/show/391-2018-%D0%BF/print" TargetMode="External"/><Relationship Id="rId6" Type="http://schemas.openxmlformats.org/officeDocument/2006/relationships/hyperlink" Target="http://zakon2.rada.gov.ua/laws/show/1101-2017-%D0%BF/print" TargetMode="External"/><Relationship Id="rId11" Type="http://schemas.openxmlformats.org/officeDocument/2006/relationships/hyperlink" Target="http://zakon3.rada.gov.ua/laws/show/2168-19/print" TargetMode="External"/><Relationship Id="rId5" Type="http://schemas.openxmlformats.org/officeDocument/2006/relationships/hyperlink" Target="http://zakon0.rada.gov.ua/laws/show/z0347-18" TargetMode="External"/><Relationship Id="rId15" Type="http://schemas.openxmlformats.org/officeDocument/2006/relationships/hyperlink" Target="https://zakon.rada.gov.ua/laws/show/410-2018-%D0%BF/print" TargetMode="External"/><Relationship Id="rId10" Type="http://schemas.openxmlformats.org/officeDocument/2006/relationships/hyperlink" Target="http://zakon3.rada.gov.ua/laws/show/1013-2016-%D1%80/print" TargetMode="External"/><Relationship Id="rId19" Type="http://schemas.openxmlformats.org/officeDocument/2006/relationships/printerSettings" Target="../printerSettings/printerSettings2.bin"/><Relationship Id="rId4" Type="http://schemas.openxmlformats.org/officeDocument/2006/relationships/hyperlink" Target="http://zakon0.rada.gov.ua/laws/show/z0348-18" TargetMode="External"/><Relationship Id="rId9" Type="http://schemas.openxmlformats.org/officeDocument/2006/relationships/hyperlink" Target="http://zakon0.rada.gov.ua/laws/show/56/95-%D0%B2%D1%80/print" TargetMode="External"/><Relationship Id="rId14" Type="http://schemas.openxmlformats.org/officeDocument/2006/relationships/hyperlink" Target="https://zakon.rada.gov.ua/laws/show/2002-19/prin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zakon.rada.gov.ua/laws/show/65-2020-%D0%BF/prin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24"/>
  <sheetViews>
    <sheetView showGridLines="0" showRuler="0" zoomScale="81" zoomScaleNormal="81" zoomScalePageLayoutView="55" workbookViewId="0"/>
  </sheetViews>
  <sheetFormatPr defaultRowHeight="15"/>
  <cols>
    <col min="1" max="1" width="11.28515625" customWidth="1"/>
    <col min="2" max="2" width="12.85546875" customWidth="1"/>
    <col min="5" max="5" width="12.7109375" customWidth="1"/>
    <col min="6" max="6" width="12" customWidth="1"/>
  </cols>
  <sheetData>
    <row r="1" spans="1:15" s="60" customFormat="1" ht="11.45" customHeight="1"/>
    <row r="2" spans="1:15" s="63" customFormat="1" ht="125.45" customHeight="1">
      <c r="A2" s="803"/>
      <c r="B2" s="803"/>
      <c r="C2" s="803"/>
      <c r="D2" s="803"/>
      <c r="E2" s="803"/>
      <c r="F2" s="803"/>
      <c r="G2" s="804" t="s">
        <v>756</v>
      </c>
      <c r="H2" s="804"/>
      <c r="I2" s="804"/>
      <c r="J2" s="804"/>
      <c r="K2" s="804"/>
      <c r="L2" s="804"/>
      <c r="M2" s="804"/>
      <c r="N2" s="804"/>
      <c r="O2" s="804"/>
    </row>
    <row r="3" spans="1:15" s="63" customFormat="1" ht="33.75" customHeight="1">
      <c r="A3" s="806" t="s">
        <v>61</v>
      </c>
      <c r="B3" s="806"/>
      <c r="C3" s="806"/>
      <c r="D3" s="806"/>
      <c r="E3" s="806"/>
      <c r="F3" s="806"/>
      <c r="G3" s="806"/>
      <c r="H3" s="806"/>
      <c r="I3" s="806"/>
      <c r="J3" s="806"/>
      <c r="K3" s="806"/>
      <c r="L3" s="806"/>
      <c r="M3" s="806"/>
      <c r="N3" s="806"/>
      <c r="O3" s="806"/>
    </row>
    <row r="4" spans="1:15">
      <c r="A4" s="806"/>
      <c r="B4" s="806"/>
      <c r="C4" s="806"/>
      <c r="D4" s="806"/>
      <c r="E4" s="806"/>
      <c r="F4" s="806"/>
      <c r="G4" s="806"/>
      <c r="H4" s="806"/>
      <c r="I4" s="806"/>
      <c r="J4" s="806"/>
      <c r="K4" s="806"/>
      <c r="L4" s="806"/>
      <c r="M4" s="806"/>
      <c r="N4" s="806"/>
      <c r="O4" s="806"/>
    </row>
    <row r="5" spans="1:15">
      <c r="A5" s="806"/>
      <c r="B5" s="806"/>
      <c r="C5" s="806"/>
      <c r="D5" s="806"/>
      <c r="E5" s="806"/>
      <c r="F5" s="806"/>
      <c r="G5" s="806"/>
      <c r="H5" s="806"/>
      <c r="I5" s="806"/>
      <c r="J5" s="806"/>
      <c r="K5" s="806"/>
      <c r="L5" s="806"/>
      <c r="M5" s="806"/>
      <c r="N5" s="806"/>
      <c r="O5" s="806"/>
    </row>
    <row r="6" spans="1:15">
      <c r="A6" s="806"/>
      <c r="B6" s="806"/>
      <c r="C6" s="806"/>
      <c r="D6" s="806"/>
      <c r="E6" s="806"/>
      <c r="F6" s="806"/>
      <c r="G6" s="806"/>
      <c r="H6" s="806"/>
      <c r="I6" s="806"/>
      <c r="J6" s="806"/>
      <c r="K6" s="806"/>
      <c r="L6" s="806"/>
      <c r="M6" s="806"/>
      <c r="N6" s="806"/>
      <c r="O6" s="806"/>
    </row>
    <row r="7" spans="1:15">
      <c r="A7" s="806"/>
      <c r="B7" s="806"/>
      <c r="C7" s="806"/>
      <c r="D7" s="806"/>
      <c r="E7" s="806"/>
      <c r="F7" s="806"/>
      <c r="G7" s="806"/>
      <c r="H7" s="806"/>
      <c r="I7" s="806"/>
      <c r="J7" s="806"/>
      <c r="K7" s="806"/>
      <c r="L7" s="806"/>
      <c r="M7" s="806"/>
      <c r="N7" s="806"/>
      <c r="O7" s="806"/>
    </row>
    <row r="8" spans="1:15">
      <c r="A8" s="806"/>
      <c r="B8" s="806"/>
      <c r="C8" s="806"/>
      <c r="D8" s="806"/>
      <c r="E8" s="806"/>
      <c r="F8" s="806"/>
      <c r="G8" s="806"/>
      <c r="H8" s="806"/>
      <c r="I8" s="806"/>
      <c r="J8" s="806"/>
      <c r="K8" s="806"/>
      <c r="L8" s="806"/>
      <c r="M8" s="806"/>
      <c r="N8" s="806"/>
      <c r="O8" s="806"/>
    </row>
    <row r="9" spans="1:15">
      <c r="A9" s="806"/>
      <c r="B9" s="806"/>
      <c r="C9" s="806"/>
      <c r="D9" s="806"/>
      <c r="E9" s="806"/>
      <c r="F9" s="806"/>
      <c r="G9" s="806"/>
      <c r="H9" s="806"/>
      <c r="I9" s="806"/>
      <c r="J9" s="806"/>
      <c r="K9" s="806"/>
      <c r="L9" s="806"/>
      <c r="M9" s="806"/>
      <c r="N9" s="806"/>
      <c r="O9" s="806"/>
    </row>
    <row r="10" spans="1:15">
      <c r="A10" s="806"/>
      <c r="B10" s="806"/>
      <c r="C10" s="806"/>
      <c r="D10" s="806"/>
      <c r="E10" s="806"/>
      <c r="F10" s="806"/>
      <c r="G10" s="806"/>
      <c r="H10" s="806"/>
      <c r="I10" s="806"/>
      <c r="J10" s="806"/>
      <c r="K10" s="806"/>
      <c r="L10" s="806"/>
      <c r="M10" s="806"/>
      <c r="N10" s="806"/>
      <c r="O10" s="806"/>
    </row>
    <row r="11" spans="1:15">
      <c r="A11" s="806"/>
      <c r="B11" s="806"/>
      <c r="C11" s="806"/>
      <c r="D11" s="806"/>
      <c r="E11" s="806"/>
      <c r="F11" s="806"/>
      <c r="G11" s="806"/>
      <c r="H11" s="806"/>
      <c r="I11" s="806"/>
      <c r="J11" s="806"/>
      <c r="K11" s="806"/>
      <c r="L11" s="806"/>
      <c r="M11" s="806"/>
      <c r="N11" s="806"/>
      <c r="O11" s="806"/>
    </row>
    <row r="12" spans="1:15">
      <c r="A12" s="806"/>
      <c r="B12" s="806"/>
      <c r="C12" s="806"/>
      <c r="D12" s="806"/>
      <c r="E12" s="806"/>
      <c r="F12" s="806"/>
      <c r="G12" s="806"/>
      <c r="H12" s="806"/>
      <c r="I12" s="806"/>
      <c r="J12" s="806"/>
      <c r="K12" s="806"/>
      <c r="L12" s="806"/>
      <c r="M12" s="806"/>
      <c r="N12" s="806"/>
      <c r="O12" s="806"/>
    </row>
    <row r="13" spans="1:15">
      <c r="A13" s="806"/>
      <c r="B13" s="806"/>
      <c r="C13" s="806"/>
      <c r="D13" s="806"/>
      <c r="E13" s="806"/>
      <c r="F13" s="806"/>
      <c r="G13" s="806"/>
      <c r="H13" s="806"/>
      <c r="I13" s="806"/>
      <c r="J13" s="806"/>
      <c r="K13" s="806"/>
      <c r="L13" s="806"/>
      <c r="M13" s="806"/>
      <c r="N13" s="806"/>
      <c r="O13" s="806"/>
    </row>
    <row r="14" spans="1:15">
      <c r="A14" s="806"/>
      <c r="B14" s="806"/>
      <c r="C14" s="806"/>
      <c r="D14" s="806"/>
      <c r="E14" s="806"/>
      <c r="F14" s="806"/>
      <c r="G14" s="806"/>
      <c r="H14" s="806"/>
      <c r="I14" s="806"/>
      <c r="J14" s="806"/>
      <c r="K14" s="806"/>
      <c r="L14" s="806"/>
      <c r="M14" s="806"/>
      <c r="N14" s="806"/>
      <c r="O14" s="806"/>
    </row>
    <row r="15" spans="1:15">
      <c r="A15" s="806"/>
      <c r="B15" s="806"/>
      <c r="C15" s="806"/>
      <c r="D15" s="806"/>
      <c r="E15" s="806"/>
      <c r="F15" s="806"/>
      <c r="G15" s="806"/>
      <c r="H15" s="806"/>
      <c r="I15" s="806"/>
      <c r="J15" s="806"/>
      <c r="K15" s="806"/>
      <c r="L15" s="806"/>
      <c r="M15" s="806"/>
      <c r="N15" s="806"/>
      <c r="O15" s="806"/>
    </row>
    <row r="16" spans="1:15" ht="22.15" customHeight="1">
      <c r="A16" s="806"/>
      <c r="B16" s="806"/>
      <c r="C16" s="806"/>
      <c r="D16" s="806"/>
      <c r="E16" s="806"/>
      <c r="F16" s="806"/>
      <c r="G16" s="806"/>
      <c r="H16" s="806"/>
      <c r="I16" s="806"/>
      <c r="J16" s="806"/>
      <c r="K16" s="806"/>
      <c r="L16" s="806"/>
      <c r="M16" s="806"/>
      <c r="N16" s="806"/>
      <c r="O16" s="806"/>
    </row>
    <row r="17" spans="1:15" ht="8.4499999999999993" customHeight="1" thickBot="1">
      <c r="A17" s="591"/>
      <c r="B17" s="591"/>
      <c r="C17" s="591"/>
      <c r="D17" s="591"/>
      <c r="E17" s="591"/>
      <c r="F17" s="591"/>
      <c r="G17" s="591"/>
      <c r="H17" s="591"/>
      <c r="I17" s="591"/>
      <c r="J17" s="591"/>
      <c r="K17" s="591"/>
      <c r="L17" s="591"/>
      <c r="M17" s="591"/>
      <c r="N17" s="591"/>
      <c r="O17" s="591"/>
    </row>
    <row r="18" spans="1:15" ht="18.600000000000001" customHeight="1">
      <c r="B18" s="592" t="s">
        <v>733</v>
      </c>
      <c r="C18" s="593"/>
      <c r="D18" s="593"/>
      <c r="E18" s="593"/>
      <c r="F18" s="594"/>
      <c r="G18" s="594"/>
      <c r="H18" s="594"/>
      <c r="I18" s="595"/>
    </row>
    <row r="19" spans="1:15">
      <c r="B19" s="596"/>
      <c r="C19" s="597"/>
      <c r="D19" s="597"/>
      <c r="E19" s="597"/>
      <c r="F19" s="597"/>
      <c r="G19" s="597"/>
      <c r="H19" s="597"/>
      <c r="I19" s="598"/>
    </row>
    <row r="20" spans="1:15" s="599" customFormat="1" ht="17.45" customHeight="1">
      <c r="B20" s="807" t="s">
        <v>734</v>
      </c>
      <c r="C20" s="808"/>
      <c r="D20" s="600"/>
      <c r="E20" s="600"/>
      <c r="F20" s="808" t="s">
        <v>735</v>
      </c>
      <c r="G20" s="808"/>
      <c r="H20" s="600"/>
      <c r="I20" s="601"/>
    </row>
    <row r="21" spans="1:15" s="602" customFormat="1" ht="23.45" customHeight="1" thickBot="1">
      <c r="B21" s="603" t="s">
        <v>736</v>
      </c>
      <c r="C21" s="604" t="s">
        <v>737</v>
      </c>
      <c r="D21" s="604"/>
      <c r="E21" s="604"/>
      <c r="F21" s="605" t="s">
        <v>736</v>
      </c>
      <c r="G21" s="604" t="s">
        <v>738</v>
      </c>
      <c r="H21" s="604"/>
      <c r="I21" s="606"/>
    </row>
    <row r="23" spans="1:15" ht="15.6" customHeight="1">
      <c r="A23" s="805" t="s">
        <v>607</v>
      </c>
      <c r="B23" s="805"/>
      <c r="C23" s="805"/>
      <c r="D23" s="805"/>
      <c r="E23" s="805"/>
      <c r="F23" s="805"/>
      <c r="G23" s="805"/>
      <c r="H23" s="805"/>
      <c r="I23" s="805"/>
      <c r="J23" s="805"/>
      <c r="K23" s="805"/>
      <c r="L23" s="805"/>
      <c r="M23" s="805"/>
      <c r="N23" s="805"/>
      <c r="O23" s="805"/>
    </row>
    <row r="24" spans="1:15" s="63" customFormat="1" ht="56.45" customHeight="1">
      <c r="A24" s="805"/>
      <c r="B24" s="805"/>
      <c r="C24" s="805"/>
      <c r="D24" s="805"/>
      <c r="E24" s="805"/>
      <c r="F24" s="805"/>
      <c r="G24" s="805"/>
      <c r="H24" s="805"/>
      <c r="I24" s="805"/>
      <c r="J24" s="805"/>
      <c r="K24" s="805"/>
      <c r="L24" s="805"/>
      <c r="M24" s="805"/>
      <c r="N24" s="805"/>
      <c r="O24" s="805"/>
    </row>
  </sheetData>
  <mergeCells count="6">
    <mergeCell ref="A2:F2"/>
    <mergeCell ref="G2:O2"/>
    <mergeCell ref="A23:O24"/>
    <mergeCell ref="A3:O16"/>
    <mergeCell ref="B20:C20"/>
    <mergeCell ref="F20:G20"/>
  </mergeCells>
  <phoneticPr fontId="0" type="noConversion"/>
  <hyperlinks>
    <hyperlink ref="C21" r:id="rId1" display="mailto:nkovalenko@hrs.net.ua"/>
    <hyperlink ref="G21" r:id="rId2"/>
  </hyperlinks>
  <pageMargins left="0.7" right="0.7" top="0.75" bottom="0.75" header="0.3" footer="0.3"/>
  <pageSetup paperSize="9" scale="59" orientation="portrait" r:id="rId3"/>
  <drawing r:id="rId4"/>
</worksheet>
</file>

<file path=xl/worksheets/sheet10.xml><?xml version="1.0" encoding="utf-8"?>
<worksheet xmlns="http://schemas.openxmlformats.org/spreadsheetml/2006/main" xmlns:r="http://schemas.openxmlformats.org/officeDocument/2006/relationships">
  <sheetPr>
    <tabColor theme="4" tint="-0.249977111117893"/>
  </sheetPr>
  <dimension ref="A1:AS21"/>
  <sheetViews>
    <sheetView showGridLines="0" view="pageBreakPreview" topLeftCell="A7" zoomScale="70" zoomScaleSheetLayoutView="70" workbookViewId="0">
      <selection activeCell="B8" sqref="B8:G11"/>
    </sheetView>
  </sheetViews>
  <sheetFormatPr defaultColWidth="8.85546875" defaultRowHeight="15"/>
  <cols>
    <col min="1" max="1" width="8.85546875" style="137"/>
    <col min="2" max="2" width="40.140625" style="137" customWidth="1"/>
    <col min="3" max="3" width="25.140625" style="137" customWidth="1"/>
    <col min="4" max="4" width="25.7109375" style="137" customWidth="1"/>
    <col min="5" max="5" width="28.7109375" style="137" customWidth="1"/>
    <col min="6" max="6" width="27.140625" style="137" customWidth="1"/>
    <col min="7" max="7" width="25.28515625" style="137" customWidth="1"/>
    <col min="8" max="8" width="21" style="137" customWidth="1"/>
    <col min="9" max="16384" width="8.85546875" style="137"/>
  </cols>
  <sheetData>
    <row r="1" spans="1:45" s="60" customFormat="1" ht="16.5">
      <c r="H1" s="60" t="s">
        <v>161</v>
      </c>
      <c r="O1" s="61"/>
      <c r="T1" s="61"/>
      <c r="Y1" s="61"/>
      <c r="AD1" s="61"/>
      <c r="AI1" s="61"/>
      <c r="AN1" s="61"/>
      <c r="AS1" s="61"/>
    </row>
    <row r="2" spans="1:45" s="63" customFormat="1" ht="22.5">
      <c r="A2" s="850"/>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62"/>
      <c r="AL2" s="62"/>
      <c r="AM2" s="62"/>
      <c r="AN2" s="62"/>
      <c r="AO2" s="62"/>
      <c r="AP2" s="62"/>
      <c r="AQ2" s="62"/>
      <c r="AR2" s="62"/>
      <c r="AS2" s="62"/>
    </row>
    <row r="3" spans="1:45" s="63" customFormat="1" ht="23.25" thickBo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row>
    <row r="4" spans="1:45" s="63" customFormat="1" ht="82.5" customHeight="1">
      <c r="A4" s="62"/>
      <c r="B4" s="356" t="str">
        <f ca="1">'0_Загальне'!B11</f>
        <v>Офіційна повна назва надавача ПМД:</v>
      </c>
      <c r="C4" s="1199" t="str">
        <f ca="1">'0_Загальне'!C11</f>
        <v>Комунальне некомерційне підприємство "Рожищнський центр первинної медико-санітарної допомоги" Рожищенської міської ради</v>
      </c>
      <c r="D4" s="1200"/>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row>
    <row r="5" spans="1:45" s="63" customFormat="1" ht="22.5">
      <c r="A5" s="62"/>
      <c r="B5" s="357" t="str">
        <f ca="1">'0_Загальне'!B32</f>
        <v>Плановий період (рік):</v>
      </c>
      <c r="C5" s="1201">
        <f ca="1">'0_Загальне'!C32</f>
        <v>2022</v>
      </c>
      <c r="D5" s="120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row>
    <row r="6" spans="1:45" s="63" customFormat="1" ht="23.25" thickBot="1">
      <c r="A6" s="62"/>
      <c r="B6" s="511" t="s">
        <v>671</v>
      </c>
      <c r="C6" s="1204" t="str">
        <f ca="1">'0_Загальне'!C34</f>
        <v>01.11.2021</v>
      </c>
      <c r="D6" s="1241"/>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row>
    <row r="7" spans="1:45" s="63" customFormat="1" ht="26.45" customHeight="1" thickBot="1">
      <c r="C7" s="292"/>
      <c r="D7" s="292"/>
      <c r="E7" s="292"/>
      <c r="F7" s="292"/>
      <c r="G7" s="292"/>
      <c r="H7" s="292"/>
      <c r="I7" s="292"/>
      <c r="J7" s="139"/>
      <c r="K7" s="139"/>
      <c r="L7" s="139"/>
      <c r="M7" s="139"/>
      <c r="N7" s="139"/>
      <c r="O7" s="353"/>
      <c r="T7" s="353"/>
      <c r="Y7" s="353"/>
      <c r="AD7" s="353"/>
      <c r="AI7" s="353"/>
      <c r="AN7" s="353"/>
      <c r="AS7" s="353"/>
    </row>
    <row r="8" spans="1:45" ht="75">
      <c r="B8" s="647" t="str">
        <f ca="1">'01_Доходи'!B16:D16</f>
        <v>Показник</v>
      </c>
      <c r="C8" s="648" t="str">
        <f ca="1">'01_Доходи'!E16</f>
        <v>Доходи у І кварталі, грн.</v>
      </c>
      <c r="D8" s="648" t="str">
        <f ca="1">'01_Доходи'!F16</f>
        <v>Доходи у ІІ кварталі, грн.</v>
      </c>
      <c r="E8" s="648" t="str">
        <f ca="1">'01_Доходи'!G16</f>
        <v>Доходи у ІІІ кварталі, грн.</v>
      </c>
      <c r="F8" s="649" t="str">
        <f ca="1">'01_Доходи'!H16</f>
        <v>Доходи у IV кварталі, грн.</v>
      </c>
      <c r="G8" s="650" t="str">
        <f ca="1">'01_Доходи'!I16</f>
        <v>Всього річні ДОХОДИ надавача ПМД, грн.</v>
      </c>
    </row>
    <row r="9" spans="1:45" ht="93" customHeight="1">
      <c r="B9" s="651" t="str">
        <f ca="1">'01_Доходи'!B23:D23</f>
        <v>Надходження надавача ПМД від медичного обслуговування населення за програмою медичних гарантій, грн. В.т.числі ПМД</v>
      </c>
      <c r="C9" s="652">
        <f ca="1">'01_Доходи'!E23</f>
        <v>6976731.0240491508</v>
      </c>
      <c r="D9" s="652">
        <f ca="1">'01_Доходи'!F23</f>
        <v>6929145.5677158171</v>
      </c>
      <c r="E9" s="652">
        <f ca="1">'01_Доходи'!G23</f>
        <v>6930984.1466221679</v>
      </c>
      <c r="F9" s="653">
        <f ca="1">'01_Доходи'!H23</f>
        <v>6928202.4272283698</v>
      </c>
      <c r="G9" s="654">
        <f ca="1">'01_Доходи'!I23</f>
        <v>27765063.165615506</v>
      </c>
    </row>
    <row r="10" spans="1:45" ht="67.150000000000006" customHeight="1" thickBot="1">
      <c r="B10" s="655" t="str">
        <f ca="1">'01_Доходи'!B25:D25</f>
        <v>Інші надходження/доходи надавача ПМД, грн.</v>
      </c>
      <c r="C10" s="656">
        <f ca="1">'01_Доходи'!E25</f>
        <v>1174042.1599999999</v>
      </c>
      <c r="D10" s="656">
        <f ca="1">'01_Доходи'!F25</f>
        <v>768955.41</v>
      </c>
      <c r="E10" s="656">
        <f ca="1">'01_Доходи'!G25</f>
        <v>939617.29</v>
      </c>
      <c r="F10" s="657">
        <f ca="1">'01_Доходи'!H25</f>
        <v>1130620.56</v>
      </c>
      <c r="G10" s="658">
        <f ca="1">'01_Доходи'!I25</f>
        <v>4013235.42</v>
      </c>
    </row>
    <row r="11" spans="1:45" ht="57.6" customHeight="1" thickBot="1">
      <c r="B11" s="659" t="str">
        <f ca="1">'01_Доходи'!B26:D26</f>
        <v>ВСЬОГО ДОХОДІВ надавача ПМД, грн.</v>
      </c>
      <c r="C11" s="660">
        <f ca="1">'05_Фін_план'!E85</f>
        <v>8150773.18404915</v>
      </c>
      <c r="D11" s="660">
        <f ca="1">'05_Фін_план'!F85</f>
        <v>7698100.9777158163</v>
      </c>
      <c r="E11" s="660">
        <f ca="1">'05_Фін_план'!G85</f>
        <v>7870601.4366221679</v>
      </c>
      <c r="F11" s="660">
        <f ca="1">'05_Фін_план'!H85</f>
        <v>8058822.9872283693</v>
      </c>
      <c r="G11" s="661">
        <f ca="1">SUM(C11:F11)</f>
        <v>31778298.585615501</v>
      </c>
    </row>
    <row r="12" spans="1:45" ht="55.15" customHeight="1" thickBot="1"/>
    <row r="13" spans="1:45" s="121" customFormat="1" ht="67.5" customHeight="1">
      <c r="B13" s="647" t="s">
        <v>196</v>
      </c>
      <c r="C13" s="648" t="s">
        <v>499</v>
      </c>
      <c r="D13" s="648" t="s">
        <v>500</v>
      </c>
      <c r="E13" s="648" t="s">
        <v>501</v>
      </c>
      <c r="F13" s="649" t="s">
        <v>502</v>
      </c>
      <c r="G13" s="650" t="s">
        <v>503</v>
      </c>
    </row>
    <row r="14" spans="1:45" s="121" customFormat="1" ht="34.9" customHeight="1">
      <c r="B14" s="357" t="s">
        <v>505</v>
      </c>
      <c r="C14" s="662">
        <f ca="1">'05_Фін_план'!E57+'05_Фін_план'!E60</f>
        <v>5484705</v>
      </c>
      <c r="D14" s="662">
        <f ca="1">'05_Фін_план'!F57+'05_Фін_план'!F60</f>
        <v>5393475</v>
      </c>
      <c r="E14" s="662">
        <f ca="1">'05_Фін_план'!G57+'05_Фін_план'!G60</f>
        <v>5443455</v>
      </c>
      <c r="F14" s="662">
        <f ca="1">'05_Фін_план'!H57+'05_Фін_план'!H60</f>
        <v>5613615</v>
      </c>
      <c r="G14" s="663">
        <f>SUM(C14:F14)</f>
        <v>21935250</v>
      </c>
    </row>
    <row r="15" spans="1:45" s="121" customFormat="1" ht="34.9" customHeight="1">
      <c r="B15" s="357" t="s">
        <v>506</v>
      </c>
      <c r="C15" s="662">
        <f ca="1">'05_Фін_план'!E58+'05_Фін_план'!E61</f>
        <v>1190927.1000000001</v>
      </c>
      <c r="D15" s="662">
        <f ca="1">'05_Фін_план'!F58+'05_Фін_план'!F61</f>
        <v>1170856.5</v>
      </c>
      <c r="E15" s="662">
        <f ca="1">'05_Фін_план'!G58+'05_Фін_план'!G61</f>
        <v>1181852.1000000001</v>
      </c>
      <c r="F15" s="662">
        <f ca="1">'05_Фін_план'!H58+'05_Фін_план'!H61</f>
        <v>1219287.3</v>
      </c>
      <c r="G15" s="663">
        <f t="shared" ref="G15:G21" si="0">SUM(C15:F15)</f>
        <v>4762923</v>
      </c>
    </row>
    <row r="16" spans="1:45" s="121" customFormat="1" ht="56.25">
      <c r="B16" s="357" t="s">
        <v>157</v>
      </c>
      <c r="C16" s="662">
        <v>0</v>
      </c>
      <c r="D16" s="662">
        <f ca="1">'05_Фін_план'!F62</f>
        <v>0</v>
      </c>
      <c r="E16" s="662">
        <f ca="1">'05_Фін_план'!G62</f>
        <v>0</v>
      </c>
      <c r="F16" s="662">
        <f ca="1">'05_Фін_план'!H62</f>
        <v>0</v>
      </c>
      <c r="G16" s="663">
        <f t="shared" si="0"/>
        <v>0</v>
      </c>
    </row>
    <row r="17" spans="2:7" s="121" customFormat="1" ht="48.75" customHeight="1">
      <c r="B17" s="357" t="s">
        <v>616</v>
      </c>
      <c r="C17" s="662">
        <f ca="1">'05_Фін_план'!E67</f>
        <v>527628.53622399992</v>
      </c>
      <c r="D17" s="662">
        <f ca="1">'05_Фін_план'!F67</f>
        <v>126270.694344</v>
      </c>
      <c r="E17" s="662">
        <f ca="1">'05_Фін_план'!G67</f>
        <v>318416.47311999998</v>
      </c>
      <c r="F17" s="662">
        <f ca="1">'05_Фін_план'!H67</f>
        <v>463423.13347199996</v>
      </c>
      <c r="G17" s="663">
        <f t="shared" si="0"/>
        <v>1435738.8371599999</v>
      </c>
    </row>
    <row r="18" spans="2:7" s="121" customFormat="1" ht="46.5" customHeight="1">
      <c r="B18" s="357" t="s">
        <v>507</v>
      </c>
      <c r="C18" s="662">
        <f ca="1">'05_Фін_план'!E63</f>
        <v>100000</v>
      </c>
      <c r="D18" s="662">
        <f ca="1">'05_Фін_план'!F63</f>
        <v>150000</v>
      </c>
      <c r="E18" s="662">
        <f ca="1">'05_Фін_план'!G63</f>
        <v>150000</v>
      </c>
      <c r="F18" s="664">
        <f ca="1">'05_Фін_план'!H63</f>
        <v>150000</v>
      </c>
      <c r="G18" s="663">
        <f t="shared" si="0"/>
        <v>550000</v>
      </c>
    </row>
    <row r="19" spans="2:7" s="121" customFormat="1" ht="34.9" customHeight="1">
      <c r="B19" s="357" t="s">
        <v>508</v>
      </c>
      <c r="C19" s="662">
        <f ca="1">'05_Фін_план'!E66</f>
        <v>35100</v>
      </c>
      <c r="D19" s="662">
        <f ca="1">'05_Фін_план'!F66</f>
        <v>35100</v>
      </c>
      <c r="E19" s="662">
        <f ca="1">'05_Фін_план'!G66</f>
        <v>35100</v>
      </c>
      <c r="F19" s="664">
        <f ca="1">'05_Фін_план'!H66</f>
        <v>35100</v>
      </c>
      <c r="G19" s="663">
        <f t="shared" si="0"/>
        <v>140400</v>
      </c>
    </row>
    <row r="20" spans="2:7" s="121" customFormat="1" ht="34.9" customHeight="1" thickBot="1">
      <c r="B20" s="357" t="s">
        <v>504</v>
      </c>
      <c r="C20" s="662">
        <f ca="1">'05_Фін_план'!E77</f>
        <v>290000</v>
      </c>
      <c r="D20" s="662">
        <f ca="1">'05_Фін_план'!F77</f>
        <v>125000</v>
      </c>
      <c r="E20" s="662">
        <f ca="1">'05_Фін_план'!G77</f>
        <v>30000</v>
      </c>
      <c r="F20" s="662">
        <f ca="1">'05_Фін_план'!H77</f>
        <v>45000</v>
      </c>
      <c r="G20" s="663">
        <f t="shared" si="0"/>
        <v>490000</v>
      </c>
    </row>
    <row r="21" spans="2:7" s="191" customFormat="1" ht="45" customHeight="1" thickBot="1">
      <c r="B21" s="659" t="s">
        <v>498</v>
      </c>
      <c r="C21" s="665">
        <f ca="1">'05_Фін_план'!E86</f>
        <v>8033360.6362239998</v>
      </c>
      <c r="D21" s="665">
        <f ca="1">'05_Фін_план'!F86</f>
        <v>7473202.194344</v>
      </c>
      <c r="E21" s="665">
        <f ca="1">'05_Фін_план'!G86</f>
        <v>7529323.5731199998</v>
      </c>
      <c r="F21" s="665">
        <f ca="1">'05_Фін_план'!H86</f>
        <v>8038925.4334720001</v>
      </c>
      <c r="G21" s="666">
        <f t="shared" si="0"/>
        <v>31074811.837159999</v>
      </c>
    </row>
  </sheetData>
  <mergeCells count="4">
    <mergeCell ref="A2:AJ2"/>
    <mergeCell ref="C6:D6"/>
    <mergeCell ref="C4:D4"/>
    <mergeCell ref="C5:D5"/>
  </mergeCells>
  <phoneticPr fontId="0" type="noConversion"/>
  <pageMargins left="0.7" right="0.7" top="0.75" bottom="0.75" header="0.3" footer="0.3"/>
  <pageSetup paperSize="9" scale="41" orientation="portrait" r:id="rId1"/>
</worksheet>
</file>

<file path=xl/worksheets/sheet11.xml><?xml version="1.0" encoding="utf-8"?>
<worksheet xmlns="http://schemas.openxmlformats.org/spreadsheetml/2006/main" xmlns:r="http://schemas.openxmlformats.org/officeDocument/2006/relationships">
  <dimension ref="A1:AU6"/>
  <sheetViews>
    <sheetView showGridLines="0" topLeftCell="A76" zoomScale="55" zoomScaleNormal="55" workbookViewId="0">
      <selection activeCell="AK47" sqref="AK47"/>
    </sheetView>
  </sheetViews>
  <sheetFormatPr defaultColWidth="8.85546875" defaultRowHeight="15"/>
  <cols>
    <col min="1" max="1" width="8.85546875" style="137"/>
    <col min="2" max="4" width="10.7109375" style="137" customWidth="1"/>
    <col min="5" max="16384" width="8.85546875" style="137"/>
  </cols>
  <sheetData>
    <row r="1" spans="1:47" s="60" customFormat="1" ht="16.5">
      <c r="Q1" s="61"/>
      <c r="V1" s="61"/>
      <c r="AA1" s="61"/>
      <c r="AF1" s="61"/>
      <c r="AK1" s="61"/>
      <c r="AP1" s="61"/>
      <c r="AU1" s="61"/>
    </row>
    <row r="2" spans="1:47" s="63" customFormat="1" ht="22.5">
      <c r="A2" s="850" t="s">
        <v>763</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850"/>
      <c r="AL2" s="850"/>
      <c r="AM2" s="62"/>
      <c r="AN2" s="62"/>
      <c r="AO2" s="62"/>
      <c r="AP2" s="62"/>
      <c r="AQ2" s="62"/>
      <c r="AR2" s="62"/>
      <c r="AS2" s="62"/>
      <c r="AT2" s="62"/>
      <c r="AU2" s="62"/>
    </row>
    <row r="3" spans="1:47" ht="22.15" customHeight="1" thickBot="1"/>
    <row r="4" spans="1:47" ht="87" customHeight="1">
      <c r="B4" s="1131" t="str">
        <f ca="1">'0_Загальне'!B11</f>
        <v>Офіційна повна назва надавача ПМД:</v>
      </c>
      <c r="C4" s="1132"/>
      <c r="D4" s="1132"/>
      <c r="E4" s="1199" t="str">
        <f ca="1">'0_Загальне'!C11</f>
        <v>Комунальне некомерційне підприємство "Рожищнський центр первинної медико-санітарної допомоги" Рожищенської міської ради</v>
      </c>
      <c r="F4" s="1199"/>
      <c r="G4" s="1199"/>
      <c r="H4" s="1199"/>
      <c r="I4" s="1199"/>
      <c r="J4" s="1200"/>
      <c r="M4" s="1166" t="s">
        <v>783</v>
      </c>
      <c r="N4" s="1166"/>
      <c r="O4" s="1166"/>
      <c r="P4" s="1166"/>
      <c r="Q4" s="1166"/>
      <c r="R4" s="1166"/>
      <c r="S4" s="1166"/>
      <c r="T4" s="1166"/>
      <c r="U4" s="1166"/>
      <c r="V4" s="1166"/>
      <c r="W4" s="1166"/>
      <c r="X4" s="1166"/>
      <c r="Y4" s="1166"/>
      <c r="Z4" s="1166"/>
      <c r="AA4" s="1166"/>
    </row>
    <row r="5" spans="1:47" ht="31.15" customHeight="1">
      <c r="B5" s="1133" t="str">
        <f ca="1">'0_Загальне'!B32</f>
        <v>Плановий період (рік):</v>
      </c>
      <c r="C5" s="1134"/>
      <c r="D5" s="1134"/>
      <c r="E5" s="1201">
        <f ca="1">'0_Загальне'!C32</f>
        <v>2022</v>
      </c>
      <c r="F5" s="1201"/>
      <c r="G5" s="1201"/>
      <c r="H5" s="1201"/>
      <c r="I5" s="1201"/>
      <c r="J5" s="1202"/>
      <c r="M5" s="1166"/>
      <c r="N5" s="1166"/>
      <c r="O5" s="1166"/>
      <c r="P5" s="1166"/>
      <c r="Q5" s="1166"/>
      <c r="R5" s="1166"/>
      <c r="S5" s="1166"/>
      <c r="T5" s="1166"/>
      <c r="U5" s="1166"/>
      <c r="V5" s="1166"/>
      <c r="W5" s="1166"/>
      <c r="X5" s="1166"/>
      <c r="Y5" s="1166"/>
      <c r="Z5" s="1166"/>
      <c r="AA5" s="1166"/>
    </row>
    <row r="6" spans="1:47" ht="40.15" customHeight="1" thickBot="1">
      <c r="B6" s="1158" t="s">
        <v>671</v>
      </c>
      <c r="C6" s="1159"/>
      <c r="D6" s="1159"/>
      <c r="E6" s="1242" t="str">
        <f ca="1">'0_Загальне'!C34</f>
        <v>01.11.2021</v>
      </c>
      <c r="F6" s="1242"/>
      <c r="G6" s="1242"/>
      <c r="H6" s="1242"/>
      <c r="I6" s="1242"/>
      <c r="J6" s="1241"/>
    </row>
  </sheetData>
  <mergeCells count="8">
    <mergeCell ref="A2:AL2"/>
    <mergeCell ref="B6:D6"/>
    <mergeCell ref="E6:J6"/>
    <mergeCell ref="E5:J5"/>
    <mergeCell ref="B4:D4"/>
    <mergeCell ref="B5:D5"/>
    <mergeCell ref="E4:J4"/>
    <mergeCell ref="M4:AA5"/>
  </mergeCells>
  <phoneticPr fontId="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L220"/>
  <sheetViews>
    <sheetView showGridLines="0" topLeftCell="A10" zoomScale="85" zoomScaleNormal="85" workbookViewId="0">
      <selection activeCell="B11" sqref="B11:B15"/>
    </sheetView>
  </sheetViews>
  <sheetFormatPr defaultRowHeight="16.5"/>
  <cols>
    <col min="1" max="1" width="7.140625" style="63" customWidth="1"/>
    <col min="2" max="2" width="66.7109375" style="63" customWidth="1"/>
    <col min="3" max="3" width="39" style="63" customWidth="1"/>
    <col min="4" max="4" width="52.7109375" style="63" customWidth="1"/>
    <col min="5" max="5" width="20.28515625" style="63" customWidth="1"/>
    <col min="6" max="10" width="9.140625" style="63"/>
    <col min="11" max="13" width="14.140625" style="63" customWidth="1"/>
    <col min="14" max="16384" width="9.140625" style="63"/>
  </cols>
  <sheetData>
    <row r="1" spans="1:12" s="60" customFormat="1" ht="11.45" customHeight="1"/>
    <row r="2" spans="1:12" ht="125.45" customHeight="1">
      <c r="C2" s="39"/>
      <c r="D2" s="39"/>
      <c r="E2" s="39"/>
      <c r="F2" s="39"/>
      <c r="G2" s="39"/>
      <c r="H2" s="39"/>
      <c r="I2" s="39"/>
      <c r="J2" s="39"/>
      <c r="K2" s="39"/>
      <c r="L2" s="39"/>
    </row>
    <row r="3" spans="1:12" ht="70.900000000000006" customHeight="1" thickBot="1">
      <c r="A3" s="816" t="s">
        <v>757</v>
      </c>
      <c r="B3" s="817"/>
      <c r="C3" s="817"/>
      <c r="D3" s="817"/>
      <c r="E3" s="817"/>
      <c r="F3" s="817"/>
      <c r="G3" s="817"/>
      <c r="H3" s="817"/>
      <c r="I3" s="817"/>
      <c r="J3" s="817"/>
      <c r="K3" s="817"/>
      <c r="L3" s="817"/>
    </row>
    <row r="4" spans="1:12" ht="49.15" customHeight="1" thickBot="1">
      <c r="A4" s="607"/>
      <c r="B4" s="818" t="s">
        <v>764</v>
      </c>
      <c r="C4" s="819"/>
      <c r="D4" s="820"/>
      <c r="E4" s="608"/>
      <c r="F4" s="608"/>
      <c r="G4" s="608"/>
      <c r="H4" s="608"/>
      <c r="I4" s="608"/>
      <c r="J4" s="608"/>
      <c r="K4" s="608"/>
      <c r="L4" s="608"/>
    </row>
    <row r="5" spans="1:12" ht="24" customHeight="1">
      <c r="A5" s="112"/>
      <c r="B5" s="112"/>
      <c r="C5" s="112"/>
      <c r="D5" s="112"/>
      <c r="E5" s="112"/>
      <c r="F5" s="112"/>
      <c r="G5" s="112"/>
      <c r="H5" s="112"/>
      <c r="I5" s="112"/>
      <c r="J5" s="112"/>
      <c r="K5" s="112"/>
      <c r="L5" s="112"/>
    </row>
    <row r="6" spans="1:12" s="116" customFormat="1" ht="33.75" customHeight="1">
      <c r="A6" s="113"/>
      <c r="B6" s="114" t="s">
        <v>655</v>
      </c>
      <c r="C6" s="115" t="s">
        <v>696</v>
      </c>
      <c r="D6" s="115" t="s">
        <v>626</v>
      </c>
      <c r="E6" s="113"/>
      <c r="F6" s="113"/>
      <c r="G6" s="113"/>
      <c r="H6" s="113"/>
      <c r="I6" s="113"/>
      <c r="J6" s="113"/>
      <c r="K6" s="113"/>
      <c r="L6" s="113"/>
    </row>
    <row r="7" spans="1:12" ht="33.75" customHeight="1">
      <c r="A7" s="112"/>
      <c r="B7" s="809" t="s">
        <v>627</v>
      </c>
      <c r="C7" s="98" t="s">
        <v>628</v>
      </c>
      <c r="D7" s="811" t="s">
        <v>348</v>
      </c>
      <c r="E7" s="112"/>
      <c r="F7" s="112"/>
      <c r="G7" s="112"/>
      <c r="H7" s="112"/>
      <c r="I7" s="112"/>
      <c r="J7" s="112"/>
      <c r="K7" s="112"/>
      <c r="L7" s="112"/>
    </row>
    <row r="8" spans="1:12" ht="33.75" customHeight="1">
      <c r="A8" s="112"/>
      <c r="B8" s="810"/>
      <c r="C8" s="110" t="s">
        <v>654</v>
      </c>
      <c r="D8" s="812"/>
      <c r="E8" s="112"/>
      <c r="F8" s="112"/>
      <c r="G8" s="112"/>
      <c r="H8" s="112"/>
      <c r="I8" s="112"/>
      <c r="J8" s="112"/>
      <c r="K8" s="112"/>
      <c r="L8" s="112"/>
    </row>
    <row r="9" spans="1:12" ht="33.75" customHeight="1">
      <c r="A9" s="112"/>
      <c r="B9" s="809" t="s">
        <v>629</v>
      </c>
      <c r="C9" s="98" t="s">
        <v>630</v>
      </c>
      <c r="D9" s="811" t="s">
        <v>348</v>
      </c>
      <c r="E9" s="112"/>
      <c r="F9" s="112"/>
      <c r="G9" s="112"/>
      <c r="H9" s="112"/>
      <c r="I9" s="112"/>
      <c r="J9" s="112"/>
      <c r="K9" s="112"/>
      <c r="L9" s="112"/>
    </row>
    <row r="10" spans="1:12" ht="33.75" customHeight="1">
      <c r="A10" s="112"/>
      <c r="B10" s="810"/>
      <c r="C10" s="99" t="s">
        <v>717</v>
      </c>
      <c r="D10" s="812"/>
      <c r="E10" s="112"/>
      <c r="F10" s="112"/>
      <c r="G10" s="112"/>
      <c r="H10" s="112"/>
      <c r="I10" s="112"/>
      <c r="J10" s="112"/>
      <c r="K10" s="112"/>
      <c r="L10" s="112"/>
    </row>
    <row r="11" spans="1:12" ht="115.5">
      <c r="A11" s="112"/>
      <c r="B11" s="821" t="s">
        <v>631</v>
      </c>
      <c r="C11" s="98" t="s">
        <v>719</v>
      </c>
      <c r="D11" s="845" t="s">
        <v>790</v>
      </c>
      <c r="E11" s="112"/>
      <c r="F11" s="112"/>
      <c r="G11" s="112"/>
      <c r="H11" s="112"/>
      <c r="I11" s="112"/>
      <c r="J11" s="112"/>
      <c r="K11" s="112"/>
      <c r="L11" s="112"/>
    </row>
    <row r="12" spans="1:12" ht="21.6" customHeight="1">
      <c r="A12" s="112"/>
      <c r="B12" s="822"/>
      <c r="C12" s="100" t="s">
        <v>632</v>
      </c>
      <c r="D12" s="846"/>
      <c r="E12" s="112"/>
      <c r="F12" s="112"/>
      <c r="G12" s="112"/>
      <c r="H12" s="112"/>
      <c r="I12" s="112"/>
      <c r="J12" s="112"/>
      <c r="K12" s="112"/>
      <c r="L12" s="112"/>
    </row>
    <row r="13" spans="1:12" ht="92.45" customHeight="1">
      <c r="A13" s="112"/>
      <c r="B13" s="822"/>
      <c r="C13" s="101" t="s">
        <v>725</v>
      </c>
      <c r="D13" s="846"/>
      <c r="E13" s="112"/>
      <c r="F13" s="112"/>
      <c r="G13" s="112"/>
      <c r="H13" s="112"/>
      <c r="I13" s="112"/>
      <c r="J13" s="112"/>
      <c r="K13" s="112"/>
      <c r="L13" s="112"/>
    </row>
    <row r="14" spans="1:12" ht="34.15" customHeight="1">
      <c r="A14" s="112"/>
      <c r="B14" s="822"/>
      <c r="C14" s="101" t="s">
        <v>633</v>
      </c>
      <c r="D14" s="846"/>
      <c r="E14" s="112"/>
      <c r="F14" s="112"/>
      <c r="G14" s="112"/>
      <c r="H14" s="112"/>
      <c r="I14" s="112"/>
      <c r="J14" s="112"/>
      <c r="K14" s="112"/>
      <c r="L14" s="112"/>
    </row>
    <row r="15" spans="1:12" ht="67.900000000000006" customHeight="1">
      <c r="A15" s="112"/>
      <c r="B15" s="823"/>
      <c r="C15" s="102" t="s">
        <v>634</v>
      </c>
      <c r="D15" s="847"/>
      <c r="E15" s="112"/>
      <c r="F15" s="112"/>
      <c r="G15" s="112"/>
      <c r="H15" s="112"/>
      <c r="I15" s="112"/>
      <c r="J15" s="112"/>
      <c r="K15" s="112"/>
      <c r="L15" s="112"/>
    </row>
    <row r="16" spans="1:12" ht="67.150000000000006" customHeight="1">
      <c r="A16" s="112"/>
      <c r="B16" s="821" t="s">
        <v>635</v>
      </c>
      <c r="C16" s="98" t="s">
        <v>720</v>
      </c>
      <c r="D16" s="824" t="s">
        <v>721</v>
      </c>
      <c r="E16" s="112"/>
      <c r="F16" s="112"/>
      <c r="G16" s="112"/>
      <c r="H16" s="112"/>
      <c r="I16" s="112"/>
      <c r="J16" s="112"/>
      <c r="K16" s="112"/>
      <c r="L16" s="112"/>
    </row>
    <row r="17" spans="1:12" ht="37.15" customHeight="1">
      <c r="A17" s="112"/>
      <c r="B17" s="822"/>
      <c r="C17" s="101" t="s">
        <v>654</v>
      </c>
      <c r="D17" s="825"/>
      <c r="E17" s="112"/>
      <c r="F17" s="112"/>
      <c r="G17" s="112"/>
      <c r="H17" s="112"/>
      <c r="I17" s="112"/>
      <c r="J17" s="112"/>
      <c r="K17" s="112"/>
      <c r="L17" s="112"/>
    </row>
    <row r="18" spans="1:12" ht="33.75" customHeight="1">
      <c r="A18" s="112"/>
      <c r="B18" s="822"/>
      <c r="C18" s="117"/>
      <c r="D18" s="825"/>
      <c r="E18" s="112"/>
      <c r="F18" s="112"/>
      <c r="G18" s="112"/>
      <c r="H18" s="112"/>
      <c r="I18" s="112"/>
      <c r="J18" s="112"/>
      <c r="K18" s="112"/>
      <c r="L18" s="112"/>
    </row>
    <row r="19" spans="1:12" ht="33.75" customHeight="1">
      <c r="A19" s="112"/>
      <c r="B19" s="822"/>
      <c r="C19" s="117"/>
      <c r="D19" s="825"/>
      <c r="E19" s="112"/>
      <c r="F19" s="112"/>
      <c r="G19" s="112"/>
      <c r="H19" s="112"/>
      <c r="I19" s="112"/>
      <c r="J19" s="112"/>
      <c r="K19" s="112"/>
      <c r="L19" s="112"/>
    </row>
    <row r="20" spans="1:12" ht="33.75" customHeight="1">
      <c r="A20" s="112"/>
      <c r="B20" s="822"/>
      <c r="C20" s="117"/>
      <c r="D20" s="825"/>
      <c r="E20" s="112"/>
      <c r="F20" s="112"/>
      <c r="G20" s="112"/>
      <c r="H20" s="112"/>
      <c r="I20" s="112"/>
      <c r="J20" s="112"/>
      <c r="K20" s="112"/>
      <c r="L20" s="112"/>
    </row>
    <row r="21" spans="1:12" ht="33.75" customHeight="1">
      <c r="A21" s="112"/>
      <c r="B21" s="822"/>
      <c r="C21" s="117"/>
      <c r="D21" s="825"/>
      <c r="E21" s="112"/>
      <c r="F21" s="112"/>
      <c r="G21" s="112"/>
      <c r="H21" s="112"/>
      <c r="I21" s="112"/>
      <c r="J21" s="112"/>
      <c r="K21" s="112"/>
      <c r="L21" s="112"/>
    </row>
    <row r="22" spans="1:12" ht="33.75" customHeight="1">
      <c r="A22" s="112"/>
      <c r="B22" s="823"/>
      <c r="C22" s="118"/>
      <c r="D22" s="826"/>
      <c r="E22" s="112"/>
      <c r="F22" s="112"/>
      <c r="G22" s="112"/>
      <c r="H22" s="112"/>
      <c r="I22" s="112"/>
      <c r="J22" s="112"/>
      <c r="K22" s="112"/>
      <c r="L22" s="112"/>
    </row>
    <row r="23" spans="1:12" ht="99">
      <c r="A23" s="112"/>
      <c r="B23" s="809" t="s">
        <v>636</v>
      </c>
      <c r="C23" s="104" t="s">
        <v>637</v>
      </c>
      <c r="D23" s="827" t="s">
        <v>651</v>
      </c>
      <c r="E23" s="112"/>
      <c r="F23" s="112"/>
      <c r="G23" s="112"/>
      <c r="H23" s="112"/>
      <c r="I23" s="112"/>
      <c r="J23" s="112"/>
      <c r="K23" s="112"/>
      <c r="L23" s="112"/>
    </row>
    <row r="24" spans="1:12" ht="33.75" customHeight="1">
      <c r="A24" s="112"/>
      <c r="B24" s="813"/>
      <c r="C24" s="105" t="s">
        <v>653</v>
      </c>
      <c r="D24" s="828"/>
      <c r="E24" s="112"/>
      <c r="F24" s="112"/>
      <c r="G24" s="112"/>
      <c r="H24" s="112"/>
      <c r="I24" s="112"/>
      <c r="J24" s="112"/>
      <c r="K24" s="112"/>
      <c r="L24" s="112"/>
    </row>
    <row r="25" spans="1:12" ht="120.75">
      <c r="A25" s="112"/>
      <c r="B25" s="813"/>
      <c r="C25" s="105" t="s">
        <v>21</v>
      </c>
      <c r="D25" s="828"/>
      <c r="E25" s="112"/>
      <c r="F25" s="112"/>
      <c r="G25" s="112"/>
      <c r="H25" s="112"/>
      <c r="I25" s="112"/>
      <c r="J25" s="112"/>
      <c r="K25" s="112"/>
      <c r="L25" s="112"/>
    </row>
    <row r="26" spans="1:12" ht="52.9" customHeight="1">
      <c r="A26" s="112"/>
      <c r="B26" s="813"/>
      <c r="C26" s="106" t="s">
        <v>652</v>
      </c>
      <c r="D26" s="828"/>
      <c r="E26" s="112"/>
      <c r="F26" s="112"/>
      <c r="G26" s="112"/>
      <c r="H26" s="112"/>
      <c r="I26" s="112"/>
      <c r="J26" s="112"/>
      <c r="K26" s="112"/>
      <c r="L26" s="112"/>
    </row>
    <row r="27" spans="1:12" ht="69">
      <c r="A27" s="112"/>
      <c r="B27" s="813"/>
      <c r="C27" s="107" t="s">
        <v>722</v>
      </c>
      <c r="D27" s="828"/>
      <c r="E27" s="112"/>
      <c r="F27" s="112"/>
      <c r="G27" s="112"/>
      <c r="H27" s="112"/>
      <c r="I27" s="112"/>
      <c r="J27" s="112"/>
      <c r="K27" s="112"/>
      <c r="L27" s="112"/>
    </row>
    <row r="28" spans="1:12" ht="52.9" customHeight="1">
      <c r="A28" s="112"/>
      <c r="B28" s="810"/>
      <c r="C28" s="108" t="s">
        <v>723</v>
      </c>
      <c r="D28" s="829"/>
      <c r="E28" s="112"/>
      <c r="F28" s="112"/>
      <c r="G28" s="112"/>
      <c r="H28" s="112"/>
      <c r="I28" s="112"/>
      <c r="J28" s="112"/>
      <c r="K28" s="112"/>
      <c r="L28" s="112"/>
    </row>
    <row r="29" spans="1:12" ht="66">
      <c r="A29" s="112"/>
      <c r="B29" s="809" t="s">
        <v>638</v>
      </c>
      <c r="C29" s="98" t="s">
        <v>639</v>
      </c>
      <c r="D29" s="98" t="s">
        <v>640</v>
      </c>
      <c r="E29" s="112"/>
      <c r="F29" s="112"/>
      <c r="G29" s="112"/>
      <c r="H29" s="112"/>
      <c r="I29" s="112"/>
      <c r="J29" s="112"/>
      <c r="K29" s="112"/>
      <c r="L29" s="112"/>
    </row>
    <row r="30" spans="1:12" ht="49.5">
      <c r="A30" s="112"/>
      <c r="B30" s="810"/>
      <c r="C30" s="99" t="s">
        <v>717</v>
      </c>
      <c r="D30" s="109" t="s">
        <v>641</v>
      </c>
      <c r="E30" s="112"/>
      <c r="F30" s="112"/>
      <c r="G30" s="112"/>
      <c r="H30" s="112"/>
      <c r="I30" s="112"/>
      <c r="J30" s="112"/>
      <c r="K30" s="112"/>
      <c r="L30" s="112"/>
    </row>
    <row r="31" spans="1:12" ht="33.75" customHeight="1">
      <c r="A31" s="112"/>
      <c r="B31" s="809" t="s">
        <v>642</v>
      </c>
      <c r="C31" s="98" t="s">
        <v>643</v>
      </c>
      <c r="D31" s="838" t="s">
        <v>348</v>
      </c>
      <c r="E31" s="112"/>
      <c r="F31" s="112"/>
      <c r="G31" s="112"/>
      <c r="H31" s="112"/>
      <c r="I31" s="112"/>
      <c r="J31" s="112"/>
      <c r="K31" s="112"/>
      <c r="L31" s="112"/>
    </row>
    <row r="32" spans="1:12" ht="33.75" customHeight="1">
      <c r="A32" s="112"/>
      <c r="B32" s="810"/>
      <c r="C32" s="99" t="s">
        <v>717</v>
      </c>
      <c r="D32" s="839"/>
      <c r="E32" s="112"/>
      <c r="F32" s="112"/>
      <c r="G32" s="112"/>
      <c r="H32" s="112"/>
      <c r="I32" s="112"/>
      <c r="J32" s="112"/>
      <c r="K32" s="112"/>
      <c r="L32" s="112"/>
    </row>
    <row r="33" spans="1:12" ht="52.9" customHeight="1">
      <c r="A33" s="112"/>
      <c r="B33" s="809" t="s">
        <v>644</v>
      </c>
      <c r="C33" s="98" t="s">
        <v>645</v>
      </c>
      <c r="D33" s="104" t="s">
        <v>647</v>
      </c>
      <c r="E33" s="112"/>
      <c r="F33" s="112"/>
      <c r="G33" s="112"/>
      <c r="H33" s="112"/>
      <c r="I33" s="112"/>
      <c r="J33" s="112"/>
      <c r="K33" s="112"/>
      <c r="L33" s="112"/>
    </row>
    <row r="34" spans="1:12" ht="33.75" customHeight="1">
      <c r="A34" s="112"/>
      <c r="B34" s="810"/>
      <c r="C34" s="110" t="s">
        <v>646</v>
      </c>
      <c r="D34" s="111" t="s">
        <v>648</v>
      </c>
      <c r="E34" s="112"/>
      <c r="F34" s="112"/>
      <c r="G34" s="112"/>
      <c r="H34" s="112"/>
      <c r="I34" s="112"/>
      <c r="J34" s="112"/>
      <c r="K34" s="112"/>
      <c r="L34" s="112"/>
    </row>
    <row r="35" spans="1:12" ht="33.75" customHeight="1">
      <c r="A35" s="112"/>
      <c r="B35" s="809" t="s">
        <v>649</v>
      </c>
      <c r="C35" s="104" t="s">
        <v>650</v>
      </c>
      <c r="D35" s="838" t="s">
        <v>348</v>
      </c>
      <c r="E35" s="112"/>
      <c r="F35" s="112"/>
      <c r="G35" s="112"/>
      <c r="H35" s="112"/>
      <c r="I35" s="112"/>
      <c r="J35" s="112"/>
      <c r="K35" s="112"/>
      <c r="L35" s="112"/>
    </row>
    <row r="36" spans="1:12" ht="33.75" customHeight="1">
      <c r="A36" s="112"/>
      <c r="B36" s="810"/>
      <c r="C36" s="99" t="s">
        <v>718</v>
      </c>
      <c r="D36" s="839"/>
      <c r="E36" s="112"/>
      <c r="F36" s="112"/>
      <c r="G36" s="112"/>
      <c r="H36" s="112"/>
      <c r="I36" s="112"/>
      <c r="J36" s="112"/>
      <c r="K36" s="112"/>
      <c r="L36" s="112"/>
    </row>
    <row r="37" spans="1:12" ht="34.15" customHeight="1">
      <c r="B37" s="840" t="s">
        <v>656</v>
      </c>
      <c r="C37" s="841"/>
      <c r="D37" s="842"/>
    </row>
    <row r="38" spans="1:12" ht="33.75" customHeight="1">
      <c r="A38" s="119"/>
      <c r="B38" s="120"/>
    </row>
    <row r="39" spans="1:12" s="116" customFormat="1" ht="23.25" customHeight="1">
      <c r="B39" s="831" t="s">
        <v>165</v>
      </c>
      <c r="C39" s="832"/>
      <c r="D39" s="833"/>
      <c r="E39" s="122"/>
      <c r="F39" s="122"/>
      <c r="G39" s="122"/>
      <c r="H39" s="122"/>
    </row>
    <row r="40" spans="1:12" s="116" customFormat="1" ht="26.45" customHeight="1">
      <c r="A40" s="123"/>
      <c r="B40" s="124" t="s">
        <v>166</v>
      </c>
      <c r="C40" s="834" t="s">
        <v>167</v>
      </c>
      <c r="D40" s="835"/>
    </row>
    <row r="41" spans="1:12" ht="37.5" customHeight="1">
      <c r="A41" s="103"/>
      <c r="B41" s="125" t="s">
        <v>168</v>
      </c>
      <c r="C41" s="836" t="s">
        <v>169</v>
      </c>
      <c r="D41" s="837"/>
    </row>
    <row r="42" spans="1:12" ht="36" customHeight="1">
      <c r="A42" s="103"/>
      <c r="B42" s="126" t="s">
        <v>170</v>
      </c>
      <c r="C42" s="814" t="s">
        <v>171</v>
      </c>
      <c r="D42" s="815"/>
    </row>
    <row r="43" spans="1:12" ht="56.25" customHeight="1">
      <c r="A43" s="103"/>
      <c r="B43" s="126" t="s">
        <v>173</v>
      </c>
      <c r="C43" s="814" t="s">
        <v>174</v>
      </c>
      <c r="D43" s="815"/>
    </row>
    <row r="44" spans="1:12" ht="56.25" customHeight="1">
      <c r="A44" s="103"/>
      <c r="B44" s="126" t="s">
        <v>767</v>
      </c>
      <c r="C44" s="814" t="s">
        <v>768</v>
      </c>
      <c r="D44" s="815"/>
    </row>
    <row r="45" spans="1:12" ht="47.45" customHeight="1">
      <c r="A45" s="103"/>
      <c r="B45" s="127" t="s">
        <v>175</v>
      </c>
      <c r="C45" s="814" t="s">
        <v>176</v>
      </c>
      <c r="D45" s="815"/>
    </row>
    <row r="46" spans="1:12" ht="52.5" customHeight="1">
      <c r="A46" s="103"/>
      <c r="B46" s="126" t="s">
        <v>617</v>
      </c>
      <c r="C46" s="814" t="s">
        <v>177</v>
      </c>
      <c r="D46" s="815"/>
    </row>
    <row r="47" spans="1:12" ht="66" customHeight="1">
      <c r="A47" s="103"/>
      <c r="B47" s="126" t="s">
        <v>178</v>
      </c>
      <c r="C47" s="814" t="s">
        <v>179</v>
      </c>
      <c r="D47" s="815"/>
    </row>
    <row r="48" spans="1:12" ht="39.75" customHeight="1">
      <c r="A48" s="103"/>
      <c r="B48" s="126" t="s">
        <v>180</v>
      </c>
      <c r="C48" s="814" t="s">
        <v>181</v>
      </c>
      <c r="D48" s="815"/>
    </row>
    <row r="49" spans="1:12" ht="33">
      <c r="A49" s="103"/>
      <c r="B49" s="126" t="s">
        <v>182</v>
      </c>
      <c r="C49" s="814" t="s">
        <v>183</v>
      </c>
      <c r="D49" s="815"/>
    </row>
    <row r="50" spans="1:12" ht="85.9" customHeight="1">
      <c r="A50" s="103"/>
      <c r="B50" s="126" t="s">
        <v>22</v>
      </c>
      <c r="C50" s="814" t="s">
        <v>24</v>
      </c>
      <c r="D50" s="815"/>
    </row>
    <row r="51" spans="1:12" ht="85.9" customHeight="1">
      <c r="A51" s="103"/>
      <c r="B51" s="126" t="s">
        <v>769</v>
      </c>
      <c r="C51" s="814" t="s">
        <v>770</v>
      </c>
      <c r="D51" s="815"/>
    </row>
    <row r="52" spans="1:12" ht="97.9" customHeight="1">
      <c r="A52" s="103"/>
      <c r="B52" s="126" t="s">
        <v>619</v>
      </c>
      <c r="C52" s="814" t="s">
        <v>618</v>
      </c>
      <c r="D52" s="815"/>
    </row>
    <row r="53" spans="1:12" ht="75" customHeight="1">
      <c r="A53" s="103"/>
      <c r="B53" s="126" t="s">
        <v>622</v>
      </c>
      <c r="C53" s="814" t="s">
        <v>184</v>
      </c>
      <c r="D53" s="815"/>
    </row>
    <row r="54" spans="1:12" ht="59.25" customHeight="1">
      <c r="A54" s="103"/>
      <c r="B54" s="126" t="s">
        <v>621</v>
      </c>
      <c r="C54" s="814" t="s">
        <v>185</v>
      </c>
      <c r="D54" s="815"/>
    </row>
    <row r="55" spans="1:12" ht="66">
      <c r="A55" s="103"/>
      <c r="B55" s="675" t="s">
        <v>771</v>
      </c>
      <c r="C55" s="814" t="s">
        <v>772</v>
      </c>
      <c r="D55" s="815"/>
    </row>
    <row r="56" spans="1:12" ht="79.900000000000006" customHeight="1">
      <c r="A56" s="103"/>
      <c r="B56" s="675" t="s">
        <v>773</v>
      </c>
      <c r="C56" s="814" t="s">
        <v>774</v>
      </c>
      <c r="D56" s="815"/>
    </row>
    <row r="57" spans="1:12" ht="66">
      <c r="A57" s="103"/>
      <c r="B57" s="128" t="s">
        <v>765</v>
      </c>
      <c r="C57" s="814" t="s">
        <v>766</v>
      </c>
      <c r="D57" s="815"/>
    </row>
    <row r="58" spans="1:12" ht="52.9" customHeight="1">
      <c r="A58" s="103"/>
      <c r="B58" s="129" t="s">
        <v>620</v>
      </c>
      <c r="C58" s="843" t="s">
        <v>404</v>
      </c>
      <c r="D58" s="844"/>
    </row>
    <row r="59" spans="1:12">
      <c r="A59" s="103"/>
      <c r="B59" s="45"/>
      <c r="C59" s="44"/>
      <c r="D59" s="45"/>
    </row>
    <row r="60" spans="1:12">
      <c r="A60" s="103"/>
      <c r="B60" s="45"/>
      <c r="C60" s="44"/>
      <c r="D60" s="45"/>
    </row>
    <row r="61" spans="1:12">
      <c r="A61" s="103"/>
      <c r="B61" s="103"/>
      <c r="C61" s="103"/>
    </row>
    <row r="62" spans="1:12" ht="67.900000000000006" customHeight="1">
      <c r="A62" s="830" t="s">
        <v>607</v>
      </c>
      <c r="B62" s="830"/>
      <c r="C62" s="830"/>
      <c r="D62" s="830"/>
      <c r="E62" s="830"/>
      <c r="F62" s="830"/>
      <c r="G62" s="830"/>
      <c r="H62" s="830"/>
      <c r="I62" s="830"/>
      <c r="J62" s="830"/>
      <c r="K62" s="830"/>
      <c r="L62" s="830"/>
    </row>
    <row r="63" spans="1:12">
      <c r="A63" s="103"/>
      <c r="B63" s="103"/>
      <c r="C63" s="103"/>
    </row>
    <row r="64" spans="1:12">
      <c r="A64" s="103"/>
      <c r="B64" s="103"/>
      <c r="C64" s="103"/>
    </row>
    <row r="65" spans="1:3">
      <c r="A65" s="103"/>
      <c r="B65" s="103"/>
      <c r="C65" s="103"/>
    </row>
    <row r="66" spans="1:3">
      <c r="A66" s="103"/>
      <c r="B66" s="103"/>
      <c r="C66" s="103"/>
    </row>
    <row r="67" spans="1:3">
      <c r="A67" s="103"/>
      <c r="B67" s="103"/>
      <c r="C67" s="103"/>
    </row>
    <row r="68" spans="1:3">
      <c r="A68" s="103"/>
      <c r="B68" s="103"/>
      <c r="C68" s="103"/>
    </row>
    <row r="69" spans="1:3">
      <c r="A69" s="103"/>
      <c r="B69" s="103"/>
      <c r="C69" s="103"/>
    </row>
    <row r="70" spans="1:3">
      <c r="A70" s="103"/>
      <c r="B70" s="103"/>
      <c r="C70" s="103"/>
    </row>
    <row r="71" spans="1:3">
      <c r="A71" s="103"/>
      <c r="B71" s="103"/>
      <c r="C71" s="103"/>
    </row>
    <row r="72" spans="1:3">
      <c r="A72" s="103"/>
      <c r="B72" s="103"/>
      <c r="C72" s="103"/>
    </row>
    <row r="73" spans="1:3">
      <c r="A73" s="103"/>
      <c r="B73" s="103"/>
      <c r="C73" s="103"/>
    </row>
    <row r="74" spans="1:3">
      <c r="A74" s="103"/>
      <c r="B74" s="103"/>
      <c r="C74" s="103"/>
    </row>
    <row r="75" spans="1:3">
      <c r="A75" s="103"/>
      <c r="B75" s="103"/>
      <c r="C75" s="103"/>
    </row>
    <row r="76" spans="1:3">
      <c r="A76" s="103"/>
      <c r="B76" s="103"/>
      <c r="C76" s="103"/>
    </row>
    <row r="77" spans="1:3">
      <c r="A77" s="103"/>
      <c r="B77" s="103"/>
      <c r="C77" s="103"/>
    </row>
    <row r="78" spans="1:3">
      <c r="A78" s="103"/>
      <c r="B78" s="103"/>
      <c r="C78" s="103"/>
    </row>
    <row r="79" spans="1:3">
      <c r="A79" s="103"/>
      <c r="B79" s="103"/>
      <c r="C79" s="103"/>
    </row>
    <row r="80" spans="1:3">
      <c r="A80" s="103"/>
      <c r="B80" s="103"/>
      <c r="C80" s="103"/>
    </row>
    <row r="81" spans="1:3">
      <c r="A81" s="103"/>
      <c r="B81" s="103"/>
      <c r="C81" s="103"/>
    </row>
    <row r="82" spans="1:3">
      <c r="A82" s="103"/>
      <c r="B82" s="103"/>
      <c r="C82" s="103"/>
    </row>
    <row r="83" spans="1:3">
      <c r="A83" s="103"/>
      <c r="B83" s="103"/>
      <c r="C83" s="103"/>
    </row>
    <row r="84" spans="1:3">
      <c r="A84" s="103"/>
      <c r="B84" s="103"/>
      <c r="C84" s="103"/>
    </row>
    <row r="85" spans="1:3">
      <c r="A85" s="103"/>
      <c r="B85" s="103"/>
      <c r="C85" s="103"/>
    </row>
    <row r="86" spans="1:3">
      <c r="A86" s="103"/>
      <c r="B86" s="103"/>
      <c r="C86" s="103"/>
    </row>
    <row r="87" spans="1:3">
      <c r="A87" s="103"/>
      <c r="B87" s="103"/>
      <c r="C87" s="103"/>
    </row>
    <row r="88" spans="1:3">
      <c r="A88" s="103"/>
      <c r="B88" s="103"/>
      <c r="C88" s="103"/>
    </row>
    <row r="89" spans="1:3">
      <c r="A89" s="103"/>
      <c r="B89" s="103"/>
      <c r="C89" s="103"/>
    </row>
    <row r="90" spans="1:3">
      <c r="A90" s="103"/>
      <c r="B90" s="103"/>
      <c r="C90" s="103"/>
    </row>
    <row r="91" spans="1:3">
      <c r="A91" s="103"/>
      <c r="B91" s="103"/>
      <c r="C91" s="103"/>
    </row>
    <row r="92" spans="1:3">
      <c r="A92" s="103"/>
      <c r="B92" s="103"/>
      <c r="C92" s="103"/>
    </row>
    <row r="93" spans="1:3">
      <c r="A93" s="103"/>
      <c r="B93" s="103"/>
      <c r="C93" s="103"/>
    </row>
    <row r="94" spans="1:3">
      <c r="A94" s="103"/>
      <c r="B94" s="103"/>
      <c r="C94" s="103"/>
    </row>
    <row r="95" spans="1:3">
      <c r="A95" s="103"/>
      <c r="B95" s="103"/>
      <c r="C95" s="103"/>
    </row>
    <row r="96" spans="1:3">
      <c r="A96" s="103"/>
      <c r="B96" s="103"/>
      <c r="C96" s="103"/>
    </row>
    <row r="97" spans="1:3">
      <c r="A97" s="103"/>
      <c r="B97" s="103"/>
      <c r="C97" s="103"/>
    </row>
    <row r="98" spans="1:3">
      <c r="A98" s="103"/>
      <c r="B98" s="103"/>
      <c r="C98" s="103"/>
    </row>
    <row r="99" spans="1:3">
      <c r="A99" s="103"/>
      <c r="B99" s="103"/>
      <c r="C99" s="103"/>
    </row>
    <row r="100" spans="1:3">
      <c r="A100" s="103"/>
      <c r="B100" s="103"/>
      <c r="C100" s="103"/>
    </row>
    <row r="101" spans="1:3">
      <c r="A101" s="103"/>
      <c r="B101" s="103"/>
      <c r="C101" s="103"/>
    </row>
    <row r="102" spans="1:3">
      <c r="A102" s="103"/>
      <c r="B102" s="103"/>
      <c r="C102" s="103"/>
    </row>
    <row r="103" spans="1:3">
      <c r="A103" s="103"/>
      <c r="B103" s="103"/>
      <c r="C103" s="103"/>
    </row>
    <row r="104" spans="1:3">
      <c r="A104" s="103"/>
      <c r="B104" s="103"/>
      <c r="C104" s="103"/>
    </row>
    <row r="105" spans="1:3">
      <c r="A105" s="103"/>
      <c r="B105" s="103"/>
      <c r="C105" s="103"/>
    </row>
    <row r="106" spans="1:3">
      <c r="A106" s="103"/>
      <c r="B106" s="103"/>
      <c r="C106" s="103"/>
    </row>
    <row r="107" spans="1:3">
      <c r="A107" s="103"/>
      <c r="B107" s="103"/>
      <c r="C107" s="103"/>
    </row>
    <row r="108" spans="1:3">
      <c r="A108" s="103"/>
      <c r="B108" s="103"/>
      <c r="C108" s="103"/>
    </row>
    <row r="109" spans="1:3">
      <c r="A109" s="103"/>
      <c r="B109" s="103"/>
      <c r="C109" s="103"/>
    </row>
    <row r="110" spans="1:3">
      <c r="A110" s="103"/>
      <c r="B110" s="103"/>
      <c r="C110" s="103"/>
    </row>
    <row r="111" spans="1:3">
      <c r="A111" s="103"/>
      <c r="B111" s="103"/>
      <c r="C111" s="103"/>
    </row>
    <row r="112" spans="1:3">
      <c r="A112" s="103"/>
      <c r="B112" s="103"/>
      <c r="C112" s="103"/>
    </row>
    <row r="113" spans="1:3">
      <c r="A113" s="103"/>
      <c r="B113" s="103"/>
      <c r="C113" s="103"/>
    </row>
    <row r="114" spans="1:3">
      <c r="A114" s="103"/>
      <c r="B114" s="103"/>
      <c r="C114" s="103"/>
    </row>
    <row r="115" spans="1:3">
      <c r="A115" s="103"/>
      <c r="B115" s="103"/>
      <c r="C115" s="103"/>
    </row>
    <row r="116" spans="1:3">
      <c r="A116" s="103"/>
      <c r="B116" s="103"/>
      <c r="C116" s="103"/>
    </row>
    <row r="117" spans="1:3">
      <c r="A117" s="103"/>
      <c r="B117" s="103"/>
      <c r="C117" s="103"/>
    </row>
    <row r="118" spans="1:3">
      <c r="A118" s="103"/>
      <c r="B118" s="103"/>
      <c r="C118" s="103"/>
    </row>
    <row r="119" spans="1:3">
      <c r="A119" s="103"/>
      <c r="B119" s="103"/>
      <c r="C119" s="103"/>
    </row>
    <row r="120" spans="1:3">
      <c r="A120" s="103"/>
      <c r="B120" s="103"/>
      <c r="C120" s="103"/>
    </row>
    <row r="121" spans="1:3">
      <c r="A121" s="103"/>
      <c r="B121" s="103"/>
      <c r="C121" s="103"/>
    </row>
    <row r="122" spans="1:3">
      <c r="A122" s="103"/>
      <c r="B122" s="103"/>
      <c r="C122" s="103"/>
    </row>
    <row r="123" spans="1:3">
      <c r="A123" s="103"/>
      <c r="B123" s="103"/>
      <c r="C123" s="103"/>
    </row>
    <row r="124" spans="1:3">
      <c r="A124" s="103"/>
      <c r="B124" s="103"/>
      <c r="C124" s="103"/>
    </row>
    <row r="125" spans="1:3">
      <c r="A125" s="103"/>
      <c r="B125" s="103"/>
      <c r="C125" s="103"/>
    </row>
    <row r="126" spans="1:3">
      <c r="A126" s="103"/>
      <c r="B126" s="103"/>
      <c r="C126" s="103"/>
    </row>
    <row r="127" spans="1:3">
      <c r="A127" s="103"/>
      <c r="B127" s="103"/>
      <c r="C127" s="103"/>
    </row>
    <row r="128" spans="1:3">
      <c r="A128" s="103"/>
      <c r="B128" s="103"/>
      <c r="C128" s="103"/>
    </row>
    <row r="129" spans="1:3">
      <c r="A129" s="103"/>
      <c r="B129" s="103"/>
      <c r="C129" s="103"/>
    </row>
    <row r="130" spans="1:3">
      <c r="A130" s="103"/>
      <c r="B130" s="103"/>
      <c r="C130" s="103"/>
    </row>
    <row r="131" spans="1:3">
      <c r="A131" s="103"/>
      <c r="B131" s="103"/>
      <c r="C131" s="103"/>
    </row>
    <row r="132" spans="1:3">
      <c r="A132" s="103"/>
      <c r="B132" s="103"/>
      <c r="C132" s="103"/>
    </row>
    <row r="133" spans="1:3">
      <c r="A133" s="103"/>
      <c r="B133" s="103"/>
      <c r="C133" s="103"/>
    </row>
    <row r="134" spans="1:3">
      <c r="A134" s="103"/>
      <c r="B134" s="103"/>
      <c r="C134" s="103"/>
    </row>
    <row r="135" spans="1:3">
      <c r="A135" s="103"/>
      <c r="B135" s="103"/>
      <c r="C135" s="103"/>
    </row>
    <row r="136" spans="1:3">
      <c r="A136" s="103"/>
      <c r="B136" s="103"/>
      <c r="C136" s="103"/>
    </row>
    <row r="137" spans="1:3">
      <c r="A137" s="103"/>
      <c r="B137" s="103"/>
      <c r="C137" s="103"/>
    </row>
    <row r="138" spans="1:3">
      <c r="A138" s="103"/>
      <c r="B138" s="103"/>
      <c r="C138" s="103"/>
    </row>
    <row r="139" spans="1:3">
      <c r="A139" s="103"/>
      <c r="B139" s="103"/>
      <c r="C139" s="103"/>
    </row>
    <row r="140" spans="1:3">
      <c r="A140" s="103"/>
      <c r="B140" s="103"/>
      <c r="C140" s="103"/>
    </row>
    <row r="141" spans="1:3">
      <c r="A141" s="103"/>
      <c r="B141" s="103"/>
      <c r="C141" s="103"/>
    </row>
    <row r="142" spans="1:3">
      <c r="A142" s="103"/>
      <c r="B142" s="103"/>
      <c r="C142" s="103"/>
    </row>
    <row r="143" spans="1:3">
      <c r="A143" s="103"/>
      <c r="B143" s="103"/>
      <c r="C143" s="103"/>
    </row>
    <row r="144" spans="1:3">
      <c r="A144" s="103"/>
      <c r="B144" s="103"/>
      <c r="C144" s="103"/>
    </row>
    <row r="145" spans="1:3">
      <c r="A145" s="103"/>
      <c r="B145" s="103"/>
      <c r="C145" s="103"/>
    </row>
    <row r="146" spans="1:3">
      <c r="A146" s="103"/>
      <c r="B146" s="103"/>
      <c r="C146" s="103"/>
    </row>
    <row r="147" spans="1:3">
      <c r="A147" s="103"/>
      <c r="B147" s="103"/>
      <c r="C147" s="103"/>
    </row>
    <row r="148" spans="1:3">
      <c r="A148" s="103"/>
      <c r="B148" s="103"/>
      <c r="C148" s="103"/>
    </row>
    <row r="149" spans="1:3">
      <c r="A149" s="103"/>
      <c r="B149" s="103"/>
      <c r="C149" s="103"/>
    </row>
    <row r="150" spans="1:3">
      <c r="A150" s="103"/>
      <c r="B150" s="103"/>
      <c r="C150" s="103"/>
    </row>
    <row r="151" spans="1:3">
      <c r="A151" s="103"/>
      <c r="B151" s="103"/>
      <c r="C151" s="103"/>
    </row>
    <row r="152" spans="1:3">
      <c r="A152" s="103"/>
      <c r="B152" s="103"/>
      <c r="C152" s="103"/>
    </row>
    <row r="153" spans="1:3">
      <c r="A153" s="103"/>
      <c r="B153" s="103"/>
      <c r="C153" s="103"/>
    </row>
    <row r="154" spans="1:3">
      <c r="A154" s="103"/>
      <c r="B154" s="103"/>
      <c r="C154" s="103"/>
    </row>
    <row r="155" spans="1:3">
      <c r="A155" s="103"/>
      <c r="B155" s="103"/>
      <c r="C155" s="103"/>
    </row>
    <row r="156" spans="1:3">
      <c r="A156" s="103"/>
      <c r="B156" s="103"/>
      <c r="C156" s="103"/>
    </row>
    <row r="157" spans="1:3">
      <c r="A157" s="103"/>
      <c r="B157" s="103"/>
      <c r="C157" s="103"/>
    </row>
    <row r="158" spans="1:3">
      <c r="A158" s="103"/>
      <c r="B158" s="103"/>
      <c r="C158" s="103"/>
    </row>
    <row r="159" spans="1:3">
      <c r="A159" s="103"/>
      <c r="B159" s="103"/>
      <c r="C159" s="103"/>
    </row>
    <row r="160" spans="1:3">
      <c r="A160" s="103"/>
      <c r="B160" s="103"/>
      <c r="C160" s="103"/>
    </row>
    <row r="161" spans="1:3">
      <c r="A161" s="103"/>
      <c r="B161" s="103"/>
      <c r="C161" s="103"/>
    </row>
    <row r="162" spans="1:3">
      <c r="A162" s="103"/>
      <c r="B162" s="103"/>
      <c r="C162" s="103"/>
    </row>
    <row r="163" spans="1:3">
      <c r="A163" s="103"/>
      <c r="B163" s="103"/>
      <c r="C163" s="103"/>
    </row>
    <row r="164" spans="1:3">
      <c r="A164" s="103"/>
      <c r="B164" s="103"/>
      <c r="C164" s="103"/>
    </row>
    <row r="165" spans="1:3">
      <c r="A165" s="103"/>
      <c r="B165" s="103"/>
      <c r="C165" s="103"/>
    </row>
    <row r="166" spans="1:3">
      <c r="A166" s="103"/>
      <c r="B166" s="103"/>
      <c r="C166" s="103"/>
    </row>
    <row r="167" spans="1:3">
      <c r="A167" s="103"/>
      <c r="B167" s="103"/>
      <c r="C167" s="103"/>
    </row>
    <row r="168" spans="1:3">
      <c r="A168" s="103"/>
      <c r="B168" s="103"/>
      <c r="C168" s="103"/>
    </row>
    <row r="169" spans="1:3">
      <c r="A169" s="103"/>
      <c r="B169" s="103"/>
      <c r="C169" s="103"/>
    </row>
    <row r="170" spans="1:3">
      <c r="A170" s="103"/>
      <c r="B170" s="103"/>
      <c r="C170" s="103"/>
    </row>
    <row r="171" spans="1:3">
      <c r="A171" s="103"/>
      <c r="B171" s="103"/>
      <c r="C171" s="103"/>
    </row>
    <row r="172" spans="1:3">
      <c r="A172" s="103"/>
      <c r="B172" s="103"/>
      <c r="C172" s="103"/>
    </row>
    <row r="173" spans="1:3">
      <c r="A173" s="103"/>
      <c r="B173" s="103"/>
      <c r="C173" s="103"/>
    </row>
    <row r="174" spans="1:3">
      <c r="A174" s="103"/>
      <c r="B174" s="103"/>
      <c r="C174" s="103"/>
    </row>
    <row r="175" spans="1:3">
      <c r="A175" s="103"/>
      <c r="B175" s="103"/>
      <c r="C175" s="103"/>
    </row>
    <row r="176" spans="1:3">
      <c r="A176" s="103"/>
      <c r="B176" s="103"/>
      <c r="C176" s="103"/>
    </row>
    <row r="177" spans="1:3">
      <c r="A177" s="103"/>
      <c r="B177" s="103"/>
      <c r="C177" s="103"/>
    </row>
    <row r="178" spans="1:3">
      <c r="A178" s="103"/>
      <c r="B178" s="103"/>
      <c r="C178" s="103"/>
    </row>
    <row r="179" spans="1:3">
      <c r="A179" s="103"/>
      <c r="B179" s="103"/>
      <c r="C179" s="103"/>
    </row>
    <row r="180" spans="1:3">
      <c r="A180" s="103"/>
      <c r="B180" s="103"/>
      <c r="C180" s="103"/>
    </row>
    <row r="181" spans="1:3">
      <c r="A181" s="103"/>
      <c r="B181" s="103"/>
      <c r="C181" s="103"/>
    </row>
    <row r="182" spans="1:3">
      <c r="A182" s="103"/>
      <c r="B182" s="103"/>
      <c r="C182" s="103"/>
    </row>
    <row r="183" spans="1:3">
      <c r="A183" s="103"/>
      <c r="B183" s="103"/>
      <c r="C183" s="103"/>
    </row>
    <row r="184" spans="1:3">
      <c r="A184" s="103"/>
      <c r="B184" s="103"/>
      <c r="C184" s="103"/>
    </row>
    <row r="185" spans="1:3">
      <c r="A185" s="103"/>
      <c r="B185" s="103"/>
      <c r="C185" s="103"/>
    </row>
    <row r="186" spans="1:3">
      <c r="A186" s="103"/>
      <c r="B186" s="103"/>
      <c r="C186" s="103"/>
    </row>
    <row r="187" spans="1:3">
      <c r="A187" s="103"/>
      <c r="B187" s="103"/>
      <c r="C187" s="103"/>
    </row>
    <row r="188" spans="1:3">
      <c r="A188" s="103"/>
      <c r="B188" s="103"/>
      <c r="C188" s="103"/>
    </row>
    <row r="189" spans="1:3">
      <c r="A189" s="103"/>
      <c r="B189" s="103"/>
      <c r="C189" s="103"/>
    </row>
    <row r="190" spans="1:3">
      <c r="A190" s="103"/>
      <c r="B190" s="103"/>
      <c r="C190" s="103"/>
    </row>
    <row r="191" spans="1:3">
      <c r="A191" s="103"/>
      <c r="B191" s="103"/>
      <c r="C191" s="103"/>
    </row>
    <row r="192" spans="1:3">
      <c r="A192" s="103"/>
      <c r="B192" s="103"/>
      <c r="C192" s="103"/>
    </row>
    <row r="193" spans="1:3">
      <c r="A193" s="103"/>
      <c r="B193" s="103"/>
      <c r="C193" s="103"/>
    </row>
    <row r="194" spans="1:3">
      <c r="A194" s="103"/>
      <c r="B194" s="103"/>
      <c r="C194" s="103"/>
    </row>
    <row r="195" spans="1:3">
      <c r="A195" s="103"/>
      <c r="B195" s="103"/>
      <c r="C195" s="103"/>
    </row>
    <row r="196" spans="1:3">
      <c r="A196" s="103"/>
      <c r="B196" s="103"/>
      <c r="C196" s="103"/>
    </row>
    <row r="197" spans="1:3">
      <c r="A197" s="103"/>
      <c r="B197" s="103"/>
      <c r="C197" s="103"/>
    </row>
    <row r="198" spans="1:3">
      <c r="A198" s="103"/>
      <c r="B198" s="103"/>
      <c r="C198" s="103"/>
    </row>
    <row r="199" spans="1:3">
      <c r="A199" s="103"/>
      <c r="B199" s="103"/>
      <c r="C199" s="103"/>
    </row>
    <row r="200" spans="1:3">
      <c r="A200" s="103"/>
      <c r="B200" s="103"/>
      <c r="C200" s="103"/>
    </row>
    <row r="201" spans="1:3">
      <c r="A201" s="103"/>
      <c r="B201" s="103"/>
      <c r="C201" s="103"/>
    </row>
    <row r="202" spans="1:3">
      <c r="A202" s="103"/>
      <c r="B202" s="103"/>
      <c r="C202" s="103"/>
    </row>
    <row r="203" spans="1:3">
      <c r="A203" s="103"/>
      <c r="B203" s="103"/>
      <c r="C203" s="103"/>
    </row>
    <row r="204" spans="1:3">
      <c r="A204" s="103"/>
      <c r="B204" s="103"/>
      <c r="C204" s="103"/>
    </row>
    <row r="205" spans="1:3">
      <c r="A205" s="103"/>
      <c r="B205" s="103"/>
      <c r="C205" s="103"/>
    </row>
    <row r="206" spans="1:3">
      <c r="A206" s="103"/>
      <c r="B206" s="103"/>
      <c r="C206" s="103"/>
    </row>
    <row r="207" spans="1:3">
      <c r="A207" s="103"/>
      <c r="B207" s="103"/>
      <c r="C207" s="103"/>
    </row>
    <row r="208" spans="1:3">
      <c r="A208" s="103"/>
      <c r="B208" s="103"/>
      <c r="C208" s="103"/>
    </row>
    <row r="209" spans="1:3">
      <c r="A209" s="103"/>
      <c r="B209" s="103"/>
      <c r="C209" s="103"/>
    </row>
    <row r="210" spans="1:3">
      <c r="A210" s="103"/>
      <c r="B210" s="103"/>
      <c r="C210" s="103"/>
    </row>
    <row r="211" spans="1:3">
      <c r="A211" s="103"/>
      <c r="B211" s="103"/>
      <c r="C211" s="103"/>
    </row>
    <row r="212" spans="1:3">
      <c r="A212" s="103"/>
      <c r="B212" s="103"/>
      <c r="C212" s="103"/>
    </row>
    <row r="213" spans="1:3">
      <c r="A213" s="103"/>
      <c r="B213" s="103"/>
      <c r="C213" s="103"/>
    </row>
    <row r="214" spans="1:3">
      <c r="A214" s="103"/>
      <c r="B214" s="103"/>
      <c r="C214" s="103"/>
    </row>
    <row r="215" spans="1:3">
      <c r="A215" s="103"/>
      <c r="B215" s="103"/>
      <c r="C215" s="103"/>
    </row>
    <row r="216" spans="1:3">
      <c r="A216" s="103"/>
      <c r="B216" s="103"/>
      <c r="C216" s="103"/>
    </row>
    <row r="217" spans="1:3">
      <c r="A217" s="103"/>
      <c r="B217" s="103"/>
      <c r="C217" s="103"/>
    </row>
    <row r="218" spans="1:3">
      <c r="A218" s="103"/>
      <c r="B218" s="103"/>
      <c r="C218" s="103"/>
    </row>
    <row r="219" spans="1:3">
      <c r="A219" s="103"/>
      <c r="B219" s="103"/>
      <c r="C219" s="103"/>
    </row>
    <row r="220" spans="1:3">
      <c r="A220" s="103"/>
      <c r="B220" s="103"/>
      <c r="C220" s="103"/>
    </row>
  </sheetData>
  <mergeCells count="40">
    <mergeCell ref="C58:D58"/>
    <mergeCell ref="C46:D46"/>
    <mergeCell ref="C57:D57"/>
    <mergeCell ref="D11:D15"/>
    <mergeCell ref="C48:D48"/>
    <mergeCell ref="C54:D54"/>
    <mergeCell ref="C47:D47"/>
    <mergeCell ref="C52:D52"/>
    <mergeCell ref="C51:D51"/>
    <mergeCell ref="C55:D55"/>
    <mergeCell ref="C49:D49"/>
    <mergeCell ref="C50:D50"/>
    <mergeCell ref="C53:D53"/>
    <mergeCell ref="B29:B30"/>
    <mergeCell ref="C44:D44"/>
    <mergeCell ref="D31:D32"/>
    <mergeCell ref="B33:B34"/>
    <mergeCell ref="B35:B36"/>
    <mergeCell ref="D35:D36"/>
    <mergeCell ref="B37:D37"/>
    <mergeCell ref="D23:D28"/>
    <mergeCell ref="B7:B8"/>
    <mergeCell ref="D7:D8"/>
    <mergeCell ref="A62:L62"/>
    <mergeCell ref="C43:D43"/>
    <mergeCell ref="C45:D45"/>
    <mergeCell ref="B39:D39"/>
    <mergeCell ref="C40:D40"/>
    <mergeCell ref="C41:D41"/>
    <mergeCell ref="C42:D42"/>
    <mergeCell ref="B9:B10"/>
    <mergeCell ref="D9:D10"/>
    <mergeCell ref="B23:B28"/>
    <mergeCell ref="C56:D56"/>
    <mergeCell ref="A3:L3"/>
    <mergeCell ref="B31:B32"/>
    <mergeCell ref="B4:D4"/>
    <mergeCell ref="B11:B15"/>
    <mergeCell ref="D16:D22"/>
    <mergeCell ref="B16:B22"/>
  </mergeCells>
  <phoneticPr fontId="0" type="noConversion"/>
  <hyperlinks>
    <hyperlink ref="C52" r:id="rId1"/>
    <hyperlink ref="C58" r:id="rId2"/>
    <hyperlink ref="C57" r:id="rId3"/>
    <hyperlink ref="C54" r:id="rId4"/>
    <hyperlink ref="C53" r:id="rId5"/>
    <hyperlink ref="C49" r:id="rId6"/>
    <hyperlink ref="C48" r:id="rId7"/>
    <hyperlink ref="C47" r:id="rId8"/>
    <hyperlink ref="C42" r:id="rId9"/>
    <hyperlink ref="C43" r:id="rId10"/>
    <hyperlink ref="C45" r:id="rId11"/>
    <hyperlink ref="C41" r:id="rId12"/>
    <hyperlink ref="C46" r:id="rId13"/>
    <hyperlink ref="B7:B8" location="'0_Загальне'!A1" display="0_Загальне"/>
    <hyperlink ref="B9:B10" location="Законод!A1" display="Законод"/>
    <hyperlink ref="B11:B15" location="'01_Доходи'!A1" display="01_Доходи"/>
    <hyperlink ref="B16:B22" location="'02_Видатки'!A1" display="02_Видатки"/>
    <hyperlink ref="B23:B28" location="'03_МТО'!A1" display="03_МТО"/>
    <hyperlink ref="B29:B30" location="'04_Фін_стійкість'!A1" display="04_Фін_стійкість"/>
    <hyperlink ref="B31:B32" location="ДРУК!A1" display="ДРУК"/>
    <hyperlink ref="B33:B34" location="'05_Фін_план'!A1" display="05_Фін_план"/>
    <hyperlink ref="B35:B36" location="Графіки!A1" display="Графіки"/>
    <hyperlink ref="C44" r:id="rId14"/>
    <hyperlink ref="C51" r:id="rId15"/>
    <hyperlink ref="C55" r:id="rId16"/>
    <hyperlink ref="C56" r:id="rId17"/>
    <hyperlink ref="C50" r:id="rId18" display="https://moz.gov.ua/article/ministry-mandates/nakaz-moz-ukraini-vid-08052020--1103-pro-vnesennja-zmin-do-primirnogo-tabelja-materialno-tehnichnogo-osnaschennja-zakladiv-ohoroni-zdorov%e2%80%99ja-ta-fizichnih-osib-pidpriemciv-jaki-nadajut-pervinnu-medichnu-dopomogu"/>
  </hyperlinks>
  <pageMargins left="0.7" right="0.7" top="0.75" bottom="0.75" header="0.3" footer="0.3"/>
  <pageSetup orientation="portrait" r:id="rId19"/>
  <drawing r:id="rId20"/>
</worksheet>
</file>

<file path=xl/worksheets/sheet3.xml><?xml version="1.0" encoding="utf-8"?>
<worksheet xmlns="http://schemas.openxmlformats.org/spreadsheetml/2006/main" xmlns:r="http://schemas.openxmlformats.org/officeDocument/2006/relationships">
  <dimension ref="A1:L40"/>
  <sheetViews>
    <sheetView showGridLines="0" topLeftCell="A10" workbookViewId="0">
      <selection activeCell="C35" sqref="C35"/>
    </sheetView>
  </sheetViews>
  <sheetFormatPr defaultRowHeight="16.5"/>
  <cols>
    <col min="1" max="1" width="6.140625" style="63" customWidth="1"/>
    <col min="2" max="2" width="52.140625" style="63" customWidth="1"/>
    <col min="3" max="3" width="51.7109375" style="63" customWidth="1"/>
    <col min="4" max="16384" width="9.140625" style="63"/>
  </cols>
  <sheetData>
    <row r="1" spans="1:12" s="60" customFormat="1" ht="11.45" customHeight="1"/>
    <row r="2" spans="1:12" ht="22.5">
      <c r="A2" s="850" t="s">
        <v>758</v>
      </c>
      <c r="B2" s="850"/>
      <c r="C2" s="850"/>
      <c r="D2" s="850"/>
      <c r="E2" s="850"/>
      <c r="F2" s="850"/>
      <c r="G2" s="850"/>
      <c r="H2" s="850"/>
      <c r="I2" s="850"/>
      <c r="J2" s="850"/>
      <c r="K2" s="850"/>
      <c r="L2" s="850"/>
    </row>
    <row r="4" spans="1:12" ht="29.25" customHeight="1">
      <c r="B4" s="851" t="s">
        <v>186</v>
      </c>
      <c r="C4" s="851"/>
    </row>
    <row r="5" spans="1:12" ht="16.5" customHeight="1">
      <c r="B5" s="251"/>
      <c r="C5" s="251"/>
    </row>
    <row r="6" spans="1:12" ht="25.5" customHeight="1">
      <c r="B6" s="852" t="s">
        <v>187</v>
      </c>
      <c r="C6" s="853"/>
    </row>
    <row r="7" spans="1:12" ht="39" customHeight="1">
      <c r="B7" s="854" t="s">
        <v>665</v>
      </c>
      <c r="C7" s="855"/>
    </row>
    <row r="8" spans="1:12" ht="36.75" customHeight="1">
      <c r="B8" s="856" t="s">
        <v>666</v>
      </c>
      <c r="C8" s="857"/>
    </row>
    <row r="9" spans="1:12" ht="40.5" customHeight="1">
      <c r="B9" s="848" t="s">
        <v>667</v>
      </c>
      <c r="C9" s="849"/>
      <c r="I9" s="330"/>
      <c r="J9" s="331"/>
    </row>
    <row r="10" spans="1:12" ht="16.5" customHeight="1">
      <c r="B10" s="332"/>
      <c r="C10" s="251"/>
      <c r="I10" s="330"/>
      <c r="J10" s="331"/>
    </row>
    <row r="11" spans="1:12" ht="46.5" customHeight="1">
      <c r="B11" s="333" t="s">
        <v>188</v>
      </c>
      <c r="C11" s="334" t="s">
        <v>116</v>
      </c>
      <c r="I11" s="330"/>
      <c r="J11" s="331"/>
    </row>
    <row r="12" spans="1:12" ht="10.15" customHeight="1">
      <c r="B12" s="45"/>
      <c r="C12" s="335"/>
      <c r="I12" s="330"/>
      <c r="J12" s="331"/>
    </row>
    <row r="13" spans="1:12" ht="24" customHeight="1">
      <c r="B13" s="333" t="s">
        <v>189</v>
      </c>
      <c r="C13" s="334">
        <v>38541660</v>
      </c>
    </row>
    <row r="14" spans="1:12" ht="11.45" customHeight="1">
      <c r="B14" s="45"/>
      <c r="C14" s="335"/>
    </row>
    <row r="15" spans="1:12" ht="33.6" customHeight="1">
      <c r="B15" s="333" t="s">
        <v>190</v>
      </c>
      <c r="C15" s="334" t="s">
        <v>89</v>
      </c>
    </row>
    <row r="16" spans="1:12" ht="10.9" customHeight="1">
      <c r="B16" s="332"/>
      <c r="C16" s="335"/>
    </row>
    <row r="17" spans="2:7" ht="39.75" customHeight="1">
      <c r="B17" s="333" t="s">
        <v>191</v>
      </c>
      <c r="C17" s="334" t="s">
        <v>115</v>
      </c>
    </row>
    <row r="18" spans="2:7" ht="12" customHeight="1">
      <c r="B18" s="332"/>
      <c r="C18" s="335"/>
    </row>
    <row r="19" spans="2:7" ht="44.45" customHeight="1">
      <c r="B19" s="333" t="s">
        <v>668</v>
      </c>
      <c r="C19" s="336">
        <v>0</v>
      </c>
    </row>
    <row r="20" spans="2:7">
      <c r="B20" s="332"/>
      <c r="C20" s="335"/>
    </row>
    <row r="21" spans="2:7" ht="30.6" customHeight="1">
      <c r="B21" s="337" t="s">
        <v>389</v>
      </c>
      <c r="C21" s="340"/>
      <c r="G21" s="339"/>
    </row>
    <row r="22" spans="2:7" ht="21.6" customHeight="1">
      <c r="B22" s="341" t="s">
        <v>391</v>
      </c>
      <c r="C22" s="688">
        <f>28+64+9.5+27.5</f>
        <v>129</v>
      </c>
      <c r="G22" s="339"/>
    </row>
    <row r="23" spans="2:7" ht="22.9" customHeight="1">
      <c r="B23" s="341" t="s">
        <v>669</v>
      </c>
      <c r="C23" s="338">
        <v>0</v>
      </c>
      <c r="G23" s="339"/>
    </row>
    <row r="24" spans="2:7" ht="27" customHeight="1">
      <c r="B24" s="342"/>
      <c r="C24" s="343"/>
      <c r="G24" s="339"/>
    </row>
    <row r="25" spans="2:7" ht="27" customHeight="1">
      <c r="B25" s="337" t="s">
        <v>670</v>
      </c>
      <c r="C25" s="340"/>
      <c r="G25" s="339"/>
    </row>
    <row r="26" spans="2:7" ht="32.25" customHeight="1">
      <c r="B26" s="344" t="s">
        <v>390</v>
      </c>
      <c r="C26" s="345">
        <v>6</v>
      </c>
      <c r="G26" s="339"/>
    </row>
    <row r="27" spans="2:7" ht="32.25" customHeight="1">
      <c r="B27" s="344" t="s">
        <v>210</v>
      </c>
      <c r="C27" s="345">
        <v>6</v>
      </c>
      <c r="G27" s="339"/>
    </row>
    <row r="28" spans="2:7" ht="32.25" customHeight="1">
      <c r="B28" s="344" t="s">
        <v>211</v>
      </c>
      <c r="C28" s="345">
        <v>0</v>
      </c>
      <c r="G28" s="339"/>
    </row>
    <row r="29" spans="2:7" ht="32.25" customHeight="1">
      <c r="B29" s="344" t="s">
        <v>212</v>
      </c>
      <c r="C29" s="345">
        <v>0</v>
      </c>
      <c r="G29" s="339"/>
    </row>
    <row r="30" spans="2:7" ht="32.25" customHeight="1">
      <c r="B30" s="344" t="s">
        <v>213</v>
      </c>
      <c r="C30" s="345">
        <v>0</v>
      </c>
      <c r="G30" s="339"/>
    </row>
    <row r="31" spans="2:7">
      <c r="B31" s="332"/>
      <c r="C31" s="335"/>
    </row>
    <row r="32" spans="2:7" ht="25.5" customHeight="1">
      <c r="B32" s="333" t="s">
        <v>192</v>
      </c>
      <c r="C32" s="334">
        <v>2022</v>
      </c>
    </row>
    <row r="33" spans="2:3">
      <c r="B33" s="45"/>
      <c r="C33" s="335"/>
    </row>
    <row r="34" spans="2:3" ht="39" customHeight="1">
      <c r="B34" s="333" t="s">
        <v>193</v>
      </c>
      <c r="C34" s="346" t="s">
        <v>160</v>
      </c>
    </row>
    <row r="35" spans="2:3">
      <c r="B35" s="45"/>
      <c r="C35" s="335"/>
    </row>
    <row r="36" spans="2:3" ht="39.75" customHeight="1">
      <c r="B36" s="333" t="s">
        <v>194</v>
      </c>
      <c r="C36" s="334" t="s">
        <v>90</v>
      </c>
    </row>
    <row r="37" spans="2:3">
      <c r="B37" s="347"/>
    </row>
    <row r="38" spans="2:3">
      <c r="B38" s="347"/>
    </row>
    <row r="39" spans="2:3">
      <c r="B39" s="347"/>
    </row>
    <row r="40" spans="2:3">
      <c r="B40" s="347"/>
    </row>
  </sheetData>
  <mergeCells count="6">
    <mergeCell ref="B9:C9"/>
    <mergeCell ref="A2:L2"/>
    <mergeCell ref="B4:C4"/>
    <mergeCell ref="B6:C6"/>
    <mergeCell ref="B7:C7"/>
    <mergeCell ref="B8:C8"/>
  </mergeCells>
  <phoneticPr fontId="0" type="noConversion"/>
  <conditionalFormatting sqref="C11 C13 C15 C19 C22:C23 C26:C30 C32 C34 C36 C17">
    <cfRule type="notContainsBlanks" dxfId="8747" priority="1">
      <formula>LEN(TRIM(C11))&gt;0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M31"/>
  <sheetViews>
    <sheetView showGridLines="0" zoomScale="70" zoomScaleNormal="70" workbookViewId="0">
      <selection activeCell="C10" sqref="C10"/>
    </sheetView>
  </sheetViews>
  <sheetFormatPr defaultColWidth="8.85546875" defaultRowHeight="15"/>
  <cols>
    <col min="1" max="1" width="6" style="137" customWidth="1"/>
    <col min="2" max="4" width="32.7109375" style="137" customWidth="1"/>
    <col min="5" max="5" width="26.5703125" style="137" customWidth="1"/>
    <col min="6" max="6" width="24.85546875" style="137" customWidth="1"/>
    <col min="7" max="7" width="25.42578125" style="137" customWidth="1"/>
    <col min="8" max="8" width="24.85546875" style="137" customWidth="1"/>
    <col min="9" max="9" width="25.85546875" style="137" customWidth="1"/>
    <col min="10" max="10" width="35.42578125" style="137" customWidth="1"/>
    <col min="11" max="11" width="23.28515625" style="137" customWidth="1"/>
    <col min="12" max="12" width="25.5703125" style="137" customWidth="1"/>
    <col min="13" max="14" width="21.140625" style="137" customWidth="1"/>
    <col min="15" max="15" width="8.85546875" style="137"/>
    <col min="16" max="17" width="11.5703125" style="137" bestFit="1" customWidth="1"/>
    <col min="18" max="16384" width="8.85546875" style="137"/>
  </cols>
  <sheetData>
    <row r="1" spans="1:13" s="60" customFormat="1" ht="12" customHeight="1"/>
    <row r="2" spans="1:13" s="63" customFormat="1" ht="34.15" customHeight="1">
      <c r="A2" s="858" t="s">
        <v>759</v>
      </c>
      <c r="B2" s="858"/>
      <c r="C2" s="858"/>
      <c r="D2" s="858"/>
      <c r="E2" s="858"/>
      <c r="F2" s="858"/>
      <c r="G2" s="858"/>
      <c r="H2" s="858"/>
      <c r="I2" s="858"/>
      <c r="J2" s="858"/>
    </row>
    <row r="3" spans="1:13" s="63" customFormat="1" ht="25.9" customHeight="1">
      <c r="F3" s="292"/>
      <c r="G3" s="292"/>
      <c r="H3" s="292"/>
      <c r="I3" s="292"/>
      <c r="J3" s="292"/>
      <c r="K3" s="292"/>
      <c r="L3" s="292"/>
      <c r="M3" s="292"/>
    </row>
    <row r="4" spans="1:13" ht="61.15" customHeight="1">
      <c r="B4" s="875" t="s">
        <v>775</v>
      </c>
      <c r="C4" s="875"/>
      <c r="D4" s="875"/>
      <c r="E4" s="875"/>
      <c r="F4" s="875"/>
      <c r="G4" s="875"/>
    </row>
    <row r="5" spans="1:13">
      <c r="F5" s="138"/>
      <c r="G5" s="138"/>
      <c r="H5" s="138"/>
      <c r="I5" s="138"/>
      <c r="J5" s="138"/>
      <c r="K5" s="138"/>
    </row>
    <row r="6" spans="1:13" ht="31.5" customHeight="1">
      <c r="B6" s="868" t="s">
        <v>748</v>
      </c>
      <c r="C6" s="868"/>
      <c r="D6" s="868"/>
      <c r="E6" s="868"/>
      <c r="F6" s="868"/>
      <c r="G6" s="868"/>
      <c r="H6" s="868"/>
      <c r="I6" s="868"/>
      <c r="J6" s="868"/>
      <c r="K6" s="138"/>
    </row>
    <row r="7" spans="1:13" ht="31.5" customHeight="1" thickBot="1">
      <c r="B7" s="293"/>
      <c r="C7" s="293"/>
      <c r="D7" s="293"/>
      <c r="F7" s="138"/>
      <c r="G7" s="138"/>
      <c r="H7" s="138"/>
      <c r="I7" s="138"/>
      <c r="J7" s="138"/>
      <c r="K7" s="138"/>
    </row>
    <row r="8" spans="1:13" ht="25.5" customHeight="1">
      <c r="B8" s="294" t="s">
        <v>233</v>
      </c>
      <c r="C8" s="295" t="s">
        <v>229</v>
      </c>
      <c r="D8" s="295" t="s">
        <v>230</v>
      </c>
      <c r="E8" s="296" t="s">
        <v>231</v>
      </c>
      <c r="F8" s="296" t="s">
        <v>232</v>
      </c>
      <c r="G8" s="297" t="s">
        <v>221</v>
      </c>
      <c r="I8" s="138"/>
      <c r="J8" s="138"/>
      <c r="K8" s="138"/>
    </row>
    <row r="9" spans="1:13" ht="149.25" customHeight="1">
      <c r="B9" s="298" t="s">
        <v>784</v>
      </c>
      <c r="C9" s="865" t="s">
        <v>164</v>
      </c>
      <c r="D9" s="866"/>
      <c r="E9" s="866"/>
      <c r="F9" s="866"/>
      <c r="G9" s="867"/>
      <c r="I9" s="138"/>
      <c r="J9" s="138"/>
      <c r="K9" s="138"/>
    </row>
    <row r="10" spans="1:13" ht="39.75" customHeight="1">
      <c r="B10" s="298" t="s">
        <v>222</v>
      </c>
      <c r="C10" s="690">
        <v>2.4649999999999999</v>
      </c>
      <c r="D10" s="690">
        <v>1.3560000000000001</v>
      </c>
      <c r="E10" s="299">
        <v>0.61599999999999999</v>
      </c>
      <c r="F10" s="299">
        <v>0.73899999999999999</v>
      </c>
      <c r="G10" s="300">
        <v>1.232</v>
      </c>
      <c r="I10" s="138"/>
      <c r="J10" s="138"/>
      <c r="K10" s="138"/>
    </row>
    <row r="11" spans="1:13" ht="48" customHeight="1">
      <c r="B11" s="301" t="s">
        <v>662</v>
      </c>
      <c r="C11" s="302">
        <f>C9*C10/4</f>
        <v>484.77306249999998</v>
      </c>
      <c r="D11" s="302">
        <f>C9*D10/4</f>
        <v>266.67435</v>
      </c>
      <c r="E11" s="302">
        <f>C9*E10/4</f>
        <v>121.14409999999999</v>
      </c>
      <c r="F11" s="302">
        <f>$C$9*F10/4</f>
        <v>145.33358749999999</v>
      </c>
      <c r="G11" s="303">
        <f>$C$9*G10/4</f>
        <v>242.28819999999999</v>
      </c>
      <c r="H11" s="691"/>
      <c r="I11" s="138"/>
      <c r="J11" s="138"/>
      <c r="K11" s="138"/>
    </row>
    <row r="12" spans="1:13" ht="39.75" customHeight="1">
      <c r="B12" s="298" t="s">
        <v>223</v>
      </c>
      <c r="C12" s="862">
        <v>1.25</v>
      </c>
      <c r="D12" s="863"/>
      <c r="E12" s="863"/>
      <c r="F12" s="863"/>
      <c r="G12" s="864"/>
      <c r="I12" s="138"/>
      <c r="J12" s="138"/>
      <c r="K12" s="138"/>
    </row>
    <row r="13" spans="1:13" ht="68.25" customHeight="1" thickBot="1">
      <c r="B13" s="304" t="s">
        <v>663</v>
      </c>
      <c r="C13" s="305">
        <f>$C$9*C10/4*$C$12</f>
        <v>605.96632812500002</v>
      </c>
      <c r="D13" s="305">
        <f>$C$9*D10/4*$C$12</f>
        <v>333.34293750000001</v>
      </c>
      <c r="E13" s="305">
        <f>$C$9*E10/4*$C$12</f>
        <v>151.430125</v>
      </c>
      <c r="F13" s="305">
        <f>$C$9*F10/4*$C$12</f>
        <v>181.666984375</v>
      </c>
      <c r="G13" s="306">
        <f>$C$9*G10/4*$C$12</f>
        <v>302.86025000000001</v>
      </c>
      <c r="I13" s="138"/>
      <c r="J13" s="138"/>
      <c r="K13" s="138"/>
    </row>
    <row r="14" spans="1:13" ht="32.25" customHeight="1" thickBot="1">
      <c r="B14" s="136"/>
      <c r="C14" s="136"/>
      <c r="D14" s="136"/>
      <c r="E14" s="307"/>
      <c r="F14" s="307"/>
      <c r="G14" s="307"/>
      <c r="H14" s="307"/>
      <c r="I14" s="138"/>
      <c r="J14" s="138"/>
      <c r="K14" s="138"/>
    </row>
    <row r="15" spans="1:13" s="142" customFormat="1" ht="50.45" customHeight="1">
      <c r="B15" s="869" t="s">
        <v>220</v>
      </c>
      <c r="C15" s="871" t="s">
        <v>360</v>
      </c>
      <c r="D15" s="873" t="s">
        <v>219</v>
      </c>
      <c r="E15" s="308" t="s">
        <v>776</v>
      </c>
      <c r="F15" s="308" t="s">
        <v>226</v>
      </c>
      <c r="G15" s="308" t="s">
        <v>225</v>
      </c>
      <c r="H15" s="308" t="s">
        <v>227</v>
      </c>
      <c r="I15" s="308" t="s">
        <v>228</v>
      </c>
      <c r="J15" s="309" t="s">
        <v>216</v>
      </c>
      <c r="K15" s="310"/>
    </row>
    <row r="16" spans="1:13" s="142" customFormat="1" ht="17.25" customHeight="1" thickBot="1">
      <c r="B16" s="870"/>
      <c r="C16" s="872"/>
      <c r="D16" s="874"/>
      <c r="E16" s="676">
        <v>0.61599999999999999</v>
      </c>
      <c r="F16" s="677">
        <v>0.49299999999999999</v>
      </c>
      <c r="G16" s="677">
        <v>0.37</v>
      </c>
      <c r="H16" s="677">
        <v>0.246</v>
      </c>
      <c r="I16" s="677">
        <v>0.123</v>
      </c>
      <c r="J16" s="678">
        <v>0</v>
      </c>
      <c r="K16" s="310"/>
    </row>
    <row r="17" spans="2:11" s="142" customFormat="1" ht="17.25" customHeight="1">
      <c r="B17" s="877" t="s">
        <v>234</v>
      </c>
      <c r="C17" s="311" t="s">
        <v>365</v>
      </c>
      <c r="D17" s="312"/>
      <c r="E17" s="313" t="s">
        <v>361</v>
      </c>
      <c r="F17" s="570" t="s">
        <v>341</v>
      </c>
      <c r="G17" s="570" t="s">
        <v>342</v>
      </c>
      <c r="H17" s="570" t="s">
        <v>343</v>
      </c>
      <c r="I17" s="570" t="s">
        <v>344</v>
      </c>
      <c r="J17" s="571" t="s">
        <v>345</v>
      </c>
      <c r="K17" s="310"/>
    </row>
    <row r="18" spans="2:11" ht="20.25" customHeight="1">
      <c r="B18" s="878"/>
      <c r="C18" s="883">
        <v>900</v>
      </c>
      <c r="D18" s="316" t="s">
        <v>363</v>
      </c>
      <c r="E18" s="317">
        <v>901</v>
      </c>
      <c r="F18" s="316">
        <v>991</v>
      </c>
      <c r="G18" s="316">
        <v>1081</v>
      </c>
      <c r="H18" s="318">
        <v>1171</v>
      </c>
      <c r="I18" s="318">
        <v>1261</v>
      </c>
      <c r="J18" s="319">
        <v>1351</v>
      </c>
    </row>
    <row r="19" spans="2:11" ht="20.25" customHeight="1">
      <c r="B19" s="878"/>
      <c r="C19" s="883"/>
      <c r="D19" s="316" t="s">
        <v>364</v>
      </c>
      <c r="E19" s="317">
        <f>900*1.1</f>
        <v>990.00000000000011</v>
      </c>
      <c r="F19" s="316">
        <f>900*1.2</f>
        <v>1080</v>
      </c>
      <c r="G19" s="316">
        <f>900*1.3</f>
        <v>1170</v>
      </c>
      <c r="H19" s="316">
        <f>900*1.4</f>
        <v>1260</v>
      </c>
      <c r="I19" s="316">
        <f>900*1.5</f>
        <v>1350</v>
      </c>
      <c r="J19" s="319" t="s">
        <v>346</v>
      </c>
    </row>
    <row r="20" spans="2:11" ht="20.25" customHeight="1" thickBot="1">
      <c r="B20" s="879"/>
      <c r="C20" s="884"/>
      <c r="D20" s="320" t="s">
        <v>217</v>
      </c>
      <c r="E20" s="321">
        <f>E19-C18</f>
        <v>90.000000000000114</v>
      </c>
      <c r="F20" s="320">
        <f>F19-$E$19</f>
        <v>89.999999999999886</v>
      </c>
      <c r="G20" s="320">
        <f>G19-F19</f>
        <v>90</v>
      </c>
      <c r="H20" s="320">
        <f>H19-G19</f>
        <v>90</v>
      </c>
      <c r="I20" s="320">
        <f>I19-H19</f>
        <v>90</v>
      </c>
      <c r="J20" s="322">
        <v>0</v>
      </c>
    </row>
    <row r="21" spans="2:11" ht="20.25" customHeight="1">
      <c r="B21" s="877" t="s">
        <v>235</v>
      </c>
      <c r="C21" s="311" t="s">
        <v>366</v>
      </c>
      <c r="D21" s="323"/>
      <c r="E21" s="324" t="s">
        <v>368</v>
      </c>
      <c r="F21" s="314" t="s">
        <v>350</v>
      </c>
      <c r="G21" s="314" t="s">
        <v>351</v>
      </c>
      <c r="H21" s="314" t="s">
        <v>352</v>
      </c>
      <c r="I21" s="314" t="s">
        <v>353</v>
      </c>
      <c r="J21" s="315" t="s">
        <v>354</v>
      </c>
    </row>
    <row r="22" spans="2:11" ht="27.75" customHeight="1">
      <c r="B22" s="878"/>
      <c r="C22" s="885">
        <v>1800</v>
      </c>
      <c r="D22" s="316" t="s">
        <v>363</v>
      </c>
      <c r="E22" s="317">
        <v>1801</v>
      </c>
      <c r="F22" s="316">
        <v>1981</v>
      </c>
      <c r="G22" s="316">
        <v>2161</v>
      </c>
      <c r="H22" s="316">
        <v>2341</v>
      </c>
      <c r="I22" s="318">
        <v>2521</v>
      </c>
      <c r="J22" s="319">
        <v>2701</v>
      </c>
    </row>
    <row r="23" spans="2:11" ht="27.75" customHeight="1">
      <c r="B23" s="878"/>
      <c r="C23" s="885"/>
      <c r="D23" s="316" t="s">
        <v>364</v>
      </c>
      <c r="E23" s="317">
        <f>1800*1.1</f>
        <v>1980.0000000000002</v>
      </c>
      <c r="F23" s="316">
        <f>1800*1.2</f>
        <v>2160</v>
      </c>
      <c r="G23" s="316">
        <f>1800*1.3</f>
        <v>2340</v>
      </c>
      <c r="H23" s="316">
        <f>1800*1.4</f>
        <v>2520</v>
      </c>
      <c r="I23" s="316">
        <f>1800*1.5</f>
        <v>2700</v>
      </c>
      <c r="J23" s="319" t="s">
        <v>346</v>
      </c>
    </row>
    <row r="24" spans="2:11" ht="21.75" customHeight="1" thickBot="1">
      <c r="B24" s="879"/>
      <c r="C24" s="886"/>
      <c r="D24" s="320" t="s">
        <v>217</v>
      </c>
      <c r="E24" s="321">
        <f>E23-C22</f>
        <v>180.00000000000023</v>
      </c>
      <c r="F24" s="320">
        <f>F23-E23</f>
        <v>179.99999999999977</v>
      </c>
      <c r="G24" s="320">
        <f>G23-F23</f>
        <v>180</v>
      </c>
      <c r="H24" s="320">
        <f>H23-G23</f>
        <v>180</v>
      </c>
      <c r="I24" s="320">
        <f>I23-H23</f>
        <v>180</v>
      </c>
      <c r="J24" s="322">
        <v>0</v>
      </c>
    </row>
    <row r="25" spans="2:11" ht="21.75" customHeight="1">
      <c r="B25" s="880" t="s">
        <v>236</v>
      </c>
      <c r="C25" s="311" t="s">
        <v>367</v>
      </c>
      <c r="D25" s="323"/>
      <c r="E25" s="324" t="s">
        <v>362</v>
      </c>
      <c r="F25" s="314" t="s">
        <v>355</v>
      </c>
      <c r="G25" s="314" t="s">
        <v>356</v>
      </c>
      <c r="H25" s="314" t="s">
        <v>357</v>
      </c>
      <c r="I25" s="314" t="s">
        <v>358</v>
      </c>
      <c r="J25" s="315" t="s">
        <v>359</v>
      </c>
    </row>
    <row r="26" spans="2:11" ht="25.5" customHeight="1">
      <c r="B26" s="881"/>
      <c r="C26" s="887">
        <v>2000</v>
      </c>
      <c r="D26" s="316" t="s">
        <v>363</v>
      </c>
      <c r="E26" s="317">
        <v>2001</v>
      </c>
      <c r="F26" s="316">
        <v>2201</v>
      </c>
      <c r="G26" s="316">
        <v>2401</v>
      </c>
      <c r="H26" s="316">
        <v>2601</v>
      </c>
      <c r="I26" s="316">
        <v>2801</v>
      </c>
      <c r="J26" s="319">
        <v>3001</v>
      </c>
    </row>
    <row r="27" spans="2:11" ht="25.5" customHeight="1">
      <c r="B27" s="881"/>
      <c r="C27" s="887"/>
      <c r="D27" s="316" t="s">
        <v>364</v>
      </c>
      <c r="E27" s="317">
        <f>2000*1.1</f>
        <v>2200</v>
      </c>
      <c r="F27" s="316">
        <f>2000*1.2</f>
        <v>2400</v>
      </c>
      <c r="G27" s="316">
        <f>2000*1.3</f>
        <v>2600</v>
      </c>
      <c r="H27" s="316">
        <f>2000*1.4</f>
        <v>2800</v>
      </c>
      <c r="I27" s="316">
        <f>2000*1.5</f>
        <v>3000</v>
      </c>
      <c r="J27" s="319" t="s">
        <v>346</v>
      </c>
    </row>
    <row r="28" spans="2:11" ht="23.25" customHeight="1" thickBot="1">
      <c r="B28" s="882"/>
      <c r="C28" s="888"/>
      <c r="D28" s="320" t="s">
        <v>217</v>
      </c>
      <c r="E28" s="325">
        <f>E27-C26</f>
        <v>200</v>
      </c>
      <c r="F28" s="320">
        <f>F27-E27</f>
        <v>200</v>
      </c>
      <c r="G28" s="320">
        <f>G27-F27</f>
        <v>200</v>
      </c>
      <c r="H28" s="320">
        <f>H27-G27</f>
        <v>200</v>
      </c>
      <c r="I28" s="320">
        <f>I27-H27</f>
        <v>200</v>
      </c>
      <c r="J28" s="322">
        <v>0</v>
      </c>
    </row>
    <row r="29" spans="2:11" ht="42" customHeight="1" thickBot="1">
      <c r="B29" s="859" t="s">
        <v>664</v>
      </c>
      <c r="C29" s="860"/>
      <c r="D29" s="861"/>
      <c r="E29" s="326">
        <f>$C$9/4*E16</f>
        <v>121.14409999999999</v>
      </c>
      <c r="F29" s="326">
        <f>$C$9/4*F16</f>
        <v>96.954612499999996</v>
      </c>
      <c r="G29" s="326">
        <f>$C$9/4*G16</f>
        <v>72.765124999999998</v>
      </c>
      <c r="H29" s="326">
        <f>$C$9/4*H16</f>
        <v>48.378974999999997</v>
      </c>
      <c r="I29" s="326">
        <f>$C$9/4*I16</f>
        <v>24.189487499999998</v>
      </c>
      <c r="J29" s="327">
        <v>0</v>
      </c>
    </row>
    <row r="30" spans="2:11" ht="42" customHeight="1">
      <c r="E30" s="307"/>
      <c r="F30" s="307"/>
      <c r="G30" s="307"/>
      <c r="H30" s="307"/>
      <c r="I30" s="307"/>
    </row>
    <row r="31" spans="2:11">
      <c r="B31" s="328" t="s">
        <v>224</v>
      </c>
      <c r="C31" s="876" t="s">
        <v>777</v>
      </c>
      <c r="D31" s="876"/>
      <c r="G31" s="329"/>
      <c r="H31" s="329"/>
    </row>
  </sheetData>
  <mergeCells count="16">
    <mergeCell ref="C31:D31"/>
    <mergeCell ref="B17:B20"/>
    <mergeCell ref="B21:B24"/>
    <mergeCell ref="B25:B28"/>
    <mergeCell ref="C18:C20"/>
    <mergeCell ref="C22:C24"/>
    <mergeCell ref="C26:C28"/>
    <mergeCell ref="A2:J2"/>
    <mergeCell ref="B29:D29"/>
    <mergeCell ref="C12:G12"/>
    <mergeCell ref="C9:G9"/>
    <mergeCell ref="B6:J6"/>
    <mergeCell ref="B15:B16"/>
    <mergeCell ref="C15:C16"/>
    <mergeCell ref="D15:D16"/>
    <mergeCell ref="B4:G4"/>
  </mergeCells>
  <phoneticPr fontId="0" type="noConversion"/>
  <hyperlinks>
    <hyperlink ref="C31:D31" r:id="rId1" display="постанова Кабінету Міністрів України від 05.02.2020 №65"/>
  </hyperlinks>
  <printOptions headings="1"/>
  <pageMargins left="0.70866141732283472" right="0.70866141732283472" top="0.74803149606299213" bottom="0.74803149606299213" header="0.31496062992125984" footer="0.31496062992125984"/>
  <pageSetup paperSize="9" scale="49" orientation="landscape" r:id="rId2"/>
</worksheet>
</file>

<file path=xl/worksheets/sheet5.xml><?xml version="1.0" encoding="utf-8"?>
<worksheet xmlns="http://schemas.openxmlformats.org/spreadsheetml/2006/main" xmlns:r="http://schemas.openxmlformats.org/officeDocument/2006/relationships">
  <dimension ref="A1:AR1371"/>
  <sheetViews>
    <sheetView showGridLines="0" topLeftCell="A189" zoomScale="55" zoomScaleNormal="55" workbookViewId="0">
      <selection activeCell="F1366" sqref="F1366"/>
    </sheetView>
  </sheetViews>
  <sheetFormatPr defaultColWidth="8.85546875" defaultRowHeight="15" outlineLevelCol="1"/>
  <cols>
    <col min="1" max="1" width="10.42578125" style="136" customWidth="1"/>
    <col min="2" max="2" width="17.5703125" style="137" customWidth="1"/>
    <col min="3" max="3" width="30.7109375" style="137" customWidth="1"/>
    <col min="4" max="4" width="28.42578125" style="137" customWidth="1"/>
    <col min="5" max="5" width="39.28515625" style="137" customWidth="1"/>
    <col min="6" max="6" width="26.7109375" style="137" customWidth="1"/>
    <col min="7" max="7" width="27.7109375" style="137" customWidth="1" outlineLevel="1"/>
    <col min="8" max="8" width="33.42578125" style="137" customWidth="1" outlineLevel="1"/>
    <col min="9" max="9" width="35.42578125" style="137" customWidth="1" outlineLevel="1"/>
    <col min="10" max="10" width="19.28515625" style="137" customWidth="1" outlineLevel="1"/>
    <col min="11" max="11" width="20.140625" style="137" customWidth="1" outlineLevel="1"/>
    <col min="12" max="12" width="16" style="140" customWidth="1"/>
    <col min="13" max="13" width="16" style="137" customWidth="1"/>
    <col min="14" max="14" width="18" style="137" customWidth="1" outlineLevel="1"/>
    <col min="15" max="15" width="16.85546875" style="137" customWidth="1" outlineLevel="1"/>
    <col min="16" max="16" width="23.140625" style="137" customWidth="1" outlineLevel="1"/>
    <col min="17" max="17" width="24.28515625" style="137" customWidth="1" outlineLevel="1"/>
    <col min="18" max="18" width="15.28515625" style="137" customWidth="1" outlineLevel="1"/>
    <col min="19" max="19" width="19.140625" style="140" customWidth="1"/>
    <col min="20" max="20" width="18.7109375" style="137" customWidth="1"/>
    <col min="21" max="21" width="17.5703125" style="137" customWidth="1" outlineLevel="1"/>
    <col min="22" max="22" width="20.28515625" style="137" customWidth="1" outlineLevel="1"/>
    <col min="23" max="23" width="19.85546875" style="137" customWidth="1" outlineLevel="1"/>
    <col min="24" max="24" width="15" style="137" customWidth="1" outlineLevel="1"/>
    <col min="25" max="25" width="18.5703125" style="137" customWidth="1" outlineLevel="1"/>
    <col min="26" max="26" width="18.7109375" style="140" customWidth="1"/>
    <col min="27" max="27" width="18.7109375" style="137" customWidth="1"/>
    <col min="28" max="28" width="17" style="137" customWidth="1" outlineLevel="1"/>
    <col min="29" max="29" width="21.42578125" style="137" customWidth="1" outlineLevel="1"/>
    <col min="30" max="32" width="17" style="137" customWidth="1" outlineLevel="1"/>
    <col min="33" max="33" width="22.28515625" style="140" customWidth="1"/>
    <col min="34" max="34" width="19.7109375" style="137" customWidth="1"/>
    <col min="35" max="35" width="53.7109375" style="137" customWidth="1"/>
    <col min="36" max="36" width="31.85546875" style="137" customWidth="1"/>
    <col min="37" max="37" width="37.42578125" style="137" customWidth="1"/>
    <col min="38" max="38" width="24.28515625" style="137" customWidth="1"/>
    <col min="39" max="39" width="34.7109375" style="141" customWidth="1"/>
    <col min="40" max="43" width="20.28515625" style="137" customWidth="1"/>
    <col min="44" max="44" width="20.28515625" style="142" customWidth="1"/>
    <col min="45" max="45" width="15.5703125" style="137" customWidth="1"/>
    <col min="46" max="50" width="16" style="137" customWidth="1"/>
    <col min="51" max="51" width="18.42578125" style="137" customWidth="1"/>
    <col min="52" max="56" width="13.7109375" style="137" customWidth="1"/>
    <col min="57" max="57" width="18.28515625" style="137" customWidth="1"/>
    <col min="58" max="63" width="15.5703125" style="137" customWidth="1"/>
    <col min="64" max="16384" width="8.85546875" style="137"/>
  </cols>
  <sheetData>
    <row r="1" spans="1:44" s="131" customFormat="1">
      <c r="A1" s="130"/>
      <c r="L1" s="132"/>
      <c r="S1" s="132"/>
      <c r="Z1" s="132"/>
      <c r="AG1" s="132"/>
      <c r="AM1" s="133"/>
      <c r="AR1" s="134"/>
    </row>
    <row r="2" spans="1:44" s="63" customFormat="1" ht="30">
      <c r="A2" s="938" t="s">
        <v>760</v>
      </c>
      <c r="B2" s="938"/>
      <c r="C2" s="938"/>
      <c r="D2" s="938"/>
      <c r="E2" s="938"/>
      <c r="F2" s="938"/>
      <c r="G2" s="938"/>
      <c r="H2" s="938"/>
      <c r="I2" s="938"/>
      <c r="J2" s="938"/>
      <c r="K2" s="938"/>
      <c r="L2" s="938"/>
      <c r="S2" s="135"/>
      <c r="Z2" s="135"/>
      <c r="AG2" s="135"/>
    </row>
    <row r="3" spans="1:44" s="141" customFormat="1" ht="26.25" thickBot="1">
      <c r="A3" s="151"/>
      <c r="E3" s="667"/>
      <c r="F3" s="667"/>
      <c r="G3" s="667"/>
      <c r="H3" s="667"/>
      <c r="I3" s="668"/>
      <c r="J3" s="668"/>
      <c r="K3" s="668"/>
      <c r="L3" s="668"/>
      <c r="M3" s="667"/>
      <c r="AR3" s="153"/>
    </row>
    <row r="4" spans="1:44" s="141" customFormat="1" ht="46.5" thickTop="1" thickBot="1">
      <c r="A4" s="151"/>
      <c r="B4" s="983" t="s">
        <v>403</v>
      </c>
      <c r="C4" s="984"/>
      <c r="D4" s="984"/>
      <c r="E4" s="984"/>
      <c r="F4" s="984"/>
      <c r="G4" s="984"/>
      <c r="H4" s="985"/>
      <c r="I4" s="667"/>
      <c r="K4" s="669"/>
      <c r="L4" s="669"/>
      <c r="M4" s="669"/>
      <c r="N4" s="669"/>
      <c r="O4" s="669"/>
      <c r="P4" s="669"/>
      <c r="Q4" s="669"/>
      <c r="R4" s="669"/>
      <c r="AR4" s="153"/>
    </row>
    <row r="5" spans="1:44" s="141" customFormat="1" ht="36" thickTop="1" thickBot="1">
      <c r="A5" s="151"/>
      <c r="B5" s="670"/>
      <c r="C5" s="670"/>
      <c r="D5" s="670"/>
      <c r="E5" s="670"/>
      <c r="F5" s="670"/>
      <c r="G5" s="670"/>
      <c r="H5" s="670"/>
      <c r="I5" s="667"/>
      <c r="K5" s="669"/>
      <c r="L5" s="669"/>
      <c r="M5" s="669"/>
      <c r="N5" s="669"/>
      <c r="O5" s="669"/>
      <c r="P5" s="669"/>
      <c r="Q5" s="669"/>
      <c r="R5" s="669"/>
      <c r="AR5" s="153"/>
    </row>
    <row r="6" spans="1:44" s="141" customFormat="1" ht="51.75" customHeight="1">
      <c r="A6" s="151"/>
      <c r="B6" s="1044" t="str">
        <f ca="1">'0_Загальне'!B11</f>
        <v>Офіційна повна назва надавача ПМД:</v>
      </c>
      <c r="C6" s="1045"/>
      <c r="D6" s="1045"/>
      <c r="E6" s="1037" t="str">
        <f ca="1">'0_Загальне'!C11</f>
        <v>Комунальне некомерційне підприємство "Рожищнський центр первинної медико-санітарної допомоги" Рожищенської міської ради</v>
      </c>
      <c r="F6" s="1037"/>
      <c r="G6" s="1037"/>
      <c r="H6" s="1038"/>
      <c r="I6" s="667"/>
      <c r="K6" s="669"/>
      <c r="L6" s="669"/>
      <c r="M6" s="669"/>
      <c r="N6" s="669"/>
      <c r="O6" s="669"/>
      <c r="P6" s="669"/>
      <c r="Q6" s="669"/>
      <c r="R6" s="669"/>
      <c r="AR6" s="153"/>
    </row>
    <row r="7" spans="1:44" s="141" customFormat="1" ht="25.9" customHeight="1">
      <c r="A7" s="151"/>
      <c r="B7" s="1035" t="str">
        <f ca="1">'0_Загальне'!B32</f>
        <v>Плановий період (рік):</v>
      </c>
      <c r="C7" s="1036"/>
      <c r="D7" s="1036"/>
      <c r="E7" s="1039">
        <f ca="1">'0_Загальне'!C32</f>
        <v>2022</v>
      </c>
      <c r="F7" s="1039"/>
      <c r="G7" s="1039"/>
      <c r="H7" s="1040"/>
      <c r="I7" s="667"/>
      <c r="K7" s="669"/>
      <c r="L7" s="669"/>
      <c r="M7" s="669"/>
      <c r="N7" s="669"/>
      <c r="O7" s="669"/>
      <c r="P7" s="669"/>
      <c r="Q7" s="669"/>
      <c r="R7" s="669"/>
      <c r="AR7" s="153"/>
    </row>
    <row r="8" spans="1:44" s="141" customFormat="1" ht="31.9" customHeight="1" thickBot="1">
      <c r="A8" s="151"/>
      <c r="B8" s="992" t="s">
        <v>671</v>
      </c>
      <c r="C8" s="993"/>
      <c r="D8" s="993"/>
      <c r="E8" s="994" t="str">
        <f ca="1">'0_Загальне'!C34</f>
        <v>01.11.2021</v>
      </c>
      <c r="F8" s="995"/>
      <c r="G8" s="995"/>
      <c r="H8" s="996"/>
      <c r="I8" s="667"/>
      <c r="K8" s="669"/>
      <c r="L8" s="669"/>
      <c r="M8" s="669"/>
      <c r="N8" s="669"/>
      <c r="O8" s="669"/>
      <c r="P8" s="669"/>
      <c r="Q8" s="669"/>
      <c r="R8" s="669"/>
      <c r="AR8" s="153"/>
    </row>
    <row r="9" spans="1:44" s="141" customFormat="1" ht="27.75" thickBot="1">
      <c r="A9" s="151"/>
      <c r="B9" s="671"/>
      <c r="C9" s="671"/>
      <c r="D9" s="672"/>
      <c r="E9" s="672"/>
      <c r="F9" s="672"/>
      <c r="G9" s="672"/>
      <c r="H9" s="672"/>
      <c r="I9" s="667"/>
      <c r="K9" s="669"/>
      <c r="L9" s="669"/>
      <c r="M9" s="669"/>
      <c r="N9" s="669"/>
      <c r="O9" s="669"/>
      <c r="P9" s="669"/>
      <c r="Q9" s="669"/>
      <c r="R9" s="669"/>
      <c r="AR9" s="153"/>
    </row>
    <row r="10" spans="1:44" s="141" customFormat="1" ht="31.15" customHeight="1" thickBot="1">
      <c r="A10" s="151"/>
      <c r="B10" s="1041" t="s">
        <v>457</v>
      </c>
      <c r="C10" s="1042"/>
      <c r="D10" s="1042"/>
      <c r="E10" s="1042"/>
      <c r="F10" s="1043"/>
      <c r="G10" s="670"/>
      <c r="K10" s="669"/>
      <c r="L10" s="669"/>
      <c r="M10" s="669"/>
      <c r="N10" s="669"/>
      <c r="O10" s="669"/>
      <c r="P10" s="669"/>
      <c r="Q10" s="669"/>
      <c r="R10" s="669"/>
      <c r="AR10" s="153"/>
    </row>
    <row r="11" spans="1:44" s="141" customFormat="1" ht="108.6" customHeight="1">
      <c r="A11" s="151"/>
      <c r="B11" s="1022" t="s">
        <v>780</v>
      </c>
      <c r="C11" s="1023"/>
      <c r="D11" s="1023"/>
      <c r="E11" s="1023"/>
      <c r="F11" s="1024"/>
      <c r="G11" s="670"/>
      <c r="H11" s="964" t="s">
        <v>590</v>
      </c>
      <c r="I11" s="1012" t="s">
        <v>792</v>
      </c>
      <c r="L11" s="669"/>
      <c r="M11" s="669"/>
      <c r="N11" s="669"/>
      <c r="O11" s="669"/>
      <c r="P11" s="669"/>
      <c r="Q11" s="669"/>
      <c r="R11" s="669"/>
      <c r="AR11" s="153"/>
    </row>
    <row r="12" spans="1:44" s="141" customFormat="1" ht="88.15" customHeight="1">
      <c r="A12" s="151"/>
      <c r="B12" s="1003" t="s">
        <v>781</v>
      </c>
      <c r="C12" s="1004"/>
      <c r="D12" s="1004"/>
      <c r="E12" s="1004"/>
      <c r="F12" s="1005"/>
      <c r="G12" s="670"/>
      <c r="H12" s="965"/>
      <c r="I12" s="1013"/>
      <c r="K12" s="669"/>
      <c r="L12" s="669"/>
      <c r="M12" s="669"/>
      <c r="N12" s="669"/>
      <c r="O12" s="669"/>
      <c r="P12" s="669"/>
      <c r="Q12" s="669"/>
      <c r="R12" s="669"/>
      <c r="AR12" s="153"/>
    </row>
    <row r="13" spans="1:44" s="141" customFormat="1" ht="60.6" customHeight="1" thickBot="1">
      <c r="A13" s="151"/>
      <c r="B13" s="997" t="s">
        <v>778</v>
      </c>
      <c r="C13" s="998"/>
      <c r="D13" s="998"/>
      <c r="E13" s="998"/>
      <c r="F13" s="999"/>
      <c r="G13" s="670"/>
      <c r="H13" s="966"/>
      <c r="I13" s="679" t="s">
        <v>486</v>
      </c>
      <c r="K13" s="669"/>
      <c r="L13" s="669"/>
      <c r="M13" s="669"/>
      <c r="N13" s="669"/>
      <c r="O13" s="669"/>
      <c r="P13" s="669"/>
      <c r="Q13" s="669"/>
      <c r="R13" s="669"/>
      <c r="AR13" s="153"/>
    </row>
    <row r="14" spans="1:44" s="141" customFormat="1" ht="38.450000000000003" customHeight="1" thickBot="1">
      <c r="A14" s="151"/>
      <c r="B14" s="1000" t="s">
        <v>779</v>
      </c>
      <c r="C14" s="1001"/>
      <c r="D14" s="1001"/>
      <c r="E14" s="1001"/>
      <c r="F14" s="1002"/>
      <c r="G14" s="670"/>
      <c r="H14" s="670"/>
      <c r="I14" s="667"/>
      <c r="K14" s="669"/>
      <c r="L14" s="669"/>
      <c r="M14" s="669"/>
      <c r="N14" s="669"/>
      <c r="O14" s="669"/>
      <c r="P14" s="669"/>
      <c r="Q14" s="669"/>
      <c r="R14" s="669"/>
      <c r="AR14" s="153"/>
    </row>
    <row r="15" spans="1:44" s="141" customFormat="1" ht="22.15" customHeight="1" thickBot="1">
      <c r="A15" s="151"/>
      <c r="B15" s="152"/>
      <c r="AM15" s="145"/>
      <c r="AR15" s="153"/>
    </row>
    <row r="16" spans="1:44" s="141" customFormat="1" ht="74.45" customHeight="1">
      <c r="A16" s="151"/>
      <c r="B16" s="986" t="s">
        <v>196</v>
      </c>
      <c r="C16" s="987"/>
      <c r="D16" s="987"/>
      <c r="E16" s="673" t="s">
        <v>749</v>
      </c>
      <c r="F16" s="673" t="s">
        <v>750</v>
      </c>
      <c r="G16" s="673" t="s">
        <v>751</v>
      </c>
      <c r="H16" s="673" t="s">
        <v>752</v>
      </c>
      <c r="I16" s="674" t="s">
        <v>753</v>
      </c>
      <c r="AR16" s="153"/>
    </row>
    <row r="17" spans="1:44" s="141" customFormat="1" ht="91.9" customHeight="1">
      <c r="A17" s="151"/>
      <c r="B17" s="917" t="s">
        <v>150</v>
      </c>
      <c r="C17" s="918"/>
      <c r="D17" s="919"/>
      <c r="E17" s="904">
        <f>7500*3</f>
        <v>22500</v>
      </c>
      <c r="F17" s="904">
        <f>7500*3</f>
        <v>22500</v>
      </c>
      <c r="G17" s="904">
        <f>7500*3</f>
        <v>22500</v>
      </c>
      <c r="H17" s="904">
        <f>7500*3</f>
        <v>22500</v>
      </c>
      <c r="I17" s="906">
        <f>E17+F17+G17+H17</f>
        <v>90000</v>
      </c>
      <c r="J17" s="750"/>
      <c r="P17" s="148" t="s">
        <v>237</v>
      </c>
      <c r="Q17" s="148"/>
      <c r="AR17" s="153"/>
    </row>
    <row r="18" spans="1:44" s="141" customFormat="1" ht="57.6" customHeight="1">
      <c r="A18" s="151"/>
      <c r="B18" s="920"/>
      <c r="C18" s="921"/>
      <c r="D18" s="922"/>
      <c r="E18" s="905"/>
      <c r="F18" s="905"/>
      <c r="G18" s="905"/>
      <c r="H18" s="905"/>
      <c r="I18" s="907"/>
      <c r="P18" s="148" t="s">
        <v>235</v>
      </c>
      <c r="Q18" s="148"/>
      <c r="AR18" s="153"/>
    </row>
    <row r="19" spans="1:44" s="141" customFormat="1" ht="91.9" customHeight="1">
      <c r="A19" s="151"/>
      <c r="B19" s="917" t="s">
        <v>149</v>
      </c>
      <c r="C19" s="918"/>
      <c r="D19" s="919"/>
      <c r="E19" s="904">
        <f>30000*3</f>
        <v>90000</v>
      </c>
      <c r="F19" s="904">
        <f>15000*3</f>
        <v>45000</v>
      </c>
      <c r="G19" s="904">
        <f>15000*3</f>
        <v>45000</v>
      </c>
      <c r="H19" s="904">
        <f>15000*3</f>
        <v>45000</v>
      </c>
      <c r="I19" s="906">
        <f>E19+F19+G19+H19</f>
        <v>225000</v>
      </c>
      <c r="P19" s="148" t="s">
        <v>237</v>
      </c>
      <c r="Q19" s="148"/>
      <c r="AR19" s="153"/>
    </row>
    <row r="20" spans="1:44" s="141" customFormat="1" ht="57.6" customHeight="1">
      <c r="A20" s="151"/>
      <c r="B20" s="920"/>
      <c r="C20" s="921"/>
      <c r="D20" s="922"/>
      <c r="E20" s="905"/>
      <c r="F20" s="905"/>
      <c r="G20" s="905"/>
      <c r="H20" s="905"/>
      <c r="I20" s="907"/>
      <c r="P20" s="148" t="s">
        <v>235</v>
      </c>
      <c r="Q20" s="148"/>
      <c r="AR20" s="153"/>
    </row>
    <row r="21" spans="1:44" s="141" customFormat="1" ht="91.9" customHeight="1">
      <c r="A21" s="151"/>
      <c r="B21" s="917" t="s">
        <v>148</v>
      </c>
      <c r="C21" s="918"/>
      <c r="D21" s="919"/>
      <c r="E21" s="904">
        <f>450000*3</f>
        <v>1350000</v>
      </c>
      <c r="F21" s="904">
        <f>450000*3</f>
        <v>1350000</v>
      </c>
      <c r="G21" s="904">
        <f>450000*3</f>
        <v>1350000</v>
      </c>
      <c r="H21" s="904">
        <f>450000*3</f>
        <v>1350000</v>
      </c>
      <c r="I21" s="906">
        <f>E21+F21+G21+H21</f>
        <v>5400000</v>
      </c>
      <c r="P21" s="148" t="s">
        <v>237</v>
      </c>
      <c r="Q21" s="148"/>
      <c r="AR21" s="153"/>
    </row>
    <row r="22" spans="1:44" s="141" customFormat="1" ht="57.6" customHeight="1">
      <c r="A22" s="151"/>
      <c r="B22" s="920"/>
      <c r="C22" s="921"/>
      <c r="D22" s="922"/>
      <c r="E22" s="905"/>
      <c r="F22" s="905"/>
      <c r="G22" s="905"/>
      <c r="H22" s="905"/>
      <c r="I22" s="907"/>
      <c r="P22" s="148" t="s">
        <v>235</v>
      </c>
      <c r="Q22" s="148"/>
      <c r="AR22" s="153"/>
    </row>
    <row r="23" spans="1:44" s="141" customFormat="1" ht="91.9" customHeight="1">
      <c r="A23" s="151"/>
      <c r="B23" s="1014" t="s">
        <v>158</v>
      </c>
      <c r="C23" s="1015"/>
      <c r="D23" s="1016"/>
      <c r="E23" s="1020">
        <f>AN1339+E17+E19+E21</f>
        <v>6976731.0240491508</v>
      </c>
      <c r="F23" s="1020">
        <f>AO1339+F17+F19+F21</f>
        <v>6929145.5677158171</v>
      </c>
      <c r="G23" s="1020">
        <f>AP1339+G17+G19+G21</f>
        <v>6930984.1466221679</v>
      </c>
      <c r="H23" s="1020">
        <f>AQ1339+H17+H19+H21</f>
        <v>6928202.4272283698</v>
      </c>
      <c r="I23" s="906">
        <f>E23+F23+G23+H23</f>
        <v>27765063.165615506</v>
      </c>
      <c r="J23" s="750"/>
      <c r="P23" s="148" t="s">
        <v>237</v>
      </c>
      <c r="Q23" s="148"/>
      <c r="AR23" s="153"/>
    </row>
    <row r="24" spans="1:44" s="141" customFormat="1" ht="57.6" customHeight="1">
      <c r="A24" s="151"/>
      <c r="B24" s="1017"/>
      <c r="C24" s="1018"/>
      <c r="D24" s="1019"/>
      <c r="E24" s="1021"/>
      <c r="F24" s="1021"/>
      <c r="G24" s="1021"/>
      <c r="H24" s="1021"/>
      <c r="I24" s="907"/>
      <c r="P24" s="148" t="s">
        <v>235</v>
      </c>
      <c r="Q24" s="148"/>
      <c r="AR24" s="153"/>
    </row>
    <row r="25" spans="1:44" s="141" customFormat="1" ht="73.900000000000006" customHeight="1">
      <c r="A25" s="151"/>
      <c r="B25" s="988" t="s">
        <v>754</v>
      </c>
      <c r="C25" s="989"/>
      <c r="D25" s="989"/>
      <c r="E25" s="146">
        <f>D1371</f>
        <v>1174042.1599999999</v>
      </c>
      <c r="F25" s="146">
        <f>E1371</f>
        <v>768955.41</v>
      </c>
      <c r="G25" s="146">
        <f>F1371</f>
        <v>939617.29</v>
      </c>
      <c r="H25" s="146">
        <f>G1371</f>
        <v>1130620.56</v>
      </c>
      <c r="I25" s="147">
        <f>E25+F25+G25+H25</f>
        <v>4013235.42</v>
      </c>
      <c r="P25" s="148" t="s">
        <v>236</v>
      </c>
      <c r="Q25" s="148"/>
      <c r="AR25" s="153"/>
    </row>
    <row r="26" spans="1:44" s="141" customFormat="1" ht="81.599999999999994" customHeight="1" thickBot="1">
      <c r="A26" s="151"/>
      <c r="B26" s="990" t="s">
        <v>755</v>
      </c>
      <c r="C26" s="991"/>
      <c r="D26" s="991"/>
      <c r="E26" s="149">
        <f>E23+E25</f>
        <v>8150773.1840491509</v>
      </c>
      <c r="F26" s="149">
        <f>F23+F25</f>
        <v>7698100.9777158173</v>
      </c>
      <c r="G26" s="149">
        <f>G23+G25</f>
        <v>7870601.4366221679</v>
      </c>
      <c r="H26" s="149">
        <f>H23+H25</f>
        <v>8058822.9872283693</v>
      </c>
      <c r="I26" s="150">
        <f>E26+F26+G26+H26</f>
        <v>31778298.585615508</v>
      </c>
      <c r="AR26" s="153"/>
    </row>
    <row r="27" spans="1:44" s="141" customFormat="1" ht="34.9" customHeight="1">
      <c r="A27" s="151"/>
      <c r="B27" s="152"/>
      <c r="AR27" s="153"/>
    </row>
    <row r="28" spans="1:44" s="141" customFormat="1" ht="34.9" customHeight="1" thickBot="1">
      <c r="A28" s="151"/>
      <c r="B28" s="152"/>
      <c r="L28" s="140"/>
      <c r="S28" s="140"/>
      <c r="Z28" s="140"/>
      <c r="AG28" s="140"/>
      <c r="AR28" s="153"/>
    </row>
    <row r="29" spans="1:44" s="155" customFormat="1" ht="34.9" customHeight="1">
      <c r="A29" s="154"/>
      <c r="B29" s="1026" t="s">
        <v>747</v>
      </c>
      <c r="C29" s="1027"/>
      <c r="D29" s="1027"/>
      <c r="E29" s="1028"/>
      <c r="F29" s="1006" t="s">
        <v>384</v>
      </c>
      <c r="G29" s="1007"/>
      <c r="H29" s="1007"/>
      <c r="I29" s="1007"/>
      <c r="J29" s="1011"/>
      <c r="K29" s="975" t="s">
        <v>592</v>
      </c>
      <c r="L29" s="1006" t="s">
        <v>385</v>
      </c>
      <c r="M29" s="1007"/>
      <c r="N29" s="1007"/>
      <c r="O29" s="1007"/>
      <c r="P29" s="1011"/>
      <c r="Q29" s="975" t="s">
        <v>593</v>
      </c>
      <c r="R29" s="1006" t="s">
        <v>386</v>
      </c>
      <c r="S29" s="1007"/>
      <c r="T29" s="1007"/>
      <c r="U29" s="1007"/>
      <c r="V29" s="1011"/>
      <c r="W29" s="975" t="s">
        <v>594</v>
      </c>
      <c r="X29" s="1006" t="s">
        <v>387</v>
      </c>
      <c r="Y29" s="1007"/>
      <c r="Z29" s="1007"/>
      <c r="AA29" s="1007"/>
      <c r="AB29" s="1007"/>
      <c r="AC29" s="975" t="s">
        <v>595</v>
      </c>
      <c r="AG29" s="156"/>
      <c r="AR29" s="157"/>
    </row>
    <row r="30" spans="1:44" s="164" customFormat="1" ht="45.6" customHeight="1" thickBot="1">
      <c r="A30" s="158"/>
      <c r="B30" s="1029"/>
      <c r="C30" s="1030"/>
      <c r="D30" s="1030"/>
      <c r="E30" s="1031"/>
      <c r="F30" s="159" t="s">
        <v>327</v>
      </c>
      <c r="G30" s="160" t="s">
        <v>328</v>
      </c>
      <c r="H30" s="160" t="s">
        <v>329</v>
      </c>
      <c r="I30" s="160" t="s">
        <v>330</v>
      </c>
      <c r="J30" s="161" t="s">
        <v>331</v>
      </c>
      <c r="K30" s="976"/>
      <c r="L30" s="581" t="s">
        <v>327</v>
      </c>
      <c r="M30" s="160" t="s">
        <v>328</v>
      </c>
      <c r="N30" s="160" t="s">
        <v>329</v>
      </c>
      <c r="O30" s="160" t="s">
        <v>330</v>
      </c>
      <c r="P30" s="161" t="s">
        <v>331</v>
      </c>
      <c r="Q30" s="976"/>
      <c r="R30" s="159" t="s">
        <v>327</v>
      </c>
      <c r="S30" s="162" t="s">
        <v>328</v>
      </c>
      <c r="T30" s="160" t="s">
        <v>329</v>
      </c>
      <c r="U30" s="160" t="s">
        <v>330</v>
      </c>
      <c r="V30" s="161" t="s">
        <v>331</v>
      </c>
      <c r="W30" s="976"/>
      <c r="X30" s="159" t="s">
        <v>327</v>
      </c>
      <c r="Y30" s="160" t="s">
        <v>328</v>
      </c>
      <c r="Z30" s="582" t="s">
        <v>329</v>
      </c>
      <c r="AA30" s="160" t="s">
        <v>330</v>
      </c>
      <c r="AB30" s="163" t="s">
        <v>331</v>
      </c>
      <c r="AC30" s="976"/>
      <c r="AG30" s="165"/>
      <c r="AR30" s="166"/>
    </row>
    <row r="31" spans="1:44" s="141" customFormat="1" ht="48.6" customHeight="1">
      <c r="A31" s="151"/>
      <c r="B31" s="980" t="s">
        <v>657</v>
      </c>
      <c r="C31" s="981"/>
      <c r="D31" s="981"/>
      <c r="E31" s="982"/>
      <c r="F31" s="167">
        <f>G1339+G1340</f>
        <v>1642.2838776613303</v>
      </c>
      <c r="G31" s="168">
        <f>H1339+H1340</f>
        <v>4993.7551322094896</v>
      </c>
      <c r="H31" s="168">
        <f>I1339+I1340</f>
        <v>8163.0960999198287</v>
      </c>
      <c r="I31" s="168">
        <f>J1339+J1340</f>
        <v>10240.467543468245</v>
      </c>
      <c r="J31" s="169">
        <f>K1339+K1340</f>
        <v>4632.397346741106</v>
      </c>
      <c r="K31" s="170">
        <f>SUM(F31:J31)</f>
        <v>29672</v>
      </c>
      <c r="L31" s="167">
        <f>N1339+N1340</f>
        <v>1636.950544327997</v>
      </c>
      <c r="M31" s="168">
        <f>O1339+O1340</f>
        <v>4993.7551322094896</v>
      </c>
      <c r="N31" s="168">
        <f>P1339+P1340</f>
        <v>8163.0960999198287</v>
      </c>
      <c r="O31" s="168">
        <f>Q1339+Q1340</f>
        <v>10240.467543468245</v>
      </c>
      <c r="P31" s="169">
        <f>R1339+R1340</f>
        <v>4632.397346741106</v>
      </c>
      <c r="Q31" s="170">
        <f>SUM(L31:P31)</f>
        <v>29666.666666666664</v>
      </c>
      <c r="R31" s="167">
        <f>U1339+U1340</f>
        <v>1637.6819571865444</v>
      </c>
      <c r="S31" s="168">
        <f>V1339+V1340</f>
        <v>4995.327217125382</v>
      </c>
      <c r="T31" s="168">
        <f>W1339+W1340</f>
        <v>8165.8256880733943</v>
      </c>
      <c r="U31" s="168">
        <f>X1339+X1340</f>
        <v>10243.642201834862</v>
      </c>
      <c r="V31" s="169">
        <f>Y1339+Y1340</f>
        <v>4633.5229357798162</v>
      </c>
      <c r="W31" s="170">
        <f>SUM(R31:V31)</f>
        <v>29676</v>
      </c>
      <c r="X31" s="167">
        <f>AB1339+AB1340</f>
        <v>1620</v>
      </c>
      <c r="Y31" s="168">
        <f>AC1339+AC1340</f>
        <v>4986</v>
      </c>
      <c r="Z31" s="168">
        <f>AD1339+AD1340</f>
        <v>8171</v>
      </c>
      <c r="AA31" s="168">
        <f>AE1339+AE1340</f>
        <v>10235</v>
      </c>
      <c r="AB31" s="171">
        <f>AF1339+AF1340</f>
        <v>4676</v>
      </c>
      <c r="AC31" s="170">
        <f>SUM(X31:AB31)</f>
        <v>29688</v>
      </c>
      <c r="AG31" s="140"/>
      <c r="AR31" s="153"/>
    </row>
    <row r="32" spans="1:44" s="141" customFormat="1" ht="57.6" customHeight="1">
      <c r="A32" s="151"/>
      <c r="B32" s="1032" t="s">
        <v>658</v>
      </c>
      <c r="C32" s="1033"/>
      <c r="D32" s="1033"/>
      <c r="E32" s="1034"/>
      <c r="F32" s="172" t="e">
        <f>G1341+G1342</f>
        <v>#VALUE!</v>
      </c>
      <c r="G32" s="173" t="e">
        <f>H1341+H1342</f>
        <v>#VALUE!</v>
      </c>
      <c r="H32" s="173" t="e">
        <f>I1341+I1342</f>
        <v>#VALUE!</v>
      </c>
      <c r="I32" s="173" t="e">
        <f>J1341+J1342</f>
        <v>#VALUE!</v>
      </c>
      <c r="J32" s="174" t="e">
        <f>K1341+K1342</f>
        <v>#VALUE!</v>
      </c>
      <c r="K32" s="175" t="e">
        <f>SUM(F32:J32)</f>
        <v>#VALUE!</v>
      </c>
      <c r="L32" s="172" t="e">
        <f>N1341+N1342</f>
        <v>#VALUE!</v>
      </c>
      <c r="M32" s="173" t="e">
        <f>O1341+O1342</f>
        <v>#VALUE!</v>
      </c>
      <c r="N32" s="173" t="e">
        <f>P1341+P1342</f>
        <v>#VALUE!</v>
      </c>
      <c r="O32" s="173" t="e">
        <f>Q1341+Q1342</f>
        <v>#VALUE!</v>
      </c>
      <c r="P32" s="174" t="e">
        <f>R1341+R1342</f>
        <v>#VALUE!</v>
      </c>
      <c r="Q32" s="175" t="e">
        <f>SUM(L32:P32)</f>
        <v>#VALUE!</v>
      </c>
      <c r="R32" s="172" t="e">
        <f>U1341+U1342</f>
        <v>#VALUE!</v>
      </c>
      <c r="S32" s="173" t="e">
        <f>V1341+V1342</f>
        <v>#VALUE!</v>
      </c>
      <c r="T32" s="173" t="e">
        <f>W1341+W1342</f>
        <v>#VALUE!</v>
      </c>
      <c r="U32" s="173" t="e">
        <f>X1341+X1342</f>
        <v>#VALUE!</v>
      </c>
      <c r="V32" s="174" t="e">
        <f>Y1341+Y1342</f>
        <v>#VALUE!</v>
      </c>
      <c r="W32" s="175" t="e">
        <f>SUM(R32:V32)</f>
        <v>#VALUE!</v>
      </c>
      <c r="X32" s="172" t="e">
        <f>AB1341+AB1342</f>
        <v>#VALUE!</v>
      </c>
      <c r="Y32" s="173" t="e">
        <f>AC1341+AC1342</f>
        <v>#VALUE!</v>
      </c>
      <c r="Z32" s="173" t="e">
        <f>AD1341+AD1342</f>
        <v>#VALUE!</v>
      </c>
      <c r="AA32" s="173" t="e">
        <f>AE1341+AE1342</f>
        <v>#VALUE!</v>
      </c>
      <c r="AB32" s="176" t="e">
        <f>AF1341+AF1342</f>
        <v>#VALUE!</v>
      </c>
      <c r="AC32" s="175" t="e">
        <f>SUM(X32:AB32)</f>
        <v>#VALUE!</v>
      </c>
      <c r="AG32" s="140"/>
      <c r="AR32" s="153"/>
    </row>
    <row r="33" spans="1:44" s="141" customFormat="1" ht="57.6" customHeight="1">
      <c r="A33" s="151"/>
      <c r="B33" s="1032" t="s">
        <v>659</v>
      </c>
      <c r="C33" s="1033"/>
      <c r="D33" s="1033"/>
      <c r="E33" s="1034"/>
      <c r="F33" s="177" t="e">
        <f ca="1">F32*Законод!$C$11</f>
        <v>#VALUE!</v>
      </c>
      <c r="G33" s="178" t="e">
        <f ca="1">G32*Законод!$D$11</f>
        <v>#VALUE!</v>
      </c>
      <c r="H33" s="178" t="e">
        <f ca="1">H32*Законод!$E$11</f>
        <v>#VALUE!</v>
      </c>
      <c r="I33" s="178" t="e">
        <f ca="1">I32*Законод!$F$11</f>
        <v>#VALUE!</v>
      </c>
      <c r="J33" s="179" t="e">
        <f ca="1">J32*Законод!$G$11</f>
        <v>#VALUE!</v>
      </c>
      <c r="K33" s="180" t="e">
        <f ca="1">SUM(F33:J33)</f>
        <v>#VALUE!</v>
      </c>
      <c r="L33" s="177" t="e">
        <f ca="1">L32*Законод!$C$11</f>
        <v>#VALUE!</v>
      </c>
      <c r="M33" s="178" t="e">
        <f ca="1">M32*Законод!$D$11</f>
        <v>#VALUE!</v>
      </c>
      <c r="N33" s="178" t="e">
        <f ca="1">N32*Законод!$E$11</f>
        <v>#VALUE!</v>
      </c>
      <c r="O33" s="178" t="e">
        <f ca="1">O32*Законод!$F$11</f>
        <v>#VALUE!</v>
      </c>
      <c r="P33" s="179" t="e">
        <f ca="1">P32*Законод!$G$11</f>
        <v>#VALUE!</v>
      </c>
      <c r="Q33" s="180" t="e">
        <f ca="1">SUM(L33:P33)</f>
        <v>#VALUE!</v>
      </c>
      <c r="R33" s="177" t="e">
        <f ca="1">R32*Законод!$C$11</f>
        <v>#VALUE!</v>
      </c>
      <c r="S33" s="178" t="e">
        <f ca="1">S32*Законод!$D$11</f>
        <v>#VALUE!</v>
      </c>
      <c r="T33" s="178" t="e">
        <f ca="1">T32*Законод!$E$11</f>
        <v>#VALUE!</v>
      </c>
      <c r="U33" s="178" t="e">
        <f ca="1">U32*Законод!$F$11</f>
        <v>#VALUE!</v>
      </c>
      <c r="V33" s="179" t="e">
        <f ca="1">V32*Законод!$G$11</f>
        <v>#VALUE!</v>
      </c>
      <c r="W33" s="180" t="e">
        <f ca="1">SUM(R33:V33)</f>
        <v>#VALUE!</v>
      </c>
      <c r="X33" s="177" t="e">
        <f ca="1">X32*Законод!$C$11</f>
        <v>#VALUE!</v>
      </c>
      <c r="Y33" s="178" t="e">
        <f ca="1">Y32*Законод!$D$11</f>
        <v>#VALUE!</v>
      </c>
      <c r="Z33" s="178" t="e">
        <f ca="1">Z32*Законод!$E$11</f>
        <v>#VALUE!</v>
      </c>
      <c r="AA33" s="178" t="e">
        <f ca="1">AA32*Законод!$F$11</f>
        <v>#VALUE!</v>
      </c>
      <c r="AB33" s="181" t="e">
        <f ca="1">AB32*Законод!$G$11</f>
        <v>#VALUE!</v>
      </c>
      <c r="AC33" s="180" t="e">
        <f>SUM(X33:AB33)</f>
        <v>#VALUE!</v>
      </c>
      <c r="AG33" s="140"/>
      <c r="AR33" s="153"/>
    </row>
    <row r="34" spans="1:44" s="183" customFormat="1" ht="57.6" customHeight="1">
      <c r="A34" s="182"/>
      <c r="B34" s="1032" t="s">
        <v>660</v>
      </c>
      <c r="C34" s="1033"/>
      <c r="D34" s="1033"/>
      <c r="E34" s="1034"/>
      <c r="F34" s="1008" t="s">
        <v>348</v>
      </c>
      <c r="G34" s="1009"/>
      <c r="H34" s="1009"/>
      <c r="I34" s="1009"/>
      <c r="J34" s="1010"/>
      <c r="K34" s="175">
        <f>SUM(L46:L51)+SUM(L59:L64)+SUM(L72:L77)+SUM(L85:L90)+SUM(L98:L103)+SUM(L111:L116)+SUM(L124:L129)+SUM(L137:L142)+SUM(L150:L155)+SUM(L163:L168)+SUM(L176:L181)+SUM(L189:L194)+SUM(L202:L207)+SUM(L215:L220)+SUM(L228:L233)+SUM(L241:L246)+SUM(L254:L259)+SUM(L267:L272)+SUM(L280:L285)+SUM(L293:L298)+SUM(L306:L311)+SUM(L319:L324)+SUM(L332:L337)+SUM(L345:L350)+SUM(L358:L363)+SUM(L371:L376)+SUM(L384:L389)+SUM(L397:L402)+SUM(L410:L415)+SUM(L423:L428)+SUM(L436:L441)+SUM(L449:L454)+SUM(L462:L467)+SUM(L475:L480)+SUM(L488:L493)+SUM(L501:L506)+SUM(L514:L519)+SUM(L527:L532)+SUM(L540:L545)+SUM(L553:L558)+SUM(L566:L571)+SUM(L579:L584)+SUM(L592:L597)+SUM(L605:L610)+SUM(L618:L623)+SUM(L631:L636)+SUM(L644:L649)+SUM(L657:L662)+SUM(L670:L675)+SUM(L683:L688)+SUM(L696:L701)+SUM(L709:L714)+SUM(L722:L727)+SUM(L735:L740)+SUM(L748:L753)+SUM(L761:L766)+SUM(L774:L779)+SUM(L787:L792)+SUM(L800:L805)+SUM(L813:L818)+SUM(L826:L831)+SUM(L839:L844)+SUM(L852:L857)+SUM(L865:L870)+SUM(L878:L883)+SUM(L891:L896)+SUM(L904:L909)+SUM(L917:L922)+SUM(L930:L935)+SUM(L943:L948)+SUM(L956:L961)+SUM(L969:L974)+SUM(L982:L987)+SUM(L995:L1000)+SUM(L1008:L1014)+SUM(L1021:L1026)+SUM(L1034:L1039)+SUM(L1047:L1052)+SUM(L1060:L1065)+SUM(L1073:L1078)+SUM(L1086:L1091)+SUM(L1099:L1104)+SUM(L1112:L1117)+SUM(L1125:L1130)+SUM(L1138:L1143)+SUM(L1151:L1156)+SUM(L1164:L1169)+SUM(L1177:L1182)+SUM(L1190:L1195)+SUM(L1203:L1208)+SUM(L1216:L1221)+SUM(L1229:L1234)+SUM(L1242:L1247)+SUM(L1255:L1260)+SUM(L1268:L1273)+SUM(L1281:L1286)+SUM(L1294:L1299)+SUM(L1307:L1312)+SUM(L1320:L1325)+SUM(L1333:L1338)</f>
        <v>2133</v>
      </c>
      <c r="L34" s="1008" t="s">
        <v>348</v>
      </c>
      <c r="M34" s="1009"/>
      <c r="N34" s="1009"/>
      <c r="O34" s="1009"/>
      <c r="P34" s="1010"/>
      <c r="Q34" s="175">
        <f>SUM(S46:S51)+SUM(S59:S64)+SUM(S72:S77)+SUM(S85:S90)+SUM(S98:S103)+SUM(S111:S116)+SUM(S124:S129)+SUM(S137:S142)+SUM(S150:S155)+SUM(S163:S168)+SUM(S176:S181)+SUM(S189:S194)+SUM(S202:S207)+SUM(S215:S220)+SUM(S228:S233)+SUM(S241:S246)+SUM(S254:S259)+SUM(S267:S272)+SUM(S280:S285)+SUM(S293:S298)+SUM(S306:S311)+SUM(S319:S324)+SUM(S332:S337)+SUM(S345:S350)+SUM(S358:S363)+SUM(S371:S376)+SUM(S384:S389)+SUM(S397:S402)+SUM(S410:S415)+SUM(S423:S428)+SUM(S436:S441)+SUM(S449:S454)+SUM(S462:S467)+SUM(S475:S480)+SUM(S488:S493)+SUM(S501:S506)+SUM(S514:S519)+SUM(S527:S532)+SUM(S540:S545)+SUM(S553:S558)+SUM(S566:S571)+SUM(S579:S584)+SUM(S592:S597)+SUM(S605:S610)+SUM(S618:S623)+SUM(S631:S636)+SUM(S644:S649)+SUM(S657:S662)+SUM(S670:S675)+SUM(S683:S688)+SUM(S696:S701)+SUM(S709:S714)+SUM(S722:S727)+SUM(S735:S740)+SUM(S748:S753)+SUM(S761:S766)+SUM(S774:S779)+SUM(S787:S792)+SUM(S800:S805)+SUM(S813:S818)+SUM(S826:S831)+SUM(S839:S844)+SUM(S852:S857)+SUM(S865:S870)+SUM(S878:S883)+SUM(S891:S896)+SUM(S904:S909)+SUM(S917:S922)+SUM(S930:S935)+SUM(S943:S948)+SUM(S956:S961)+SUM(S969:S974)+SUM(S982:S987)+SUM(S995:S1000)+SUM(S1008:S1014)+SUM(S1021:S1026)+SUM(S1034:S1039)+SUM(S1047:S1052)+SUM(S1060:S1065)+SUM(S1073:S1078)+SUM(S1086:S1091)+SUM(S1099:S1104)+SUM(S1112:S1117)+SUM(S1125:S1130)+SUM(S1138:S1143)+SUM(S1151:S1156)+SUM(S1164:S1169)+SUM(S1177:S1182)+SUM(S1190:S1195)+SUM(S1203:S1208)+SUM(S1216:S1221)+SUM(S1229:S1234)+SUM(S1242:S1247)+SUM(S1255:S1260)+SUM(S1268:S1273)+SUM(S1281:S1286)+SUM(S1294:S1299)+SUM(S1307:S1312)+SUM(S1320:S1325)+SUM(S1333:S1338)</f>
        <v>2133</v>
      </c>
      <c r="R34" s="1008" t="s">
        <v>348</v>
      </c>
      <c r="S34" s="1009"/>
      <c r="T34" s="1009"/>
      <c r="U34" s="1009"/>
      <c r="V34" s="1010"/>
      <c r="W34" s="175">
        <f>SUM(Z46:Z51)+SUM(Z59:Z64)+SUM(Z72:Z77)+SUM(Z85:Z90)+SUM(Z98:Z103)+SUM(Z111:Z116)+SUM(Z124:Z129)+SUM(Z137:Z142)+SUM(Z150:Z155)+SUM(Z163:Z168)+SUM(Z176:Z181)+SUM(Z189:Z194)+SUM(Z202:Z207)+SUM(Z215:Z220)+SUM(Z228:Z233)+SUM(Z241:Z246)+SUM(Z254:Z259)+SUM(Z267:Z272)+SUM(Z280:Z285)+SUM(Z293:Z298)+SUM(Z306:Z311)+SUM(Z319:Z324)+SUM(Z332:Z337)+SUM(Z345:Z350)+SUM(Z358:Z363)+SUM(Z371:Z376)+SUM(Z384:Z389)+SUM(Z397:Z402)+SUM(Z410:Z415)+SUM(Z423:Z428)+SUM(Z436:Z441)+SUM(Z449:Z454)+SUM(Z462:Z467)+SUM(Z475:Z480)+SUM(Z488:Z493)+SUM(Z501:Z506)+SUM(Z514:Z519)+SUM(Z527:Z532)+SUM(Z540:Z545)+SUM(Z553:Z558)+SUM(Z566:Z571)+SUM(Z579:Z584)+SUM(Z592:Z597)+SUM(Z605:Z610)+SUM(Z618:Z623)+SUM(Z631:Z636)+SUM(Z644:Z649)+SUM(Z657:Z662)+SUM(Z670:Z675)+SUM(Z683:Z688)+SUM(Z696:Z701)+SUM(Z709:Z714)+SUM(Z722:Z727)+SUM(Z735:Z740)+SUM(Z748:Z753)+SUM(Z761:Z766)+SUM(Z774:Z779)+SUM(Z787:Z792)+SUM(Z800:Z805)+SUM(Z813:Z818)+SUM(Z826:Z831)+SUM(Z839:Z844)+SUM(Z852:Z857)+SUM(Z865:Z870)+SUM(Z878:Z883)+SUM(Z891:Z896)+SUM(Z904:Z909)+SUM(Z917:Z922)+SUM(Z930:Z935)+SUM(Z943:Z948)+SUM(Z956:Z961)+SUM(Z969:Z974)+SUM(Z982:Z987)+SUM(Z995:Z1000)+SUM(Z1008:Z1014)+SUM(Z1021:Z1026)+SUM(Z1034:Z1039)+SUM(Z1047:Z1052)+SUM(Z1060:Z1065)+SUM(Z1073:Z1078)+SUM(Z1086:Z1091)+SUM(Z1099:Z1104)+SUM(Z1112:Z1117)+SUM(Z1125:Z1130)+SUM(Z1138:Z1143)+SUM(Z1151:Z1156)+SUM(Z1164:Z1169)+SUM(Z1177:Z1182)+SUM(Z1190:Z1195)+SUM(Z1203:Z1208)+SUM(Z1216:Z1221)+SUM(Z1229:Z1234)+SUM(Z1242:Z1247)+SUM(Z1255:Z1260)+SUM(Z1268:Z1273)+SUM(Z1281:Z1286)+SUM(Z1294:Z1299)+SUM(Z1307:Z1312)+SUM(Z1320:Z1325)+SUM(Z1333:Z1338)</f>
        <v>2133</v>
      </c>
      <c r="X34" s="1008" t="s">
        <v>348</v>
      </c>
      <c r="Y34" s="1009"/>
      <c r="Z34" s="1009"/>
      <c r="AA34" s="1009"/>
      <c r="AB34" s="1009"/>
      <c r="AC34" s="175">
        <f>SUM(AG46:AG51)+SUM(AG59:AG64)+SUM(AG72:AG77)+SUM(AG85:AG90)+SUM(AG98:AG103)+SUM(AG111:AG116)+SUM(AG124:AG129)+SUM(AG137:AG142)+SUM(AG150:AG155)+SUM(AG163:AG168)+SUM(AG176:AG181)+SUM(AG189:AG194)+SUM(AG202:AG207)+SUM(AG215:AG220)+SUM(AG228:AG233)+SUM(AG241:AG246)+SUM(AG254:AG259)+SUM(AG267:AG272)+SUM(AG280:AG285)+SUM(AG293:AG298)+SUM(AG306:AG311)+SUM(AG319:AG324)+SUM(AG332:AG337)+SUM(AG345:AG350)+SUM(AG358:AG363)+SUM(AG371:AG376)+SUM(AG384:AG389)+SUM(AG397:AG402)+SUM(AG410:AG415)+SUM(AG423:AG428)+SUM(AG436:AG441)+SUM(AG449:AG454)+SUM(AG462:AG467)+SUM(AG475:AG480)+SUM(AG488:AG493)+SUM(AG501:AG506)+SUM(AG514:AG519)+SUM(AG527:AG532)+SUM(AG540:AG545)+SUM(AG553:AG558)+SUM(AG566:AG571)+SUM(AG579:AG584)+SUM(AG592:AG597)+SUM(AG605:AG610)+SUM(AG618:AG623)+SUM(AG631:AG636)+SUM(AG644:AG649)+SUM(AG657:AG662)+SUM(AG670:AG675)+SUM(AG683:AG688)+SUM(AG696:AG701)+SUM(AG709:AG714)+SUM(AG722:AG727)+SUM(AG735:AG740)+SUM(AG748:AG753)+SUM(AG761:AG766)+SUM(AG774:AG779)+SUM(AG787:AG792)+SUM(AG800:AG805)+SUM(AG813:AG818)+SUM(AG826:AG831)+SUM(AG839:AG844)+SUM(AG852:AG857)+SUM(AG865:AG870)+SUM(AG878:AG883)+SUM(AG891:AG896)+SUM(AG904:AG909)+SUM(AG917:AG922)+SUM(AG930:AG935)+SUM(AG943:AG948)+SUM(AG956:AG961)+SUM(AG969:AG974)+SUM(AG982:AG987)+SUM(AG995:AG1000)+SUM(AG1008:AG1014)+SUM(AG1021:AG1026)+SUM(AG1034:AG1039)+SUM(AG1047:AG1052)+SUM(AG1060:AG1065)+SUM(AG1073:AG1078)+SUM(AG1086:AG1091)+SUM(AG1099:AG1104)+SUM(AG1112:AG1117)+SUM(AG1125:AG1130)+SUM(AG1138:AG1143)+SUM(AG1151:AG1156)+SUM(AG1164:AG1169)+SUM(AG1177:AG1182)+SUM(AG1190:AG1195)+SUM(AG1203:AG1208)+SUM(AG1216:AG1221)+SUM(AG1229:AG1234)+SUM(AG1242:AG1247)+SUM(AG1255:AG1260)+SUM(AG1268:AG1273)+SUM(AG1281:AG1286)+SUM(AG1294:AG1299)+SUM(AG1307:AG1312)+SUM(AG1320:AG1325)+SUM(AG1333:AG1338)</f>
        <v>2139</v>
      </c>
      <c r="AG34" s="165"/>
    </row>
    <row r="35" spans="1:44" s="186" customFormat="1" ht="52.9" customHeight="1" thickBot="1">
      <c r="A35" s="184"/>
      <c r="B35" s="977" t="s">
        <v>661</v>
      </c>
      <c r="C35" s="978"/>
      <c r="D35" s="978"/>
      <c r="E35" s="979"/>
      <c r="F35" s="972" t="s">
        <v>348</v>
      </c>
      <c r="G35" s="973"/>
      <c r="H35" s="973"/>
      <c r="I35" s="973"/>
      <c r="J35" s="974"/>
      <c r="K35" s="185">
        <f>SUM(AN46:AN51)+SUM(AN59:AN64)+SUM(AN72:AN77)+SUM(AN85:AN90)+SUM(AN98:AN103)+SUM(AN111:AN116)+SUM(AN124:AN129)+SUM(AN137:AN142)+SUM(AN150:AN155)+SUM(AN163:AN168)+SUM(AN176:AN181)+SUM(AN189:AN194)+SUM(AN202:AN207)+SUM(AN215:AN220)+SUM(AN228:AN233)+SUM(AN241:AN246)+SUM(AN254:AN259)+SUM(AN267:AN272)+SUM(AN280:AN285)+SUM(AN293:AN298)+SUM(AN306:AN311)+SUM(AN319:AN324)+SUM(AN332:AN337)+SUM(AN345:AN350)+SUM(AN358:AN363)+SUM(AN371:AN376)+SUM(AN384:AN389)+SUM(AN397:AN402)+SUM(AN410:AN415)+SUM(AN423:AN428)+SUM(AN436:AN441)+SUM(AN449:AN454)+SUM(AN462:AN467)+SUM(AN475:AN480)+SUM(AN488:AN493)+SUM(AN501:AN506)+SUM(AN514:AN519)+SUM(AN527:AN532)+SUM(AN540:AN545)+SUM(AN553:AN558)+SUM(AN566:AN571)+SUM(AN579:AN584)+SUM(AN592:AN597)+SUM(AN605:AN610)+SUM(AN618:AN623)+SUM(AN631:AN636)+SUM(AN644:AN649)+SUM(AN657:AN662)+SUM(AN670:AN675)+SUM(AN683:AN688)+SUM(AN696:AN701)+SUM(AN709:AN714)+SUM(AN722:AN727)+SUM(AN735:AN740)+SUM(AN748:AN753)+SUM(AN761:AN766)+SUM(AN774:AN779)+SUM(AN787:AN792)+SUM(AN800:AN805)+SUM(AN813:AN818)+SUM(AN826:AN831)+SUM(AN839:AN844)+SUM(AN852:AN857)+SUM(AN865:AN870)+SUM(AN878:AN883)+SUM(AN891:AN896)+SUM(AN904:AN909)+SUM(AN917:AN922)+SUM(AN930:AN935)+SUM(AN943:AN948)+SUM(AN956:AN961)+SUM(AN969:AN974)+SUM(AN982:AN987)+SUM(AN995:AN1000)+SUM(AN1008:AN1013)+SUM(AN1021:AN1026)+SUM(AN1034:AN1039)+SUM(AN1047:AN1052)+SUM(AN1060:AN1065)+SUM(AN1073:AN1078)+SUM(AN1086:AN1091)+SUM(AN1099:AN1104)+SUM(AN1112:AN1117)+SUM(AN1125:AN1130)+SUM(AN1138:AN1143)+SUM(AN1151:AN1156)+SUM(AN1164:AN1169)+SUM(AN1177:AN1182)+SUM(AN1190:AN1195)+SUM(AN1203:AN1208)+SUM(AN1216:AN1221)+SUM(AN1229:AN1234)+SUM(AN1242:AN1247)+SUM(AN1255:AN1260)+SUM(AN1268:AN1273)+SUM(AN1281:AN1286)+SUM(AN1294:AN1299)+SUM(AN1307:AN1312)+SUM(AN1320:AN1325)+SUM(AN1333:AN1338)</f>
        <v>218272.56215000001</v>
      </c>
      <c r="L35" s="972" t="s">
        <v>348</v>
      </c>
      <c r="M35" s="973"/>
      <c r="N35" s="973"/>
      <c r="O35" s="973"/>
      <c r="P35" s="974"/>
      <c r="Q35" s="185">
        <f>SUM(AO46:AO51)+SUM(AO59:AO64)+SUM(AO72:AO77)+SUM(AO85:AO90)+SUM(AO98:AO103)+SUM(AO111:AO116)+SUM(AO124:AO129)+SUM(AO137:AO142)+SUM(AO150:AO155)+SUM(AO163:AO168)+SUM(AO176:AO181)+SUM(AO189:AO194)+SUM(AO202:AO207)+SUM(AO215:AO220)+SUM(AO228:AO233)+SUM(AO241:AO246)+SUM(AO254:AO259)+SUM(AO267:AO272)+SUM(AO280:AO285)+SUM(AO293:AO298)+SUM(AO306:AO311)+SUM(AO319:AO324)+SUM(AO332:AO337)+SUM(AO345:AO350)+SUM(AO358:AO363)+SUM(AO371:AO376)+SUM(AO384:AO389)+SUM(AO397:AO402)+SUM(AO410:AO415)+SUM(AO423:AO428)+SUM(AO436:AO441)+SUM(AO449:AO454)+SUM(AO462:AO467)+SUM(AO475:AO480)+SUM(AO488:AO493)+SUM(AO501:AO506)+SUM(AO514:AO519)+SUM(AO527:AO532)+SUM(AO540:AO545)+SUM(AO553:AO558)+SUM(AO566:AO571)+SUM(AO579:AO584)+SUM(AO592:AO597)+SUM(AO605:AO610)+SUM(AO618:AO623)+SUM(AO631:AO636)+SUM(AO644:AO649)+SUM(AO657:AO662)+SUM(AO670:AO675)+SUM(AO683:AO688)+SUM(AO696:AO701)+SUM(AO709:AO714)+SUM(AO722:AO727)+SUM(AO735:AO740)+SUM(AO748:AO753)+SUM(AO761:AO766)+SUM(AO774:AO779)+SUM(AO787:AO792)+SUM(AO800:AO805)+SUM(AO813:AO818)+SUM(AO826:AO831)+SUM(AO839:AO844)+SUM(AO852:AO857)+SUM(AO865:AO870)+SUM(AO878:AO883)+SUM(AO891:AO896)+SUM(AO904:AO909)+SUM(AO917:AO922)+SUM(AO930:AO935)+SUM(AO943:AO948)+SUM(AO956:AO961)+SUM(AO969:AO974)+SUM(AO982:AO987)+SUM(AO995:AO1000)+SUM(AO1008:AO1013)+SUM(AO1021:AO1026)+SUM(AO1034:AO1039)+SUM(AO1047:AO1052)+SUM(AO1060:AO1065)+SUM(AO1073:AO1078)+SUM(AO1086:AO1091)+SUM(AO1099:AO1104)+SUM(AO1112:AO1117)+SUM(AO1125:AO1130)+SUM(AO1138:AO1143)+SUM(AO1151:AO1156)+SUM(AO1164:AO1169)+SUM(AO1177:AO1182)+SUM(AO1190:AO1195)+SUM(AO1203:AO1208)+SUM(AO1216:AO1221)+SUM(AO1229:AO1234)+SUM(AO1242:AO1247)+SUM(AO1255:AO1260)+SUM(AO1268:AO1273)+SUM(AO1281:AO1286)+SUM(AO1294:AO1299)+SUM(AO1307:AO1312)+SUM(AO1320:AO1325)+SUM(AO1333:AO1338)</f>
        <v>218272.56215000001</v>
      </c>
      <c r="R35" s="972" t="s">
        <v>348</v>
      </c>
      <c r="S35" s="973"/>
      <c r="T35" s="973"/>
      <c r="U35" s="973"/>
      <c r="V35" s="974"/>
      <c r="W35" s="185">
        <f>SUM(AP46:AP51)+SUM(AP59:AP64)+SUM(AP72:AP77)+SUM(AP85:AP90)+SUM(AP98:AP103)+SUM(AP111:AP116)+SUM(AP124:AP129)+SUM(AP137:AP142)+SUM(AP150:AP155)+SUM(AP163:AP168)+SUM(AP176:AP181)+SUM(AP189:AP194)+SUM(AP202:AP207)+SUM(AP215:AP220)+SUM(AP228:AP233)+SUM(AP241:AP246)+SUM(AP254:AP259)+SUM(AP267:AP272)+SUM(AP280:AP285)+SUM(AP293:AP298)+SUM(AP306:AP311)+SUM(AP319:AP324)+SUM(AP332:AP337)+SUM(AP345:AP350)+SUM(AP358:AP363)+SUM(AP371:AP376)+SUM(AP384:AP389)+SUM(AP397:AP402)+SUM(AP410:AP415)+SUM(AP423:AP428)+SUM(AP436:AP441)+SUM(AP449:AP454)+SUM(AP462:AP467)+SUM(AP475:AP480)+SUM(AP488:AP493)+SUM(AP501:AP506)+SUM(AP514:AP519)+SUM(AP527:AP532)+SUM(AP540:AP545)+SUM(AP553:AP558)+SUM(AP566:AP571)+SUM(AP579:AP584)+SUM(AP592:AP597)+SUM(AP605:AP610)+SUM(AP618:AP623)+SUM(AP631:AP636)+SUM(AP644:AP649)+SUM(AP657:AP662)+SUM(AP670:AP675)+SUM(AP683:AP688)+SUM(AP696:AP701)+SUM(AP709:AP714)+SUM(AP722:AP727)+SUM(AP735:AP740)+SUM(AP748:AP753)+SUM(AP761:AP766)+SUM(AP774:AP779)+SUM(AP787:AP792)+SUM(AP800:AP805)+SUM(AP813:AP818)+SUM(AP826:AP831)+SUM(AP839:AP844)+SUM(AP852:AP857)+SUM(AP865:AP870)+SUM(AP878:AP883)+SUM(AP891:AP896)+SUM(AP904:AP909)+SUM(AP917:AP922)+SUM(AP930:AP935)+SUM(AP943:AP948)+SUM(AP956:AP961)+SUM(AP969:AP974)+SUM(AP982:AP987)+SUM(AP995:AP1000)+SUM(AP1008:AP1013)+SUM(AP1021:AP1026)+SUM(AP1034:AP1039)+SUM(AP1047:AP1052)+SUM(AP1060:AP1065)+SUM(AP1073:AP1078)+SUM(AP1086:AP1091)+SUM(AP1099:AP1104)+SUM(AP1112:AP1117)+SUM(AP1125:AP1130)+SUM(AP1138:AP1143)+SUM(AP1151:AP1156)+SUM(AP1164:AP1169)+SUM(AP1177:AP1182)+SUM(AP1190:AP1195)+SUM(AP1203:AP1208)+SUM(AP1216:AP1221)+SUM(AP1229:AP1234)+SUM(AP1242:AP1247)+SUM(AP1255:AP1260)+SUM(AP1268:AP1273)+SUM(AP1281:AP1286)+SUM(AP1294:AP1299)+SUM(AP1307:AP1312)+SUM(AP1320:AP1325)+SUM(AP1333:AP1338)</f>
        <v>218272.56215000001</v>
      </c>
      <c r="X35" s="972" t="s">
        <v>348</v>
      </c>
      <c r="Y35" s="973"/>
      <c r="Z35" s="973"/>
      <c r="AA35" s="973"/>
      <c r="AB35" s="973"/>
      <c r="AC35" s="185">
        <f>SUM(AQ46:AQ51)+SUM(AQ59:AQ64)+SUM(AQ72:AQ77)+SUM(AQ85:AQ90)+SUM(AQ98:AQ103)+SUM(AQ111:AQ116)+SUM(AQ124:AQ129)+SUM(AQ137:AQ142)+SUM(AQ150:AQ155)+SUM(AQ163:AQ168)+SUM(AQ176:AQ181)+SUM(AQ189:AQ194)+SUM(AQ202:AQ207)+SUM(AQ215:AQ220)+SUM(AQ228:AQ233)+SUM(AQ241:AQ246)+SUM(AQ254:AQ259)+SUM(AQ267:AQ272)+SUM(AQ280:AQ285)+SUM(AQ293:AQ298)+SUM(AQ306:AQ311)+SUM(AQ319:AQ324)+SUM(AQ332:AQ337)+SUM(AQ345:AQ350)+SUM(AQ358:AQ363)+SUM(AQ371:AQ376)+SUM(AQ384:AQ389)+SUM(AQ397:AQ402)+SUM(AQ410:AQ415)+SUM(AQ423:AQ428)+SUM(AQ436:AQ441)+SUM(AQ449:AQ454)+SUM(AQ462:AQ467)+SUM(AQ475:AQ480)+SUM(AQ488:AQ493)+SUM(AQ501:AQ506)+SUM(AQ514:AQ519)+SUM(AQ527:AQ532)+SUM(AQ540:AQ545)+SUM(AQ553:AQ558)+SUM(AQ566:AQ571)+SUM(AQ579:AQ584)+SUM(AQ592:AQ597)+SUM(AQ605:AQ610)+SUM(AQ618:AQ623)+SUM(AQ631:AQ636)+SUM(AQ644:AQ649)+SUM(AQ657:AQ662)+SUM(AQ670:AQ675)+SUM(AQ683:AQ688)+SUM(AQ696:AQ701)+SUM(AQ709:AQ714)+SUM(AQ722:AQ727)+SUM(AQ735:AQ740)+SUM(AQ748:AQ753)+SUM(AQ761:AQ766)+SUM(AQ774:AQ779)+SUM(AQ787:AQ792)+SUM(AQ800:AQ805)+SUM(AQ813:AQ818)+SUM(AQ826:AQ831)+SUM(AQ839:AQ844)+SUM(AQ852:AQ857)+SUM(AQ865:AQ870)+SUM(AQ878:AQ883)+SUM(AQ891:AQ896)+SUM(AQ904:AQ909)+SUM(AQ917:AQ922)+SUM(AQ930:AQ935)+SUM(AQ943:AQ948)+SUM(AQ956:AQ961)+SUM(AQ969:AQ974)+SUM(AQ982:AQ987)+SUM(AQ995:AQ1000)+SUM(AQ1008:AQ1013)+SUM(AQ1021:AQ1026)+SUM(AQ1034:AQ1039)+SUM(AQ1047:AQ1052)+SUM(AQ1060:AQ1065)+SUM(AQ1073:AQ1078)+SUM(AQ1086:AQ1091)+SUM(AQ1099:AQ1104)+SUM(AQ1112:AQ1117)+SUM(AQ1125:AQ1130)+SUM(AQ1138:AQ1143)+SUM(AQ1151:AQ1156)+SUM(AQ1164:AQ1169)+SUM(AQ1177:AQ1182)+SUM(AQ1190:AQ1195)+SUM(AQ1203:AQ1208)+SUM(AQ1216:AQ1221)+SUM(AQ1229:AQ1234)+SUM(AQ1242:AQ1247)+SUM(AQ1255:AQ1260)+SUM(AQ1268:AQ1273)+SUM(AQ1281:AQ1286)+SUM(AQ1294:AQ1299)+SUM(AQ1307:AQ1312)+SUM(AQ1320:AQ1325)+SUM(AQ1333:AQ1338)</f>
        <v>218854.28982499999</v>
      </c>
      <c r="AG35" s="187"/>
    </row>
    <row r="36" spans="1:44" ht="46.9" customHeight="1" thickBot="1">
      <c r="B36" s="143"/>
      <c r="E36" s="144"/>
      <c r="F36" s="144"/>
      <c r="AN36" s="188"/>
    </row>
    <row r="37" spans="1:44" ht="31.15" customHeight="1" thickBot="1">
      <c r="A37" s="286"/>
      <c r="B37" s="1046" t="s">
        <v>791</v>
      </c>
      <c r="C37" s="1047"/>
      <c r="D37" s="1047"/>
      <c r="E37" s="1047"/>
      <c r="F37" s="1048"/>
      <c r="G37" s="956" t="s">
        <v>369</v>
      </c>
      <c r="H37" s="957"/>
      <c r="I37" s="957"/>
      <c r="J37" s="957"/>
      <c r="K37" s="957"/>
      <c r="L37" s="957"/>
      <c r="M37" s="958"/>
      <c r="N37" s="956" t="s">
        <v>370</v>
      </c>
      <c r="O37" s="957"/>
      <c r="P37" s="957"/>
      <c r="Q37" s="957"/>
      <c r="R37" s="957"/>
      <c r="S37" s="957"/>
      <c r="T37" s="958"/>
      <c r="U37" s="956" t="s">
        <v>371</v>
      </c>
      <c r="V37" s="957"/>
      <c r="W37" s="957"/>
      <c r="X37" s="957"/>
      <c r="Y37" s="957"/>
      <c r="Z37" s="957"/>
      <c r="AA37" s="958"/>
      <c r="AB37" s="956" t="s">
        <v>372</v>
      </c>
      <c r="AC37" s="957"/>
      <c r="AD37" s="957"/>
      <c r="AE37" s="957"/>
      <c r="AF37" s="957"/>
      <c r="AG37" s="957"/>
      <c r="AH37" s="958"/>
      <c r="AI37" s="136"/>
      <c r="AJ37" s="948" t="s">
        <v>786</v>
      </c>
      <c r="AK37" s="949"/>
      <c r="AL37" s="949"/>
      <c r="AM37" s="949"/>
      <c r="AN37" s="949"/>
      <c r="AO37" s="949"/>
      <c r="AP37" s="949"/>
      <c r="AQ37" s="949"/>
      <c r="AR37" s="950"/>
    </row>
    <row r="38" spans="1:44" s="191" customFormat="1" ht="33.6" customHeight="1">
      <c r="A38" s="189"/>
      <c r="B38" s="1025" t="s">
        <v>220</v>
      </c>
      <c r="C38" s="1025" t="s">
        <v>214</v>
      </c>
      <c r="D38" s="1025" t="s">
        <v>326</v>
      </c>
      <c r="E38" s="1025" t="s">
        <v>215</v>
      </c>
      <c r="F38" s="967" t="s">
        <v>347</v>
      </c>
      <c r="G38" s="951" t="s">
        <v>586</v>
      </c>
      <c r="H38" s="952"/>
      <c r="I38" s="952"/>
      <c r="J38" s="952"/>
      <c r="K38" s="953"/>
      <c r="L38" s="954" t="s">
        <v>337</v>
      </c>
      <c r="M38" s="959" t="s">
        <v>411</v>
      </c>
      <c r="N38" s="951" t="s">
        <v>587</v>
      </c>
      <c r="O38" s="952"/>
      <c r="P38" s="952"/>
      <c r="Q38" s="952"/>
      <c r="R38" s="953"/>
      <c r="S38" s="954" t="s">
        <v>338</v>
      </c>
      <c r="T38" s="959" t="s">
        <v>411</v>
      </c>
      <c r="U38" s="951" t="s">
        <v>588</v>
      </c>
      <c r="V38" s="952"/>
      <c r="W38" s="952"/>
      <c r="X38" s="952"/>
      <c r="Y38" s="953"/>
      <c r="Z38" s="954" t="s">
        <v>339</v>
      </c>
      <c r="AA38" s="959" t="s">
        <v>411</v>
      </c>
      <c r="AB38" s="951" t="s">
        <v>589</v>
      </c>
      <c r="AC38" s="952"/>
      <c r="AD38" s="952"/>
      <c r="AE38" s="952"/>
      <c r="AF38" s="953"/>
      <c r="AG38" s="954" t="s">
        <v>340</v>
      </c>
      <c r="AH38" s="959" t="s">
        <v>411</v>
      </c>
      <c r="AI38" s="190"/>
      <c r="AJ38" s="1070" t="str">
        <f>B38</f>
        <v>Лікар з надання ПМД</v>
      </c>
      <c r="AK38" s="1072" t="str">
        <f>C38</f>
        <v>ПІБ лікаря</v>
      </c>
      <c r="AL38" s="1075" t="str">
        <f>D38</f>
        <v>Ідентифікатор лікаря</v>
      </c>
      <c r="AM38" s="1066" t="s">
        <v>373</v>
      </c>
      <c r="AN38" s="1068" t="s">
        <v>332</v>
      </c>
      <c r="AO38" s="1068" t="s">
        <v>333</v>
      </c>
      <c r="AP38" s="1068" t="s">
        <v>334</v>
      </c>
      <c r="AQ38" s="1068" t="s">
        <v>335</v>
      </c>
      <c r="AR38" s="1064" t="s">
        <v>336</v>
      </c>
    </row>
    <row r="39" spans="1:44" s="191" customFormat="1" ht="58.5" customHeight="1" thickBot="1">
      <c r="A39" s="189"/>
      <c r="B39" s="1025"/>
      <c r="C39" s="1025"/>
      <c r="D39" s="1025"/>
      <c r="E39" s="1025"/>
      <c r="F39" s="968"/>
      <c r="G39" s="192" t="s">
        <v>327</v>
      </c>
      <c r="H39" s="192" t="s">
        <v>328</v>
      </c>
      <c r="I39" s="192" t="s">
        <v>329</v>
      </c>
      <c r="J39" s="192" t="s">
        <v>330</v>
      </c>
      <c r="K39" s="192" t="s">
        <v>331</v>
      </c>
      <c r="L39" s="955"/>
      <c r="M39" s="960"/>
      <c r="N39" s="192" t="s">
        <v>327</v>
      </c>
      <c r="O39" s="192" t="s">
        <v>328</v>
      </c>
      <c r="P39" s="192" t="s">
        <v>329</v>
      </c>
      <c r="Q39" s="192" t="s">
        <v>330</v>
      </c>
      <c r="R39" s="192" t="s">
        <v>331</v>
      </c>
      <c r="S39" s="955"/>
      <c r="T39" s="960"/>
      <c r="U39" s="192" t="s">
        <v>327</v>
      </c>
      <c r="V39" s="192" t="s">
        <v>328</v>
      </c>
      <c r="W39" s="192" t="s">
        <v>329</v>
      </c>
      <c r="X39" s="192" t="s">
        <v>330</v>
      </c>
      <c r="Y39" s="192" t="s">
        <v>331</v>
      </c>
      <c r="Z39" s="955"/>
      <c r="AA39" s="960"/>
      <c r="AB39" s="192" t="s">
        <v>327</v>
      </c>
      <c r="AC39" s="192" t="s">
        <v>328</v>
      </c>
      <c r="AD39" s="192" t="s">
        <v>329</v>
      </c>
      <c r="AE39" s="192" t="s">
        <v>330</v>
      </c>
      <c r="AF39" s="192" t="s">
        <v>331</v>
      </c>
      <c r="AG39" s="955"/>
      <c r="AH39" s="960"/>
      <c r="AI39" s="193"/>
      <c r="AJ39" s="1071"/>
      <c r="AK39" s="1073"/>
      <c r="AL39" s="1076"/>
      <c r="AM39" s="1067"/>
      <c r="AN39" s="1069"/>
      <c r="AO39" s="1069"/>
      <c r="AP39" s="1069"/>
      <c r="AQ39" s="1069"/>
      <c r="AR39" s="1065"/>
    </row>
    <row r="40" spans="1:44" s="191" customFormat="1" ht="30" customHeight="1">
      <c r="A40" s="194">
        <v>1</v>
      </c>
      <c r="B40" s="941" t="s">
        <v>237</v>
      </c>
      <c r="C40" s="942" t="s">
        <v>66</v>
      </c>
      <c r="D40" s="943"/>
      <c r="E40" s="943" t="s">
        <v>65</v>
      </c>
      <c r="F40" s="195" t="s">
        <v>582</v>
      </c>
      <c r="G40" s="196">
        <f>158+73</f>
        <v>231</v>
      </c>
      <c r="H40" s="196">
        <f>736+52</f>
        <v>788</v>
      </c>
      <c r="I40" s="196" t="str">
        <f>IF($B$40="Лікар-педіатр","x",IF($B$40="Лікар-терапевт",I42/L42*L40,IF($B$40="Лікар загальної практики - сімейний лікар",I42/L42*L40,0)))</f>
        <v>x</v>
      </c>
      <c r="J40" s="196" t="str">
        <f>IF($B$40="Лікар-педіатр","x",IF($B$40="Лікар-терапевт",J42/L42*L40,IF($B$40="Лікар загальної практики - сімейний лікар",J42/L42*L40,0)))</f>
        <v>x</v>
      </c>
      <c r="K40" s="196" t="str">
        <f>IF($B$40="Лікар-педіатр","x",IF($B$40="Лікар-терапевт",K43*L40,IF($B$40="Лікар загальної практики - сімейний лікар",K43*L40,0)))</f>
        <v>x</v>
      </c>
      <c r="L40" s="559">
        <v>1019</v>
      </c>
      <c r="M40" s="929">
        <v>1</v>
      </c>
      <c r="N40" s="196">
        <f>158+73</f>
        <v>231</v>
      </c>
      <c r="O40" s="196">
        <f>736+52</f>
        <v>788</v>
      </c>
      <c r="P40" s="196" t="str">
        <f>IF($B$40="Лікар-педіатр","x",IF($B$40="Лікар-терапевт",P43*S40,IF($B$40="Лікар загальної практики - сімейний лікар",P43*S40,0)))</f>
        <v>x</v>
      </c>
      <c r="Q40" s="196" t="str">
        <f>IF($B$40="Лікар-педіатр","x",IF($B$40="Лікар-терапевт",Q43*S40,IF($B$40="Лікар загальної практики - сімейний лікар",Q43*S40,0)))</f>
        <v>x</v>
      </c>
      <c r="R40" s="196" t="str">
        <f>IF($B$40="Лікар-педіатр","x",IF($B$40="Лікар-терапевт",R43*S40,IF($B$40="Лікар загальної практики - сімейний лікар",R43*S40,0)))</f>
        <v>x</v>
      </c>
      <c r="S40" s="559">
        <v>1019</v>
      </c>
      <c r="T40" s="961">
        <v>1</v>
      </c>
      <c r="U40" s="196">
        <f>158+73</f>
        <v>231</v>
      </c>
      <c r="V40" s="196">
        <f>736+52</f>
        <v>788</v>
      </c>
      <c r="W40" s="196" t="str">
        <f>IF($B$40="Лікар-педіатр","x",IF($B$40="Лікар-терапевт",W43*Z40,IF($B$40="Лікар загальної практики - сімейний лікар",W43*Z40,0)))</f>
        <v>x</v>
      </c>
      <c r="X40" s="196" t="str">
        <f>IF($B$40="Лікар-педіатр","x",IF($B$40="Лікар-терапевт",X43*Z40,IF($B$40="Лікар загальної практики - сімейний лікар",X43*Z40,0)))</f>
        <v>x</v>
      </c>
      <c r="Y40" s="196" t="str">
        <f>IF($B$40="Лікар-педіатр","x",IF($B$40="Лікар-терапевт",Y43*Z40,IF($B$40="Лікар загальної практики - сімейний лікар",Y43*Z40,0)))</f>
        <v>x</v>
      </c>
      <c r="Z40" s="559">
        <v>1019</v>
      </c>
      <c r="AA40" s="961">
        <v>1</v>
      </c>
      <c r="AB40" s="196">
        <v>235</v>
      </c>
      <c r="AC40" s="196">
        <v>790</v>
      </c>
      <c r="AD40" s="196" t="str">
        <f>IF($B$40="Лікар-педіатр","x",IF($B$40="Лікар-терапевт",AD43*AG40,IF($B$40="Лікар загальної практики - сімейний лікар",AD43*AG40,0)))</f>
        <v>x</v>
      </c>
      <c r="AE40" s="196" t="str">
        <f>IF($B$40="Лікар-педіатр","x",IF($B$40="Лікар-терапевт",AE43*AG40,IF($B$40="Лікар загальної практики - сімейний лікар",AE43*AG40,0)))</f>
        <v>x</v>
      </c>
      <c r="AF40" s="196" t="str">
        <f>IF($B$40="Лікар-педіатр","x",IF($B$40="Лікар-терапевт",AF43*AG40,IF($B$40="Лікар загальної практики - сімейний лікар",AF43*AG40,0)))</f>
        <v>x</v>
      </c>
      <c r="AG40" s="559">
        <v>1025</v>
      </c>
      <c r="AH40" s="969">
        <v>1</v>
      </c>
      <c r="AI40" s="541">
        <f>A40</f>
        <v>1</v>
      </c>
      <c r="AJ40" s="932" t="str">
        <f>B40</f>
        <v>Лікар-педіатр</v>
      </c>
      <c r="AK40" s="926" t="str">
        <f>C40</f>
        <v>Білевич Любов Андріївна</v>
      </c>
      <c r="AL40" s="926">
        <f>D40</f>
        <v>0</v>
      </c>
      <c r="AM40" s="901" t="s">
        <v>785</v>
      </c>
      <c r="AN40" s="923">
        <f>SUM(AN45:AN51)</f>
        <v>298218.84188296128</v>
      </c>
      <c r="AO40" s="923">
        <f>SUM(AO45:AO51)</f>
        <v>298218.84188296128</v>
      </c>
      <c r="AP40" s="923">
        <f>SUM(AP45:AP51)</f>
        <v>298218.84188296128</v>
      </c>
      <c r="AQ40" s="923">
        <f>SUM(AQ45:AQ51)</f>
        <v>299306.10294359754</v>
      </c>
      <c r="AR40" s="914">
        <f>SUM(AN40:AQ44)</f>
        <v>1193962.6285924814</v>
      </c>
    </row>
    <row r="41" spans="1:44" s="50" customFormat="1" ht="28.15" customHeight="1">
      <c r="A41" s="197"/>
      <c r="B41" s="941"/>
      <c r="C41" s="942"/>
      <c r="D41" s="943"/>
      <c r="E41" s="943"/>
      <c r="F41" s="195" t="s">
        <v>583</v>
      </c>
      <c r="G41" s="196">
        <f>158+73</f>
        <v>231</v>
      </c>
      <c r="H41" s="196">
        <f>736+52</f>
        <v>788</v>
      </c>
      <c r="I41" s="196" t="str">
        <f>IF($B$40="Лікар-педіатр","x",IF($B$40="Лікар-терапевт",I43*L41,IF($B$40="Лікар загальної практики - сімейний лікар",I43*L41,0)))</f>
        <v>x</v>
      </c>
      <c r="J41" s="196" t="str">
        <f>IF($B$40="Лікар-педіатр","x",IF($B$40="Лікар-терапевт",J43*L41,IF($B$40="Лікар загальної практики - сімейний лікар",J43*L41,0)))</f>
        <v>x</v>
      </c>
      <c r="K41" s="196" t="str">
        <f>IF($B$40="Лікар-педіатр","x",IF($B$40="Лікар-терапевт",K43*L41,IF($B$40="Лікар загальної практики - сімейний лікар",K43*L41,0)))</f>
        <v>x</v>
      </c>
      <c r="L41" s="559">
        <v>1019</v>
      </c>
      <c r="M41" s="930"/>
      <c r="N41" s="196">
        <f>158+73</f>
        <v>231</v>
      </c>
      <c r="O41" s="196">
        <f>736+52</f>
        <v>788</v>
      </c>
      <c r="P41" s="196" t="str">
        <f>IF($B$40="Лікар-педіатр","x",IF($B$40="Лікар-терапевт",P43*S41,IF($B$40="Лікар загальної практики - сімейний лікар",P43*S41,0)))</f>
        <v>x</v>
      </c>
      <c r="Q41" s="196" t="str">
        <f>IF($B$40="Лікар-педіатр","x",IF($B$40="Лікар-терапевт",Q43*S41,IF($B$40="Лікар загальної практики - сімейний лікар",Q43*S41,0)))</f>
        <v>x</v>
      </c>
      <c r="R41" s="196" t="str">
        <f>IF($B$40="Лікар-педіатр","x",IF($B$40="Лікар-терапевт",R43*S41,IF($B$40="Лікар загальної практики - сімейний лікар",R43*S41,0)))</f>
        <v>x</v>
      </c>
      <c r="S41" s="559">
        <v>1019</v>
      </c>
      <c r="T41" s="962"/>
      <c r="U41" s="196">
        <f>158+73</f>
        <v>231</v>
      </c>
      <c r="V41" s="196">
        <f>736+52</f>
        <v>788</v>
      </c>
      <c r="W41" s="196" t="str">
        <f>IF($B$40="Лікар-педіатр","x",IF($B$40="Лікар-терапевт",W43*Z41,IF($B$40="Лікар загальної практики - сімейний лікар",W43*Z41,0)))</f>
        <v>x</v>
      </c>
      <c r="X41" s="196" t="str">
        <f>IF($B$40="Лікар-педіатр","x",IF($B$40="Лікар-терапевт",X43*Z41,IF($B$40="Лікар загальної практики - сімейний лікар",X43*Z41,0)))</f>
        <v>x</v>
      </c>
      <c r="Y41" s="196" t="str">
        <f>IF($B$40="Лікар-педіатр","x",IF($B$40="Лікар-терапевт",Y43*Z41,IF($B$40="Лікар загальної практики - сімейний лікар",Y43*Z41,0)))</f>
        <v>x</v>
      </c>
      <c r="Z41" s="559">
        <v>1019</v>
      </c>
      <c r="AA41" s="962"/>
      <c r="AB41" s="196">
        <v>235</v>
      </c>
      <c r="AC41" s="196">
        <v>790</v>
      </c>
      <c r="AD41" s="196" t="str">
        <f>IF($B$40="Лікар-педіатр","x",IF($B$40="Лікар-терапевт",AD43*AG41,IF($B$40="Лікар загальної практики - сімейний лікар",AD43*AG41,0)))</f>
        <v>x</v>
      </c>
      <c r="AE41" s="196" t="str">
        <f>IF($B$40="Лікар-педіатр","x",IF($B$40="Лікар-терапевт",AE43*AG41,IF($B$40="Лікар загальної практики - сімейний лікар",AE43*AG41,0)))</f>
        <v>x</v>
      </c>
      <c r="AF41" s="196" t="str">
        <f>IF($B$40="Лікар-педіатр","x",IF($B$40="Лікар-терапевт",AF43*AG41,IF($B$40="Лікар загальної практики - сімейний лікар",AF43*AG41,0)))</f>
        <v>x</v>
      </c>
      <c r="AG41" s="559">
        <v>1025</v>
      </c>
      <c r="AH41" s="970"/>
      <c r="AI41" s="198"/>
      <c r="AJ41" s="933"/>
      <c r="AK41" s="927"/>
      <c r="AL41" s="927"/>
      <c r="AM41" s="902"/>
      <c r="AN41" s="924"/>
      <c r="AO41" s="924"/>
      <c r="AP41" s="924"/>
      <c r="AQ41" s="924"/>
      <c r="AR41" s="915"/>
    </row>
    <row r="42" spans="1:44" s="50" customFormat="1" ht="31.15" customHeight="1">
      <c r="A42" s="197"/>
      <c r="B42" s="941"/>
      <c r="C42" s="942"/>
      <c r="D42" s="943"/>
      <c r="E42" s="943"/>
      <c r="F42" s="195" t="s">
        <v>584</v>
      </c>
      <c r="G42" s="196">
        <f>158+73</f>
        <v>231</v>
      </c>
      <c r="H42" s="196">
        <f>736+52</f>
        <v>788</v>
      </c>
      <c r="I42" s="199" t="str">
        <f>IF(B40="Лікар загальної практики - сімейний лікар"," ",IF(B40="Лікар-педіатр","х",IF(B40="Лікар-терапевт"," ",0)))</f>
        <v>х</v>
      </c>
      <c r="J42" s="199" t="str">
        <f>IF(B40="Лікар загальної практики - сімейний лікар"," ",IF(B40="Лікар-педіатр","х",IF(B40="Лікар-терапевт"," ",0)))</f>
        <v>х</v>
      </c>
      <c r="K42" s="199" t="str">
        <f>IF(B40="Лікар загальної практики - сімейний лікар"," ",IF(B40="Лікар-педіатр","х",IF(B40="Лікар-терапевт"," ",0)))</f>
        <v>х</v>
      </c>
      <c r="L42" s="200">
        <f>SUM(G42:K42)</f>
        <v>1019</v>
      </c>
      <c r="M42" s="930"/>
      <c r="N42" s="196">
        <f>158+73</f>
        <v>231</v>
      </c>
      <c r="O42" s="196">
        <f>736+52</f>
        <v>788</v>
      </c>
      <c r="P42" s="199" t="str">
        <f>IF(B40="Лікар загальної практики - сімейний лікар"," ",IF(B40="Лікар-педіатр","х",IF(B40="Лікар-терапевт"," ",0)))</f>
        <v>х</v>
      </c>
      <c r="Q42" s="199" t="str">
        <f>IF(B40="Лікар загальної практики - сімейний лікар"," ",IF(B40="Лікар-педіатр","х",IF(B40="Лікар-терапевт"," ",0)))</f>
        <v>х</v>
      </c>
      <c r="R42" s="199" t="str">
        <f>IF(B40="Лікар загальної практики - сімейний лікар"," ",IF(B40="Лікар-педіатр","х",IF(B40="Лікар-терапевт"," ",0)))</f>
        <v>х</v>
      </c>
      <c r="S42" s="200">
        <f>SUM(N42:R42)</f>
        <v>1019</v>
      </c>
      <c r="T42" s="962"/>
      <c r="U42" s="196">
        <f>158+73</f>
        <v>231</v>
      </c>
      <c r="V42" s="196">
        <f>736+52</f>
        <v>788</v>
      </c>
      <c r="W42" s="199" t="str">
        <f>IF(B40="Лікар загальної практики - сімейний лікар"," ",IF(B40="Лікар-педіатр","х",IF(B40="Лікар-терапевт"," ",0)))</f>
        <v>х</v>
      </c>
      <c r="X42" s="199" t="str">
        <f>IF(B40="Лікар загальної практики - сімейний лікар"," ",IF(B40="Лікар-педіатр","х",IF(B40="Лікар-терапевт"," ",0)))</f>
        <v>х</v>
      </c>
      <c r="Y42" s="199" t="str">
        <f>IF(B40="Лікар загальної практики - сімейний лікар"," ",IF(B40="Лікар-педіатр","х",IF(B40="Лікар-терапевт"," ",0)))</f>
        <v>х</v>
      </c>
      <c r="Z42" s="200">
        <f>SUM(U42:Y42)</f>
        <v>1019</v>
      </c>
      <c r="AA42" s="962"/>
      <c r="AB42" s="196">
        <v>235</v>
      </c>
      <c r="AC42" s="196">
        <v>790</v>
      </c>
      <c r="AD42" s="199" t="str">
        <f>IF(B40="Лікар загальної практики - сімейний лікар"," ",IF(B40="Лікар-педіатр","х",IF(B40="Лікар-терапевт"," ",0)))</f>
        <v>х</v>
      </c>
      <c r="AE42" s="199" t="str">
        <f>IF(B40="Лікар загальної практики - сімейний лікар"," ",IF(B40="Лікар-педіатр","х",IF(B40="Лікар-терапевт"," ",0)))</f>
        <v>х</v>
      </c>
      <c r="AF42" s="199" t="str">
        <f>IF(B40="Лікар загальної практики - сімейний лікар"," ",IF(B40="Лікар-педіатр","х",IF(B40="Лікар-терапевт"," ",0)))</f>
        <v>х</v>
      </c>
      <c r="AG42" s="200">
        <f>SUM(AB42:AF42)</f>
        <v>1025</v>
      </c>
      <c r="AH42" s="970"/>
      <c r="AI42" s="201"/>
      <c r="AJ42" s="933"/>
      <c r="AK42" s="927"/>
      <c r="AL42" s="927"/>
      <c r="AM42" s="902"/>
      <c r="AN42" s="924"/>
      <c r="AO42" s="924"/>
      <c r="AP42" s="924"/>
      <c r="AQ42" s="924"/>
      <c r="AR42" s="915"/>
    </row>
    <row r="43" spans="1:44" s="50" customFormat="1" ht="31.9" customHeight="1" thickBot="1">
      <c r="A43" s="197"/>
      <c r="B43" s="941"/>
      <c r="C43" s="942"/>
      <c r="D43" s="943"/>
      <c r="E43" s="943"/>
      <c r="F43" s="202" t="s">
        <v>349</v>
      </c>
      <c r="G43" s="203">
        <f>IF($B$40="Лікар-педіатр",G42/L42,IF($B$40="Лікар-терапевт","х",IF($B$40="Лікар загальної практики - сімейний лікар",G42/L42,0)))</f>
        <v>0.22669283611383709</v>
      </c>
      <c r="H43" s="203">
        <f>IF($B$40="Лікар-педіатр",H42/L42,IF($B$40="Лікар-терапевт","х",IF($B$40="Лікар загальної практики - сімейний лікар",H42/L42,0)))</f>
        <v>0.77330716388616294</v>
      </c>
      <c r="I43" s="203" t="str">
        <f>IF($B$40="Лікар-педіатр","x",IF($B$40="Лікар-терапевт",I42/L42,IF($B$40="Лікар загальної практики - сімейний лікар",I42/L42,0)))</f>
        <v>x</v>
      </c>
      <c r="J43" s="203" t="str">
        <f>IF($B$40="Лікар-педіатр","x",IF($B$40="Лікар-терапевт",J42/L42,IF($B$40="Лікар загальної практики - сімейний лікар",J42/L42,0)))</f>
        <v>x</v>
      </c>
      <c r="K43" s="203" t="str">
        <f>IF($B$40="Лікар-педіатр","x",IF($B$40="Лікар-терапевт",K42/L42,IF($B$40="Лікар загальної практики - сімейний лікар",K42/L42,0)))</f>
        <v>x</v>
      </c>
      <c r="L43" s="203">
        <f>SUM(G43:K43)</f>
        <v>1</v>
      </c>
      <c r="M43" s="930"/>
      <c r="N43" s="203">
        <f>IF($B$40="Лікар-педіатр",N42/S42,IF($B$40="Лікар-терапевт","х",IF($B$40="Лікар загальної практики - сімейний лікар",N42/S42,0)))</f>
        <v>0.22669283611383709</v>
      </c>
      <c r="O43" s="203">
        <f>IF($B$40="Лікар-педіатр",O42/S42,IF($B$40="Лікар-терапевт","х",IF($B$40="Лікар загальної практики - сімейний лікар",O42/S42,0)))</f>
        <v>0.77330716388616294</v>
      </c>
      <c r="P43" s="203" t="str">
        <f>IF($B$40="Лікар-педіатр","x",IF($B$40="Лікар-терапевт",P42/S42,IF($B$40="Лікар загальної практики - сімейний лікар",P42/S42,0)))</f>
        <v>x</v>
      </c>
      <c r="Q43" s="203" t="str">
        <f>IF($B$40="Лікар-педіатр","x",IF($B$40="Лікар-терапевт",Q42/S42,IF($B$40="Лікар загальної практики - сімейний лікар",Q42/S42,0)))</f>
        <v>x</v>
      </c>
      <c r="R43" s="203" t="str">
        <f>IF($B$40="Лікар-педіатр","x",IF($B$40="Лікар-терапевт",R42/S42,IF($B$40="Лікар загальної практики - сімейний лікар",R42/S42,0)))</f>
        <v>x</v>
      </c>
      <c r="S43" s="203">
        <f>SUM(N43:R43)</f>
        <v>1</v>
      </c>
      <c r="T43" s="962"/>
      <c r="U43" s="203">
        <f>IF($B$40="Лікар-педіатр",U42/Z42,IF($B$40="Лікар-терапевт","х",IF($B$40="Лікар загальної практики - сімейний лікар",U42/Z42,0)))</f>
        <v>0.22669283611383709</v>
      </c>
      <c r="V43" s="203">
        <f>IF($B$40="Лікар-педіатр",V42/Z42,IF($B$40="Лікар-терапевт","х",IF($B$40="Лікар загальної практики - сімейний лікар",V42/Z42,0)))</f>
        <v>0.77330716388616294</v>
      </c>
      <c r="W43" s="203" t="str">
        <f>IF($B$40="Лікар-педіатр","x",IF($B$40="Лікар-терапевт",W42/Z42,IF($B$40="Лікар загальної практики - сімейний лікар",W42/Z42,0)))</f>
        <v>x</v>
      </c>
      <c r="X43" s="203" t="str">
        <f>IF($B$40="Лікар-педіатр","x",IF($B$40="Лікар-терапевт",X42/Z42,IF($B$40="Лікар загальної практики - сімейний лікар",X42/Z42,0)))</f>
        <v>x</v>
      </c>
      <c r="Y43" s="203" t="str">
        <f>IF($B$40="Лікар-педіатр","x",IF($B$40="Лікар-терапевт",Y42/Z42,IF($B$40="Лікар загальної практики - сімейний лікар",Y42/Z42,0)))</f>
        <v>x</v>
      </c>
      <c r="Z43" s="203">
        <f>SUM(U43:Y43)</f>
        <v>1</v>
      </c>
      <c r="AA43" s="962"/>
      <c r="AB43" s="203">
        <f>IF($B$40="Лікар-педіатр",AB42/AG42,IF($B$40="Лікар-терапевт","х",IF($B$40="Лікар загальної практики - сімейний лікар",AB42/AG42,0)))</f>
        <v>0.22926829268292684</v>
      </c>
      <c r="AC43" s="203">
        <f>IF($B$40="Лікар-педіатр",AC42/AG42,IF($B$40="Лікар-терапевт","х",IF($B$40="Лікар загальної практики - сімейний лікар",AC42/AG42,0)))</f>
        <v>0.77073170731707319</v>
      </c>
      <c r="AD43" s="203" t="str">
        <f>IF($B$40="Лікар-педіатр","x",IF($B$40="Лікар-терапевт",AD42/AG42,IF($B$40="Лікар загальної практики - сімейний лікар",AD42/AG42,0)))</f>
        <v>x</v>
      </c>
      <c r="AE43" s="203" t="str">
        <f>IF($B$40="Лікар-педіатр","x",IF($B$40="Лікар-терапевт",AE42/AG42,IF($B$40="Лікар загальної практики - сімейний лікар",AE42/AG42,0)))</f>
        <v>x</v>
      </c>
      <c r="AF43" s="203" t="str">
        <f>IF($B$40="Лікар-педіатр","x",IF($B$40="Лікар-терапевт",AF42/AG42,IF($B$40="Лікар загальної практики - сімейний лікар",AF42/AG42,0)))</f>
        <v>x</v>
      </c>
      <c r="AG43" s="203">
        <f>SUM(AB43:AF43)</f>
        <v>1</v>
      </c>
      <c r="AH43" s="970"/>
      <c r="AI43" s="201"/>
      <c r="AJ43" s="933"/>
      <c r="AK43" s="927"/>
      <c r="AL43" s="927"/>
      <c r="AM43" s="902"/>
      <c r="AN43" s="924"/>
      <c r="AO43" s="924"/>
      <c r="AP43" s="924"/>
      <c r="AQ43" s="924"/>
      <c r="AR43" s="915"/>
    </row>
    <row r="44" spans="1:44" s="50" customFormat="1" ht="45" customHeight="1" thickBot="1">
      <c r="A44" s="197"/>
      <c r="B44" s="941"/>
      <c r="C44" s="942"/>
      <c r="D44" s="943"/>
      <c r="E44" s="944"/>
      <c r="F44" s="204" t="s">
        <v>585</v>
      </c>
      <c r="G44" s="205">
        <f>IF($B$40="Лікар загальної практики - сімейний лікар",AVERAGE(G40:G42),IF($B$40="Лікар-педіатр",AVERAGE(G40:G42),IF($B$40="Лікар-терапевт","х",0)))</f>
        <v>231</v>
      </c>
      <c r="H44" s="205">
        <f>IF($B$40="Лікар загальної практики - сімейний лікар",AVERAGE(H40:H42),IF($B$40="Лікар-педіатр",AVERAGE(H40:H42),IF($B$40="Лікар-терапевт","х",0)))</f>
        <v>788</v>
      </c>
      <c r="I44" s="205" t="str">
        <f>IF($B$40="Лікар загальної практики - сімейний лікар",AVERAGE(I40:I42),IF($B$40="Лікар-педіатр","x",IF($B$40="Лікар-терапевт",AVERAGE(I40:I42),0)))</f>
        <v>x</v>
      </c>
      <c r="J44" s="205" t="str">
        <f>IF($B$40="Лікар загальної практики - сімейний лікар",AVERAGE(J40:J42),IF($B$40="Лікар-педіатр","x",IF($B$40="Лікар-терапевт",AVERAGE(J40:J42),0)))</f>
        <v>x</v>
      </c>
      <c r="K44" s="205" t="str">
        <f>IF($B$40="Лікар загальної практики - сімейний лікар",AVERAGE(K40:K42),IF($B$40="Лікар-педіатр","x",IF($B$40="Лікар-терапевт",AVERAGE(K40:K42),0)))</f>
        <v>x</v>
      </c>
      <c r="L44" s="206">
        <f>SUM(G44:K44)</f>
        <v>1019</v>
      </c>
      <c r="M44" s="930"/>
      <c r="N44" s="205">
        <f>IF($B$40="Лікар загальної практики - сімейний лікар",AVERAGE(N40:N42),IF($B$40="Лікар-педіатр",AVERAGE(N40:N42),IF($B$40="Лікар-терапевт","х",0)))</f>
        <v>231</v>
      </c>
      <c r="O44" s="205">
        <f>IF($B$40="Лікар загальної практики - сімейний лікар",AVERAGE(O40:O42),IF($B$40="Лікар-педіатр",AVERAGE(O40:O42),IF($B$40="Лікар-терапевт","х",0)))</f>
        <v>788</v>
      </c>
      <c r="P44" s="205" t="str">
        <f>IF($B$40="Лікар загальної практики - сімейний лікар",AVERAGE(P40:P42),IF($B$40="Лікар-педіатр","x",IF($B$40="Лікар-терапевт",AVERAGE(P40:P42),0)))</f>
        <v>x</v>
      </c>
      <c r="Q44" s="205" t="str">
        <f>IF($B$40="Лікар загальної практики - сімейний лікар",AVERAGE(Q40:Q42),IF($B$40="Лікар-педіатр","x",IF($B$40="Лікар-терапевт",AVERAGE(Q40:Q42),0)))</f>
        <v>x</v>
      </c>
      <c r="R44" s="205" t="str">
        <f>IF($B$40="Лікар загальної практики - сімейний лікар",AVERAGE(R40:R42),IF($B$40="Лікар-педіатр","x",IF($B$40="Лікар-терапевт",AVERAGE(R40:R42),0)))</f>
        <v>x</v>
      </c>
      <c r="S44" s="206">
        <f>SUM(N44:R44)</f>
        <v>1019</v>
      </c>
      <c r="T44" s="962"/>
      <c r="U44" s="205">
        <f>IF($B$40="Лікар загальної практики - сімейний лікар",AVERAGE(U40:U42),IF($B$40="Лікар-педіатр",AVERAGE(U40:U42),IF($B$40="Лікар-терапевт","х",0)))</f>
        <v>231</v>
      </c>
      <c r="V44" s="205">
        <f>IF($B$40="Лікар загальної практики - сімейний лікар",AVERAGE(V40:V42),IF($B$40="Лікар-педіатр",AVERAGE(V40:V42),IF($B$40="Лікар-терапевт","х",0)))</f>
        <v>788</v>
      </c>
      <c r="W44" s="205" t="str">
        <f>IF($B$40="Лікар загальної практики - сімейний лікар",AVERAGE(W40:W42),IF($B$40="Лікар-педіатр","x",IF($B$40="Лікар-терапевт",AVERAGE(W40:W42),0)))</f>
        <v>x</v>
      </c>
      <c r="X44" s="205" t="str">
        <f>IF($B$40="Лікар загальної практики - сімейний лікар",AVERAGE(X40:X42),IF($B$40="Лікар-педіатр","x",IF($B$40="Лікар-терапевт",AVERAGE(X40:X42),0)))</f>
        <v>x</v>
      </c>
      <c r="Y44" s="205" t="str">
        <f>IF($B$40="Лікар загальної практики - сімейний лікар",AVERAGE(Y40:Y42),IF($B$40="Лікар-педіатр","x",IF($B$40="Лікар-терапевт",AVERAGE(Y40:Y42),0)))</f>
        <v>x</v>
      </c>
      <c r="Z44" s="206">
        <f>SUM(U44:Y44)</f>
        <v>1019</v>
      </c>
      <c r="AA44" s="962"/>
      <c r="AB44" s="205">
        <f>IF($B$40="Лікар загальної практики - сімейний лікар",AVERAGE(AB40:AB42),IF($B$40="Лікар-педіатр",AVERAGE(AB40:AB42),IF($B$40="Лікар-терапевт","х",0)))</f>
        <v>235</v>
      </c>
      <c r="AC44" s="205">
        <f>IF($B$40="Лікар загальної практики - сімейний лікар",AVERAGE(AC40:AC42),IF($B$40="Лікар-педіатр",AVERAGE(AC40:AC42),IF($B$40="Лікар-терапевт","х",0)))</f>
        <v>790</v>
      </c>
      <c r="AD44" s="205" t="str">
        <f>IF($B$40="Лікар загальної практики - сімейний лікар",AVERAGE(AD40:AD42),IF($B$40="Лікар-педіатр","x",IF($B$40="Лікар-терапевт",AVERAGE(AD40:AD42),0)))</f>
        <v>x</v>
      </c>
      <c r="AE44" s="205" t="str">
        <f>IF($B$40="Лікар загальної практики - сімейний лікар",AVERAGE(AE40:AE42),IF($B$40="Лікар-педіатр","x",IF($B$40="Лікар-терапевт",AVERAGE(AE40:AE42),0)))</f>
        <v>x</v>
      </c>
      <c r="AF44" s="205" t="str">
        <f>IF($B$40="Лікар загальної практики - сімейний лікар",AVERAGE(AF40:AF42),IF($B$40="Лікар-педіатр","x",IF($B$40="Лікар-терапевт",AVERAGE(AF40:AF42),0)))</f>
        <v>x</v>
      </c>
      <c r="AG44" s="206">
        <f>SUM(AB44:AF44)</f>
        <v>1025</v>
      </c>
      <c r="AH44" s="970"/>
      <c r="AI44" s="201"/>
      <c r="AJ44" s="933"/>
      <c r="AK44" s="927"/>
      <c r="AL44" s="927"/>
      <c r="AM44" s="903"/>
      <c r="AN44" s="925"/>
      <c r="AO44" s="925"/>
      <c r="AP44" s="925"/>
      <c r="AQ44" s="925"/>
      <c r="AR44" s="916"/>
    </row>
    <row r="45" spans="1:44" s="50" customFormat="1" ht="40.5">
      <c r="A45" s="197"/>
      <c r="B45" s="941"/>
      <c r="C45" s="942"/>
      <c r="D45" s="943"/>
      <c r="E45" s="943"/>
      <c r="F45" s="207" t="str">
        <f ca="1">IF(B40="Лікар-педіатр",Законод!$C$17,IF(B40="Лікар загальної практики - сімейний лікар",Законод!$C$21,IF(B40="Лікар-терапевт",Законод!$C$25,"х")))</f>
        <v>ліміт (до 900)</v>
      </c>
      <c r="G45" s="208">
        <f ca="1">IF($B$40="Лікар загальної практики - сімейний лікар",IF(L44&lt;=Законод!$C$22,G44,Законод!$C$22*'01_Доходи'!G43),IF($B$40="Лікар-педіатр",IF(L44&lt;=Законод!$C$18,G44,Законод!$C$18*'01_Доходи'!G43),IF($B$40="Лікар-терапевт","x",0)))</f>
        <v>204.02355250245338</v>
      </c>
      <c r="H45" s="208">
        <f ca="1">IF($B$40="Лікар загальної практики - сімейний лікар",IF(L44&lt;=Законод!$C$22,H44,Законод!$C$22*'01_Доходи'!H43),IF($B$40="Лікар-педіатр",IF(L44&lt;=Законод!$C$18,H44,Законод!$C$18*'01_Доходи'!H43),IF($B$40="Лікар-терапевт","x",0)))</f>
        <v>695.9764474975467</v>
      </c>
      <c r="I45" s="208" t="str">
        <f ca="1">IF($B$40="Лікар загальної практики - сімейний лікар",IF(L44&lt;=Законод!$C$22,I44,Законод!$C$22*'01_Доходи'!I43),IF($B$40="Лікар-педіатр","x",IF($B$40="Лікар-терапевт",IF(L44&lt;=Законод!$C$26,I44,Законод!$C$26*'01_Доходи'!I43),0)))</f>
        <v>x</v>
      </c>
      <c r="J45" s="208" t="str">
        <f ca="1">IF($B$40="Лікар загальної практики - сімейний лікар",IF(L44&lt;=Законод!$C$22,J44,Законод!$C$22*'01_Доходи'!J43),IF($B$40="Лікар-педіатр","x",IF($B$40="Лікар-терапевт",IF(L44&lt;=Законод!$C$26,J44,Законод!$C$26*'01_Доходи'!J43),0)))</f>
        <v>x</v>
      </c>
      <c r="K45" s="208" t="str">
        <f ca="1">IF($B$40="Лікар загальної практики - сімейний лікар",IF(L44&lt;=Законод!$C$22,K44,Законод!$C$22*'01_Доходи'!K43),IF($B$40="Лікар-педіатр","x",IF($B$40="Лікар-терапевт",IF(L44&lt;=Законод!$C$26,K44,Законод!$C$26*'01_Доходи'!K43),0)))</f>
        <v>x</v>
      </c>
      <c r="L45" s="209">
        <f ca="1">SUM(G45:K45)</f>
        <v>900.00000000000011</v>
      </c>
      <c r="M45" s="930"/>
      <c r="N45" s="208">
        <f ca="1">IF($B$40="Лікар загальної практики - сімейний лікар",IF(S44&lt;=Законод!$C$22,N44,Законод!$C$22*'01_Доходи'!N43),IF($B$40="Лікар-педіатр",IF(S44&lt;=Законод!$C$18,N44,Законод!$C$18*'01_Доходи'!N43),IF($B$40="Лікар-терапевт","x",0)))</f>
        <v>204.02355250245338</v>
      </c>
      <c r="O45" s="208">
        <f ca="1">IF($B$40="Лікар загальної практики - сімейний лікар",IF(S44&lt;=Законод!$C$22,O44,Законод!$C$22*'01_Доходи'!O43),IF($B$40="Лікар-педіатр",IF(S44&lt;=Законод!$C$18,O44,Законод!$C$18*'01_Доходи'!O43),IF($B$40="Лікар-терапевт","x",0)))</f>
        <v>695.9764474975467</v>
      </c>
      <c r="P45" s="208" t="str">
        <f ca="1">IF($B$40="Лікар загальної практики - сімейний лікар",IF(S44&lt;=Законод!$C$22,P44,Законод!$C$22*'01_Доходи'!P43),IF($B$40="Лікар-педіатр","x",IF($B$40="Лікар-терапевт",IF(S44&lt;=Законод!$C$26,P44,Законод!$C$26*'01_Доходи'!P43),0)))</f>
        <v>x</v>
      </c>
      <c r="Q45" s="208" t="str">
        <f ca="1">IF($B$40="Лікар загальної практики - сімейний лікар",IF(S44&lt;=Законод!$C$22,Q44,Законод!$C$22*'01_Доходи'!Q43),IF($B$40="Лікар-педіатр","x",IF($B$40="Лікар-терапевт",IF(S44&lt;=Законод!$C$26,Q44,Законод!$C$26*'01_Доходи'!Q43),0)))</f>
        <v>x</v>
      </c>
      <c r="R45" s="208" t="str">
        <f ca="1">IF($B$40="Лікар загальної практики - сімейний лікар",IF(S44&lt;=Законод!$C$22,R44,Законод!$C$22*'01_Доходи'!R43),IF($B$40="Лікар-педіатр","x",IF($B$40="Лікар-терапевт",IF(S44&lt;=Законод!$C$26,R44,Законод!$C$26*'01_Доходи'!R43),0)))</f>
        <v>x</v>
      </c>
      <c r="S45" s="209">
        <f ca="1">SUM(N45:R45)</f>
        <v>900.00000000000011</v>
      </c>
      <c r="T45" s="962"/>
      <c r="U45" s="208">
        <f ca="1">IF($B$40="Лікар загальної практики - сімейний лікар",IF(Z44&lt;=Законод!$C$22,U44,Законод!$C$22*'01_Доходи'!U43),IF($B$40="Лікар-педіатр",IF(Z44&lt;=Законод!$C$18,U44,Законод!$C$18*'01_Доходи'!U43),IF($B$40="Лікар-терапевт","x",0)))</f>
        <v>204.02355250245338</v>
      </c>
      <c r="V45" s="208">
        <f ca="1">IF($B$40="Лікар загальної практики - сімейний лікар",IF(Z44&lt;=Законод!$C$22,V44,Законод!$C$22*'01_Доходи'!V43),IF($B$40="Лікар-педіатр",IF(Z44&lt;=Законод!$C$18,V44,Законод!$C$18*'01_Доходи'!V43),IF($B$40="Лікар-терапевт","x",0)))</f>
        <v>695.9764474975467</v>
      </c>
      <c r="W45" s="208" t="str">
        <f ca="1">IF($B$40="Лікар загальної практики - сімейний лікар",IF(Z44&lt;=Законод!$C$22,W44,Законод!$C$22*'01_Доходи'!W43),IF($B$40="Лікар-педіатр","x",IF($B$40="Лікар-терапевт",IF(Z44&lt;=Законод!$C$26,W44,Законод!$C$26*'01_Доходи'!W43),0)))</f>
        <v>x</v>
      </c>
      <c r="X45" s="208" t="str">
        <f ca="1">IF($B$40="Лікар загальної практики - сімейний лікар",IF(Z44&lt;=Законод!$C$22,X44,Законод!$C$22*'01_Доходи'!X43),IF($B$40="Лікар-педіатр","x",IF($B$40="Лікар-терапевт",IF(Z44&lt;=Законод!$C$26,X44,Законод!$C$26*'01_Доходи'!X43),0)))</f>
        <v>x</v>
      </c>
      <c r="Y45" s="208" t="str">
        <f ca="1">IF($B$40="Лікар загальної практики - сімейний лікар",IF(Z44&lt;=Законод!$C$22,Y44,Законод!$C$22*'01_Доходи'!Y43),IF($B$40="Лікар-педіатр","x",IF($B$40="Лікар-терапевт",IF(Z44&lt;=Законод!$C$26,Y44,Законод!$C$26*'01_Доходи'!Y43),0)))</f>
        <v>x</v>
      </c>
      <c r="Z45" s="209">
        <f ca="1">SUM(U45:Y45)</f>
        <v>900.00000000000011</v>
      </c>
      <c r="AA45" s="962"/>
      <c r="AB45" s="208">
        <f ca="1">IF($B$40="Лікар загальної практики - сімейний лікар",IF(AG44&lt;=Законод!$C$22,AB44,Законод!$C$22*'01_Доходи'!AB43),IF($B$40="Лікар-педіатр",IF(AG44&lt;=Законод!$C$18,AB44,Законод!$C$18*'01_Доходи'!AB43),IF($B$40="Лікар-терапевт","x",0)))</f>
        <v>206.34146341463415</v>
      </c>
      <c r="AC45" s="208">
        <f ca="1">IF($B$40="Лікар загальної практики - сімейний лікар",IF(AG44&lt;=Законод!$C$22,AC44,Законод!$C$22*'01_Доходи'!AC43),IF($B$40="Лікар-педіатр",IF(AG44&lt;=Законод!$C$18,AC44,Законод!$C$18*'01_Доходи'!AC43),IF($B$40="Лікар-терапевт","x",0)))</f>
        <v>693.65853658536582</v>
      </c>
      <c r="AD45" s="208" t="str">
        <f ca="1">IF($B$40="Лікар загальної практики - сімейний лікар",IF(AG44&lt;=Законод!$C$22,AD44,Законод!$C$22*'01_Доходи'!AD43),IF($B$40="Лікар-педіатр","x",IF($B$40="Лікар-терапевт",IF(AG44&lt;=Законод!$C$26,AD44,Законод!$C$26*'01_Доходи'!AD43),0)))</f>
        <v>x</v>
      </c>
      <c r="AE45" s="208" t="str">
        <f ca="1">IF($B$40="Лікар загальної практики - сімейний лікар",IF(AG44&lt;=Законод!$C$22,AE44,Законод!$C$22*'01_Доходи'!AE43),IF($B$40="Лікар-педіатр","x",IF($B$40="Лікар-терапевт",IF(AG44&lt;=Законод!$C$26,AE44,Законод!$C$26*'01_Доходи'!AE43),0)))</f>
        <v>x</v>
      </c>
      <c r="AF45" s="208" t="str">
        <f ca="1">IF($B$40="Лікар загальної практики - сімейний лікар",IF(AG44&lt;=Законод!$C$22,AF44,Законод!$C$22*'01_Доходи'!AF43),IF($B$40="Лікар-педіатр","x",IF($B$40="Лікар-терапевт",IF(AG44&lt;=Законод!$C$26,AF44,Законод!$C$26*'01_Доходи'!AF43),0)))</f>
        <v>x</v>
      </c>
      <c r="AG45" s="209">
        <f ca="1">SUM(AB45:AF45)</f>
        <v>900</v>
      </c>
      <c r="AH45" s="970"/>
      <c r="AI45" s="201"/>
      <c r="AJ45" s="933"/>
      <c r="AK45" s="927"/>
      <c r="AL45" s="927"/>
      <c r="AM45" s="348" t="s">
        <v>374</v>
      </c>
      <c r="AN45" s="210">
        <f ca="1">IF(B40="Лікар загальної практики - сімейний лікар",G45*Законод!$C$11+'01_Доходи'!H45*Законод!$D$11+'01_Доходи'!I45*Законод!$E$11+'01_Доходи'!J45*Законод!$F$11+'01_Доходи'!K45*Законод!$G$11,IF(B40="Лікар-педіатр",G45*Законод!$C$11+'01_Доходи'!H45*Законод!$D$11,IF(B40="Лікар-терапевт",'01_Доходи'!I45*Законод!$E$11+'01_Доходи'!J45*Законод!$F$11+'01_Доходи'!K45*Законод!$G$11,0)))</f>
        <v>284504.18912046123</v>
      </c>
      <c r="AO45" s="210">
        <f ca="1">IF(B40="Лікар загальної практики - сімейний лікар",N45*Законод!$C$11+'01_Доходи'!O45*Законод!$D$11+'01_Доходи'!P45*Законод!$E$11+'01_Доходи'!Q45*Законод!$F$11+'01_Доходи'!R45*Законод!$G$11,IF(B40="Лікар-педіатр",N45*Законод!$C$11+'01_Доходи'!O45*Законод!$D$11,IF(B40="Лікар-терапевт",'01_Доходи'!P45*Законод!$E$11+'01_Доходи'!Q45*Законод!$F$11+'01_Доходи'!R45*Законод!$G$11,0)))</f>
        <v>284504.18912046123</v>
      </c>
      <c r="AP45" s="210">
        <f ca="1">IF(B40="Лікар загальної практики - сімейний лікар",U45*Законод!$C$11+'01_Доходи'!V45*Законод!$D$11+'01_Доходи'!W45*Законод!$E$11+'01_Доходи'!X45*Законод!$F$11+'01_Доходи'!Y45*Законод!$G$11,IF(B40="Лікар-педіатр",U45*Законод!$C$11+'01_Доходи'!V45*Законод!$D$11,IF(B40="Лікар-терапевт",'01_Доходи'!W45*Законод!$E$11+'01_Доходи'!X45*Законод!$F$11+'01_Доходи'!Y45*Законод!$G$11,0)))</f>
        <v>284504.18912046123</v>
      </c>
      <c r="AQ45" s="210">
        <f ca="1">IF(B40="Лікар загальної практики - сімейний лікар",AB45*Законод!$C$11+'01_Доходи'!AC45*Законод!$D$11+'01_Доходи'!AD45*Законод!$E$11+'01_Доходи'!AE45*Законод!$F$11+'01_Доходи'!AF45*Законод!$G$11,IF(B40="Лікар-педіатр",AB45*Законод!$C$11+'01_Доходи'!AC45*Законод!$D$11,IF(B40="Лікар-терапевт",'01_Доходи'!AD45*Законод!$E$11+'01_Доходи'!AE45*Законод!$F$11+'01_Доходи'!AF45*Законод!$G$11,0)))</f>
        <v>285009.72250609752</v>
      </c>
      <c r="AR45" s="211">
        <f t="shared" ref="AR45:AR51" si="0">SUM(AN45:AQ45)</f>
        <v>1138522.2898674812</v>
      </c>
    </row>
    <row r="46" spans="1:44" s="50" customFormat="1" ht="31.9" customHeight="1">
      <c r="A46" s="197"/>
      <c r="B46" s="941"/>
      <c r="C46" s="942"/>
      <c r="D46" s="943"/>
      <c r="E46" s="943"/>
      <c r="F46" s="212" t="str">
        <f ca="1">IF(B40="Лікар-педіатр",Законод!$E$17,IF(B40="Лікар загальної практики - сімейний лікар",Законод!$E$21,IF(B40="Лікар-терапевт",Законод!$E$25,"х")))</f>
        <v>понад ліміт (901-990)</v>
      </c>
      <c r="G46" s="889" t="s">
        <v>346</v>
      </c>
      <c r="H46" s="890"/>
      <c r="I46" s="890"/>
      <c r="J46" s="890"/>
      <c r="K46" s="891"/>
      <c r="L46" s="196">
        <f ca="1">IF($B$40="Лікар загальної практики - сімейний лікар",IF(L44&lt;Законод!$C$22,0,(IF(AND(L44&gt;=Законод!$E$22,L44&lt;=Законод!$E$23),L44-Законод!$C$22,IF('01_Доходи'!L44&gt;=Законод!$F$22,Законод!$E$24,0)))),IF($B$40="Лікар-педіатр",IF(L44&lt;Законод!$C$18,0,(IF(AND(L44&gt;=Законод!$E$18,L44&lt;=Законод!$E$19),L44-Законод!$C$18,IF('01_Доходи'!L44&gt;=Законод!$F$18,Законод!$E$20,0)))),IF($B$40="Лікар-терапевт",IF(L44&lt;Законод!$C$26,0,(IF(AND(L44&gt;=Законод!$E$26,L44&lt;=Законод!$E$27),L44-Законод!$C$26,IF('01_Доходи'!L44&gt;=Законод!$F$26,Законод!$E$28,0)))),0)))</f>
        <v>90.000000000000114</v>
      </c>
      <c r="M46" s="930"/>
      <c r="N46" s="889" t="s">
        <v>346</v>
      </c>
      <c r="O46" s="890"/>
      <c r="P46" s="890"/>
      <c r="Q46" s="890"/>
      <c r="R46" s="891"/>
      <c r="S46" s="196">
        <f ca="1">IF($B$40="Лікар загальної практики - сімейний лікар",IF(S44&lt;Законод!$C$22,0,(IF(AND(S44&gt;=Законод!$E$22,S44&lt;=Законод!$E$23),S44-Законод!$C$22,IF('01_Доходи'!S44&gt;=Законод!$F$22,Законод!$E$24,0)))),IF($B$40="Лікар-педіатр",IF(S44&lt;Законод!$C$18,0,(IF(AND(S44&gt;=Законод!$E$18,S44&lt;=Законод!$E$19),S44-Законод!$C$18,IF('01_Доходи'!S44&gt;=Законод!$F$18,Законод!$E$20,0)))),IF($B$40="Лікар-терапевт",IF(S44&lt;Законод!$C$26,0,(IF(AND(S44&gt;=Законод!$E$26,S44&lt;=Законод!$E$27),S44-Законод!$C$26,IF('01_Доходи'!S44&gt;=Законод!$F$26,Законод!$E$28,0)))),0)))</f>
        <v>90.000000000000114</v>
      </c>
      <c r="T46" s="962"/>
      <c r="U46" s="889" t="s">
        <v>346</v>
      </c>
      <c r="V46" s="890"/>
      <c r="W46" s="890"/>
      <c r="X46" s="890"/>
      <c r="Y46" s="891"/>
      <c r="Z46" s="196">
        <f ca="1">IF($B$40="Лікар загальної практики - сімейний лікар",IF(Z44&lt;Законод!$C$22,0,(IF(AND(Z44&gt;=Законод!$E$22,Z44&lt;=Законод!$E$23),Z44-Законод!$C$22,IF('01_Доходи'!Z44&gt;=Законод!$F$22,Законод!$E$24,0)))),IF($B$40="Лікар-педіатр",IF(Z44&lt;Законод!$C$18,0,(IF(AND(Z44&gt;=Законод!$E$18,Z44&lt;=Законод!$E$19),Z44-Законод!$C$18,IF('01_Доходи'!Z44&gt;=Законод!$F$18,Законод!$E$20,0)))),IF($B$40="Лікар-терапевт",IF(Z44&lt;Законод!$C$26,0,(IF(AND(Z44&gt;=Законод!$E$26,Z44&lt;=Законод!$E$27),Z44-Законод!$C$26,IF('01_Доходи'!Z44&gt;=Законод!$F$26,Законод!$E$28,0)))),0)))</f>
        <v>90.000000000000114</v>
      </c>
      <c r="AA46" s="962"/>
      <c r="AB46" s="889" t="s">
        <v>346</v>
      </c>
      <c r="AC46" s="890"/>
      <c r="AD46" s="890"/>
      <c r="AE46" s="890"/>
      <c r="AF46" s="891"/>
      <c r="AG46" s="196">
        <f ca="1">IF($B$40="Лікар загальної практики - сімейний лікар",IF(AG44&lt;Законод!$C$22,0,(IF(AND(AG44&gt;=Законод!$E$22,AG44&lt;=Законод!$E$23),AG44-Законод!$C$22,IF('01_Доходи'!AG44&gt;=Законод!$F$22,Законод!$E$24,0)))),IF($B$40="Лікар-педіатр",IF(AG44&lt;Законод!$C$18,0,(IF(AND(AG44&gt;=Законод!$E$18,AG44&lt;=Законод!$E$19),AG44-Законод!$C$18,IF('01_Доходи'!AG44&gt;=Законод!$F$18,Законод!$E$20,0)))),IF($B$40="Лікар-терапевт",IF(AG44&lt;Законод!$C$26,0,(IF(AND(AG44&gt;=Законод!$E$26,AG44&lt;=Законод!$E$27),AG44-Законод!$C$26,IF('01_Доходи'!AG44&gt;=Законод!$F$26,Законод!$E$28,0)))),0)))</f>
        <v>90.000000000000114</v>
      </c>
      <c r="AH46" s="970"/>
      <c r="AI46" s="201"/>
      <c r="AJ46" s="933"/>
      <c r="AK46" s="927"/>
      <c r="AL46" s="927"/>
      <c r="AM46" s="898" t="s">
        <v>375</v>
      </c>
      <c r="AN46" s="210">
        <f ca="1">IF(B40="Лікар загальної практики - сімейний лікар",L46*Законод!$C$9/4*Законод!$E$16,IF(B40="Лікар-педіатр",L46*Законод!$C$9/4*Законод!$E$16,IF(B40="Лікар-терапевт",L46*Законод!$C$9/4*Законод!$E$16,0)))</f>
        <v>10902.969000000014</v>
      </c>
      <c r="AO46" s="210">
        <f ca="1">IF(B40="Лікар загальної практики - сімейний лікар",S46*Законод!$C$9/4*Законод!$E$16,IF(B40="Лікар-педіатр",S46*Законод!$C$9/4*Законод!$E$16,IF(B40="Лікар-терапевт",S46*Законод!$C$9/4*Законод!$E$16,0)))</f>
        <v>10902.969000000014</v>
      </c>
      <c r="AP46" s="210">
        <f ca="1">IF(B40="Лікар загальної практики - сімейний лікар",Z46*Законод!$C$9/4*Законод!$E$16,IF(B40="Лікар-педіатр",Z46*Законод!$C$9/4*Законод!$E$16,IF(B40="Лікар-терапевт",Z46*Законод!$C$9/4*Законод!$E$16,0)))</f>
        <v>10902.969000000014</v>
      </c>
      <c r="AQ46" s="210">
        <f ca="1">IF(B40="Лікар загальної практики - сімейний лікар",AG46*Законод!$C$9/4*Законод!$E$16,IF(B40="Лікар-педіатр",AG46*Законод!$C$9/4*Законод!$E$16,IF(B40="Лікар-терапевт",AG46*Законод!$C$9/4*Законод!$E$16,0)))</f>
        <v>10902.969000000014</v>
      </c>
      <c r="AR46" s="211">
        <f t="shared" si="0"/>
        <v>43611.876000000055</v>
      </c>
    </row>
    <row r="47" spans="1:44" s="50" customFormat="1" ht="31.9" customHeight="1">
      <c r="A47" s="197"/>
      <c r="B47" s="941"/>
      <c r="C47" s="942"/>
      <c r="D47" s="943"/>
      <c r="E47" s="943"/>
      <c r="F47" s="212" t="str">
        <f ca="1">IF(B40="Лікар-педіатр",Законод!$F$17,IF(B40="Лікар загальної практики - сімейний лікар",Законод!$F$21,IF(B40="Лікар-терапевт",Законод!$F$25,"х")))</f>
        <v>понад ліміт (991-1080)</v>
      </c>
      <c r="G47" s="889" t="s">
        <v>346</v>
      </c>
      <c r="H47" s="890"/>
      <c r="I47" s="890"/>
      <c r="J47" s="890"/>
      <c r="K47" s="891"/>
      <c r="L47" s="196">
        <f ca="1">IF($B$40="Лікар загальної практики - сімейний лікар",IF(L44&lt;Законод!$C$22,0,(IF(AND(L44&gt;=Законод!$F$22,L44&lt;=Законод!$F$23),L44-Законод!$E$23,IF('01_Доходи'!L44&gt;=Законод!$G$22,Законод!$F$24,0)))),IF($B$40="Лікар-педіатр",IF(L44&lt;Законод!$C$18,0,(IF(AND(L44&gt;=Законод!$F$18,L44&lt;=Законод!$F$19),L44-Законод!$E$19,IF('01_Доходи'!L44&gt;=Законод!$G$18,Законод!$F$20,0)))),IF($B$40="Лікар-терапевт",IF(L44&lt;Законод!$C$26,0,(IF(AND(L44&gt;=Законод!$F$26,L44&lt;=Законод!$F$27),L44-Законод!$E$27,IF('01_Доходи'!L44&gt;=Законод!$G$26,Законод!$F$28,0)))),0)))</f>
        <v>28.999999999999886</v>
      </c>
      <c r="M47" s="930"/>
      <c r="N47" s="889" t="s">
        <v>346</v>
      </c>
      <c r="O47" s="890"/>
      <c r="P47" s="890"/>
      <c r="Q47" s="890"/>
      <c r="R47" s="891"/>
      <c r="S47" s="196">
        <f ca="1">IF($B$40="Лікар загальної практики - сімейний лікар",IF(S44&lt;Законод!$C$22,0,(IF(AND(S44&gt;=Законод!$F$22,S44&lt;=Законод!$F$23),S44-Законод!$E$23,IF('01_Доходи'!S44&gt;=Законод!$G$22,Законод!$F$24,0)))),IF($B$40="Лікар-педіатр",IF(S44&lt;Законод!$C$18,0,(IF(AND(S44&gt;=Законод!$F$18,S44&lt;=Законод!$F$19),S44-Законод!$E$19,IF('01_Доходи'!S44&gt;=Законод!$G$18,Законод!$F$20,0)))),IF($B$40="Лікар-терапевт",IF(S44&lt;Законод!$C$26,0,(IF(AND(S44&gt;=Законод!$F$26,S44&lt;=Законод!$F$27),S44-Законод!$E$27,IF('01_Доходи'!S44&gt;=Законод!$G$26,Законод!$F$28,0)))),0)))</f>
        <v>28.999999999999886</v>
      </c>
      <c r="T47" s="962"/>
      <c r="U47" s="889" t="s">
        <v>346</v>
      </c>
      <c r="V47" s="890"/>
      <c r="W47" s="890"/>
      <c r="X47" s="890"/>
      <c r="Y47" s="891"/>
      <c r="Z47" s="196">
        <f ca="1">IF($B$40="Лікар загальної практики - сімейний лікар",IF(Z44&lt;Законод!$C$22,0,(IF(AND(Z44&gt;=Законод!$F$22,Z44&lt;=Законод!$F$23),Z44-Законод!$E$23,IF('01_Доходи'!Z44&gt;=Законод!$G$22,Законод!$F$24,0)))),IF($B$40="Лікар-педіатр",IF(Z44&lt;Законод!$C$18,0,(IF(AND(Z44&gt;=Законод!$F$18,Z44&lt;=Законод!$F$19),Z44-Законод!$E$19,IF('01_Доходи'!Z44&gt;=Законод!$G$18,Законод!$F$20,0)))),IF($B$40="Лікар-терапевт",IF(Z44&lt;Законод!$C$26,0,(IF(AND(Z44&gt;=Законод!$F$26,Z44&lt;=Законод!$F$27),Z44-Законод!$E$27,IF('01_Доходи'!Z44&gt;=Законод!$G$26,Законод!$F$28,0)))),0)))</f>
        <v>28.999999999999886</v>
      </c>
      <c r="AA47" s="962"/>
      <c r="AB47" s="889" t="s">
        <v>346</v>
      </c>
      <c r="AC47" s="890"/>
      <c r="AD47" s="890"/>
      <c r="AE47" s="890"/>
      <c r="AF47" s="891"/>
      <c r="AG47" s="196">
        <f ca="1">IF($B$40="Лікар загальної практики - сімейний лікар",IF(AG44&lt;Законод!$C$22,0,(IF(AND(AG44&gt;=Законод!$F$22,AG44&lt;=Законод!$F$23),AG44-Законод!$E$23,IF('01_Доходи'!AG44&gt;=Законод!$G$22,Законод!$F$24,0)))),IF($B$40="Лікар-педіатр",IF(AG44&lt;Законод!$C$18,0,(IF(AND(AG44&gt;=Законод!$F$18,AG44&lt;=Законод!$F$19),AG44-Законод!$E$19,IF('01_Доходи'!AG44&gt;=Законод!$G$18,Законод!$F$20,0)))),IF($B$40="Лікар-терапевт",IF(AG44&lt;Законод!$C$26,0,(IF(AND(AG44&gt;=Законод!$F$26,AG44&lt;=Законод!$F$27),AG44-Законод!$E$27,IF('01_Доходи'!AG44&gt;=Законод!$G$26,Законод!$F$28,0)))),0)))</f>
        <v>34.999999999999886</v>
      </c>
      <c r="AH47" s="970"/>
      <c r="AI47" s="201"/>
      <c r="AJ47" s="933"/>
      <c r="AK47" s="927"/>
      <c r="AL47" s="927"/>
      <c r="AM47" s="899"/>
      <c r="AN47" s="210">
        <f ca="1">IF(B40="Лікар загальної практики - сімейний лікар",L47*Законод!$C$9/4*Законод!$F$16,IF(B40="Лікар-педіатр",L47*Законод!$C$9/4*Законод!$F$16,IF(B40="Лікар-терапевт",L47*Законод!$C$9/4*Законод!$F$16,0)))</f>
        <v>2811.6837624999889</v>
      </c>
      <c r="AO47" s="210">
        <f ca="1">IF(B40="Лікар загальної практики - сімейний лікар",S47*Законод!$C$9/4*Законод!$F$16,IF(B40="Лікар-педіатр",S47*Законод!$C$9/4*Законод!$F$16,IF(B40="Лікар-терапевт",S47*Законод!$C$9/4*Законод!$F$16,0)))</f>
        <v>2811.6837624999889</v>
      </c>
      <c r="AP47" s="210">
        <f ca="1">IF(B40="Лікар загальної практики - сімейний лікар",Z47*Законод!$C$9/4*Законод!$F$16,IF(B40="Лікар-педіатр",Z47*Законод!$C$9/4*Законод!$F$16,IF(B40="Лікар-терапевт",Z47*Законод!$C$9/4*Законод!$F$16,0)))</f>
        <v>2811.6837624999889</v>
      </c>
      <c r="AQ47" s="210">
        <f ca="1">IF(B40="Лікар загальної практики - сімейний лікар",AG47*Законод!$C$9/4*Законод!$F$16,IF(B40="Лікар-педіатр",AG47*Законод!$C$9/4*Законод!$F$16,IF(B40="Лікар-терапевт",AG47*Законод!$C$9/4*Законод!$F$16,0)))</f>
        <v>3393.4114374999886</v>
      </c>
      <c r="AR47" s="211">
        <f t="shared" si="0"/>
        <v>11828.462724999954</v>
      </c>
    </row>
    <row r="48" spans="1:44" s="50" customFormat="1" ht="31.9" customHeight="1">
      <c r="A48" s="197"/>
      <c r="B48" s="941"/>
      <c r="C48" s="942"/>
      <c r="D48" s="943"/>
      <c r="E48" s="943"/>
      <c r="F48" s="212" t="str">
        <f ca="1">IF(B40="Лікар-педіатр",Законод!$G$17,IF(B40="Лікар загальної практики - сімейний лікар",Законод!$G$21,IF(B40="Лікар-терапевт",Законод!$G$25,"х")))</f>
        <v>понад ліміт (1081-1170)</v>
      </c>
      <c r="G48" s="889" t="s">
        <v>346</v>
      </c>
      <c r="H48" s="890"/>
      <c r="I48" s="890"/>
      <c r="J48" s="890"/>
      <c r="K48" s="891"/>
      <c r="L48" s="196">
        <f ca="1">IF($B$40="Лікар загальної практики - сімейний лікар",IF(L44&lt;Законод!$C$22,0,(IF(AND(L44&gt;=Законод!$G$22,L44&lt;=Законод!$G$23),L44-Законод!$F$23,IF('01_Доходи'!L44&gt;=Законод!$H$22,Законод!$G$24,0)))),IF($B$40="Лікар-педіатр",IF(L44&lt;Законод!$C$18,0,(IF(AND(L44&gt;=Законод!$G$18,L44&lt;=Законод!$G$19),L44-Законод!$F$19,IF('01_Доходи'!L44&gt;=Законод!$H$18,Законод!$G$20,0)))),IF($B$40="Лікар-терапевт",IF(L44&lt;Законод!$C$26,0,(IF(AND(L44&gt;=Законод!$G$26,L44&lt;=Законод!$G$27),L44-Законод!$F$27,IF('01_Доходи'!L44&gt;=Законод!$H$26,Законод!$G$28,0)))),0)))</f>
        <v>0</v>
      </c>
      <c r="M48" s="930"/>
      <c r="N48" s="889" t="s">
        <v>346</v>
      </c>
      <c r="O48" s="890"/>
      <c r="P48" s="890"/>
      <c r="Q48" s="890"/>
      <c r="R48" s="891"/>
      <c r="S48" s="196">
        <f ca="1">IF($B$40="Лікар загальної практики - сімейний лікар",IF(S44&lt;Законод!$C$22,0,(IF(AND(S44&gt;=Законод!$G$22,S44&lt;=Законод!$G$23),S44-Законод!$F$23,IF('01_Доходи'!S44&gt;=Законод!$H$22,Законод!$G$24,0)))),IF($B$40="Лікар-педіатр",IF(S44&lt;Законод!$C$18,0,(IF(AND(S44&gt;=Законод!$G$18,S44&lt;=Законод!$G$19),S44-Законод!$F$19,IF('01_Доходи'!S44&gt;=Законод!$H$18,Законод!$G$20,0)))),IF($B$40="Лікар-терапевт",IF(S44&lt;Законод!$C$26,0,(IF(AND(S44&gt;=Законод!$G$26,S44&lt;=Законод!$G$27),S44-Законод!$F$27,IF('01_Доходи'!S44&gt;=Законод!$H$26,Законод!$G$28,0)))),0)))</f>
        <v>0</v>
      </c>
      <c r="T48" s="962"/>
      <c r="U48" s="889" t="s">
        <v>346</v>
      </c>
      <c r="V48" s="890"/>
      <c r="W48" s="890"/>
      <c r="X48" s="890"/>
      <c r="Y48" s="891"/>
      <c r="Z48" s="196">
        <f ca="1">IF($B$40="Лікар загальної практики - сімейний лікар",IF(Z44&lt;Законод!$C$22,0,(IF(AND(Z44&gt;=Законод!$G$22,Z44&lt;=Законод!$G$23),Z44-Законод!$F$23,IF('01_Доходи'!Z44&gt;=Законод!$H$22,Законод!$G$24,0)))),IF($B$40="Лікар-педіатр",IF(Z44&lt;Законод!$C$18,0,(IF(AND(Z44&gt;=Законод!$G$18,Z44&lt;=Законод!$G$19),Z44-Законод!$F$19,IF('01_Доходи'!Z44&gt;=Законод!$H$18,Законод!$G$20,0)))),IF($B$40="Лікар-терапевт",IF(Z44&lt;Законод!$C$26,0,(IF(AND(Z44&gt;=Законод!$G$26,Z44&lt;=Законод!$G$27),Z44-Законод!$F$27,IF('01_Доходи'!Z44&gt;=Законод!$H$26,Законод!$G$28,0)))),0)))</f>
        <v>0</v>
      </c>
      <c r="AA48" s="962"/>
      <c r="AB48" s="889" t="s">
        <v>346</v>
      </c>
      <c r="AC48" s="890"/>
      <c r="AD48" s="890"/>
      <c r="AE48" s="890"/>
      <c r="AF48" s="891"/>
      <c r="AG48" s="196">
        <f ca="1">IF($B$40="Лікар загальної практики - сімейний лікар",IF(AG44&lt;Законод!$C$22,0,(IF(AND(AG44&gt;=Законод!$G$22,AG44&lt;=Законод!$G$23),AG44-Законод!$F$23,IF('01_Доходи'!AG44&gt;=Законод!$H$22,Законод!$G$24,0)))),IF($B$40="Лікар-педіатр",IF(AG44&lt;Законод!$C$18,0,(IF(AND(AG44&gt;=Законод!$G$18,AG44&lt;=Законод!$G$19),AG44-Законод!$F$19,IF('01_Доходи'!AG44&gt;=Законод!$H$18,Законод!$G$20,0)))),IF($B$40="Лікар-терапевт",IF(AG44&lt;Законод!$C$26,0,(IF(AND(AG44&gt;=Законод!$G$26,AG44&lt;=Законод!$G$27),AG44-Законод!$F$27,IF('01_Доходи'!AG44&gt;=Законод!$H$26,Законод!$G$28,0)))),0)))</f>
        <v>0</v>
      </c>
      <c r="AH48" s="970"/>
      <c r="AI48" s="201"/>
      <c r="AJ48" s="933"/>
      <c r="AK48" s="927"/>
      <c r="AL48" s="927"/>
      <c r="AM48" s="899"/>
      <c r="AN48" s="210">
        <f ca="1">IF(B40="Лікар загальної практики - сімейний лікар",L48*Законод!$C$9/4*Законод!$G$16,IF(B40="Лікар-педіатр",L48*Законод!$C$9/4*Законод!$G$16,IF(B40="Лікар-терапевт",L48*Законод!$C$9/4*Законод!$G$16,0)))</f>
        <v>0</v>
      </c>
      <c r="AO48" s="210">
        <f ca="1">IF(B40="Лікар загальної практики - сімейний лікар",S48*Законод!$C$9/4*Законод!$G$16,IF(B40="Лікар-педіатр",S48*Законод!$C$9/4*Законод!$G$16,IF(B40="Лікар-терапевт",S48*Законод!$C$9/4*Законод!$G$16,0)))</f>
        <v>0</v>
      </c>
      <c r="AP48" s="210">
        <f ca="1">IF(B40="Лікар загальної практики - сімейний лікар",Z48*Законод!$C$9/4*Законод!$G$16,IF(B40="Лікар-педіатр",Z48*Законод!$C$9/4*Законод!$G$16,IF(B40="Лікар-терапевт",Z48*Законод!$C$9/4*Законод!$G$16,0)))</f>
        <v>0</v>
      </c>
      <c r="AQ48" s="210">
        <f ca="1">IF(B40="Лікар загальної практики - сімейний лікар",AG48*Законод!$C$9/4*Законод!$G$16,IF(B40="Лікар-педіатр",AG48*Законод!$C$9/4*Законод!$G$16,IF(B40="Лікар-терапевт",AG48*Законод!$C$9/4*Законод!$G$16,0)))</f>
        <v>0</v>
      </c>
      <c r="AR48" s="211">
        <f t="shared" si="0"/>
        <v>0</v>
      </c>
    </row>
    <row r="49" spans="1:44" s="50" customFormat="1" ht="31.9" customHeight="1">
      <c r="A49" s="197"/>
      <c r="B49" s="941"/>
      <c r="C49" s="942"/>
      <c r="D49" s="943"/>
      <c r="E49" s="943"/>
      <c r="F49" s="212" t="str">
        <f ca="1">IF(B40="Лікар-педіатр",Законод!$H$17,IF(B40="Лікар загальної практики - сімейний лікар",Законод!$H$21,IF(B40="Лікар-терапевт",Законод!$H$25,"х")))</f>
        <v>понад ліміт (1171-1260)</v>
      </c>
      <c r="G49" s="889" t="s">
        <v>346</v>
      </c>
      <c r="H49" s="890"/>
      <c r="I49" s="890"/>
      <c r="J49" s="890"/>
      <c r="K49" s="891"/>
      <c r="L49" s="196">
        <f ca="1">IF($B$40="Лікар загальної практики - сімейний лікар",IF(L44&lt;Законод!$C$22,0,(IF(AND(L44&gt;=Законод!$H$22,L44&lt;=Законод!$H$23),L44-Законод!$G$23,IF('01_Доходи'!L44&gt;=Законод!$I$22,Законод!$H$24,0)))),IF($B$40="Лікар-педіатр",IF(L44&lt;Законод!$C$18,0,(IF(AND(L44&gt;=Законод!$H$18,L44&lt;=Законод!$H$19),L44-Законод!$G$19,IF('01_Доходи'!L44&gt;=Законод!$I$18,Законод!$H$20,0)))),IF($B$40="Лікар-терапевт",IF(L44&lt;Законод!$C$26,0,(IF(AND(L44&gt;=Законод!$H$26,L44&lt;=Законод!$H$27),L44-Законод!$G$27,IF(L44&gt;=Законод!$I$26,Законод!$H$28,0)))),0)))</f>
        <v>0</v>
      </c>
      <c r="M49" s="930"/>
      <c r="N49" s="889" t="s">
        <v>346</v>
      </c>
      <c r="O49" s="890"/>
      <c r="P49" s="890"/>
      <c r="Q49" s="890"/>
      <c r="R49" s="891"/>
      <c r="S49" s="196">
        <f ca="1">IF($B$40="Лікар загальної практики - сімейний лікар",IF(S44&lt;Законод!$C$22,0,(IF(AND(S44&gt;=Законод!$H$22,S44&lt;=Законод!$H$23),S44-Законод!$G$23,IF('01_Доходи'!S44&gt;=Законод!$I$22,Законод!$H$24,0)))),IF($B$40="Лікар-педіатр",IF(S44&lt;Законод!$C$18,0,(IF(AND(S44&gt;=Законод!$H$18,S44&lt;=Законод!$H$19),S44-Законод!$G$19,IF('01_Доходи'!S44&gt;=Законод!$I$18,Законод!$H$20,0)))),IF($B$40="Лікар-терапевт",IF(S44&lt;Законод!$C$26,0,(IF(AND(S44&gt;=Законод!$H$26,S44&lt;=Законод!$H$27),S44-Законод!$G$27,IF(S44&gt;=Законод!$I$26,Законод!$H$28,0)))),0)))</f>
        <v>0</v>
      </c>
      <c r="T49" s="962"/>
      <c r="U49" s="889" t="s">
        <v>346</v>
      </c>
      <c r="V49" s="890"/>
      <c r="W49" s="890"/>
      <c r="X49" s="890"/>
      <c r="Y49" s="891"/>
      <c r="Z49" s="196">
        <f ca="1">IF($B$40="Лікар загальної практики - сімейний лікар",IF(Z44&lt;Законод!$C$22,0,(IF(AND(Z44&gt;=Законод!$H$22,Z44&lt;=Законод!$H$23),Z44-Законод!$G$23,IF('01_Доходи'!Z44&gt;=Законод!$I$22,Законод!$H$24,0)))),IF($B$40="Лікар-педіатр",IF(Z44&lt;Законод!$C$18,0,(IF(AND(Z44&gt;=Законод!$H$18,Z44&lt;=Законод!$H$19),Z44-Законод!$G$19,IF('01_Доходи'!Z44&gt;=Законод!$I$18,Законод!$H$20,0)))),IF($B$40="Лікар-терапевт",IF(Z44&lt;Законод!$C$26,0,(IF(AND(Z44&gt;=Законод!$H$26,Z44&lt;=Законод!$H$27),Z44-Законод!$G$27,IF(Z44&gt;=Законод!$I$26,Законод!$H$28,0)))),0)))</f>
        <v>0</v>
      </c>
      <c r="AA49" s="962"/>
      <c r="AB49" s="889" t="s">
        <v>346</v>
      </c>
      <c r="AC49" s="890"/>
      <c r="AD49" s="890"/>
      <c r="AE49" s="890"/>
      <c r="AF49" s="891"/>
      <c r="AG49" s="196">
        <f ca="1">IF($B$40="Лікар загальної практики - сімейний лікар",IF(AG44&lt;Законод!$C$22,0,(IF(AND(AG44&gt;=Законод!$H$22,AG44&lt;=Законод!$H$23),AG44-Законод!$G$23,IF('01_Доходи'!AG44&gt;=Законод!$I$22,Законод!$H$24,0)))),IF($B$40="Лікар-педіатр",IF(AG44&lt;Законод!$C$18,0,(IF(AND(AG44&gt;=Законод!$H$18,AG44&lt;=Законод!$H$19),AG44-Законод!$G$19,IF('01_Доходи'!AG44&gt;=Законод!$I$18,Законод!$H$20,0)))),IF($B$40="Лікар-терапевт",IF(AG44&lt;Законод!$C$26,0,(IF(AND(AG44&gt;=Законод!$H$26,AG44&lt;=Законод!$H$27),AG44-Законод!$G$27,IF(AG44&gt;=Законод!$I$26,Законод!$H$28,0)))),0)))</f>
        <v>0</v>
      </c>
      <c r="AH49" s="970"/>
      <c r="AI49" s="201"/>
      <c r="AJ49" s="933"/>
      <c r="AK49" s="927"/>
      <c r="AL49" s="927"/>
      <c r="AM49" s="899"/>
      <c r="AN49" s="210">
        <f ca="1">IF(B40="Лікар загальної практики - сімейний лікар",L49*Законод!$C$9/4*Законод!$H$16,IF(B40="Лікар-педіатр",L49*Законод!$C$9/4*Законод!$H$16,IF(B40="Лікар-терапевт",L49*Законод!$C$9/4*Законод!$H$16,0)))</f>
        <v>0</v>
      </c>
      <c r="AO49" s="210">
        <f ca="1">IF(B40="Лікар загальної практики - сімейний лікар",S49*Законод!$C$9/4*Законод!$H$16,IF(B40="Лікар-педіатр",S49*Законод!$C$9/4*Законод!$H$16,IF(B40="Лікар-терапевт",S49*Законод!$C$9/4*Законод!$H$16,0)))</f>
        <v>0</v>
      </c>
      <c r="AP49" s="210">
        <f ca="1">IF(B40="Лікар загальної практики - сімейний лікар",Z49*Законод!$C$9/4*Законод!$H$16,IF(B40="Лікар-педіатр",Z49*Законод!$C$9/4*Законод!$H$16,IF(B40="Лікар-терапевт",Z49*Законод!$C$9/4*Законод!$H$16,0)))</f>
        <v>0</v>
      </c>
      <c r="AQ49" s="210">
        <f ca="1">IF(B40="Лікар загальної практики - сімейний лікар",AG49*Законод!$C$9/4*Законод!$H$16,IF(B40="Лікар-педіатр",AG49*Законод!$C$9/4*Законод!$H$16,IF(B40="Лікар-терапевт",AG49*Законод!$C$9/4*Законод!$H$16,0)))</f>
        <v>0</v>
      </c>
      <c r="AR49" s="211">
        <f t="shared" si="0"/>
        <v>0</v>
      </c>
    </row>
    <row r="50" spans="1:44" s="50" customFormat="1" ht="31.9" customHeight="1">
      <c r="A50" s="197"/>
      <c r="B50" s="941"/>
      <c r="C50" s="942"/>
      <c r="D50" s="943"/>
      <c r="E50" s="943"/>
      <c r="F50" s="212" t="str">
        <f ca="1">IF(B40="Лікар-педіатр",Законод!$I$17,IF(B40="Лікар загальної практики - сімейний лікар",Законод!$I$21,IF(B40="Лікар-терапевт",Законод!$I$25,"х")))</f>
        <v>понад ліміт (1261-1350)</v>
      </c>
      <c r="G50" s="889" t="s">
        <v>346</v>
      </c>
      <c r="H50" s="890"/>
      <c r="I50" s="890"/>
      <c r="J50" s="890"/>
      <c r="K50" s="891"/>
      <c r="L50" s="196">
        <f ca="1">IF($B$40="Лікар загальної практики - сімейний лікар",IF(L44&lt;Законод!$C$22,0,(IF(AND(L44&gt;=Законод!$I$22,L44&lt;=Законод!$I$23),L44-Законод!$H$23,IF('01_Доходи'!L44&gt;=Законод!$I$22,Законод!$I$24,0)))),IF($B$40="Лікар-педіатр",IF(L44&lt;Законод!$C$18,0,(IF(AND(L44&gt;=Законод!$I$18,L44&lt;=Законод!$I$19),L44-Законод!$H$19,IF('01_Доходи'!L44&gt;=Законод!$I$18,Законод!$H$20,0)))),IF($B$40="Лікар-терапевт",IF(L44&lt;Законод!$C$26,0,(IF(AND(L44&gt;=Законод!$I$26,L44&lt;=Законод!$I$27),L44-Законод!$H$27,IF('01_Доходи'!L44&gt;=Законод!$I$26,Законод!$H$28,0)))),0)))</f>
        <v>0</v>
      </c>
      <c r="M50" s="930"/>
      <c r="N50" s="889" t="s">
        <v>346</v>
      </c>
      <c r="O50" s="890"/>
      <c r="P50" s="890"/>
      <c r="Q50" s="890"/>
      <c r="R50" s="891"/>
      <c r="S50" s="196">
        <f ca="1">IF($B$40="Лікар загальної практики - сімейний лікар",IF(S44&lt;Законод!$C$22,0,(IF(AND(S44&gt;=Законод!$I$22,S44&lt;=Законод!$I$23),S44-Законод!$H$23,IF('01_Доходи'!S44&gt;=Законод!$I$22,Законод!$I$24,0)))),IF($B$40="Лікар-педіатр",IF(S44&lt;Законод!$C$18,0,(IF(AND(S44&gt;=Законод!$I$18,S44&lt;=Законод!$I$19),S44-Законод!$H$19,IF('01_Доходи'!S44&gt;=Законод!$I$18,Законод!$H$20,0)))),IF($B$40="Лікар-терапевт",IF(S44&lt;Законод!$C$26,0,(IF(AND(S44&gt;=Законод!$I$26,S44&lt;=Законод!$I$27),S44-Законод!$H$27,IF('01_Доходи'!S44&gt;=Законод!$I$26,Законод!$H$28,0)))),0)))</f>
        <v>0</v>
      </c>
      <c r="T50" s="962"/>
      <c r="U50" s="889" t="s">
        <v>346</v>
      </c>
      <c r="V50" s="890"/>
      <c r="W50" s="890"/>
      <c r="X50" s="890"/>
      <c r="Y50" s="891"/>
      <c r="Z50" s="196">
        <f ca="1">IF($B$40="Лікар загальної практики - сімейний лікар",IF(Z44&lt;Законод!$C$22,0,(IF(AND(Z44&gt;=Законод!$I$22,Z44&lt;=Законод!$I$23),Z44-Законод!$H$23,IF('01_Доходи'!Z44&gt;=Законод!$I$22,Законод!$I$24,0)))),IF($B$40="Лікар-педіатр",IF(Z44&lt;Законод!$C$18,0,(IF(AND(Z44&gt;=Законод!$I$18,Z44&lt;=Законод!$I$19),Z44-Законод!$H$19,IF('01_Доходи'!Z44&gt;=Законод!$I$18,Законод!$H$20,0)))),IF($B$40="Лікар-терапевт",IF(Z44&lt;Законод!$C$26,0,(IF(AND(Z44&gt;=Законод!$I$26,Z44&lt;=Законод!$I$27),Z44-Законод!$H$27,IF('01_Доходи'!Z44&gt;=Законод!$I$26,Законод!$H$28,0)))),0)))</f>
        <v>0</v>
      </c>
      <c r="AA50" s="962"/>
      <c r="AB50" s="889" t="s">
        <v>346</v>
      </c>
      <c r="AC50" s="890"/>
      <c r="AD50" s="890"/>
      <c r="AE50" s="890"/>
      <c r="AF50" s="891"/>
      <c r="AG50" s="196">
        <f ca="1">IF($B$40="Лікар загальної практики - сімейний лікар",IF(AG44&lt;Законод!$C$22,0,(IF(AND(AG44&gt;=Законод!$I$22,AG44&lt;=Законод!$I$23),AG44-Законод!$H$23,IF('01_Доходи'!AG44&gt;=Законод!$I$22,Законод!$I$24,0)))),IF($B$40="Лікар-педіатр",IF(AG44&lt;Законод!$C$18,0,(IF(AND(AG44&gt;=Законод!$I$18,AG44&lt;=Законод!$I$19),AG44-Законод!$H$19,IF('01_Доходи'!AG44&gt;=Законод!$I$18,Законод!$H$20,0)))),IF($B$40="Лікар-терапевт",IF(AG44&lt;Законод!$C$26,0,(IF(AND(AG44&gt;=Законод!$I$26,AG44&lt;=Законод!$I$27),AG44-Законод!$H$27,IF('01_Доходи'!AG44&gt;=Законод!$I$26,Законод!$H$28,0)))),0)))</f>
        <v>0</v>
      </c>
      <c r="AH50" s="970"/>
      <c r="AI50" s="201"/>
      <c r="AJ50" s="933"/>
      <c r="AK50" s="927"/>
      <c r="AL50" s="927"/>
      <c r="AM50" s="899"/>
      <c r="AN50" s="210">
        <f ca="1">IF(B40="Лікар загальної практики - сімейний лікар",L50*Законод!$C$9/4*Законод!$I$16,IF(B40="Лікар-педіатр",L50*Законод!$C$9/4*Законод!$I$16,IF(B40="Лікар-терапевт",L50*Законод!$C$9/4*Законод!$I$16,0)))</f>
        <v>0</v>
      </c>
      <c r="AO50" s="210">
        <f ca="1">IF(B40="Лікар загальної практики - сімейний лікар",S50*Законод!$C$9/4*Законод!$I$16,IF(B40="Лікар-педіатр",S50*Законод!$C$9/4*Законод!$I$16,IF(B40="Лікар-терапевт",S50*Законод!$C$9/4*Законод!$I$16,0)))</f>
        <v>0</v>
      </c>
      <c r="AP50" s="210">
        <f ca="1">IF(B40="Лікар загальної практики - сімейний лікар",Z50*Законод!$C$9/4*Законод!$I$16,IF(B40="Лікар-педіатр",Z50*Законод!$C$9/4*Законод!$I$16,IF(B40="Лікар-терапевт",Z50*Законод!$C$9/4*Законод!$I$16,0)))</f>
        <v>0</v>
      </c>
      <c r="AQ50" s="210">
        <f ca="1">IF(B40="Лікар загальної практики - сімейний лікар",AG50*Законод!$C$9/4*Законод!$I$16,IF(B40="Лікар-педіатр",AG50*Законод!$C$9/4*Законод!$I$16,IF(B40="Лікар-терапевт",AG50*Законод!$C$9/4*Законод!$I$16,0)))</f>
        <v>0</v>
      </c>
      <c r="AR50" s="211">
        <f t="shared" si="0"/>
        <v>0</v>
      </c>
    </row>
    <row r="51" spans="1:44" s="218" customFormat="1" ht="31.9" customHeight="1" thickBot="1">
      <c r="A51" s="213"/>
      <c r="B51" s="941"/>
      <c r="C51" s="942"/>
      <c r="D51" s="943"/>
      <c r="E51" s="943"/>
      <c r="F51" s="214" t="str">
        <f ca="1">IF(B40="Лікар-педіатр",Законод!$J$17,IF(B40="Лікар загальної практики - сімейний лікар",Законод!$J$21,IF(B40="Лікар-терапевт",Законод!$J$25,"х")))</f>
        <v>понад ліміт (&gt;=1351)</v>
      </c>
      <c r="G51" s="935" t="s">
        <v>346</v>
      </c>
      <c r="H51" s="936"/>
      <c r="I51" s="936"/>
      <c r="J51" s="936"/>
      <c r="K51" s="937"/>
      <c r="L51" s="196">
        <f ca="1">IF($B$40="Лікар загальної практики - сімейний лікар",IF(L44&gt;=Законод!$J$22,'01_Доходи'!L44-('01_Доходи'!L45+'01_Доходи'!L46+'01_Доходи'!L47+'01_Доходи'!L48+'01_Доходи'!L49+'01_Доходи'!L50),0),IF($B$40="Лікар-педіатр",IF(L44&gt;=Законод!$J$18,'01_Доходи'!L44-('01_Доходи'!L45+'01_Доходи'!L46+'01_Доходи'!L47+'01_Доходи'!L48+'01_Доходи'!L49+'01_Доходи'!L50),0),IF($B$40="Лікар-терапевт",IF('01_Доходи'!L44&gt;=Законод!$J$26,L44-Законод!$I$27,0),0)))</f>
        <v>0</v>
      </c>
      <c r="M51" s="931"/>
      <c r="N51" s="935" t="s">
        <v>346</v>
      </c>
      <c r="O51" s="936"/>
      <c r="P51" s="936"/>
      <c r="Q51" s="936"/>
      <c r="R51" s="937"/>
      <c r="S51" s="196">
        <f ca="1">IF($B$40="Лікар загальної практики - сімейний лікар",IF(S44&gt;=Законод!$J$22,'01_Доходи'!S44-('01_Доходи'!S45+'01_Доходи'!S46+'01_Доходи'!S47+'01_Доходи'!S48+'01_Доходи'!S49+'01_Доходи'!S50),0),IF($B$40="Лікар-педіатр",IF(S44&gt;=Законод!$J$18,'01_Доходи'!S44-('01_Доходи'!S45+'01_Доходи'!S46+'01_Доходи'!S47+'01_Доходи'!S48+'01_Доходи'!S49+'01_Доходи'!S50),0),IF($B$40="Лікар-терапевт",IF('01_Доходи'!S44&gt;=Законод!$J$26,S44-Законод!$I$27,0),0)))</f>
        <v>0</v>
      </c>
      <c r="T51" s="963"/>
      <c r="U51" s="935" t="s">
        <v>346</v>
      </c>
      <c r="V51" s="936"/>
      <c r="W51" s="936"/>
      <c r="X51" s="936"/>
      <c r="Y51" s="937"/>
      <c r="Z51" s="196">
        <f ca="1">IF($B$40="Лікар загальної практики - сімейний лікар",IF(Z44&gt;=Законод!$J$22,'01_Доходи'!Z44-('01_Доходи'!Z45+'01_Доходи'!Z46+'01_Доходи'!Z47+'01_Доходи'!Z48+'01_Доходи'!Z49+'01_Доходи'!Z50),0),IF($B$40="Лікар-педіатр",IF(Z44&gt;=Законод!$J$18,'01_Доходи'!Z44-('01_Доходи'!Z45+'01_Доходи'!Z46+'01_Доходи'!Z47+'01_Доходи'!Z48+'01_Доходи'!Z49+'01_Доходи'!Z50),0),IF($B$40="Лікар-терапевт",IF('01_Доходи'!Z44&gt;=Законод!$J$26,Z44-Законод!$I$27,0),0)))</f>
        <v>0</v>
      </c>
      <c r="AA51" s="963"/>
      <c r="AB51" s="935" t="s">
        <v>346</v>
      </c>
      <c r="AC51" s="936"/>
      <c r="AD51" s="936"/>
      <c r="AE51" s="936"/>
      <c r="AF51" s="937"/>
      <c r="AG51" s="196">
        <f ca="1">IF($B$40="Лікар загальної практики - сімейний лікар",IF(AG44&gt;=Законод!$J$22,'01_Доходи'!AG44-('01_Доходи'!AG45+'01_Доходи'!AG46+'01_Доходи'!AG47+'01_Доходи'!AG48+'01_Доходи'!AG49+'01_Доходи'!AG50),0),IF($B$40="Лікар-педіатр",IF(AG44&gt;=Законод!$J$18,'01_Доходи'!AG44-('01_Доходи'!AG45+'01_Доходи'!AG46+'01_Доходи'!AG47+'01_Доходи'!AG48+'01_Доходи'!AG49+'01_Доходи'!AG50),0),IF($B$40="Лікар-терапевт",IF('01_Доходи'!AG44&gt;=Законод!$J$26,AG44-Законод!$I$27,0),0)))</f>
        <v>0</v>
      </c>
      <c r="AH51" s="971"/>
      <c r="AI51" s="215"/>
      <c r="AJ51" s="934"/>
      <c r="AK51" s="928"/>
      <c r="AL51" s="928"/>
      <c r="AM51" s="900"/>
      <c r="AN51" s="216">
        <f ca="1">IF(B40="Лікар загальної практики - сімейний лікар",L51*Законод!$C$9/4*Законод!$J$16,IF(B40="Лікар-педіатр",L51*Законод!$C$9/4*Законод!$J$16,IF(B40="Лікар-терапевт",L51*Законод!$C$9/4*Законод!$J$16,0)))</f>
        <v>0</v>
      </c>
      <c r="AO51" s="216">
        <f ca="1">IF(B40="Лікар загальної практики - сімейний лікар",S51*Законод!$C$9/4*Законод!$J$16,IF(B40="Лікар-педіатр",S51*Законод!$C$9/4*Законод!$J$16,IF(B40="Лікар-терапевт",S51*Законод!$C$9/4*Законод!$J$16,0)))</f>
        <v>0</v>
      </c>
      <c r="AP51" s="216">
        <f ca="1">IF(B40="Лікар загальної практики - сімейний лікар",S51*Законод!$C$9/4*Законод!$J$16,IF(B40="Лікар-педіатр",S51*Законод!$C$9/4*Законод!$J$16,IF(B40="Лікар-терапевт",S51*Законод!$C$9/4*Законод!$J$16,0)))</f>
        <v>0</v>
      </c>
      <c r="AQ51" s="216">
        <f ca="1">IF(B40="Лікар загальної практики - сімейний лікар",AG51*Законод!$C$9/4*Законод!$J$16,IF(B40="Лікар-педіатр",AG51*Законод!$C$9/4*Законод!$J$16,IF(B40="Лікар-терапевт",AG51*Законод!$C$9/4*Законод!$J$16,0)))</f>
        <v>0</v>
      </c>
      <c r="AR51" s="217">
        <f t="shared" si="0"/>
        <v>0</v>
      </c>
    </row>
    <row r="52" spans="1:44" s="233" customFormat="1" ht="18" customHeight="1" thickBot="1">
      <c r="A52" s="219"/>
      <c r="B52" s="220"/>
      <c r="C52" s="731"/>
      <c r="D52" s="222"/>
      <c r="E52" s="222"/>
      <c r="F52" s="223"/>
      <c r="G52" s="224"/>
      <c r="H52" s="224"/>
      <c r="I52" s="224"/>
      <c r="J52" s="224"/>
      <c r="K52" s="224"/>
      <c r="L52" s="225"/>
      <c r="M52" s="226"/>
      <c r="N52" s="224"/>
      <c r="O52" s="224"/>
      <c r="P52" s="224"/>
      <c r="Q52" s="224"/>
      <c r="R52" s="224"/>
      <c r="S52" s="225"/>
      <c r="T52" s="226"/>
      <c r="U52" s="224"/>
      <c r="V52" s="224"/>
      <c r="W52" s="224"/>
      <c r="X52" s="224"/>
      <c r="Y52" s="224"/>
      <c r="Z52" s="227"/>
      <c r="AA52" s="226"/>
      <c r="AB52" s="224"/>
      <c r="AC52" s="224"/>
      <c r="AD52" s="224"/>
      <c r="AE52" s="224"/>
      <c r="AF52" s="224"/>
      <c r="AG52" s="227"/>
      <c r="AH52" s="226"/>
      <c r="AI52" s="228"/>
      <c r="AJ52" s="229"/>
      <c r="AK52" s="229"/>
      <c r="AL52" s="229"/>
      <c r="AM52" s="230"/>
      <c r="AN52" s="231"/>
      <c r="AO52" s="231"/>
      <c r="AP52" s="231"/>
      <c r="AQ52" s="231"/>
      <c r="AR52" s="232"/>
    </row>
    <row r="53" spans="1:44" s="191" customFormat="1" ht="30" customHeight="1">
      <c r="A53" s="194">
        <f>A40+1</f>
        <v>2</v>
      </c>
      <c r="B53" s="941" t="s">
        <v>235</v>
      </c>
      <c r="C53" s="942" t="s">
        <v>117</v>
      </c>
      <c r="D53" s="943"/>
      <c r="E53" s="943" t="s">
        <v>67</v>
      </c>
      <c r="F53" s="234" t="s">
        <v>582</v>
      </c>
      <c r="G53" s="196">
        <f>4+59</f>
        <v>63</v>
      </c>
      <c r="H53" s="196">
        <f>18+231</f>
        <v>249</v>
      </c>
      <c r="I53" s="196">
        <f>316+25</f>
        <v>341</v>
      </c>
      <c r="J53" s="196">
        <f>15+461</f>
        <v>476</v>
      </c>
      <c r="K53" s="196">
        <f>7+232</f>
        <v>239</v>
      </c>
      <c r="L53" s="196">
        <f t="shared" ref="L53:L58" si="1">SUM(G53:K53)</f>
        <v>1368</v>
      </c>
      <c r="M53" s="945">
        <v>1</v>
      </c>
      <c r="N53" s="196">
        <f>4+59</f>
        <v>63</v>
      </c>
      <c r="O53" s="196">
        <f>18+231</f>
        <v>249</v>
      </c>
      <c r="P53" s="196">
        <f>316+25</f>
        <v>341</v>
      </c>
      <c r="Q53" s="196">
        <f>15+461</f>
        <v>476</v>
      </c>
      <c r="R53" s="196">
        <f>7+232</f>
        <v>239</v>
      </c>
      <c r="S53" s="558">
        <f t="shared" ref="S53:S58" si="2">SUM(N53:R53)</f>
        <v>1368</v>
      </c>
      <c r="T53" s="945">
        <v>1</v>
      </c>
      <c r="U53" s="196">
        <f>4+59</f>
        <v>63</v>
      </c>
      <c r="V53" s="196">
        <f>18+231</f>
        <v>249</v>
      </c>
      <c r="W53" s="196">
        <f>316+25</f>
        <v>341</v>
      </c>
      <c r="X53" s="196">
        <f>15+461</f>
        <v>476</v>
      </c>
      <c r="Y53" s="196">
        <f>7+232</f>
        <v>239</v>
      </c>
      <c r="Z53" s="558">
        <f>U53+V53+W53+X53+Y53</f>
        <v>1368</v>
      </c>
      <c r="AA53" s="945">
        <v>1</v>
      </c>
      <c r="AB53" s="196">
        <f>4+59</f>
        <v>63</v>
      </c>
      <c r="AC53" s="196">
        <f>18+231</f>
        <v>249</v>
      </c>
      <c r="AD53" s="196">
        <f>316+25</f>
        <v>341</v>
      </c>
      <c r="AE53" s="196">
        <f>15+461</f>
        <v>476</v>
      </c>
      <c r="AF53" s="196">
        <f>7+232</f>
        <v>239</v>
      </c>
      <c r="AG53" s="558">
        <f>AB53+AC53+AD53+AE53+AF53</f>
        <v>1368</v>
      </c>
      <c r="AH53" s="945">
        <v>1</v>
      </c>
      <c r="AI53" s="541">
        <f>A53</f>
        <v>2</v>
      </c>
      <c r="AJ53" s="932" t="str">
        <f>B53</f>
        <v>Лікар загальної практики - сімейний лікар</v>
      </c>
      <c r="AK53" s="926" t="str">
        <f>C53</f>
        <v>Левківська Богданна Генадіївна</v>
      </c>
      <c r="AL53" s="926">
        <f>D53</f>
        <v>0</v>
      </c>
      <c r="AM53" s="901" t="s">
        <v>785</v>
      </c>
      <c r="AN53" s="923">
        <f>SUM(AN58:AN64)</f>
        <v>265338.4216375</v>
      </c>
      <c r="AO53" s="923">
        <f>SUM(AO58:AO64)</f>
        <v>265338.4216375</v>
      </c>
      <c r="AP53" s="923">
        <f>SUM(AP58:AP64)</f>
        <v>265338.4216375</v>
      </c>
      <c r="AQ53" s="923">
        <f>SUM(AQ58:AQ64)</f>
        <v>265338.4216375</v>
      </c>
      <c r="AR53" s="914">
        <f>SUM(AN53:AQ57)</f>
        <v>1061353.68655</v>
      </c>
    </row>
    <row r="54" spans="1:44" s="50" customFormat="1" ht="28.15" customHeight="1">
      <c r="A54" s="197"/>
      <c r="B54" s="941"/>
      <c r="C54" s="942"/>
      <c r="D54" s="943"/>
      <c r="E54" s="943"/>
      <c r="F54" s="234" t="s">
        <v>583</v>
      </c>
      <c r="G54" s="196">
        <f>4+59</f>
        <v>63</v>
      </c>
      <c r="H54" s="196">
        <f>18+231</f>
        <v>249</v>
      </c>
      <c r="I54" s="196">
        <f>316+25</f>
        <v>341</v>
      </c>
      <c r="J54" s="196">
        <f>15+461</f>
        <v>476</v>
      </c>
      <c r="K54" s="196">
        <f>7+232</f>
        <v>239</v>
      </c>
      <c r="L54" s="196">
        <f t="shared" si="1"/>
        <v>1368</v>
      </c>
      <c r="M54" s="945"/>
      <c r="N54" s="196">
        <f>4+59</f>
        <v>63</v>
      </c>
      <c r="O54" s="196">
        <f>18+231</f>
        <v>249</v>
      </c>
      <c r="P54" s="196">
        <f>316+25</f>
        <v>341</v>
      </c>
      <c r="Q54" s="196">
        <f>15+461</f>
        <v>476</v>
      </c>
      <c r="R54" s="196">
        <f>7+232</f>
        <v>239</v>
      </c>
      <c r="S54" s="558">
        <f t="shared" si="2"/>
        <v>1368</v>
      </c>
      <c r="T54" s="945"/>
      <c r="U54" s="196">
        <f>4+59</f>
        <v>63</v>
      </c>
      <c r="V54" s="196">
        <f>18+231</f>
        <v>249</v>
      </c>
      <c r="W54" s="196">
        <f>316+25</f>
        <v>341</v>
      </c>
      <c r="X54" s="196">
        <f>15+461</f>
        <v>476</v>
      </c>
      <c r="Y54" s="196">
        <f>7+232</f>
        <v>239</v>
      </c>
      <c r="Z54" s="558">
        <f>U54+V54+W54+X54+Y54</f>
        <v>1368</v>
      </c>
      <c r="AA54" s="945"/>
      <c r="AB54" s="196">
        <f>4+59</f>
        <v>63</v>
      </c>
      <c r="AC54" s="196">
        <f>18+231</f>
        <v>249</v>
      </c>
      <c r="AD54" s="196">
        <f>316+25</f>
        <v>341</v>
      </c>
      <c r="AE54" s="196">
        <f>15+461</f>
        <v>476</v>
      </c>
      <c r="AF54" s="196">
        <f>7+232</f>
        <v>239</v>
      </c>
      <c r="AG54" s="558">
        <f>AB54+AC54+AD54+AE54+AF54</f>
        <v>1368</v>
      </c>
      <c r="AH54" s="945"/>
      <c r="AI54" s="198"/>
      <c r="AJ54" s="933"/>
      <c r="AK54" s="927"/>
      <c r="AL54" s="927"/>
      <c r="AM54" s="902"/>
      <c r="AN54" s="924"/>
      <c r="AO54" s="924"/>
      <c r="AP54" s="924"/>
      <c r="AQ54" s="924"/>
      <c r="AR54" s="915"/>
    </row>
    <row r="55" spans="1:44" s="50" customFormat="1" ht="31.15" customHeight="1">
      <c r="A55" s="197"/>
      <c r="B55" s="941"/>
      <c r="C55" s="942"/>
      <c r="D55" s="943"/>
      <c r="E55" s="943"/>
      <c r="F55" s="234" t="s">
        <v>584</v>
      </c>
      <c r="G55" s="196">
        <f>4+59</f>
        <v>63</v>
      </c>
      <c r="H55" s="196">
        <f>18+231</f>
        <v>249</v>
      </c>
      <c r="I55" s="196">
        <f>316+25</f>
        <v>341</v>
      </c>
      <c r="J55" s="196">
        <f>15+461</f>
        <v>476</v>
      </c>
      <c r="K55" s="196">
        <f>7+232</f>
        <v>239</v>
      </c>
      <c r="L55" s="196">
        <f t="shared" si="1"/>
        <v>1368</v>
      </c>
      <c r="M55" s="945"/>
      <c r="N55" s="196">
        <f>4+59</f>
        <v>63</v>
      </c>
      <c r="O55" s="196">
        <f>18+231</f>
        <v>249</v>
      </c>
      <c r="P55" s="196">
        <f>316+25</f>
        <v>341</v>
      </c>
      <c r="Q55" s="196">
        <f>15+461</f>
        <v>476</v>
      </c>
      <c r="R55" s="196">
        <f>7+232</f>
        <v>239</v>
      </c>
      <c r="S55" s="558">
        <f t="shared" si="2"/>
        <v>1368</v>
      </c>
      <c r="T55" s="945"/>
      <c r="U55" s="196">
        <f>4+59</f>
        <v>63</v>
      </c>
      <c r="V55" s="196">
        <f>18+231</f>
        <v>249</v>
      </c>
      <c r="W55" s="196">
        <f>316+25</f>
        <v>341</v>
      </c>
      <c r="X55" s="196">
        <f>15+461</f>
        <v>476</v>
      </c>
      <c r="Y55" s="196">
        <f>7+232</f>
        <v>239</v>
      </c>
      <c r="Z55" s="200">
        <f>SUM(U55:Y55)</f>
        <v>1368</v>
      </c>
      <c r="AA55" s="945"/>
      <c r="AB55" s="196">
        <f>4+59</f>
        <v>63</v>
      </c>
      <c r="AC55" s="196">
        <f>18+231</f>
        <v>249</v>
      </c>
      <c r="AD55" s="196">
        <f>316+25</f>
        <v>341</v>
      </c>
      <c r="AE55" s="196">
        <f>15+461</f>
        <v>476</v>
      </c>
      <c r="AF55" s="196">
        <f>7+232</f>
        <v>239</v>
      </c>
      <c r="AG55" s="558">
        <f>AB55+AC55+AD55+AE55+AF55</f>
        <v>1368</v>
      </c>
      <c r="AH55" s="945"/>
      <c r="AI55" s="201"/>
      <c r="AJ55" s="933"/>
      <c r="AK55" s="927"/>
      <c r="AL55" s="927"/>
      <c r="AM55" s="902"/>
      <c r="AN55" s="924"/>
      <c r="AO55" s="924"/>
      <c r="AP55" s="924"/>
      <c r="AQ55" s="924"/>
      <c r="AR55" s="915"/>
    </row>
    <row r="56" spans="1:44" s="50" customFormat="1" ht="31.9" customHeight="1" thickBot="1">
      <c r="A56" s="197"/>
      <c r="B56" s="941"/>
      <c r="C56" s="942"/>
      <c r="D56" s="943"/>
      <c r="E56" s="943"/>
      <c r="F56" s="236" t="s">
        <v>349</v>
      </c>
      <c r="G56" s="203">
        <f>IF($B$53="Лікар-педіатр",G55/L55,IF($B$53="Лікар-терапевт","х",IF($B$53="Лікар загальної практики - сімейний лікар",G55/L55,0)))</f>
        <v>4.6052631578947366E-2</v>
      </c>
      <c r="H56" s="203">
        <f>IF($B$53="Лікар-педіатр",H55/L55,IF($B$53="Лікар-терапевт","х",IF($B$53="Лікар загальної практики - сімейний лікар",H55/L55,0)))</f>
        <v>0.18201754385964913</v>
      </c>
      <c r="I56" s="203">
        <f>IF($B$53="Лікар-педіатр","x",IF($B$53="Лікар-терапевт",I55/L55,IF($B$53="Лікар загальної практики - сімейний лікар",I55/L55,0)))</f>
        <v>0.24926900584795322</v>
      </c>
      <c r="J56" s="203">
        <f>IF($B$53="Лікар-педіатр","x",IF($B$53="Лікар-терапевт",J55/L55,IF($B$53="Лікар загальної практики - сімейний лікар",J55/L55,0)))</f>
        <v>0.34795321637426901</v>
      </c>
      <c r="K56" s="203">
        <f>IF($B$53="Лікар-педіатр","x",IF($B$53="Лікар-терапевт",K55/L55,IF($B$53="Лікар загальної практики - сімейний лікар",K55/L55,0)))</f>
        <v>0.17470760233918128</v>
      </c>
      <c r="L56" s="203">
        <f t="shared" si="1"/>
        <v>1</v>
      </c>
      <c r="M56" s="945"/>
      <c r="N56" s="203">
        <f>IF($B$53="Лікар-педіатр",N55/S55,IF($B$53="Лікар-терапевт","х",IF($B$53="Лікар загальної практики - сімейний лікар",N55/S55,0)))</f>
        <v>4.6052631578947366E-2</v>
      </c>
      <c r="O56" s="203">
        <f>IF($B$53="Лікар-педіатр",O55/S55,IF($B$53="Лікар-терапевт","х",IF($B$53="Лікар загальної практики - сімейний лікар",O55/S55,0)))</f>
        <v>0.18201754385964913</v>
      </c>
      <c r="P56" s="203">
        <f>IF($B$53="Лікар-педіатр","x",IF($B$53="Лікар-терапевт",P55/S55,IF($B$53="Лікар загальної практики - сімейний лікар",P55/S55,0)))</f>
        <v>0.24926900584795322</v>
      </c>
      <c r="Q56" s="203">
        <f>IF($B$53="Лікар-педіатр","x",IF($B$53="Лікар-терапевт",Q55/S55,IF($B$53="Лікар загальної практики - сімейний лікар",Q55/S55,0)))</f>
        <v>0.34795321637426901</v>
      </c>
      <c r="R56" s="203">
        <f>IF($B$53="Лікар-педіатр","x",IF($B$53="Лікар-терапевт",R55/S55,IF($B$53="Лікар загальної практики - сімейний лікар",R55/S55,0)))</f>
        <v>0.17470760233918128</v>
      </c>
      <c r="S56" s="203">
        <f t="shared" si="2"/>
        <v>1</v>
      </c>
      <c r="T56" s="945"/>
      <c r="U56" s="203">
        <f>IF($B$53="Лікар-педіатр",U55/Z55,IF($B$53="Лікар-терапевт","х",IF($B$53="Лікар загальної практики - сімейний лікар",U55/Z55,0)))</f>
        <v>4.6052631578947366E-2</v>
      </c>
      <c r="V56" s="203">
        <f>IF($B$53="Лікар-педіатр",V55/Z55,IF($B$53="Лікар-терапевт","х",IF($B$53="Лікар загальної практики - сімейний лікар",V55/Z55,0)))</f>
        <v>0.18201754385964913</v>
      </c>
      <c r="W56" s="203">
        <f>IF($B$53="Лікар-педіатр","x",IF($B$53="Лікар-терапевт",W55/Z55,IF($B$53="Лікар загальної практики - сімейний лікар",W55/Z55,0)))</f>
        <v>0.24926900584795322</v>
      </c>
      <c r="X56" s="203">
        <f>IF($B$53="Лікар-педіатр","x",IF($B$53="Лікар-терапевт",X55/Z55,IF($B$53="Лікар загальної практики - сімейний лікар",X55/Z55,0)))</f>
        <v>0.34795321637426901</v>
      </c>
      <c r="Y56" s="203">
        <f>IF($B$53="Лікар-педіатр","x",IF($B$53="Лікар-терапевт",Y55/Z55,IF($B$53="Лікар загальної практики - сімейний лікар",Y55/Z55,0)))</f>
        <v>0.17470760233918128</v>
      </c>
      <c r="Z56" s="203">
        <f>SUM(U56:Y56)</f>
        <v>1</v>
      </c>
      <c r="AA56" s="945"/>
      <c r="AB56" s="203">
        <f>IF($B$53="Лікар-педіатр",AB55/AG55,IF($B$53="Лікар-терапевт","х",IF($B$53="Лікар загальної практики - сімейний лікар",AB55/AG55,0)))</f>
        <v>4.6052631578947366E-2</v>
      </c>
      <c r="AC56" s="203">
        <f>IF($B$53="Лікар-педіатр",AC55/AG55,IF($B$53="Лікар-терапевт","х",IF($B$53="Лікар загальної практики - сімейний лікар",AC55/AG55,0)))</f>
        <v>0.18201754385964913</v>
      </c>
      <c r="AD56" s="203">
        <f>IF($B$53="Лікар-педіатр","x",IF($B$53="Лікар-терапевт",AD55/AG55,IF($B$53="Лікар загальної практики - сімейний лікар",AD55/AG55,0)))</f>
        <v>0.24926900584795322</v>
      </c>
      <c r="AE56" s="203">
        <f>IF($B$53="Лікар-педіатр","x",IF($B$53="Лікар-терапевт",AE55/AG55,IF($B$53="Лікар загальної практики - сімейний лікар",AE55/AG55,0)))</f>
        <v>0.34795321637426901</v>
      </c>
      <c r="AF56" s="203">
        <f>IF($B$53="Лікар-педіатр","x",IF($B$53="Лікар-терапевт",AF55/AG55,IF($B$53="Лікар загальної практики - сімейний лікар",AF55/AG55,0)))</f>
        <v>0.17470760233918128</v>
      </c>
      <c r="AG56" s="203">
        <f>SUM(AB56:AF56)</f>
        <v>1</v>
      </c>
      <c r="AH56" s="945"/>
      <c r="AI56" s="201"/>
      <c r="AJ56" s="933"/>
      <c r="AK56" s="927"/>
      <c r="AL56" s="927"/>
      <c r="AM56" s="902"/>
      <c r="AN56" s="924"/>
      <c r="AO56" s="924"/>
      <c r="AP56" s="924"/>
      <c r="AQ56" s="924"/>
      <c r="AR56" s="915"/>
    </row>
    <row r="57" spans="1:44" s="50" customFormat="1" ht="45" customHeight="1" thickBot="1">
      <c r="A57" s="197"/>
      <c r="B57" s="941"/>
      <c r="C57" s="942"/>
      <c r="D57" s="943"/>
      <c r="E57" s="944"/>
      <c r="F57" s="204" t="s">
        <v>585</v>
      </c>
      <c r="G57" s="205">
        <f>IF($B$53="Лікар загальної практики - сімейний лікар",AVERAGE(G53:G55),IF($B$53="Лікар-педіатр",AVERAGE(G53:G55),IF($B$53="Лікар-терапевт","х",0)))</f>
        <v>63</v>
      </c>
      <c r="H57" s="205">
        <f>IF($B$53="Лікар загальної практики - сімейний лікар",AVERAGE(H53:H55),IF($B$53="Лікар-педіатр",AVERAGE(H53:H55),IF($B$53="Лікар-терапевт","х",0)))</f>
        <v>249</v>
      </c>
      <c r="I57" s="205">
        <f>IF($B$53="Лікар загальної практики - сімейний лікар",AVERAGE(I53:I55),IF($B$53="Лікар-педіатр","x",IF($B$53="Лікар-терапевт",AVERAGE(I53:I55),0)))</f>
        <v>341</v>
      </c>
      <c r="J57" s="205">
        <f>IF($B$53="Лікар загальної практики - сімейний лікар",AVERAGE(J53:J55),IF($B$53="Лікар-педіатр","x",IF($B$53="Лікар-терапевт",AVERAGE(J53:J55),0)))</f>
        <v>476</v>
      </c>
      <c r="K57" s="205">
        <f>IF($B$53="Лікар загальної практики - сімейний лікар",AVERAGE(K53:K55),IF($B$53="Лікар-педіатр","x",IF($B$53="Лікар-терапевт",AVERAGE(K53:K55),0)))</f>
        <v>239</v>
      </c>
      <c r="L57" s="206">
        <f t="shared" si="1"/>
        <v>1368</v>
      </c>
      <c r="M57" s="946"/>
      <c r="N57" s="205">
        <f>IF($B$53="Лікар загальної практики - сімейний лікар",AVERAGE(N53:N55),IF($B$53="Лікар-педіатр",AVERAGE(N53:N55),IF($B$53="Лікар-терапевт","х",0)))</f>
        <v>63</v>
      </c>
      <c r="O57" s="205">
        <f>IF($B$53="Лікар загальної практики - сімейний лікар",AVERAGE(O53:O55),IF($B$53="Лікар-педіатр",AVERAGE(O53:O55),IF($B$53="Лікар-терапевт","х",0)))</f>
        <v>249</v>
      </c>
      <c r="P57" s="205">
        <f>IF($B$53="Лікар загальної практики - сімейний лікар",AVERAGE(P53:P55),IF($B$53="Лікар-педіатр","x",IF($B$53="Лікар-терапевт",AVERAGE(P53:P55),0)))</f>
        <v>341</v>
      </c>
      <c r="Q57" s="205">
        <f>IF($B$53="Лікар загальної практики - сімейний лікар",AVERAGE(Q53:Q55),IF($B$53="Лікар-педіатр","x",IF($B$53="Лікар-терапевт",AVERAGE(Q53:Q55),0)))</f>
        <v>476</v>
      </c>
      <c r="R57" s="205">
        <f>IF($B$53="Лікар загальної практики - сімейний лікар",AVERAGE(R53:R55),IF($B$53="Лікар-педіатр","x",IF($B$53="Лікар-терапевт",AVERAGE(R53:R55),0)))</f>
        <v>239</v>
      </c>
      <c r="S57" s="206">
        <f t="shared" si="2"/>
        <v>1368</v>
      </c>
      <c r="T57" s="946"/>
      <c r="U57" s="205">
        <f>IF($B$53="Лікар загальної практики - сімейний лікар",AVERAGE(U53:U55),IF($B$53="Лікар-педіатр",AVERAGE(U53:U55),IF($B$53="Лікар-терапевт","х",0)))</f>
        <v>63</v>
      </c>
      <c r="V57" s="205">
        <f>IF($B$53="Лікар загальної практики - сімейний лікар",AVERAGE(V53:V55),IF($B$53="Лікар-педіатр",AVERAGE(V53:V55),IF($B$53="Лікар-терапевт","х",0)))</f>
        <v>249</v>
      </c>
      <c r="W57" s="205">
        <f>IF($B$53="Лікар загальної практики - сімейний лікар",AVERAGE(W53:W55),IF($B$53="Лікар-педіатр","x",IF($B$53="Лікар-терапевт",AVERAGE(W53:W55),0)))</f>
        <v>341</v>
      </c>
      <c r="X57" s="205">
        <f>IF($B$53="Лікар загальної практики - сімейний лікар",AVERAGE(X53:X55),IF($B$53="Лікар-педіатр","x",IF($B$53="Лікар-терапевт",AVERAGE(X53:X55),0)))</f>
        <v>476</v>
      </c>
      <c r="Y57" s="205">
        <f>IF($B$53="Лікар загальної практики - сімейний лікар",AVERAGE(Y53:Y55),IF($B$53="Лікар-педіатр","x",IF($B$53="Лікар-терапевт",AVERAGE(Y53:Y55),0)))</f>
        <v>239</v>
      </c>
      <c r="Z57" s="206">
        <f>SUM(U57:Y57)</f>
        <v>1368</v>
      </c>
      <c r="AA57" s="946"/>
      <c r="AB57" s="205">
        <f>IF($B$53="Лікар загальної практики - сімейний лікар",AVERAGE(AB53:AB55),IF($B$53="Лікар-педіатр",AVERAGE(AB53:AB55),IF($B$53="Лікар-терапевт","х",0)))</f>
        <v>63</v>
      </c>
      <c r="AC57" s="205">
        <f>IF($B$53="Лікар загальної практики - сімейний лікар",AVERAGE(AC53:AC55),IF($B$53="Лікар-педіатр",AVERAGE(AC53:AC55),IF($B$53="Лікар-терапевт","х",0)))</f>
        <v>249</v>
      </c>
      <c r="AD57" s="205">
        <f>IF($B$53="Лікар загальної практики - сімейний лікар",AVERAGE(AD53:AD55),IF($B$53="Лікар-педіатр","x",IF($B$53="Лікар-терапевт",AVERAGE(AD53:AD55),0)))</f>
        <v>341</v>
      </c>
      <c r="AE57" s="205">
        <f>IF($B$53="Лікар загальної практики - сімейний лікар",AVERAGE(AE53:AE55),IF($B$53="Лікар-педіатр","x",IF($B$53="Лікар-терапевт",AVERAGE(AE53:AE55),0)))</f>
        <v>476</v>
      </c>
      <c r="AF57" s="205">
        <f>IF($B$53="Лікар загальної практики - сімейний лікар",AVERAGE(AF53:AF55),IF($B$53="Лікар-педіатр","x",IF($B$53="Лікар-терапевт",AVERAGE(AF53:AF55),0)))</f>
        <v>239</v>
      </c>
      <c r="AG57" s="206">
        <f>SUM(AB57:AF57)</f>
        <v>1368</v>
      </c>
      <c r="AH57" s="947"/>
      <c r="AI57" s="201"/>
      <c r="AJ57" s="933"/>
      <c r="AK57" s="927"/>
      <c r="AL57" s="927"/>
      <c r="AM57" s="903"/>
      <c r="AN57" s="925"/>
      <c r="AO57" s="925"/>
      <c r="AP57" s="925"/>
      <c r="AQ57" s="925"/>
      <c r="AR57" s="916"/>
    </row>
    <row r="58" spans="1:44" s="50" customFormat="1" ht="40.5">
      <c r="A58" s="197"/>
      <c r="B58" s="941"/>
      <c r="C58" s="942"/>
      <c r="D58" s="943"/>
      <c r="E58" s="943"/>
      <c r="F58" s="237" t="str">
        <f ca="1">IF(B53="Лікар-педіатр",Законод!$C$17,IF(B53="Лікар загальної практики - сімейний лікар",Законод!$C$21,IF(B53="Лікар-терапевт",Законод!$C$25,"х")))</f>
        <v>ліміт (до 1800)</v>
      </c>
      <c r="G58" s="208">
        <f ca="1">IF($B$53="Лікар загальної практики - сімейний лікар",IF(L57&lt;=Законод!$C$22,G57,Законод!$C$22*'01_Доходи'!G56),IF($B$53="Лікар-педіатр",IF(L57&lt;=Законод!$C$18,G57,Законод!$C$18*'01_Доходи'!G56),IF($B$53="Лікар-терапевт","x",0)))</f>
        <v>63</v>
      </c>
      <c r="H58" s="208">
        <f ca="1">IF($B$53="Лікар загальної практики - сімейний лікар",IF(L57&lt;=Законод!$C$22,H57,Законод!$C$22*'01_Доходи'!H56),IF($B$53="Лікар-педіатр",IF(L57&lt;=Законод!$C$18,H57,Законод!$C$18*'01_Доходи'!H56),IF($B$53="Лікар-терапевт","x",0)))</f>
        <v>249</v>
      </c>
      <c r="I58" s="208">
        <f ca="1">IF($B$53="Лікар загальної практики - сімейний лікар",IF(L57&lt;=Законод!$C$22,I57,Законод!$C$22*'01_Доходи'!I56),IF($B$53="Лікар-педіатр","x",IF($B$53="Лікар-терапевт",IF(L57&lt;=Законод!$C$26,I57,Законод!$C$26*'01_Доходи'!I56),0)))</f>
        <v>341</v>
      </c>
      <c r="J58" s="208">
        <f ca="1">IF($B$53="Лікар загальної практики - сімейний лікар",IF(L57&lt;=Законод!$C$22,J57,Законод!$C$22*'01_Доходи'!J56),IF($B$53="Лікар-педіатр","x",IF($B$53="Лікар-терапевт",IF(L57&lt;=Законод!$C$26,J57,Законод!$C$26*'01_Доходи'!J56),0)))</f>
        <v>476</v>
      </c>
      <c r="K58" s="208">
        <f ca="1">IF($B$53="Лікар загальної практики - сімейний лікар",IF(L57&lt;=Законод!$C$22,K57,Законод!$C$22*'01_Доходи'!K56),IF($B$53="Лікар-педіатр","x",IF($B$53="Лікар-терапевт",IF(L57&lt;=Законод!$C$26,K57,Законод!$C$26*'01_Доходи'!K56),0)))</f>
        <v>239</v>
      </c>
      <c r="L58" s="209">
        <f t="shared" si="1"/>
        <v>1368</v>
      </c>
      <c r="M58" s="945"/>
      <c r="N58" s="208">
        <f ca="1">IF($B$53="Лікар загальної практики - сімейний лікар",IF(S57&lt;=Законод!$C$22,N57,Законод!$C$22*'01_Доходи'!N56),IF($B$53="Лікар-педіатр",IF(S57&lt;=Законод!$C$18,N57,Законод!$C$18*'01_Доходи'!N56),IF($B$53="Лікар-терапевт","x",0)))</f>
        <v>63</v>
      </c>
      <c r="O58" s="208">
        <f ca="1">IF($B$53="Лікар загальної практики - сімейний лікар",IF(S57&lt;=Законод!$C$22,O57,Законод!$C$22*'01_Доходи'!O56),IF($B$53="Лікар-педіатр",IF(S57&lt;=Законод!$C$18,O57,Законод!$C$18*'01_Доходи'!O56),IF($B$53="Лікар-терапевт","x",0)))</f>
        <v>249</v>
      </c>
      <c r="P58" s="208">
        <f ca="1">IF($B$53="Лікар загальної практики - сімейний лікар",IF(S57&lt;=Законод!$C$22,P57,Законод!$C$22*'01_Доходи'!P56),IF($B$53="Лікар-педіатр","x",IF($B$53="Лікар-терапевт",IF(S57&lt;=Законод!$C$26,P57,Законод!$C$26*'01_Доходи'!P56),0)))</f>
        <v>341</v>
      </c>
      <c r="Q58" s="208">
        <f ca="1">IF($B$53="Лікар загальної практики - сімейний лікар",IF(S57&lt;=Законод!$C$22,Q57,Законод!$C$22*'01_Доходи'!Q56),IF($B$53="Лікар-педіатр","x",IF($B$53="Лікар-терапевт",IF(S57&lt;=Законод!$C$26,Q57,Законод!$C$26*'01_Доходи'!Q56),0)))</f>
        <v>476</v>
      </c>
      <c r="R58" s="208">
        <f ca="1">IF($B$53="Лікар загальної практики - сімейний лікар",IF(S57&lt;=Законод!$C$22,R57,Законод!$C$22*'01_Доходи'!R56),IF($B$53="Лікар-педіатр","x",IF($B$53="Лікар-терапевт",IF(S57&lt;=Законод!$C$26,R57,Законод!$C$26*'01_Доходи'!R56),0)))</f>
        <v>239</v>
      </c>
      <c r="S58" s="209">
        <f t="shared" si="2"/>
        <v>1368</v>
      </c>
      <c r="T58" s="945"/>
      <c r="U58" s="208">
        <f ca="1">IF($B$53="Лікар загальної практики - сімейний лікар",IF(Z57&lt;=Законод!$C$22,U57,Законод!$C$22*'01_Доходи'!U56),IF($B$53="Лікар-педіатр",IF(Z57&lt;=Законод!$C$18,U57,Законод!$C$18*'01_Доходи'!U56),IF($B$53="Лікар-терапевт","x",0)))</f>
        <v>63</v>
      </c>
      <c r="V58" s="208">
        <f ca="1">IF($B$53="Лікар загальної практики - сімейний лікар",IF(Z57&lt;=Законод!$C$22,V57,Законод!$C$22*'01_Доходи'!V56),IF($B$53="Лікар-педіатр",IF(Z57&lt;=Законод!$C$18,V57,Законод!$C$18*'01_Доходи'!V56),IF($B$53="Лікар-терапевт","x",0)))</f>
        <v>249</v>
      </c>
      <c r="W58" s="208">
        <f ca="1">IF($B$53="Лікар загальної практики - сімейний лікар",IF(Z57&lt;=Законод!$C$22,W57,Законод!$C$22*'01_Доходи'!W56),IF($B$53="Лікар-педіатр","x",IF($B$53="Лікар-терапевт",IF(Z57&lt;=Законод!$C$26,W57,Законод!$C$26*'01_Доходи'!W56),0)))</f>
        <v>341</v>
      </c>
      <c r="X58" s="208">
        <f ca="1">IF($B$53="Лікар загальної практики - сімейний лікар",IF(Z57&lt;=Законод!$C$22,X57,Законод!$C$22*'01_Доходи'!X56),IF($B$53="Лікар-педіатр","x",IF($B$53="Лікар-терапевт",IF(Z57&lt;=Законод!$C$26,X57,Законод!$C$26*'01_Доходи'!X56),0)))</f>
        <v>476</v>
      </c>
      <c r="Y58" s="208">
        <f ca="1">IF($B$53="Лікар загальної практики - сімейний лікар",IF(Z57&lt;=Законод!$C$22,Y57,Законод!$C$22*'01_Доходи'!Y56),IF($B$53="Лікар-педіатр","x",IF($B$53="Лікар-терапевт",IF(Z57&lt;=Законод!$C$26,Y57,Законод!$C$26*'01_Доходи'!Y56),0)))</f>
        <v>239</v>
      </c>
      <c r="Z58" s="209">
        <f ca="1">SUM(U58:Y58)</f>
        <v>1368</v>
      </c>
      <c r="AA58" s="945"/>
      <c r="AB58" s="208">
        <f ca="1">IF($B$53="Лікар загальної практики - сімейний лікар",IF(AG57&lt;=Законод!$C$22,AB57,Законод!$C$22*'01_Доходи'!AB56),IF($B$53="Лікар-педіатр",IF(AG57&lt;=Законод!$C$18,AB57,Законод!$C$18*'01_Доходи'!AB56),IF($B$53="Лікар-терапевт","x",0)))</f>
        <v>63</v>
      </c>
      <c r="AC58" s="208">
        <f ca="1">IF($B$53="Лікар загальної практики - сімейний лікар",IF(AG57&lt;=Законод!$C$22,AC57,Законод!$C$22*'01_Доходи'!AC56),IF($B$53="Лікар-педіатр",IF(AG57&lt;=Законод!$C$18,AC57,Законод!$C$18*'01_Доходи'!AC56),IF($B$53="Лікар-терапевт","x",0)))</f>
        <v>249</v>
      </c>
      <c r="AD58" s="208">
        <f ca="1">IF($B$53="Лікар загальної практики - сімейний лікар",IF(AG57&lt;=Законод!$C$22,AD57,Законод!$C$22*'01_Доходи'!AD56),IF($B$53="Лікар-педіатр","x",IF($B$53="Лікар-терапевт",IF(AG57&lt;=Законод!$C$26,AD57,Законод!$C$26*'01_Доходи'!AD56),0)))</f>
        <v>341</v>
      </c>
      <c r="AE58" s="208">
        <f ca="1">IF($B$53="Лікар загальної практики - сімейний лікар",IF(AG57&lt;=Законод!$C$22,AE57,Законод!$C$22*'01_Доходи'!AE56),IF($B$53="Лікар-педіатр","x",IF($B$53="Лікар-терапевт",IF(AG57&lt;=Законод!$C$26,AE57,Законод!$C$26*'01_Доходи'!AE56),0)))</f>
        <v>476</v>
      </c>
      <c r="AF58" s="208">
        <f ca="1">IF($B$53="Лікар загальної практики - сімейний лікар",IF(AG57&lt;=Законод!$C$22,AF57,Законод!$C$22*'01_Доходи'!AF56),IF($B$53="Лікар-педіатр","x",IF($B$53="Лікар-терапевт",IF(AG57&lt;=Законод!$C$26,AF57,Законод!$C$26*'01_Доходи'!AF56),0)))</f>
        <v>239</v>
      </c>
      <c r="AG58" s="209">
        <f ca="1">SUM(AB58:AF58)</f>
        <v>1368</v>
      </c>
      <c r="AH58" s="945"/>
      <c r="AI58" s="201"/>
      <c r="AJ58" s="933"/>
      <c r="AK58" s="927"/>
      <c r="AL58" s="927"/>
      <c r="AM58" s="348" t="s">
        <v>374</v>
      </c>
      <c r="AN58" s="210">
        <f ca="1">IF(B53="Лікар загальної практики - сімейний лікар",G58*Законод!$C$11+'01_Доходи'!H58*Законод!$D$11+'01_Доходи'!I58*Законод!$E$11+'01_Доходи'!J58*Законод!$F$11+'01_Доходи'!K58*Законод!$G$11,IF(B53="Лікар-педіатр",G58*Законод!$C$11+'01_Доходи'!H58*Законод!$D$11,IF(B53="Лікар-терапевт",'01_Доходи'!I58*Законод!$E$11+'01_Доходи'!J58*Законод!$F$11+'01_Доходи'!K58*Законод!$G$11,0)))</f>
        <v>265338.4216375</v>
      </c>
      <c r="AO58" s="210">
        <f ca="1">IF(B53="Лікар загальної практики - сімейний лікар",N58*Законод!$C$11+'01_Доходи'!O58*Законод!$D$11+'01_Доходи'!P58*Законод!$E$11+'01_Доходи'!Q58*Законод!$F$11+'01_Доходи'!R58*Законод!$G$11,IF(B53="Лікар-педіатр",N58*Законод!$C$11+'01_Доходи'!O58*Законод!$D$11,IF(B53="Лікар-терапевт",'01_Доходи'!P58*Законод!$E$11+'01_Доходи'!Q58*Законод!$F$11+'01_Доходи'!R58*Законод!$G$11,0)))</f>
        <v>265338.4216375</v>
      </c>
      <c r="AP58" s="210">
        <f ca="1">IF(B53="Лікар загальної практики - сімейний лікар",U58*Законод!$C$11+'01_Доходи'!V58*Законод!$D$11+'01_Доходи'!W58*Законод!$E$11+'01_Доходи'!X58*Законод!$F$11+'01_Доходи'!Y58*Законод!$G$11,IF(B53="Лікар-педіатр",U58*Законод!$C$11+'01_Доходи'!V58*Законод!$D$11,IF(B53="Лікар-терапевт",'01_Доходи'!W58*Законод!$E$11+'01_Доходи'!X58*Законод!$F$11+'01_Доходи'!Y58*Законод!$G$11,0)))</f>
        <v>265338.4216375</v>
      </c>
      <c r="AQ58" s="210">
        <f ca="1">IF(B53="Лікар загальної практики - сімейний лікар",AB58*Законод!$C$11+'01_Доходи'!AC58*Законод!$D$11+'01_Доходи'!AD58*Законод!$E$11+'01_Доходи'!AE58*Законод!$F$11+'01_Доходи'!AF58*Законод!$G$11,IF(B53="Лікар-педіатр",AB58*Законод!$C$11+'01_Доходи'!AC58*Законод!$D$11,IF(B53="Лікар-терапевт",'01_Доходи'!AD58*Законод!$E$11+'01_Доходи'!AE58*Законод!$F$11+'01_Доходи'!AF58*Законод!$G$11,0)))</f>
        <v>265338.4216375</v>
      </c>
      <c r="AR58" s="211">
        <f t="shared" ref="AR58:AR64" si="3">SUM(AN58:AQ58)</f>
        <v>1061353.68655</v>
      </c>
    </row>
    <row r="59" spans="1:44" s="50" customFormat="1" ht="31.9" customHeight="1">
      <c r="A59" s="197"/>
      <c r="B59" s="941"/>
      <c r="C59" s="942"/>
      <c r="D59" s="943"/>
      <c r="E59" s="943"/>
      <c r="F59" s="238" t="str">
        <f ca="1">IF(B53="Лікар-педіатр",Законод!$E$17,IF(B53="Лікар загальної практики - сімейний лікар",Законод!$E$21,IF(B53="Лікар-терапевт",Законод!$E$25,"х")))</f>
        <v>понад ліміт (1801-1980)</v>
      </c>
      <c r="G59" s="940" t="s">
        <v>346</v>
      </c>
      <c r="H59" s="940"/>
      <c r="I59" s="940"/>
      <c r="J59" s="940"/>
      <c r="K59" s="940"/>
      <c r="L59" s="196">
        <f ca="1">IF($B$53="Лікар загальної практики - сімейний лікар",IF(L57&lt;Законод!$C$22,0,(IF(AND(L57&gt;=Законод!$E$22,L57&lt;=Законод!$E$23),L57-Законод!$C$22,IF('01_Доходи'!L57&gt;=Законод!$F$22,Законод!$E$24,0)))),IF($B$53="Лікар-педіатр",IF(L57&lt;Законод!$C$18,0,(IF(AND(L57&gt;=Законод!$E$18,L57&lt;=Законод!$E$19),L57-Законод!$C$18,IF('01_Доходи'!L57&gt;=Законод!$F$18,Законод!$E$20,0)))),IF($B$53="Лікар-терапевт",IF(L57&lt;Законод!$C$26,0,(IF(AND(L57&gt;=Законод!$E$26,L57&lt;=Законод!$E$27),L57-Законод!$C$26,IF('01_Доходи'!L57&gt;=Законод!$F$26,Законод!$E$28,0)))),0)))</f>
        <v>0</v>
      </c>
      <c r="M59" s="945"/>
      <c r="N59" s="940" t="s">
        <v>346</v>
      </c>
      <c r="O59" s="940"/>
      <c r="P59" s="940"/>
      <c r="Q59" s="940"/>
      <c r="R59" s="940"/>
      <c r="S59" s="196">
        <f ca="1">IF($B$53="Лікар загальної практики - сімейний лікар",IF(S57&lt;Законод!$C$22,0,(IF(AND(S57&gt;=Законод!$E$22,S57&lt;=Законод!$E$23),S57-Законод!$C$22,IF('01_Доходи'!S57&gt;=Законод!$F$22,Законод!$E$24,0)))),IF($B$53="Лікар-педіатр",IF(S57&lt;Законод!$C$18,0,(IF(AND(S57&gt;=Законод!$E$18,S57&lt;=Законод!$E$19),S57-Законод!$C$18,IF('01_Доходи'!S57&gt;=Законод!$F$18,Законод!$E$20,0)))),IF($B$53="Лікар-терапевт",IF(S57&lt;Законод!$C$26,0,(IF(AND(S57&gt;=Законод!$E$26,S57&lt;=Законод!$E$27),S57-Законод!$C$26,IF('01_Доходи'!S57&gt;=Законод!$F$26,Законод!$E$28,0)))),0)))</f>
        <v>0</v>
      </c>
      <c r="T59" s="945"/>
      <c r="U59" s="940" t="s">
        <v>346</v>
      </c>
      <c r="V59" s="940"/>
      <c r="W59" s="940"/>
      <c r="X59" s="940"/>
      <c r="Y59" s="940"/>
      <c r="Z59" s="196">
        <f ca="1">IF($B$53="Лікар загальної практики - сімейний лікар",IF(Z57&lt;Законод!$C$22,0,(IF(AND(Z57&gt;=Законод!$E$22,Z57&lt;=Законод!$E$23),Z57-Законод!$C$22,IF('01_Доходи'!Z57&gt;=Законод!$F$22,Законод!$E$24,0)))),IF($B$53="Лікар-педіатр",IF(Z57&lt;Законод!$C$18,0,(IF(AND(Z57&gt;=Законод!$E$18,Z57&lt;=Законод!$E$19),Z57-Законод!$C$18,IF('01_Доходи'!Z57&gt;=Законод!$F$18,Законод!$E$20,0)))),IF($B$53="Лікар-терапевт",IF(Z57&lt;Законод!$C$26,0,(IF(AND(Z57&gt;=Законод!$E$26,Z57&lt;=Законод!$E$27),Z57-Законод!$C$26,IF('01_Доходи'!Z57&gt;=Законод!$F$26,Законод!$E$28,0)))),0)))</f>
        <v>0</v>
      </c>
      <c r="AA59" s="945"/>
      <c r="AB59" s="940" t="s">
        <v>346</v>
      </c>
      <c r="AC59" s="940"/>
      <c r="AD59" s="940"/>
      <c r="AE59" s="940"/>
      <c r="AF59" s="940"/>
      <c r="AG59" s="196">
        <f ca="1">IF($B$53="Лікар загальної практики - сімейний лікар",IF(AG57&lt;Законод!$C$22,0,(IF(AND(AG57&gt;=Законод!$E$22,AG57&lt;=Законод!$E$23),AG57-Законод!$C$22,IF('01_Доходи'!AG57&gt;=Законод!$F$22,Законод!$E$24,0)))),IF($B$53="Лікар-педіатр",IF(AG57&lt;Законод!$C$18,0,(IF(AND(AG57&gt;=Законод!$E$18,AG57&lt;=Законод!$E$19),AG57-Законод!$C$18,IF('01_Доходи'!AG57&gt;=Законод!$F$18,Законод!$E$20,0)))),IF($B$53="Лікар-терапевт",IF(AG57&lt;Законод!$C$26,0,(IF(AND(AG57&gt;=Законод!$E$26,AG57&lt;=Законод!$E$27),AG57-Законод!$C$26,IF('01_Доходи'!AG57&gt;=Законод!$F$26,Законод!$E$28,0)))),0)))</f>
        <v>0</v>
      </c>
      <c r="AH59" s="945"/>
      <c r="AI59" s="201"/>
      <c r="AJ59" s="933"/>
      <c r="AK59" s="927"/>
      <c r="AL59" s="927"/>
      <c r="AM59" s="898" t="s">
        <v>375</v>
      </c>
      <c r="AN59" s="210">
        <f ca="1">IF(B53="Лікар загальної практики - сімейний лікар",L59*Законод!$C$9/4*Законод!$E$16,IF(B53="Лікар-педіатр",L59*Законод!$C$9/4*Законод!$E$16,IF(B53="Лікар-терапевт",L59*Законод!$C$9/4*Законод!$E$16,0)))</f>
        <v>0</v>
      </c>
      <c r="AO59" s="210">
        <f ca="1">IF(B53="Лікар загальної практики - сімейний лікар",S59*Законод!$C$9/4*Законод!$E$16,IF(B53="Лікар-педіатр",S59*Законод!$C$9/4*Законод!$E$16,IF(B53="Лікар-терапевт",S59*Законод!$C$9/4*Законод!$E$16,0)))</f>
        <v>0</v>
      </c>
      <c r="AP59" s="210">
        <f ca="1">IF(B53="Лікар загальної практики - сімейний лікар",Z59*Законод!$C$9/4*Законод!$E$16,IF(B53="Лікар-педіатр",Z59*Законод!$C$9/4*Законод!$E$16,IF(B53="Лікар-терапевт",Z59*Законод!$C$9/4*Законод!$E$16,0)))</f>
        <v>0</v>
      </c>
      <c r="AQ59" s="210">
        <f ca="1">IF(B53="Лікар загальної практики - сімейний лікар",AG59*Законод!$C$9/4*Законод!$E$16,IF(B53="Лікар-педіатр",AG59*Законод!$C$9/4*Законод!$E$16,IF(B53="Лікар-терапевт",AG59*Законод!$C$9/4*Законод!$E$16,0)))</f>
        <v>0</v>
      </c>
      <c r="AR59" s="211">
        <f t="shared" si="3"/>
        <v>0</v>
      </c>
    </row>
    <row r="60" spans="1:44" s="50" customFormat="1" ht="31.9" customHeight="1">
      <c r="A60" s="197"/>
      <c r="B60" s="941"/>
      <c r="C60" s="942"/>
      <c r="D60" s="943"/>
      <c r="E60" s="943"/>
      <c r="F60" s="238" t="str">
        <f ca="1">IF(B53="Лікар-педіатр",Законод!$F$17,IF(B53="Лікар загальної практики - сімейний лікар",Законод!$F$21,IF(B53="Лікар-терапевт",Законод!$F$25,"х")))</f>
        <v>понад ліміт (1981-2160)</v>
      </c>
      <c r="G60" s="940" t="s">
        <v>346</v>
      </c>
      <c r="H60" s="940"/>
      <c r="I60" s="940"/>
      <c r="J60" s="940"/>
      <c r="K60" s="940"/>
      <c r="L60" s="196">
        <f ca="1">IF($B$53="Лікар загальної практики - сімейний лікар",IF(L57&lt;Законод!$C$22,0,(IF(AND(L57&gt;=Законод!$F$22,L57&lt;=Законод!$F$23),L57-Законод!$E$23,IF('01_Доходи'!L57&gt;=Законод!$G$22,Законод!$F$24,0)))),IF($B$53="Лікар-педіатр",IF(L57&lt;Законод!$C$18,0,(IF(AND(L57&gt;=Законод!$F$18,L57&lt;=Законод!$F$19),L57-Законод!$E$19,IF('01_Доходи'!L57&gt;=Законод!$G$18,Законод!$F$20,0)))),IF($B$53="Лікар-терапевт",IF(L57&lt;Законод!$C$26,0,(IF(AND(L57&gt;=Законод!$F$26,L57&lt;=Законод!$F$27),L57-Законод!$E$27,IF('01_Доходи'!L57&gt;=Законод!$G$26,Законод!$F$28,0)))),0)))</f>
        <v>0</v>
      </c>
      <c r="M60" s="945"/>
      <c r="N60" s="940" t="s">
        <v>346</v>
      </c>
      <c r="O60" s="940"/>
      <c r="P60" s="940"/>
      <c r="Q60" s="940"/>
      <c r="R60" s="940"/>
      <c r="S60" s="196">
        <f ca="1">IF($B$53="Лікар загальної практики - сімейний лікар",IF(S57&lt;Законод!$C$22,0,(IF(AND(S57&gt;=Законод!$F$22,S57&lt;=Законод!$F$23),S57-Законод!$E$23,IF('01_Доходи'!S57&gt;=Законод!$G$22,Законод!$F$24,0)))),IF($B$53="Лікар-педіатр",IF(S57&lt;Законод!$C$18,0,(IF(AND(S57&gt;=Законод!$F$18,S57&lt;=Законод!$F$19),S57-Законод!$E$19,IF('01_Доходи'!S57&gt;=Законод!$G$18,Законод!$F$20,0)))),IF($B$53="Лікар-терапевт",IF(S57&lt;Законод!$C$26,0,(IF(AND(S57&gt;=Законод!$F$26,S57&lt;=Законод!$F$27),S57-Законод!$E$27,IF('01_Доходи'!S57&gt;=Законод!$G$26,Законод!$F$28,0)))),0)))</f>
        <v>0</v>
      </c>
      <c r="T60" s="945"/>
      <c r="U60" s="940" t="s">
        <v>346</v>
      </c>
      <c r="V60" s="940"/>
      <c r="W60" s="940"/>
      <c r="X60" s="940"/>
      <c r="Y60" s="940"/>
      <c r="Z60" s="196">
        <f ca="1">IF($B$53="Лікар загальної практики - сімейний лікар",IF(Z57&lt;Законод!$C$22,0,(IF(AND(Z57&gt;=Законод!$F$22,Z57&lt;=Законод!$F$23),Z57-Законод!$E$23,IF('01_Доходи'!Z57&gt;=Законод!$G$22,Законод!$F$24,0)))),IF($B$53="Лікар-педіатр",IF(Z57&lt;Законод!$C$18,0,(IF(AND(Z57&gt;=Законод!$F$18,Z57&lt;=Законод!$F$19),Z57-Законод!$E$19,IF('01_Доходи'!Z57&gt;=Законод!$G$18,Законод!$F$20,0)))),IF($B$53="Лікар-терапевт",IF(Z57&lt;Законод!$C$26,0,(IF(AND(Z57&gt;=Законод!$F$26,Z57&lt;=Законод!$F$27),Z57-Законод!$E$27,IF('01_Доходи'!Z57&gt;=Законод!$G$26,Законод!$F$28,0)))),0)))</f>
        <v>0</v>
      </c>
      <c r="AA60" s="945"/>
      <c r="AB60" s="940" t="s">
        <v>346</v>
      </c>
      <c r="AC60" s="940"/>
      <c r="AD60" s="940"/>
      <c r="AE60" s="940"/>
      <c r="AF60" s="940"/>
      <c r="AG60" s="196">
        <f ca="1">IF($B$53="Лікар загальної практики - сімейний лікар",IF(AG57&lt;Законод!$C$22,0,(IF(AND(AG57&gt;=Законод!$F$22,AG57&lt;=Законод!$F$23),AG57-Законод!$E$23,IF('01_Доходи'!AG57&gt;=Законод!$G$22,Законод!$F$24,0)))),IF($B$53="Лікар-педіатр",IF(AG57&lt;Законод!$C$18,0,(IF(AND(AG57&gt;=Законод!$F$18,AG57&lt;=Законод!$F$19),AG57-Законод!$E$19,IF('01_Доходи'!AG57&gt;=Законод!$G$18,Законод!$F$20,0)))),IF($B$53="Лікар-терапевт",IF(AG57&lt;Законод!$C$26,0,(IF(AND(AG57&gt;=Законод!$F$26,AG57&lt;=Законод!$F$27),AG57-Законод!$E$27,IF('01_Доходи'!AG57&gt;=Законод!$G$26,Законод!$F$28,0)))),0)))</f>
        <v>0</v>
      </c>
      <c r="AH60" s="945"/>
      <c r="AI60" s="201"/>
      <c r="AJ60" s="933"/>
      <c r="AK60" s="927"/>
      <c r="AL60" s="927"/>
      <c r="AM60" s="899"/>
      <c r="AN60" s="210">
        <f ca="1">IF(B53="Лікар загальної практики - сімейний лікар",L60*Законод!$C$9/4*Законод!$F$16,IF(B53="Лікар-педіатр",L60*Законод!$C$9/4*Законод!$F$16,IF(B53="Лікар-терапевт",L60*Законод!$C$9/4*Законод!$F$16,0)))</f>
        <v>0</v>
      </c>
      <c r="AO60" s="210">
        <f ca="1">IF(B53="Лікар загальної практики - сімейний лікар",S60*Законод!$C$9/4*Законод!$F$16,IF(B53="Лікар-педіатр",S60*Законод!$C$9/4*Законод!$F$16,IF(B53="Лікар-терапевт",S60*Законод!$C$9/4*Законод!$F$16,0)))</f>
        <v>0</v>
      </c>
      <c r="AP60" s="210">
        <f ca="1">IF(B53="Лікар загальної практики - сімейний лікар",Z60*Законод!$C$9/4*Законод!$F$16,IF(B53="Лікар-педіатр",Z60*Законод!$C$9/4*Законод!$F$16,IF(B53="Лікар-терапевт",Z60*Законод!$C$9/4*Законод!$F$16,0)))</f>
        <v>0</v>
      </c>
      <c r="AQ60" s="210">
        <f ca="1">IF(B53="Лікар загальної практики - сімейний лікар",AG60*Законод!$C$9/4*Законод!$F$16,IF(B53="Лікар-педіатр",AG60*Законод!$C$9/4*Законод!$F$16,IF(B53="Лікар-терапевт",AG60*Законод!$C$9/4*Законод!$F$16,0)))</f>
        <v>0</v>
      </c>
      <c r="AR60" s="211">
        <f t="shared" si="3"/>
        <v>0</v>
      </c>
    </row>
    <row r="61" spans="1:44" s="50" customFormat="1" ht="31.9" customHeight="1">
      <c r="A61" s="197"/>
      <c r="B61" s="941"/>
      <c r="C61" s="942"/>
      <c r="D61" s="943"/>
      <c r="E61" s="943"/>
      <c r="F61" s="238" t="str">
        <f ca="1">IF(B53="Лікар-педіатр",Законод!$G$17,IF(B53="Лікар загальної практики - сімейний лікар",Законод!$G$21,IF(B53="Лікар-терапевт",Законод!$G$25,"х")))</f>
        <v>понад ліміт (2161-2340)</v>
      </c>
      <c r="G61" s="940" t="s">
        <v>346</v>
      </c>
      <c r="H61" s="940"/>
      <c r="I61" s="940"/>
      <c r="J61" s="940"/>
      <c r="K61" s="940"/>
      <c r="L61" s="196">
        <f ca="1">IF($B$53="Лікар загальної практики - сімейний лікар",IF(L57&lt;Законод!$C$22,0,(IF(AND(L57&gt;=Законод!$G$22,L57&lt;=Законод!$G$23),L57-Законод!$F$23,IF('01_Доходи'!L57&gt;=Законод!$H$22,Законод!$G$24,0)))),IF($B$53="Лікар-педіатр",IF(L57&lt;Законод!$C$18,0,(IF(AND(L57&gt;=Законод!$G$18,L57&lt;=Законод!$G$19),L57-Законод!$F$19,IF('01_Доходи'!L57&gt;=Законод!$H$18,Законод!$G$20,0)))),IF($B$53="Лікар-терапевт",IF(L57&lt;Законод!$C$26,0,(IF(AND(L57&gt;=Законод!$G$26,L57&lt;=Законод!$G$27),L57-Законод!$F$27,IF('01_Доходи'!L57&gt;=Законод!$H$26,Законод!$G$28,0)))),0)))</f>
        <v>0</v>
      </c>
      <c r="M61" s="945"/>
      <c r="N61" s="940" t="s">
        <v>346</v>
      </c>
      <c r="O61" s="940"/>
      <c r="P61" s="940"/>
      <c r="Q61" s="940"/>
      <c r="R61" s="940"/>
      <c r="S61" s="196">
        <f ca="1">IF($B$53="Лікар загальної практики - сімейний лікар",IF(S57&lt;Законод!$C$22,0,(IF(AND(S57&gt;=Законод!$G$22,S57&lt;=Законод!$G$23),S57-Законод!$F$23,IF('01_Доходи'!S57&gt;=Законод!$H$22,Законод!$G$24,0)))),IF($B$53="Лікар-педіатр",IF(S57&lt;Законод!$C$18,0,(IF(AND(S57&gt;=Законод!$G$18,S57&lt;=Законод!$G$19),S57-Законод!$F$19,IF('01_Доходи'!S57&gt;=Законод!$H$18,Законод!$G$20,0)))),IF($B$53="Лікар-терапевт",IF(S57&lt;Законод!$C$26,0,(IF(AND(S57&gt;=Законод!$G$26,S57&lt;=Законод!$G$27),S57-Законод!$F$27,IF('01_Доходи'!S57&gt;=Законод!$H$26,Законод!$G$28,0)))),0)))</f>
        <v>0</v>
      </c>
      <c r="T61" s="945"/>
      <c r="U61" s="940" t="s">
        <v>346</v>
      </c>
      <c r="V61" s="940"/>
      <c r="W61" s="940"/>
      <c r="X61" s="940"/>
      <c r="Y61" s="940"/>
      <c r="Z61" s="196">
        <f ca="1">IF($B$53="Лікар загальної практики - сімейний лікар",IF(Z57&lt;Законод!$C$22,0,(IF(AND(Z57&gt;=Законод!$G$22,Z57&lt;=Законод!$G$23),Z57-Законод!$F$23,IF('01_Доходи'!Z57&gt;=Законод!$H$22,Законод!$G$24,0)))),IF($B$53="Лікар-педіатр",IF(Z57&lt;Законод!$C$18,0,(IF(AND(Z57&gt;=Законод!$G$18,Z57&lt;=Законод!$G$19),Z57-Законод!$F$19,IF('01_Доходи'!Z57&gt;=Законод!$H$18,Законод!$G$20,0)))),IF($B$53="Лікар-терапевт",IF(Z57&lt;Законод!$C$26,0,(IF(AND(Z57&gt;=Законод!$G$26,Z57&lt;=Законод!$G$27),Z57-Законод!$F$27,IF('01_Доходи'!Z57&gt;=Законод!$H$26,Законод!$G$28,0)))),0)))</f>
        <v>0</v>
      </c>
      <c r="AA61" s="945"/>
      <c r="AB61" s="940" t="s">
        <v>346</v>
      </c>
      <c r="AC61" s="940"/>
      <c r="AD61" s="940"/>
      <c r="AE61" s="940"/>
      <c r="AF61" s="940"/>
      <c r="AG61" s="196">
        <f ca="1">IF($B$53="Лікар загальної практики - сімейний лікар",IF(AG57&lt;Законод!$C$22,0,(IF(AND(AG57&gt;=Законод!$G$22,AG57&lt;=Законод!$G$23),AG57-Законод!$F$23,IF('01_Доходи'!AG57&gt;=Законод!$H$22,Законод!$G$24,0)))),IF($B$53="Лікар-педіатр",IF(AG57&lt;Законод!$C$18,0,(IF(AND(AG57&gt;=Законод!$G$18,AG57&lt;=Законод!$G$19),AG57-Законод!$F$19,IF('01_Доходи'!AG57&gt;=Законод!$H$18,Законод!$G$20,0)))),IF($B$53="Лікар-терапевт",IF(AG57&lt;Законод!$C$26,0,(IF(AND(AG57&gt;=Законод!$G$26,AG57&lt;=Законод!$G$27),AG57-Законод!$F$27,IF('01_Доходи'!AG57&gt;=Законод!$H$26,Законод!$G$28,0)))),0)))</f>
        <v>0</v>
      </c>
      <c r="AH61" s="945"/>
      <c r="AI61" s="201"/>
      <c r="AJ61" s="933"/>
      <c r="AK61" s="927"/>
      <c r="AL61" s="927"/>
      <c r="AM61" s="899"/>
      <c r="AN61" s="210">
        <f ca="1">IF(B53="Лікар загальної практики - сімейний лікар",L61*Законод!$C$9/4*Законод!$G$16,IF(B53="Лікар-педіатр",L61*Законод!$C$9/4*Законод!$G$16,IF(B53="Лікар-терапевт",L61*Законод!$C$9/4*Законод!$G$16,0)))</f>
        <v>0</v>
      </c>
      <c r="AO61" s="210">
        <f ca="1">IF(B53="Лікар загальної практики - сімейний лікар",S61*Законод!$C$9/4*Законод!$G$16,IF(B53="Лікар-педіатр",S61*Законод!$C$9/4*Законод!$G$16,IF(B53="Лікар-терапевт",S61*Законод!$C$9/4*Законод!$G$16,0)))</f>
        <v>0</v>
      </c>
      <c r="AP61" s="210">
        <f ca="1">IF(B53="Лікар загальної практики - сімейний лікар",Z61*Законод!$C$9/4*Законод!$G$16,IF(B53="Лікар-педіатр",Z61*Законод!$C$9/4*Законод!$G$16,IF(B53="Лікар-терапевт",Z61*Законод!$C$9/4*Законод!$G$16,0)))</f>
        <v>0</v>
      </c>
      <c r="AQ61" s="210">
        <f ca="1">IF(B53="Лікар загальної практики - сімейний лікар",AG61*Законод!$C$9/4*Законод!$G$16,IF(B53="Лікар-педіатр",AG61*Законод!$C$9/4*Законод!$G$16,IF(B53="Лікар-терапевт",AG61*Законод!$C$9/4*Законод!$G$16,0)))</f>
        <v>0</v>
      </c>
      <c r="AR61" s="211">
        <f t="shared" si="3"/>
        <v>0</v>
      </c>
    </row>
    <row r="62" spans="1:44" s="50" customFormat="1" ht="31.9" customHeight="1">
      <c r="A62" s="197"/>
      <c r="B62" s="941"/>
      <c r="C62" s="942"/>
      <c r="D62" s="943"/>
      <c r="E62" s="943"/>
      <c r="F62" s="238" t="str">
        <f ca="1">IF(B53="Лікар-педіатр",Законод!$H$17,IF(B53="Лікар загальної практики - сімейний лікар",Законод!$H$21,IF(B53="Лікар-терапевт",Законод!$H$25,"х")))</f>
        <v>понад ліміт (2341-2520)</v>
      </c>
      <c r="G62" s="940" t="s">
        <v>346</v>
      </c>
      <c r="H62" s="940"/>
      <c r="I62" s="940"/>
      <c r="J62" s="940"/>
      <c r="K62" s="940"/>
      <c r="L62" s="196">
        <f ca="1">IF($B$53="Лікар загальної практики - сімейний лікар",IF(L57&lt;Законод!$C$22,0,(IF(AND(L57&gt;=Законод!$H$22,L57&lt;=Законод!$H$23),L57-Законод!$G$23,IF('01_Доходи'!L57&gt;=Законод!$I$22,Законод!$H$24,0)))),IF($B$53="Лікар-педіатр",IF(L57&lt;Законод!$C$18,0,(IF(AND(L57&gt;=Законод!$H$18,L57&lt;=Законод!$H$19),L57-Законод!$G$19,IF('01_Доходи'!L57&gt;=Законод!$I$18,Законод!$H$20,0)))),IF($B$53="Лікар-терапевт",IF(L57&lt;Законод!$C$26,0,(IF(AND(L57&gt;=Законод!$H$26,L57&lt;=Законод!$H$27),L57-Законод!$G$27,IF(L57&gt;=Законод!$I$26,Законод!$H$28,0)))),0)))</f>
        <v>0</v>
      </c>
      <c r="M62" s="945"/>
      <c r="N62" s="940" t="s">
        <v>346</v>
      </c>
      <c r="O62" s="940"/>
      <c r="P62" s="940"/>
      <c r="Q62" s="940"/>
      <c r="R62" s="940"/>
      <c r="S62" s="196">
        <f ca="1">IF($B$53="Лікар загальної практики - сімейний лікар",IF(S57&lt;Законод!$C$22,0,(IF(AND(S57&gt;=Законод!$H$22,S57&lt;=Законод!$H$23),S57-Законод!$G$23,IF('01_Доходи'!S57&gt;=Законод!$I$22,Законод!$H$24,0)))),IF($B$53="Лікар-педіатр",IF(S57&lt;Законод!$C$18,0,(IF(AND(S57&gt;=Законод!$H$18,S57&lt;=Законод!$H$19),S57-Законод!$G$19,IF('01_Доходи'!S57&gt;=Законод!$I$18,Законод!$H$20,0)))),IF($B$53="Лікар-терапевт",IF(S57&lt;Законод!$C$26,0,(IF(AND(S57&gt;=Законод!$H$26,S57&lt;=Законод!$H$27),S57-Законод!$G$27,IF(S57&gt;=Законод!$I$26,Законод!$H$28,0)))),0)))</f>
        <v>0</v>
      </c>
      <c r="T62" s="945"/>
      <c r="U62" s="940" t="s">
        <v>346</v>
      </c>
      <c r="V62" s="940"/>
      <c r="W62" s="940"/>
      <c r="X62" s="940"/>
      <c r="Y62" s="940"/>
      <c r="Z62" s="196">
        <f ca="1">IF($B$53="Лікар загальної практики - сімейний лікар",IF(Z57&lt;Законод!$C$22,0,(IF(AND(Z57&gt;=Законод!$H$22,Z57&lt;=Законод!$H$23),Z57-Законод!$G$23,IF('01_Доходи'!Z57&gt;=Законод!$I$22,Законод!$H$24,0)))),IF($B$53="Лікар-педіатр",IF(Z57&lt;Законод!$C$18,0,(IF(AND(Z57&gt;=Законод!$H$18,Z57&lt;=Законод!$H$19),Z57-Законод!$G$19,IF('01_Доходи'!Z57&gt;=Законод!$I$18,Законод!$H$20,0)))),IF($B$53="Лікар-терапевт",IF(Z57&lt;Законод!$C$26,0,(IF(AND(Z57&gt;=Законод!$H$26,Z57&lt;=Законод!$H$27),Z57-Законод!$G$27,IF(Z57&gt;=Законод!$I$26,Законод!$H$28,0)))),0)))</f>
        <v>0</v>
      </c>
      <c r="AA62" s="945"/>
      <c r="AB62" s="940" t="s">
        <v>346</v>
      </c>
      <c r="AC62" s="940"/>
      <c r="AD62" s="940"/>
      <c r="AE62" s="940"/>
      <c r="AF62" s="940"/>
      <c r="AG62" s="196">
        <f ca="1">IF($B$53="Лікар загальної практики - сімейний лікар",IF(AG57&lt;Законод!$C$22,0,(IF(AND(AG57&gt;=Законод!$H$22,AG57&lt;=Законод!$H$23),AG57-Законод!$G$23,IF('01_Доходи'!AG57&gt;=Законод!$I$22,Законод!$H$24,0)))),IF($B$53="Лікар-педіатр",IF(AG57&lt;Законод!$C$18,0,(IF(AND(AG57&gt;=Законод!$H$18,AG57&lt;=Законод!$H$19),AG57-Законод!$G$19,IF('01_Доходи'!AG57&gt;=Законод!$I$18,Законод!$H$20,0)))),IF($B$53="Лікар-терапевт",IF(AG57&lt;Законод!$C$26,0,(IF(AND(AG57&gt;=Законод!$H$26,AG57&lt;=Законод!$H$27),AG57-Законод!$G$27,IF(AG57&gt;=Законод!$I$26,Законод!$H$28,0)))),0)))</f>
        <v>0</v>
      </c>
      <c r="AH62" s="945"/>
      <c r="AI62" s="201"/>
      <c r="AJ62" s="933"/>
      <c r="AK62" s="927"/>
      <c r="AL62" s="927"/>
      <c r="AM62" s="899"/>
      <c r="AN62" s="210">
        <f ca="1">IF(B53="Лікар загальної практики - сімейний лікар",L62*Законод!$C$9/4*Законод!$H$16,IF(B53="Лікар-педіатр",L62*Законод!$C$9/4*Законод!$H$16,IF(B53="Лікар-терапевт",L62*Законод!$C$9/4*Законод!$H$16,0)))</f>
        <v>0</v>
      </c>
      <c r="AO62" s="210">
        <f ca="1">IF(B53="Лікар загальної практики - сімейний лікар",S62*Законод!$C$9/4*Законод!$H$16,IF(B53="Лікар-педіатр",S62*Законод!$C$9/4*Законод!$H$16,IF(B53="Лікар-терапевт",S62*Законод!$C$9/4*Законод!$H$16,0)))</f>
        <v>0</v>
      </c>
      <c r="AP62" s="210">
        <f ca="1">IF(B53="Лікар загальної практики - сімейний лікар",Z62*Законод!$C$9/4*Законод!$H$16,IF(B53="Лікар-педіатр",Z62*Законод!$C$9/4*Законод!$H$16,IF(B53="Лікар-терапевт",Z62*Законод!$C$9/4*Законод!$H$16,0)))</f>
        <v>0</v>
      </c>
      <c r="AQ62" s="210">
        <f ca="1">IF(B53="Лікар загальної практики - сімейний лікар",AG62*Законод!$C$9/4*Законод!$H$16,IF(B53="Лікар-педіатр",AG62*Законод!$C$9/4*Законод!$H$16,IF(B53="Лікар-терапевт",AG62*Законод!$C$9/4*Законод!$H$16,0)))</f>
        <v>0</v>
      </c>
      <c r="AR62" s="211">
        <f t="shared" si="3"/>
        <v>0</v>
      </c>
    </row>
    <row r="63" spans="1:44" s="50" customFormat="1" ht="31.9" customHeight="1">
      <c r="A63" s="197"/>
      <c r="B63" s="941"/>
      <c r="C63" s="942"/>
      <c r="D63" s="943"/>
      <c r="E63" s="943"/>
      <c r="F63" s="238" t="str">
        <f ca="1">IF(B53="Лікар-педіатр",Законод!$I$17,IF(B53="Лікар загальної практики - сімейний лікар",Законод!$I$21,IF(B53="Лікар-терапевт",Законод!$I$25,"х")))</f>
        <v>понад ліміт (2521-2700)</v>
      </c>
      <c r="G63" s="940" t="s">
        <v>346</v>
      </c>
      <c r="H63" s="940"/>
      <c r="I63" s="940"/>
      <c r="J63" s="940"/>
      <c r="K63" s="940"/>
      <c r="L63" s="196">
        <f ca="1">IF($B$53="Лікар загальної практики - сімейний лікар",IF(L57&lt;Законод!$C$22,0,(IF(AND(L57&gt;=Законод!$I$22,L57&lt;=Законод!$I$23),L57-Законод!$H$23,IF('01_Доходи'!L57&gt;=Законод!$I$22,Законод!$I$24,0)))),IF($B$53="Лікар-педіатр",IF(L57&lt;Законод!$C$18,0,(IF(AND(L57&gt;=Законод!$I$18,L57&lt;=Законод!$I$19),L57-Законод!$H$19,IF('01_Доходи'!L57&gt;=Законод!$I$18,Законод!$H$20,0)))),IF($B$53="Лікар-терапевт",IF(L57&lt;Законод!$C$26,0,(IF(AND(L57&gt;=Законод!$I$26,L57&lt;=Законод!$I$27),L57-Законод!$H$27,IF('01_Доходи'!L57&gt;=Законод!$I$26,Законод!$H$28,0)))),0)))</f>
        <v>0</v>
      </c>
      <c r="M63" s="945"/>
      <c r="N63" s="940" t="s">
        <v>346</v>
      </c>
      <c r="O63" s="940"/>
      <c r="P63" s="940"/>
      <c r="Q63" s="940"/>
      <c r="R63" s="940"/>
      <c r="S63" s="196">
        <f ca="1">IF($B$53="Лікар загальної практики - сімейний лікар",IF(S57&lt;Законод!$C$22,0,(IF(AND(S57&gt;=Законод!$I$22,S57&lt;=Законод!$I$23),S57-Законод!$H$23,IF('01_Доходи'!S57&gt;=Законод!$I$22,Законод!$I$24,0)))),IF($B$53="Лікар-педіатр",IF(S57&lt;Законод!$C$18,0,(IF(AND(S57&gt;=Законод!$I$18,S57&lt;=Законод!$I$19),S57-Законод!$H$19,IF('01_Доходи'!S57&gt;=Законод!$I$18,Законод!$H$20,0)))),IF($B$53="Лікар-терапевт",IF(S57&lt;Законод!$C$26,0,(IF(AND(S57&gt;=Законод!$I$26,S57&lt;=Законод!$I$27),S57-Законод!$H$27,IF('01_Доходи'!S57&gt;=Законод!$I$26,Законод!$H$28,0)))),0)))</f>
        <v>0</v>
      </c>
      <c r="T63" s="945"/>
      <c r="U63" s="940" t="s">
        <v>346</v>
      </c>
      <c r="V63" s="940"/>
      <c r="W63" s="940"/>
      <c r="X63" s="940"/>
      <c r="Y63" s="940"/>
      <c r="Z63" s="196">
        <f ca="1">IF($B$53="Лікар загальної практики - сімейний лікар",IF(Z57&lt;Законод!$C$22,0,(IF(AND(Z57&gt;=Законод!$I$22,Z57&lt;=Законод!$I$23),Z57-Законод!$H$23,IF('01_Доходи'!Z57&gt;=Законод!$I$22,Законод!$I$24,0)))),IF($B$53="Лікар-педіатр",IF(Z57&lt;Законод!$C$18,0,(IF(AND(Z57&gt;=Законод!$I$18,Z57&lt;=Законод!$I$19),Z57-Законод!$H$19,IF('01_Доходи'!Z57&gt;=Законод!$I$18,Законод!$H$20,0)))),IF($B$53="Лікар-терапевт",IF(Z57&lt;Законод!$C$26,0,(IF(AND(Z57&gt;=Законод!$I$26,Z57&lt;=Законод!$I$27),Z57-Законод!$H$27,IF('01_Доходи'!Z57&gt;=Законод!$I$26,Законод!$H$28,0)))),0)))</f>
        <v>0</v>
      </c>
      <c r="AA63" s="945"/>
      <c r="AB63" s="940" t="s">
        <v>346</v>
      </c>
      <c r="AC63" s="940"/>
      <c r="AD63" s="940"/>
      <c r="AE63" s="940"/>
      <c r="AF63" s="940"/>
      <c r="AG63" s="196">
        <f ca="1">IF($B$53="Лікар загальної практики - сімейний лікар",IF(AG57&lt;Законод!$C$22,0,(IF(AND(AG57&gt;=Законод!$I$22,AG57&lt;=Законод!$I$23),AG57-Законод!$H$23,IF('01_Доходи'!AG57&gt;=Законод!$I$22,Законод!$I$24,0)))),IF($B$53="Лікар-педіатр",IF(AG57&lt;Законод!$C$18,0,(IF(AND(AG57&gt;=Законод!$I$18,AG57&lt;=Законод!$I$19),AG57-Законод!$H$19,IF('01_Доходи'!AG57&gt;=Законод!$I$18,Законод!$H$20,0)))),IF($B$53="Лікар-терапевт",IF(AG57&lt;Законод!$C$26,0,(IF(AND(AG57&gt;=Законод!$I$26,AG57&lt;=Законод!$I$27),AG57-Законод!$H$27,IF('01_Доходи'!AG57&gt;=Законод!$I$26,Законод!$H$28,0)))),0)))</f>
        <v>0</v>
      </c>
      <c r="AH63" s="945"/>
      <c r="AI63" s="201"/>
      <c r="AJ63" s="933"/>
      <c r="AK63" s="927"/>
      <c r="AL63" s="927"/>
      <c r="AM63" s="899"/>
      <c r="AN63" s="210">
        <f ca="1">IF(B53="Лікар загальної практики - сімейний лікар",L63*Законод!$C$9/4*Законод!$I$16,IF(B53="Лікар-педіатр",L63*Законод!$C$9/4*Законод!$I$16,IF(B53="Лікар-терапевт",L63*Законод!$C$9/4*Законод!$I$16,0)))</f>
        <v>0</v>
      </c>
      <c r="AO63" s="210">
        <f ca="1">IF(B53="Лікар загальної практики - сімейний лікар",S63*Законод!$C$9/4*Законод!$I$16,IF(B53="Лікар-педіатр",S63*Законод!$C$9/4*Законод!$I$16,IF(B53="Лікар-терапевт",S63*Законод!$C$9/4*Законод!$I$16,0)))</f>
        <v>0</v>
      </c>
      <c r="AP63" s="210">
        <f ca="1">IF(B53="Лікар загальної практики - сімейний лікар",Z63*Законод!$C$9/4*Законод!$I$16,IF(B53="Лікар-педіатр",Z63*Законод!$C$9/4*Законод!$I$16,IF(B53="Лікар-терапевт",Z63*Законод!$C$9/4*Законод!$I$16,0)))</f>
        <v>0</v>
      </c>
      <c r="AQ63" s="210">
        <f ca="1">IF(B53="Лікар загальної практики - сімейний лікар",AG63*Законод!$C$9/4*Законод!$I$16,IF(B53="Лікар-педіатр",AG63*Законод!$C$9/4*Законод!$I$16,IF(B53="Лікар-терапевт",AG63*Законод!$C$9/4*Законод!$I$16,0)))</f>
        <v>0</v>
      </c>
      <c r="AR63" s="211">
        <f t="shared" si="3"/>
        <v>0</v>
      </c>
    </row>
    <row r="64" spans="1:44" s="218" customFormat="1" ht="31.9" customHeight="1" thickBot="1">
      <c r="A64" s="213"/>
      <c r="B64" s="941"/>
      <c r="C64" s="942"/>
      <c r="D64" s="943"/>
      <c r="E64" s="943"/>
      <c r="F64" s="239" t="str">
        <f ca="1">IF(B53="Лікар-педіатр",Законод!$J$17,IF(B53="Лікар загальної практики - сімейний лікар",Законод!$J$21,IF(B53="Лікар-терапевт",Законод!$J$25,"х")))</f>
        <v>понад ліміт (&gt;=2701)</v>
      </c>
      <c r="G64" s="939" t="s">
        <v>346</v>
      </c>
      <c r="H64" s="939"/>
      <c r="I64" s="939"/>
      <c r="J64" s="939"/>
      <c r="K64" s="939"/>
      <c r="L64" s="196">
        <f ca="1">IF($B$53="Лікар загальної практики - сімейний лікар",IF(L57&gt;=Законод!$J$22,'01_Доходи'!L57-('01_Доходи'!L58+'01_Доходи'!L59+'01_Доходи'!L60+'01_Доходи'!L61+'01_Доходи'!L62+'01_Доходи'!L63),0),IF($B$53="Лікар-педіатр",IF(L57&gt;=Законод!$J$18,'01_Доходи'!L57-('01_Доходи'!L58+'01_Доходи'!L59+'01_Доходи'!L60+'01_Доходи'!L61+'01_Доходи'!L62+'01_Доходи'!L63),0),IF($B$53="Лікар-терапевт",IF('01_Доходи'!L57&gt;=Законод!$J$26,L57-Законод!$I$27,0),0)))</f>
        <v>0</v>
      </c>
      <c r="M64" s="945"/>
      <c r="N64" s="939" t="s">
        <v>346</v>
      </c>
      <c r="O64" s="939"/>
      <c r="P64" s="939"/>
      <c r="Q64" s="939"/>
      <c r="R64" s="939"/>
      <c r="S64" s="196">
        <f ca="1">IF($B$53="Лікар загальної практики - сімейний лікар",IF(S57&gt;=Законод!$J$22,'01_Доходи'!S57-('01_Доходи'!S58+'01_Доходи'!S59+'01_Доходи'!S60+'01_Доходи'!S61+'01_Доходи'!S62+'01_Доходи'!S63),0),IF($B$53="Лікар-педіатр",IF(S57&gt;=Законод!$J$18,'01_Доходи'!S57-('01_Доходи'!S58+'01_Доходи'!S59+'01_Доходи'!S60+'01_Доходи'!S61+'01_Доходи'!S62+'01_Доходи'!S63),0),IF($B$53="Лікар-терапевт",IF('01_Доходи'!S57&gt;=Законод!$J$26,S57-Законод!$I$27,0),0)))</f>
        <v>0</v>
      </c>
      <c r="T64" s="945"/>
      <c r="U64" s="939" t="s">
        <v>346</v>
      </c>
      <c r="V64" s="939"/>
      <c r="W64" s="939"/>
      <c r="X64" s="939"/>
      <c r="Y64" s="939"/>
      <c r="Z64" s="196">
        <f ca="1">IF($B$53="Лікар загальної практики - сімейний лікар",IF(Z57&gt;=Законод!$J$22,'01_Доходи'!Z57-('01_Доходи'!Z58+'01_Доходи'!Z59+'01_Доходи'!Z60+'01_Доходи'!Z61+'01_Доходи'!Z62+'01_Доходи'!Z63),0),IF($B$53="Лікар-педіатр",IF(Z57&gt;=Законод!$J$18,'01_Доходи'!Z57-('01_Доходи'!Z58+'01_Доходи'!Z59+'01_Доходи'!Z60+'01_Доходи'!Z61+'01_Доходи'!Z62+'01_Доходи'!Z63),0),IF($B$53="Лікар-терапевт",IF('01_Доходи'!Z57&gt;=Законод!$J$26,Z57-Законод!$I$27,0),0)))</f>
        <v>0</v>
      </c>
      <c r="AA64" s="945"/>
      <c r="AB64" s="939" t="s">
        <v>346</v>
      </c>
      <c r="AC64" s="939"/>
      <c r="AD64" s="939"/>
      <c r="AE64" s="939"/>
      <c r="AF64" s="939"/>
      <c r="AG64" s="196">
        <f ca="1">IF($B$53="Лікар загальної практики - сімейний лікар",IF(AG57&gt;=Законод!$J$22,'01_Доходи'!AG57-('01_Доходи'!AG58+'01_Доходи'!AG59+'01_Доходи'!AG60+'01_Доходи'!AG61+'01_Доходи'!AG62+'01_Доходи'!AG63),0),IF($B$53="Лікар-педіатр",IF(AG57&gt;=Законод!$J$18,'01_Доходи'!AG57-('01_Доходи'!AG58+'01_Доходи'!AG59+'01_Доходи'!AG60+'01_Доходи'!AG61+'01_Доходи'!AG62+'01_Доходи'!AG63),0),IF($B$53="Лікар-терапевт",IF('01_Доходи'!AG57&gt;=Законод!$J$26,AG57-Законод!$I$27,0),0)))</f>
        <v>0</v>
      </c>
      <c r="AH64" s="945"/>
      <c r="AI64" s="215"/>
      <c r="AJ64" s="934"/>
      <c r="AK64" s="928"/>
      <c r="AL64" s="928"/>
      <c r="AM64" s="900"/>
      <c r="AN64" s="216">
        <f ca="1">IF(B53="Лікар загальної практики - сімейний лікар",L64*Законод!$C$9/4*Законод!$J$16,IF(B53="Лікар-педіатр",L64*Законод!$C$9/4*Законод!$J$16,IF(B53="Лікар-терапевт",L64*Законод!$C$9/4*Законод!$J$16,0)))</f>
        <v>0</v>
      </c>
      <c r="AO64" s="216">
        <f ca="1">IF(B53="Лікар загальної практики - сімейний лікар",S64*Законод!$C$9/4*Законод!$J$16,IF(B53="Лікар-педіатр",S64*Законод!$C$9/4*Законод!$J$16,IF(B53="Лікар-терапевт",S64*Законод!$C$9/4*Законод!$J$16,0)))</f>
        <v>0</v>
      </c>
      <c r="AP64" s="216">
        <f ca="1">IF(B53="Лікар загальної практики - сімейний лікар",S64*Законод!$C$9/4*Законод!$J$16,IF(B53="Лікар-педіатр",S64*Законод!$C$9/4*Законод!$J$16,IF(B53="Лікар-терапевт",S64*Законод!$C$9/4*Законод!$J$16,0)))</f>
        <v>0</v>
      </c>
      <c r="AQ64" s="216">
        <f ca="1">IF(B53="Лікар загальної практики - сімейний лікар",AG64*Законод!$C$9/4*Законод!$J$16,IF(B53="Лікар-педіатр",AG64*Законод!$C$9/4*Законод!$J$16,IF(B53="Лікар-терапевт",AG64*Законод!$C$9/4*Законод!$J$16,0)))</f>
        <v>0</v>
      </c>
      <c r="AR64" s="217">
        <f t="shared" si="3"/>
        <v>0</v>
      </c>
    </row>
    <row r="65" spans="1:44" s="233" customFormat="1" ht="18" customHeight="1" thickBot="1">
      <c r="A65" s="219"/>
      <c r="B65" s="220"/>
      <c r="C65" s="731"/>
      <c r="D65" s="222"/>
      <c r="E65" s="222"/>
      <c r="F65" s="223"/>
      <c r="G65" s="224"/>
      <c r="H65" s="224"/>
      <c r="I65" s="224"/>
      <c r="J65" s="224"/>
      <c r="K65" s="224"/>
      <c r="L65" s="225"/>
      <c r="M65" s="226"/>
      <c r="N65" s="224"/>
      <c r="O65" s="224"/>
      <c r="P65" s="224"/>
      <c r="Q65" s="224"/>
      <c r="R65" s="224"/>
      <c r="S65" s="225"/>
      <c r="T65" s="226"/>
      <c r="U65" s="224"/>
      <c r="V65" s="224"/>
      <c r="W65" s="224"/>
      <c r="X65" s="224"/>
      <c r="Y65" s="224"/>
      <c r="Z65" s="227"/>
      <c r="AA65" s="226"/>
      <c r="AB65" s="224"/>
      <c r="AC65" s="224"/>
      <c r="AD65" s="224"/>
      <c r="AE65" s="224"/>
      <c r="AF65" s="224"/>
      <c r="AG65" s="227"/>
      <c r="AH65" s="226"/>
      <c r="AI65" s="228"/>
      <c r="AJ65" s="229"/>
      <c r="AK65" s="229"/>
      <c r="AL65" s="229"/>
      <c r="AM65" s="230"/>
      <c r="AN65" s="231"/>
      <c r="AO65" s="231"/>
      <c r="AP65" s="231"/>
      <c r="AQ65" s="231"/>
      <c r="AR65" s="232"/>
    </row>
    <row r="66" spans="1:44" s="191" customFormat="1" ht="30" customHeight="1">
      <c r="A66" s="194">
        <f>A53+1</f>
        <v>3</v>
      </c>
      <c r="B66" s="941" t="s">
        <v>235</v>
      </c>
      <c r="C66" s="942" t="s">
        <v>68</v>
      </c>
      <c r="D66" s="943"/>
      <c r="E66" s="943" t="s">
        <v>69</v>
      </c>
      <c r="F66" s="234" t="s">
        <v>582</v>
      </c>
      <c r="G66" s="196">
        <f>IF($B$66="Лікар-педіатр",G69*L66,IF($B$66="Лікар-терапевт","х",IF($B$66="Лікар загальної практики - сімейний лікар",G69*L66,0)))</f>
        <v>23.853211009174313</v>
      </c>
      <c r="H66" s="196">
        <f>IF($B$66="Лікар-педіатр",H69*L66,IF($B$66="Лікар-терапевт","х",IF($B$66="Лікар загальної практики - сімейний лікар",H69*L66,0)))</f>
        <v>50.458715596330272</v>
      </c>
      <c r="I66" s="196">
        <f>IF($B$66="Лікар-педіатр","x",IF($B$66="Лікар-терапевт",I69*L66,IF($B$66="Лікар загальної практики - сімейний лікар",I69*L66,0)))</f>
        <v>88.073394495412856</v>
      </c>
      <c r="J66" s="196">
        <f>IF($B$66="Лікар-педіатр","x",IF($B$66="Лікар-терапевт",J69*L66,IF($B$66="Лікар загальної практики - сімейний лікар",J69*L66,0)))</f>
        <v>101.8348623853211</v>
      </c>
      <c r="K66" s="196">
        <f>IF($B$66="Лікар-педіатр","x",IF($B$66="Лікар-терапевт",K69*L66,IF($B$66="Лікар загальної практики - сімейний лікар",K69*L66,0)))</f>
        <v>35.779816513761467</v>
      </c>
      <c r="L66" s="558">
        <v>300</v>
      </c>
      <c r="M66" s="945">
        <v>1</v>
      </c>
      <c r="N66" s="196">
        <f>IF($B$66="Лікар-педіатр",N69*S66,IF($B$66="Лікар-терапевт","х",IF($B$66="Лікар загальної практики - сімейний лікар",N69*S66,0)))</f>
        <v>23.853211009174313</v>
      </c>
      <c r="O66" s="196">
        <f>IF($B$66="Лікар-педіатр",O69*S66,IF($B$66="Лікар-терапевт","х",IF($B$66="Лікар загальної практики - сімейний лікар",O69*S66,0)))</f>
        <v>50.458715596330272</v>
      </c>
      <c r="P66" s="196">
        <f>IF($B$66="Лікар-педіатр","x",IF($B$66="Лікар-терапевт",P69*S66,IF($B$66="Лікар загальної практики - сімейний лікар",P69*S66,0)))</f>
        <v>88.073394495412856</v>
      </c>
      <c r="Q66" s="196">
        <f>IF($B$66="Лікар-педіатр","x",IF($B$66="Лікар-терапевт",Q69*S66,IF($B$66="Лікар загальної практики - сімейний лікар",Q69*S66,0)))</f>
        <v>101.8348623853211</v>
      </c>
      <c r="R66" s="196">
        <f>IF($B$66="Лікар-педіатр","x",IF($B$66="Лікар-терапевт",R69*S66,IF($B$66="Лікар загальної практики - сімейний лікар",R69*S66,0)))</f>
        <v>35.779816513761467</v>
      </c>
      <c r="S66" s="558">
        <v>300</v>
      </c>
      <c r="T66" s="945">
        <v>1</v>
      </c>
      <c r="U66" s="196">
        <f>IF($B$66="Лікар-педіатр",U69*Z66,IF($B$66="Лікар-терапевт","х",IF($B$66="Лікар загальної практики - сімейний лікар",U69*Z66,0)))</f>
        <v>25.045871559633028</v>
      </c>
      <c r="V66" s="196">
        <f>IF($B$66="Лікар-педіатр",V69*Z66,IF($B$66="Лікар-терапевт","х",IF($B$66="Лікар загальної практики - сімейний лікар",V69*Z66,0)))</f>
        <v>52.981651376146786</v>
      </c>
      <c r="W66" s="196">
        <f>IF($B$66="Лікар-педіатр","x",IF($B$66="Лікар-терапевт",W69*Z66,IF($B$66="Лікар загальної практики - сімейний лікар",W69*Z66,0)))</f>
        <v>92.477064220183493</v>
      </c>
      <c r="X66" s="196">
        <f>IF($B$66="Лікар-педіатр","x",IF($B$66="Лікар-терапевт",X69*Z66,IF($B$66="Лікар загальної практики - сімейний лікар",X69*Z66,0)))</f>
        <v>106.92660550458716</v>
      </c>
      <c r="Y66" s="196">
        <f>IF($B$66="Лікар-педіатр","x",IF($B$66="Лікар-терапевт",Y69*Z66,IF($B$66="Лікар загальної практики - сімейний лікар",Y69*Z66,0)))</f>
        <v>37.568807339449542</v>
      </c>
      <c r="Z66" s="558">
        <v>315</v>
      </c>
      <c r="AA66" s="945">
        <v>1</v>
      </c>
      <c r="AB66" s="196">
        <v>19</v>
      </c>
      <c r="AC66" s="196">
        <v>51</v>
      </c>
      <c r="AD66" s="196">
        <v>117</v>
      </c>
      <c r="AE66" s="196">
        <v>135</v>
      </c>
      <c r="AF66" s="196">
        <v>45</v>
      </c>
      <c r="AG66" s="558">
        <f>AB66+AC66+AD66+AE66+AF66</f>
        <v>367</v>
      </c>
      <c r="AH66" s="945">
        <v>1</v>
      </c>
      <c r="AI66" s="541">
        <f>A66</f>
        <v>3</v>
      </c>
      <c r="AJ66" s="932" t="str">
        <f>B66</f>
        <v>Лікар загальної практики - сімейний лікар</v>
      </c>
      <c r="AK66" s="926" t="str">
        <f>C66</f>
        <v>Венедіктов Микола Михайлович</v>
      </c>
      <c r="AL66" s="926">
        <f>D66</f>
        <v>0</v>
      </c>
      <c r="AM66" s="901" t="s">
        <v>785</v>
      </c>
      <c r="AN66" s="923">
        <f>SUM(AN71:AN77)</f>
        <v>61918.774351911314</v>
      </c>
      <c r="AO66" s="923">
        <f>SUM(AO71:AO77)</f>
        <v>61918.774351911314</v>
      </c>
      <c r="AP66" s="923">
        <f>SUM(AP71:AP77)</f>
        <v>63693.51629193424</v>
      </c>
      <c r="AQ66" s="923">
        <f>SUM(AQ71:AQ77)</f>
        <v>67507.943050000002</v>
      </c>
      <c r="AR66" s="914">
        <f>SUM(AN66:AQ70)</f>
        <v>255039.00804575687</v>
      </c>
    </row>
    <row r="67" spans="1:44" s="50" customFormat="1" ht="28.15" customHeight="1">
      <c r="A67" s="197"/>
      <c r="B67" s="941"/>
      <c r="C67" s="942"/>
      <c r="D67" s="943"/>
      <c r="E67" s="943"/>
      <c r="F67" s="234" t="s">
        <v>583</v>
      </c>
      <c r="G67" s="196">
        <f>IF($B$66="Лікар-педіатр",G69*L67,IF($B$66="Лікар-терапевт","х",IF($B$66="Лікар загальної практики - сімейний лікар",G69*L67,0)))</f>
        <v>25.045871559633028</v>
      </c>
      <c r="H67" s="196">
        <f>IF($B$66="Лікар-педіатр",H69*L67,IF($B$66="Лікар-терапевт","х",IF($B$66="Лікар загальної практики - сімейний лікар",H69*L67,0)))</f>
        <v>52.981651376146786</v>
      </c>
      <c r="I67" s="196">
        <f>IF($B$66="Лікар-педіатр","x",IF($B$66="Лікар-терапевт",I69*L67,IF($B$66="Лікар загальної практики - сімейний лікар",I69*L67,0)))</f>
        <v>92.477064220183493</v>
      </c>
      <c r="J67" s="196">
        <f>IF($B$66="Лікар-педіатр","x",IF($B$66="Лікар-терапевт",J69*L67,IF($B$66="Лікар загальної практики - сімейний лікар",J69*L67,0)))</f>
        <v>106.92660550458716</v>
      </c>
      <c r="K67" s="196">
        <f>IF($B$66="Лікар-педіатр","x",IF($B$66="Лікар-терапевт",K69*L67,IF($B$66="Лікар загальної практики - сімейний лікар",K69*L67,0)))</f>
        <v>37.568807339449542</v>
      </c>
      <c r="L67" s="558">
        <v>315</v>
      </c>
      <c r="M67" s="945"/>
      <c r="N67" s="196">
        <f>IF($B$66="Лікар-педіатр",N69*S67,IF($B$66="Лікар-терапевт","х",IF($B$66="Лікар загальної практики - сімейний лікар",N69*S67,0)))</f>
        <v>25.045871559633028</v>
      </c>
      <c r="O67" s="196">
        <f>IF($B$66="Лікар-педіатр",O69*S67,IF($B$66="Лікар-терапевт","х",IF($B$66="Лікар загальної практики - сімейний лікар",O69*S67,0)))</f>
        <v>52.981651376146786</v>
      </c>
      <c r="P67" s="196">
        <f>IF($B$66="Лікар-педіатр","x",IF($B$66="Лікар-терапевт",P69*S67,IF($B$66="Лікар загальної практики - сімейний лікар",P69*S67,0)))</f>
        <v>92.477064220183493</v>
      </c>
      <c r="Q67" s="196">
        <f>IF($B$66="Лікар-педіатр","x",IF($B$66="Лікар-терапевт",Q69*S67,IF($B$66="Лікар загальної практики - сімейний лікар",Q69*S67,0)))</f>
        <v>106.92660550458716</v>
      </c>
      <c r="R67" s="196">
        <f>IF($B$66="Лікар-педіатр","x",IF($B$66="Лікар-терапевт",R69*S67,IF($B$66="Лікар загальної практики - сімейний лікар",R69*S67,0)))</f>
        <v>37.568807339449542</v>
      </c>
      <c r="S67" s="558">
        <v>315</v>
      </c>
      <c r="T67" s="945"/>
      <c r="U67" s="196">
        <f>IF($B$66="Лікар-педіатр",U69*Z67,IF($B$66="Лікар-терапевт","х",IF($B$66="Лікар загальної практики - сімейний лікар",U69*Z67,0)))</f>
        <v>26</v>
      </c>
      <c r="V67" s="196">
        <f>IF($B$66="Лікар-педіатр",V69*Z67,IF($B$66="Лікар-терапевт","х",IF($B$66="Лікар загальної практики - сімейний лікар",V69*Z67,0)))</f>
        <v>55</v>
      </c>
      <c r="W67" s="196">
        <f>IF($B$66="Лікар-педіатр","x",IF($B$66="Лікар-терапевт",W69*Z67,IF($B$66="Лікар загальної практики - сімейний лікар",W69*Z67,0)))</f>
        <v>96</v>
      </c>
      <c r="X67" s="196">
        <f>IF($B$66="Лікар-педіатр","x",IF($B$66="Лікар-терапевт",X69*Z67,IF($B$66="Лікар загальної практики - сімейний лікар",X69*Z67,0)))</f>
        <v>111</v>
      </c>
      <c r="Y67" s="196">
        <f>IF($B$66="Лікар-педіатр","x",IF($B$66="Лікар-терапевт",Y69*Z67,IF($B$66="Лікар загальної практики - сімейний лікар",Y69*Z67,0)))</f>
        <v>39</v>
      </c>
      <c r="Z67" s="558">
        <v>327</v>
      </c>
      <c r="AA67" s="945"/>
      <c r="AB67" s="196">
        <v>19</v>
      </c>
      <c r="AC67" s="196">
        <v>51</v>
      </c>
      <c r="AD67" s="196">
        <v>117</v>
      </c>
      <c r="AE67" s="196">
        <v>135</v>
      </c>
      <c r="AF67" s="196">
        <v>45</v>
      </c>
      <c r="AG67" s="558">
        <f>AB67+AC67+AD67+AE67+AF67</f>
        <v>367</v>
      </c>
      <c r="AH67" s="945"/>
      <c r="AI67" s="198"/>
      <c r="AJ67" s="933"/>
      <c r="AK67" s="927"/>
      <c r="AL67" s="927"/>
      <c r="AM67" s="902"/>
      <c r="AN67" s="924"/>
      <c r="AO67" s="924"/>
      <c r="AP67" s="924"/>
      <c r="AQ67" s="924"/>
      <c r="AR67" s="915"/>
    </row>
    <row r="68" spans="1:44" s="90" customFormat="1" ht="31.15" customHeight="1">
      <c r="A68" s="240"/>
      <c r="B68" s="941"/>
      <c r="C68" s="942"/>
      <c r="D68" s="943"/>
      <c r="E68" s="943"/>
      <c r="F68" s="241" t="s">
        <v>584</v>
      </c>
      <c r="G68" s="199">
        <v>26</v>
      </c>
      <c r="H68" s="199">
        <v>55</v>
      </c>
      <c r="I68" s="199">
        <v>96</v>
      </c>
      <c r="J68" s="199">
        <v>111</v>
      </c>
      <c r="K68" s="199">
        <v>39</v>
      </c>
      <c r="L68" s="200">
        <f>SUM(G68:K68)</f>
        <v>327</v>
      </c>
      <c r="M68" s="945"/>
      <c r="N68" s="199">
        <v>26</v>
      </c>
      <c r="O68" s="199">
        <v>55</v>
      </c>
      <c r="P68" s="199">
        <v>96</v>
      </c>
      <c r="Q68" s="199">
        <v>111</v>
      </c>
      <c r="R68" s="199">
        <v>39</v>
      </c>
      <c r="S68" s="200">
        <f>SUM(N68:R68)</f>
        <v>327</v>
      </c>
      <c r="T68" s="945"/>
      <c r="U68" s="199">
        <v>26</v>
      </c>
      <c r="V68" s="199">
        <v>55</v>
      </c>
      <c r="W68" s="199">
        <v>96</v>
      </c>
      <c r="X68" s="199">
        <v>111</v>
      </c>
      <c r="Y68" s="199">
        <v>39</v>
      </c>
      <c r="Z68" s="200">
        <f>SUM(U68:Y68)</f>
        <v>327</v>
      </c>
      <c r="AA68" s="945"/>
      <c r="AB68" s="196">
        <v>19</v>
      </c>
      <c r="AC68" s="196">
        <v>51</v>
      </c>
      <c r="AD68" s="196">
        <v>117</v>
      </c>
      <c r="AE68" s="196">
        <v>135</v>
      </c>
      <c r="AF68" s="196">
        <v>45</v>
      </c>
      <c r="AG68" s="558">
        <f>AB68+AC68+AD68+AE68+AF68</f>
        <v>367</v>
      </c>
      <c r="AH68" s="945"/>
      <c r="AI68" s="242"/>
      <c r="AJ68" s="933"/>
      <c r="AK68" s="927"/>
      <c r="AL68" s="927"/>
      <c r="AM68" s="902"/>
      <c r="AN68" s="924"/>
      <c r="AO68" s="924"/>
      <c r="AP68" s="924"/>
      <c r="AQ68" s="924"/>
      <c r="AR68" s="915"/>
    </row>
    <row r="69" spans="1:44" s="50" customFormat="1" ht="31.9" customHeight="1" thickBot="1">
      <c r="A69" s="197"/>
      <c r="B69" s="941"/>
      <c r="C69" s="942"/>
      <c r="D69" s="943"/>
      <c r="E69" s="943"/>
      <c r="F69" s="236" t="s">
        <v>349</v>
      </c>
      <c r="G69" s="203">
        <f>IF($B$66="Лікар-педіатр",G68/L68,IF($B$66="Лікар-терапевт","х",IF($B$66="Лікар загальної практики - сімейний лікар",G68/L68,0)))</f>
        <v>7.9510703363914373E-2</v>
      </c>
      <c r="H69" s="203">
        <f>IF($B$66="Лікар-педіатр",H68/L68,IF($B$66="Лікар-терапевт","х",IF($B$66="Лікар загальної практики - сімейний лікар",H68/L68,0)))</f>
        <v>0.16819571865443425</v>
      </c>
      <c r="I69" s="203">
        <f>IF($B$66="Лікар-педіатр","x",IF($B$66="Лікар-терапевт",I68/L68,IF($B$66="Лікар загальної практики - сімейний лікар",I68/L68,0)))</f>
        <v>0.29357798165137616</v>
      </c>
      <c r="J69" s="203">
        <f>IF($B$66="Лікар-педіатр","x",IF($B$66="Лікар-терапевт",J68/L68,IF($B$66="Лікар загальної практики - сімейний лікар",J68/L68,0)))</f>
        <v>0.33944954128440369</v>
      </c>
      <c r="K69" s="203">
        <f>IF($B$66="Лікар-педіатр","x",IF($B$66="Лікар-терапевт",K68/L68,IF($B$66="Лікар загальної практики - сімейний лікар",K68/L68,0)))</f>
        <v>0.11926605504587157</v>
      </c>
      <c r="L69" s="203">
        <f>SUM(G69:K69)</f>
        <v>1</v>
      </c>
      <c r="M69" s="945"/>
      <c r="N69" s="203">
        <f>IF($B$66="Лікар-педіатр",N68/S68,IF($B$66="Лікар-терапевт","х",IF($B$66="Лікар загальної практики - сімейний лікар",N68/S68,0)))</f>
        <v>7.9510703363914373E-2</v>
      </c>
      <c r="O69" s="203">
        <f>IF($B$66="Лікар-педіатр",O68/S68,IF($B$66="Лікар-терапевт","х",IF($B$66="Лікар загальної практики - сімейний лікар",O68/S68,0)))</f>
        <v>0.16819571865443425</v>
      </c>
      <c r="P69" s="203">
        <f>IF($B$66="Лікар-педіатр","x",IF($B$66="Лікар-терапевт",P68/S68,IF($B$66="Лікар загальної практики - сімейний лікар",P68/S68,0)))</f>
        <v>0.29357798165137616</v>
      </c>
      <c r="Q69" s="203">
        <f>IF($B$66="Лікар-педіатр","x",IF($B$66="Лікар-терапевт",Q68/S68,IF($B$66="Лікар загальної практики - сімейний лікар",Q68/S68,0)))</f>
        <v>0.33944954128440369</v>
      </c>
      <c r="R69" s="203">
        <f>IF($B$66="Лікар-педіатр","x",IF($B$66="Лікар-терапевт",R68/S68,IF($B$66="Лікар загальної практики - сімейний лікар",R68/S68,0)))</f>
        <v>0.11926605504587157</v>
      </c>
      <c r="S69" s="203">
        <f>SUM(N69:R69)</f>
        <v>1</v>
      </c>
      <c r="T69" s="945"/>
      <c r="U69" s="203">
        <f>IF($B$66="Лікар-педіатр",U68/Z68,IF($B$66="Лікар-терапевт","х",IF($B$66="Лікар загальної практики - сімейний лікар",U68/Z68,0)))</f>
        <v>7.9510703363914373E-2</v>
      </c>
      <c r="V69" s="203">
        <f>IF($B$66="Лікар-педіатр",V68/Z68,IF($B$66="Лікар-терапевт","х",IF($B$66="Лікар загальної практики - сімейний лікар",V68/Z68,0)))</f>
        <v>0.16819571865443425</v>
      </c>
      <c r="W69" s="203">
        <f>IF($B$66="Лікар-педіатр","x",IF($B$66="Лікар-терапевт",W68/Z68,IF($B$66="Лікар загальної практики - сімейний лікар",W68/Z68,0)))</f>
        <v>0.29357798165137616</v>
      </c>
      <c r="X69" s="203">
        <f>IF($B$66="Лікар-педіатр","x",IF($B$66="Лікар-терапевт",X68/Z68,IF($B$66="Лікар загальної практики - сімейний лікар",X68/Z68,0)))</f>
        <v>0.33944954128440369</v>
      </c>
      <c r="Y69" s="203">
        <f>IF($B$66="Лікар-педіатр","x",IF($B$66="Лікар-терапевт",Y68/Z68,IF($B$66="Лікар загальної практики - сімейний лікар",Y68/Z68,0)))</f>
        <v>0.11926605504587157</v>
      </c>
      <c r="Z69" s="203">
        <f>SUM(U69:Y69)</f>
        <v>1</v>
      </c>
      <c r="AA69" s="945"/>
      <c r="AB69" s="203">
        <f>IF($B$66="Лікар-педіатр",AB68/AG68,IF($B$66="Лікар-терапевт","х",IF($B$66="Лікар загальної практики - сімейний лікар",AB68/AG68,0)))</f>
        <v>5.1771117166212535E-2</v>
      </c>
      <c r="AC69" s="203">
        <f>IF($B$66="Лікар-педіатр",AC68/AG68,IF($B$66="Лікар-терапевт","х",IF($B$66="Лікар загальної практики - сімейний лікар",AC68/AG68,0)))</f>
        <v>0.13896457765667575</v>
      </c>
      <c r="AD69" s="203">
        <f>IF($B$66="Лікар-педіатр","x",IF($B$66="Лікар-терапевт",AD68/AG68,IF($B$66="Лікар загальної практики - сімейний лікар",AD68/AG68,0)))</f>
        <v>0.31880108991825612</v>
      </c>
      <c r="AE69" s="203">
        <f>IF($B$66="Лікар-педіатр","x",IF($B$66="Лікар-терапевт",AE68/AG68,IF($B$66="Лікар загальної практики - сімейний лікар",AE68/AG68,0)))</f>
        <v>0.36784741144414168</v>
      </c>
      <c r="AF69" s="203">
        <f>IF($B$66="Лікар-педіатр","x",IF($B$66="Лікар-терапевт",AF68/AG68,IF($B$66="Лікар загальної практики - сімейний лікар",AF68/AG68,0)))</f>
        <v>0.1226158038147139</v>
      </c>
      <c r="AG69" s="203">
        <f>SUM(AB69:AF69)</f>
        <v>1</v>
      </c>
      <c r="AH69" s="945"/>
      <c r="AI69" s="201"/>
      <c r="AJ69" s="933"/>
      <c r="AK69" s="927"/>
      <c r="AL69" s="927"/>
      <c r="AM69" s="902"/>
      <c r="AN69" s="924"/>
      <c r="AO69" s="924"/>
      <c r="AP69" s="924"/>
      <c r="AQ69" s="924"/>
      <c r="AR69" s="915"/>
    </row>
    <row r="70" spans="1:44" s="50" customFormat="1" ht="45" customHeight="1" thickBot="1">
      <c r="A70" s="197"/>
      <c r="B70" s="941"/>
      <c r="C70" s="942"/>
      <c r="D70" s="943"/>
      <c r="E70" s="944"/>
      <c r="F70" s="204" t="s">
        <v>585</v>
      </c>
      <c r="G70" s="205">
        <f>IF($B$66="Лікар загальної практики - сімейний лікар",AVERAGE(G66:G68),IF($B$66="Лікар-педіатр",AVERAGE(G66:G68),IF($B$66="Лікар-терапевт","х",0)))</f>
        <v>24.966360856269116</v>
      </c>
      <c r="H70" s="205">
        <f>IF($B$66="Лікар загальної практики - сімейний лікар",AVERAGE(H66:H68),IF($B$66="Лікар-педіатр",AVERAGE(H66:H68),IF($B$66="Лікар-терапевт","х",0)))</f>
        <v>52.813455657492348</v>
      </c>
      <c r="I70" s="205">
        <f>IF($B$66="Лікар загальної практики - сімейний лікар",AVERAGE(I66:I68),IF($B$66="Лікар-педіатр","x",IF($B$66="Лікар-терапевт",AVERAGE(I66:I68),0)))</f>
        <v>92.183486238532112</v>
      </c>
      <c r="J70" s="205">
        <f>IF($B$66="Лікар загальної практики - сімейний лікар",AVERAGE(J66:J68),IF($B$66="Лікар-педіатр","x",IF($B$66="Лікар-терапевт",AVERAGE(J66:J68),0)))</f>
        <v>106.58715596330275</v>
      </c>
      <c r="K70" s="205">
        <f>IF($B$66="Лікар загальної практики - сімейний лікар",AVERAGE(K66:K68),IF($B$66="Лікар-педіатр","x",IF($B$66="Лікар-терапевт",AVERAGE(K66:K68),0)))</f>
        <v>37.449541284403672</v>
      </c>
      <c r="L70" s="206">
        <f>SUM(G70:K70)</f>
        <v>314</v>
      </c>
      <c r="M70" s="946"/>
      <c r="N70" s="205">
        <f>IF($B$66="Лікар загальної практики - сімейний лікар",AVERAGE(N66:N68),IF($B$66="Лікар-педіатр",AVERAGE(N66:N68),IF($B$66="Лікар-терапевт","х",0)))</f>
        <v>24.966360856269116</v>
      </c>
      <c r="O70" s="205">
        <f>IF($B$66="Лікар загальної практики - сімейний лікар",AVERAGE(O66:O68),IF($B$66="Лікар-педіатр",AVERAGE(O66:O68),IF($B$66="Лікар-терапевт","х",0)))</f>
        <v>52.813455657492348</v>
      </c>
      <c r="P70" s="205">
        <f>IF($B$66="Лікар загальної практики - сімейний лікар",AVERAGE(P66:P68),IF($B$66="Лікар-педіатр","x",IF($B$66="Лікар-терапевт",AVERAGE(P66:P68),0)))</f>
        <v>92.183486238532112</v>
      </c>
      <c r="Q70" s="205">
        <f>IF($B$66="Лікар загальної практики - сімейний лікар",AVERAGE(Q66:Q68),IF($B$66="Лікар-педіатр","x",IF($B$66="Лікар-терапевт",AVERAGE(Q66:Q68),0)))</f>
        <v>106.58715596330275</v>
      </c>
      <c r="R70" s="205">
        <f>IF($B$66="Лікар загальної практики - сімейний лікар",AVERAGE(R66:R68),IF($B$66="Лікар-педіатр","x",IF($B$66="Лікар-терапевт",AVERAGE(R66:R68),0)))</f>
        <v>37.449541284403672</v>
      </c>
      <c r="S70" s="206">
        <f>SUM(N70:R70)</f>
        <v>314</v>
      </c>
      <c r="T70" s="946"/>
      <c r="U70" s="205">
        <f>IF($B$66="Лікар загальної практики - сімейний лікар",AVERAGE(U66:U68),IF($B$66="Лікар-педіатр",AVERAGE(U66:U68),IF($B$66="Лікар-терапевт","х",0)))</f>
        <v>25.681957186544341</v>
      </c>
      <c r="V70" s="205">
        <f>IF($B$66="Лікар загальної практики - сімейний лікар",AVERAGE(V66:V68),IF($B$66="Лікар-педіатр",AVERAGE(V66:V68),IF($B$66="Лікар-терапевт","х",0)))</f>
        <v>54.327217125382255</v>
      </c>
      <c r="W70" s="205">
        <f>IF($B$66="Лікар загальної практики - сімейний лікар",AVERAGE(W66:W68),IF($B$66="Лікар-педіатр","x",IF($B$66="Лікар-терапевт",AVERAGE(W66:W68),0)))</f>
        <v>94.825688073394488</v>
      </c>
      <c r="X70" s="205">
        <f>IF($B$66="Лікар загальної практики - сімейний лікар",AVERAGE(X66:X68),IF($B$66="Лікар-педіатр","x",IF($B$66="Лікар-терапевт",AVERAGE(X66:X68),0)))</f>
        <v>109.64220183486238</v>
      </c>
      <c r="Y70" s="205">
        <f>IF($B$66="Лікар загальної практики - сімейний лікар",AVERAGE(Y66:Y68),IF($B$66="Лікар-педіатр","x",IF($B$66="Лікар-терапевт",AVERAGE(Y66:Y68),0)))</f>
        <v>38.522935779816514</v>
      </c>
      <c r="Z70" s="206">
        <f>SUM(U70:Y70)</f>
        <v>323</v>
      </c>
      <c r="AA70" s="946"/>
      <c r="AB70" s="205">
        <f>IF($B$66="Лікар загальної практики - сімейний лікар",AVERAGE(AB66:AB68),IF($B$66="Лікар-педіатр",AVERAGE(AB66:AB68),IF($B$66="Лікар-терапевт","х",0)))</f>
        <v>19</v>
      </c>
      <c r="AC70" s="205">
        <f>IF($B$66="Лікар загальної практики - сімейний лікар",AVERAGE(AC66:AC68),IF($B$66="Лікар-педіатр",AVERAGE(AC66:AC68),IF($B$66="Лікар-терапевт","х",0)))</f>
        <v>51</v>
      </c>
      <c r="AD70" s="205">
        <f>IF($B$66="Лікар загальної практики - сімейний лікар",AVERAGE(AD66:AD68),IF($B$66="Лікар-педіатр","x",IF($B$66="Лікар-терапевт",AVERAGE(AD66:AD68),0)))</f>
        <v>117</v>
      </c>
      <c r="AE70" s="205">
        <f>IF($B$66="Лікар загальної практики - сімейний лікар",AVERAGE(AE66:AE68),IF($B$66="Лікар-педіатр","x",IF($B$66="Лікар-терапевт",AVERAGE(AE66:AE68),0)))</f>
        <v>135</v>
      </c>
      <c r="AF70" s="205">
        <f>IF($B$66="Лікар загальної практики - сімейний лікар",AVERAGE(AF66:AF68),IF($B$66="Лікар-педіатр","x",IF($B$66="Лікар-терапевт",AVERAGE(AF66:AF68),0)))</f>
        <v>45</v>
      </c>
      <c r="AG70" s="206">
        <f>SUM(AB70:AF70)</f>
        <v>367</v>
      </c>
      <c r="AH70" s="947"/>
      <c r="AI70" s="201"/>
      <c r="AJ70" s="933"/>
      <c r="AK70" s="927"/>
      <c r="AL70" s="927"/>
      <c r="AM70" s="903"/>
      <c r="AN70" s="925"/>
      <c r="AO70" s="925"/>
      <c r="AP70" s="925"/>
      <c r="AQ70" s="925"/>
      <c r="AR70" s="916"/>
    </row>
    <row r="71" spans="1:44" s="50" customFormat="1" ht="40.5">
      <c r="A71" s="197"/>
      <c r="B71" s="941"/>
      <c r="C71" s="942"/>
      <c r="D71" s="943"/>
      <c r="E71" s="943"/>
      <c r="F71" s="237" t="str">
        <f ca="1">IF(B66="Лікар-педіатр",Законод!$C$17,IF(B66="Лікар загальної практики - сімейний лікар",Законод!$C$21,IF(B66="Лікар-терапевт",Законод!$C$25,"х")))</f>
        <v>ліміт (до 1800)</v>
      </c>
      <c r="G71" s="208">
        <f ca="1">IF($B$66="Лікар загальної практики - сімейний лікар",IF(L70&lt;=Законод!$C$22,G70,Законод!$C$22*'01_Доходи'!G69),IF($B$66="Лікар-педіатр",IF(L70&lt;=Законод!$C$18,G70,Законод!$C$18*'01_Доходи'!G69),IF($B$66="Лікар-терапевт","x",0)))</f>
        <v>24.966360856269116</v>
      </c>
      <c r="H71" s="208">
        <f ca="1">IF($B$66="Лікар загальної практики - сімейний лікар",IF(L70&lt;=Законод!$C$22,H70,Законод!$C$22*'01_Доходи'!H69),IF($B$66="Лікар-педіатр",IF(L70&lt;=Законод!$C$18,H70,Законод!$C$18*'01_Доходи'!H69),IF($B$66="Лікар-терапевт","x",0)))</f>
        <v>52.813455657492348</v>
      </c>
      <c r="I71" s="208">
        <f ca="1">IF($B$66="Лікар загальної практики - сімейний лікар",IF(L70&lt;=Законод!$C$22,I70,Законод!$C$22*'01_Доходи'!I69),IF($B$66="Лікар-педіатр","x",IF($B$66="Лікар-терапевт",IF(L70&lt;=Законод!$C$26,I70,Законод!$C$26*'01_Доходи'!I69),0)))</f>
        <v>92.183486238532112</v>
      </c>
      <c r="J71" s="208">
        <f ca="1">IF($B$66="Лікар загальної практики - сімейний лікар",IF(L70&lt;=Законод!$C$22,J70,Законод!$C$22*'01_Доходи'!J69),IF($B$66="Лікар-педіатр","x",IF($B$66="Лікар-терапевт",IF(L70&lt;=Законод!$C$26,J70,Законод!$C$26*'01_Доходи'!J69),0)))</f>
        <v>106.58715596330275</v>
      </c>
      <c r="K71" s="208">
        <f ca="1">IF($B$66="Лікар загальної практики - сімейний лікар",IF(L70&lt;=Законод!$C$22,K70,Законод!$C$22*'01_Доходи'!K69),IF($B$66="Лікар-педіатр","x",IF($B$66="Лікар-терапевт",IF(L70&lt;=Законод!$C$26,K70,Законод!$C$26*'01_Доходи'!K69),0)))</f>
        <v>37.449541284403672</v>
      </c>
      <c r="L71" s="209">
        <f ca="1">SUM(G71:K71)</f>
        <v>314</v>
      </c>
      <c r="M71" s="945"/>
      <c r="N71" s="208">
        <f ca="1">IF($B$66="Лікар загальної практики - сімейний лікар",IF(S70&lt;=Законод!$C$22,N70,Законод!$C$22*'01_Доходи'!N69),IF($B$66="Лікар-педіатр",IF(S70&lt;=Законод!$C$18,N70,Законод!$C$18*'01_Доходи'!N69),IF($B$66="Лікар-терапевт","x",0)))</f>
        <v>24.966360856269116</v>
      </c>
      <c r="O71" s="208">
        <f ca="1">IF($B$66="Лікар загальної практики - сімейний лікар",IF(S70&lt;=Законод!$C$22,O70,Законод!$C$22*'01_Доходи'!O69),IF($B$66="Лікар-педіатр",IF(S70&lt;=Законод!$C$18,O70,Законод!$C$18*'01_Доходи'!O69),IF($B$66="Лікар-терапевт","x",0)))</f>
        <v>52.813455657492348</v>
      </c>
      <c r="P71" s="208">
        <f ca="1">IF($B$66="Лікар загальної практики - сімейний лікар",IF(S70&lt;=Законод!$C$22,P70,Законод!$C$22*'01_Доходи'!P69),IF($B$66="Лікар-педіатр","x",IF($B$66="Лікар-терапевт",IF(S70&lt;=Законод!$C$26,P70,Законод!$C$26*'01_Доходи'!P69),0)))</f>
        <v>92.183486238532112</v>
      </c>
      <c r="Q71" s="208">
        <f ca="1">IF($B$66="Лікар загальної практики - сімейний лікар",IF(S70&lt;=Законод!$C$22,Q70,Законод!$C$22*'01_Доходи'!Q69),IF($B$66="Лікар-педіатр","x",IF($B$66="Лікар-терапевт",IF(S70&lt;=Законод!$C$26,Q70,Законод!$C$26*'01_Доходи'!Q69),0)))</f>
        <v>106.58715596330275</v>
      </c>
      <c r="R71" s="208">
        <f ca="1">IF($B$66="Лікар загальної практики - сімейний лікар",IF(S70&lt;=Законод!$C$22,R70,Законод!$C$22*'01_Доходи'!R69),IF($B$66="Лікар-педіатр","x",IF($B$66="Лікар-терапевт",IF(S70&lt;=Законод!$C$26,R70,Законод!$C$26*'01_Доходи'!R69),0)))</f>
        <v>37.449541284403672</v>
      </c>
      <c r="S71" s="209">
        <f ca="1">SUM(N71:R71)</f>
        <v>314</v>
      </c>
      <c r="T71" s="945"/>
      <c r="U71" s="208">
        <f ca="1">IF($B$66="Лікар загальної практики - сімейний лікар",IF(Z70&lt;=Законод!$C$22,U70,Законод!$C$22*'01_Доходи'!U69),IF($B$66="Лікар-педіатр",IF(Z70&lt;=Законод!$C$18,U70,Законод!$C$18*'01_Доходи'!U69),IF($B$66="Лікар-терапевт","x",0)))</f>
        <v>25.681957186544341</v>
      </c>
      <c r="V71" s="208">
        <f ca="1">IF($B$66="Лікар загальної практики - сімейний лікар",IF(Z70&lt;=Законод!$C$22,V70,Законод!$C$22*'01_Доходи'!V69),IF($B$66="Лікар-педіатр",IF(Z70&lt;=Законод!$C$18,V70,Законод!$C$18*'01_Доходи'!V69),IF($B$66="Лікар-терапевт","x",0)))</f>
        <v>54.327217125382255</v>
      </c>
      <c r="W71" s="208">
        <f ca="1">IF($B$66="Лікар загальної практики - сімейний лікар",IF(Z70&lt;=Законод!$C$22,W70,Законод!$C$22*'01_Доходи'!W69),IF($B$66="Лікар-педіатр","x",IF($B$66="Лікар-терапевт",IF(Z70&lt;=Законод!$C$26,W70,Законод!$C$26*'01_Доходи'!W69),0)))</f>
        <v>94.825688073394488</v>
      </c>
      <c r="X71" s="208">
        <f ca="1">IF($B$66="Лікар загальної практики - сімейний лікар",IF(Z70&lt;=Законод!$C$22,X70,Законод!$C$22*'01_Доходи'!X69),IF($B$66="Лікар-педіатр","x",IF($B$66="Лікар-терапевт",IF(Z70&lt;=Законод!$C$26,X70,Законод!$C$26*'01_Доходи'!X69),0)))</f>
        <v>109.64220183486238</v>
      </c>
      <c r="Y71" s="208">
        <f ca="1">IF($B$66="Лікар загальної практики - сімейний лікар",IF(Z70&lt;=Законод!$C$22,Y70,Законод!$C$22*'01_Доходи'!Y69),IF($B$66="Лікар-педіатр","x",IF($B$66="Лікар-терапевт",IF(Z70&lt;=Законод!$C$26,Y70,Законод!$C$26*'01_Доходи'!Y69),0)))</f>
        <v>38.522935779816514</v>
      </c>
      <c r="Z71" s="209">
        <f ca="1">SUM(U71:Y71)</f>
        <v>323</v>
      </c>
      <c r="AA71" s="945"/>
      <c r="AB71" s="208">
        <f ca="1">IF($B$66="Лікар загальної практики - сімейний лікар",IF(AG70&lt;=Законод!$C$22,AB70,Законод!$C$22*'01_Доходи'!AB69),IF($B$66="Лікар-педіатр",IF(AG70&lt;=Законод!$C$18,AB70,Законод!$C$18*'01_Доходи'!AB69),IF($B$66="Лікар-терапевт","x",0)))</f>
        <v>19</v>
      </c>
      <c r="AC71" s="208">
        <f ca="1">IF($B$66="Лікар загальної практики - сімейний лікар",IF(AG70&lt;=Законод!$C$22,AC70,Законод!$C$22*'01_Доходи'!AC69),IF($B$66="Лікар-педіатр",IF(AG70&lt;=Законод!$C$18,AC70,Законод!$C$18*'01_Доходи'!AC69),IF($B$66="Лікар-терапевт","x",0)))</f>
        <v>51</v>
      </c>
      <c r="AD71" s="208">
        <f ca="1">IF($B$66="Лікар загальної практики - сімейний лікар",IF(AG70&lt;=Законод!$C$22,AD70,Законод!$C$22*'01_Доходи'!AD69),IF($B$66="Лікар-педіатр","x",IF($B$66="Лікар-терапевт",IF(AG70&lt;=Законод!$C$26,AD70,Законод!$C$26*'01_Доходи'!AD69),0)))</f>
        <v>117</v>
      </c>
      <c r="AE71" s="208">
        <f ca="1">IF($B$66="Лікар загальної практики - сімейний лікар",IF(AG70&lt;=Законод!$C$22,AE70,Законод!$C$22*'01_Доходи'!AE69),IF($B$66="Лікар-педіатр","x",IF($B$66="Лікар-терапевт",IF(AG70&lt;=Законод!$C$26,AE70,Законод!$C$26*'01_Доходи'!AE69),0)))</f>
        <v>135</v>
      </c>
      <c r="AF71" s="208">
        <f ca="1">IF($B$66="Лікар загальної практики - сімейний лікар",IF(AG70&lt;=Законод!$C$22,AF70,Законод!$C$22*'01_Доходи'!AF69),IF($B$66="Лікар-педіатр","x",IF($B$66="Лікар-терапевт",IF(AG70&lt;=Законод!$C$26,AF70,Законод!$C$26*'01_Доходи'!AF69),0)))</f>
        <v>45</v>
      </c>
      <c r="AG71" s="209">
        <f ca="1">SUM(AB71:AF71)</f>
        <v>367</v>
      </c>
      <c r="AH71" s="945"/>
      <c r="AI71" s="201"/>
      <c r="AJ71" s="933"/>
      <c r="AK71" s="927"/>
      <c r="AL71" s="927"/>
      <c r="AM71" s="348" t="s">
        <v>374</v>
      </c>
      <c r="AN71" s="210">
        <f ca="1">IF(B66="Лікар загальної практики - сімейний лікар",G71*Законод!$C$11+'01_Доходи'!H71*Законод!$D$11+'01_Доходи'!I71*Законод!$E$11+'01_Доходи'!J71*Законод!$F$11+'01_Доходи'!K71*Законод!$G$11,IF(B66="Лікар-педіатр",G71*Законод!$C$11+'01_Доходи'!H71*Законод!$D$11,IF(B66="Лікар-терапевт",'01_Доходи'!I71*Законод!$E$11+'01_Доходи'!J71*Законод!$F$11+'01_Доходи'!K71*Законод!$G$11,0)))</f>
        <v>61918.774351911314</v>
      </c>
      <c r="AO71" s="210">
        <f ca="1">IF(B66="Лікар загальної практики - сімейний лікар",N71*Законод!$C$11+'01_Доходи'!O71*Законод!$D$11+'01_Доходи'!P71*Законод!$E$11+'01_Доходи'!Q71*Законод!$F$11+'01_Доходи'!R71*Законод!$G$11,IF(B66="Лікар-педіатр",N71*Законод!$C$11+'01_Доходи'!O71*Законод!$D$11,IF(B66="Лікар-терапевт",'01_Доходи'!P71*Законод!$E$11+'01_Доходи'!Q71*Законод!$F$11+'01_Доходи'!R71*Законод!$G$11,0)))</f>
        <v>61918.774351911314</v>
      </c>
      <c r="AP71" s="210">
        <f ca="1">IF(B66="Лікар загальної практики - сімейний лікар",U71*Законод!$C$11+'01_Доходи'!V71*Законод!$D$11+'01_Доходи'!W71*Законод!$E$11+'01_Доходи'!X71*Законод!$F$11+'01_Доходи'!Y71*Законод!$G$11,IF(B66="Лікар-педіатр",U71*Законод!$C$11+'01_Доходи'!V71*Законод!$D$11,IF(B66="Лікар-терапевт",'01_Доходи'!W71*Законод!$E$11+'01_Доходи'!X71*Законод!$F$11+'01_Доходи'!Y71*Законод!$G$11,0)))</f>
        <v>63693.51629193424</v>
      </c>
      <c r="AQ71" s="210">
        <f ca="1">IF(B66="Лікар загальної практики - сімейний лікар",AB71*Законод!$C$11+'01_Доходи'!AC71*Законод!$D$11+'01_Доходи'!AD71*Законод!$E$11+'01_Доходи'!AE71*Законод!$F$11+'01_Доходи'!AF71*Законод!$G$11,IF(B66="Лікар-педіатр",AB71*Законод!$C$11+'01_Доходи'!AC71*Законод!$D$11,IF(B66="Лікар-терапевт",'01_Доходи'!AD71*Законод!$E$11+'01_Доходи'!AE71*Законод!$F$11+'01_Доходи'!AF71*Законод!$G$11,0)))</f>
        <v>67507.943050000002</v>
      </c>
      <c r="AR71" s="211">
        <f t="shared" ref="AR71:AR77" si="4">SUM(AN71:AQ71)</f>
        <v>255039.00804575687</v>
      </c>
    </row>
    <row r="72" spans="1:44" s="50" customFormat="1" ht="31.9" customHeight="1">
      <c r="A72" s="197"/>
      <c r="B72" s="941"/>
      <c r="C72" s="942"/>
      <c r="D72" s="943"/>
      <c r="E72" s="943"/>
      <c r="F72" s="238" t="str">
        <f ca="1">IF(B66="Лікар-педіатр",Законод!$E$17,IF(B66="Лікар загальної практики - сімейний лікар",Законод!$E$21,IF(B66="Лікар-терапевт",Законод!$E$25,"х")))</f>
        <v>понад ліміт (1801-1980)</v>
      </c>
      <c r="G72" s="940" t="s">
        <v>346</v>
      </c>
      <c r="H72" s="940"/>
      <c r="I72" s="940"/>
      <c r="J72" s="940"/>
      <c r="K72" s="940"/>
      <c r="L72" s="196">
        <f ca="1">IF($B$66="Лікар загальної практики - сімейний лікар",IF(L70&lt;Законод!$C$22,0,(IF(AND(L70&gt;=Законод!$E$22,L70&lt;=Законод!$E$23),L70-Законод!$C$22,IF('01_Доходи'!L70&gt;=Законод!$F$22,Законод!$E$24,0)))),IF($B$66="Лікар-педіатр",IF(L70&lt;Законод!$C$18,0,(IF(AND(L70&gt;=Законод!$E$18,L70&lt;=Законод!$E$19),L70-Законод!$C$18,IF('01_Доходи'!L70&gt;=Законод!$F$18,Законод!$E$20,0)))),IF($B$66="Лікар-терапевт",IF(L70&lt;Законод!$C$26,0,(IF(AND(L70&gt;=Законод!$E$26,L70&lt;=Законод!$E$27),L70-Законод!$C$26,IF('01_Доходи'!L70&gt;=Законод!$F$26,Законод!$E$28,0)))),0)))</f>
        <v>0</v>
      </c>
      <c r="M72" s="945"/>
      <c r="N72" s="940" t="s">
        <v>346</v>
      </c>
      <c r="O72" s="940"/>
      <c r="P72" s="940"/>
      <c r="Q72" s="940"/>
      <c r="R72" s="940"/>
      <c r="S72" s="196">
        <f ca="1">IF($B$66="Лікар загальної практики - сімейний лікар",IF(S70&lt;Законод!$C$22,0,(IF(AND(S70&gt;=Законод!$E$22,S70&lt;=Законод!$E$23),S70-Законод!$C$22,IF('01_Доходи'!S70&gt;=Законод!$F$22,Законод!$E$24,0)))),IF($B$66="Лікар-педіатр",IF(S70&lt;Законод!$C$18,0,(IF(AND(S70&gt;=Законод!$E$18,S70&lt;=Законод!$E$19),S70-Законод!$C$18,IF('01_Доходи'!S70&gt;=Законод!$F$18,Законод!$E$20,0)))),IF($B$66="Лікар-терапевт",IF(S70&lt;Законод!$C$26,0,(IF(AND(S70&gt;=Законод!$E$26,S70&lt;=Законод!$E$27),S70-Законод!$C$26,IF('01_Доходи'!S70&gt;=Законод!$F$26,Законод!$E$28,0)))),0)))</f>
        <v>0</v>
      </c>
      <c r="T72" s="945"/>
      <c r="U72" s="940" t="s">
        <v>346</v>
      </c>
      <c r="V72" s="940"/>
      <c r="W72" s="940"/>
      <c r="X72" s="940"/>
      <c r="Y72" s="940"/>
      <c r="Z72" s="196">
        <f ca="1">IF($B$66="Лікар загальної практики - сімейний лікар",IF(Z70&lt;Законод!$C$22,0,(IF(AND(Z70&gt;=Законод!$E$22,Z70&lt;=Законод!$E$23),Z70-Законод!$C$22,IF('01_Доходи'!Z70&gt;=Законод!$F$22,Законод!$E$24,0)))),IF($B$66="Лікар-педіатр",IF(Z70&lt;Законод!$C$18,0,(IF(AND(Z70&gt;=Законод!$E$18,Z70&lt;=Законод!$E$19),Z70-Законод!$C$18,IF('01_Доходи'!Z70&gt;=Законод!$F$18,Законод!$E$20,0)))),IF($B$66="Лікар-терапевт",IF(Z70&lt;Законод!$C$26,0,(IF(AND(Z70&gt;=Законод!$E$26,Z70&lt;=Законод!$E$27),Z70-Законод!$C$26,IF('01_Доходи'!Z70&gt;=Законод!$F$26,Законод!$E$28,0)))),0)))</f>
        <v>0</v>
      </c>
      <c r="AA72" s="945"/>
      <c r="AB72" s="940" t="s">
        <v>346</v>
      </c>
      <c r="AC72" s="940"/>
      <c r="AD72" s="940"/>
      <c r="AE72" s="940"/>
      <c r="AF72" s="940"/>
      <c r="AG72" s="196">
        <f ca="1">IF($B$66="Лікар загальної практики - сімейний лікар",IF(AG70&lt;Законод!$C$22,0,(IF(AND(AG70&gt;=Законод!$E$22,AG70&lt;=Законод!$E$23),AG70-Законод!$C$22,IF('01_Доходи'!AG70&gt;=Законод!$F$22,Законод!$E$24,0)))),IF($B$66="Лікар-педіатр",IF(AG70&lt;Законод!$C$18,0,(IF(AND(AG70&gt;=Законод!$E$18,AG70&lt;=Законод!$E$19),AG70-Законод!$C$18,IF('01_Доходи'!AG70&gt;=Законод!$F$18,Законод!$E$20,0)))),IF($B$66="Лікар-терапевт",IF(AG70&lt;Законод!$C$26,0,(IF(AND(AG70&gt;=Законод!$E$26,AG70&lt;=Законод!$E$27),AG70-Законод!$C$26,IF('01_Доходи'!AG70&gt;=Законод!$F$26,Законод!$E$28,0)))),0)))</f>
        <v>0</v>
      </c>
      <c r="AH72" s="945"/>
      <c r="AI72" s="201"/>
      <c r="AJ72" s="933"/>
      <c r="AK72" s="927"/>
      <c r="AL72" s="927"/>
      <c r="AM72" s="898" t="s">
        <v>375</v>
      </c>
      <c r="AN72" s="210">
        <f ca="1">IF(B66="Лікар загальної практики - сімейний лікар",L72*Законод!$C$9/4*Законод!$E$16,IF(B66="Лікар-педіатр",L72*Законод!$C$9/4*Законод!$E$16,IF(B66="Лікар-терапевт",L72*Законод!$C$9/4*Законод!$E$16,0)))</f>
        <v>0</v>
      </c>
      <c r="AO72" s="210">
        <f ca="1">IF(B66="Лікар загальної практики - сімейний лікар",S72*Законод!$C$9/4*Законод!$E$16,IF(B66="Лікар-педіатр",S72*Законод!$C$9/4*Законод!$E$16,IF(B66="Лікар-терапевт",S72*Законод!$C$9/4*Законод!$E$16,0)))</f>
        <v>0</v>
      </c>
      <c r="AP72" s="210">
        <f ca="1">IF(B66="Лікар загальної практики - сімейний лікар",Z72*Законод!$C$9/4*Законод!$E$16,IF(B66="Лікар-педіатр",Z72*Законод!$C$9/4*Законод!$E$16,IF(B66="Лікар-терапевт",Z72*Законод!$C$9/4*Законод!$E$16,0)))</f>
        <v>0</v>
      </c>
      <c r="AQ72" s="210">
        <f ca="1">IF(B66="Лікар загальної практики - сімейний лікар",AG72*Законод!$C$9/4*Законод!$E$16,IF(B66="Лікар-педіатр",AG72*Законод!$C$9/4*Законод!$E$16,IF(B66="Лікар-терапевт",AG72*Законод!$C$9/4*Законод!$E$16,0)))</f>
        <v>0</v>
      </c>
      <c r="AR72" s="211">
        <f t="shared" si="4"/>
        <v>0</v>
      </c>
    </row>
    <row r="73" spans="1:44" s="50" customFormat="1" ht="31.9" customHeight="1">
      <c r="A73" s="197"/>
      <c r="B73" s="941"/>
      <c r="C73" s="942"/>
      <c r="D73" s="943"/>
      <c r="E73" s="943"/>
      <c r="F73" s="238" t="str">
        <f ca="1">IF(B66="Лікар-педіатр",Законод!$F$17,IF(B66="Лікар загальної практики - сімейний лікар",Законод!$F$21,IF(B66="Лікар-терапевт",Законод!$F$25,"х")))</f>
        <v>понад ліміт (1981-2160)</v>
      </c>
      <c r="G73" s="940" t="s">
        <v>346</v>
      </c>
      <c r="H73" s="940"/>
      <c r="I73" s="940"/>
      <c r="J73" s="940"/>
      <c r="K73" s="940"/>
      <c r="L73" s="196">
        <f ca="1">IF($B$66="Лікар загальної практики - сімейний лікар",IF(L70&lt;Законод!$C$22,0,(IF(AND(L70&gt;=Законод!$F$22,L70&lt;=Законод!$F$23),L70-Законод!$E$23,IF('01_Доходи'!L70&gt;=Законод!$G$22,Законод!$F$24,0)))),IF($B$66="Лікар-педіатр",IF(L70&lt;Законод!$C$18,0,(IF(AND(L70&gt;=Законод!$F$18,L70&lt;=Законод!$F$19),L70-Законод!$E$19,IF('01_Доходи'!L70&gt;=Законод!$G$18,Законод!$F$20,0)))),IF($B$66="Лікар-терапевт",IF(L70&lt;Законод!$C$26,0,(IF(AND(L70&gt;=Законод!$F$26,L70&lt;=Законод!$F$27),L70-Законод!$E$27,IF('01_Доходи'!L70&gt;=Законод!$G$26,Законод!$F$28,0)))),0)))</f>
        <v>0</v>
      </c>
      <c r="M73" s="945"/>
      <c r="N73" s="940" t="s">
        <v>346</v>
      </c>
      <c r="O73" s="940"/>
      <c r="P73" s="940"/>
      <c r="Q73" s="940"/>
      <c r="R73" s="940"/>
      <c r="S73" s="196">
        <f ca="1">IF($B$66="Лікар загальної практики - сімейний лікар",IF(S70&lt;Законод!$C$22,0,(IF(AND(S70&gt;=Законод!$F$22,S70&lt;=Законод!$F$23),S70-Законод!$E$23,IF('01_Доходи'!S70&gt;=Законод!$G$22,Законод!$F$24,0)))),IF($B$66="Лікар-педіатр",IF(S70&lt;Законод!$C$18,0,(IF(AND(S70&gt;=Законод!$F$18,S70&lt;=Законод!$F$19),S70-Законод!$E$19,IF('01_Доходи'!S70&gt;=Законод!$G$18,Законод!$F$20,0)))),IF($B$66="Лікар-терапевт",IF(S70&lt;Законод!$C$26,0,(IF(AND(S70&gt;=Законод!$F$26,S70&lt;=Законод!$F$27),S70-Законод!$E$27,IF('01_Доходи'!S70&gt;=Законод!$G$26,Законод!$F$28,0)))),0)))</f>
        <v>0</v>
      </c>
      <c r="T73" s="945"/>
      <c r="U73" s="940" t="s">
        <v>346</v>
      </c>
      <c r="V73" s="940"/>
      <c r="W73" s="940"/>
      <c r="X73" s="940"/>
      <c r="Y73" s="940"/>
      <c r="Z73" s="196">
        <f ca="1">IF($B$66="Лікар загальної практики - сімейний лікар",IF(Z70&lt;Законод!$C$22,0,(IF(AND(Z70&gt;=Законод!$F$22,Z70&lt;=Законод!$F$23),Z70-Законод!$E$23,IF('01_Доходи'!Z70&gt;=Законод!$G$22,Законод!$F$24,0)))),IF($B$66="Лікар-педіатр",IF(Z70&lt;Законод!$C$18,0,(IF(AND(Z70&gt;=Законод!$F$18,Z70&lt;=Законод!$F$19),Z70-Законод!$E$19,IF('01_Доходи'!Z70&gt;=Законод!$G$18,Законод!$F$20,0)))),IF($B$66="Лікар-терапевт",IF(Z70&lt;Законод!$C$26,0,(IF(AND(Z70&gt;=Законод!$F$26,Z70&lt;=Законод!$F$27),Z70-Законод!$E$27,IF('01_Доходи'!Z70&gt;=Законод!$G$26,Законод!$F$28,0)))),0)))</f>
        <v>0</v>
      </c>
      <c r="AA73" s="945"/>
      <c r="AB73" s="940" t="s">
        <v>346</v>
      </c>
      <c r="AC73" s="940"/>
      <c r="AD73" s="940"/>
      <c r="AE73" s="940"/>
      <c r="AF73" s="940"/>
      <c r="AG73" s="196">
        <f ca="1">IF($B$66="Лікар загальної практики - сімейний лікар",IF(AG70&lt;Законод!$C$22,0,(IF(AND(AG70&gt;=Законод!$F$22,AG70&lt;=Законод!$F$23),AG70-Законод!$E$23,IF('01_Доходи'!AG70&gt;=Законод!$G$22,Законод!$F$24,0)))),IF($B$66="Лікар-педіатр",IF(AG70&lt;Законод!$C$18,0,(IF(AND(AG70&gt;=Законод!$F$18,AG70&lt;=Законод!$F$19),AG70-Законод!$E$19,IF('01_Доходи'!AG70&gt;=Законод!$G$18,Законод!$F$20,0)))),IF($B$66="Лікар-терапевт",IF(AG70&lt;Законод!$C$26,0,(IF(AND(AG70&gt;=Законод!$F$26,AG70&lt;=Законод!$F$27),AG70-Законод!$E$27,IF('01_Доходи'!AG70&gt;=Законод!$G$26,Законод!$F$28,0)))),0)))</f>
        <v>0</v>
      </c>
      <c r="AH73" s="945"/>
      <c r="AI73" s="201"/>
      <c r="AJ73" s="933"/>
      <c r="AK73" s="927"/>
      <c r="AL73" s="927"/>
      <c r="AM73" s="899"/>
      <c r="AN73" s="210">
        <f ca="1">IF(B66="Лікар загальної практики - сімейний лікар",L73*Законод!$C$9/4*Законод!$F$16,IF(B66="Лікар-педіатр",L73*Законод!$C$9/4*Законод!$F$16,IF(B66="Лікар-терапевт",L73*Законод!$C$9/4*Законод!$F$16,0)))</f>
        <v>0</v>
      </c>
      <c r="AO73" s="210">
        <f ca="1">IF(B66="Лікар загальної практики - сімейний лікар",S73*Законод!$C$9/4*Законод!$F$16,IF(B66="Лікар-педіатр",S73*Законод!$C$9/4*Законод!$F$16,IF(B66="Лікар-терапевт",S73*Законод!$C$9/4*Законод!$F$16,0)))</f>
        <v>0</v>
      </c>
      <c r="AP73" s="210">
        <f ca="1">IF(B66="Лікар загальної практики - сімейний лікар",Z73*Законод!$C$9/4*Законод!$F$16,IF(B66="Лікар-педіатр",Z73*Законод!$C$9/4*Законод!$F$16,IF(B66="Лікар-терапевт",Z73*Законод!$C$9/4*Законод!$F$16,0)))</f>
        <v>0</v>
      </c>
      <c r="AQ73" s="210">
        <f ca="1">IF(B66="Лікар загальної практики - сімейний лікар",AG73*Законод!$C$9/4*Законод!$F$16,IF(B66="Лікар-педіатр",AG73*Законод!$C$9/4*Законод!$F$16,IF(B66="Лікар-терапевт",AG73*Законод!$C$9/4*Законод!$F$16,0)))</f>
        <v>0</v>
      </c>
      <c r="AR73" s="211">
        <f t="shared" si="4"/>
        <v>0</v>
      </c>
    </row>
    <row r="74" spans="1:44" s="50" customFormat="1" ht="31.9" customHeight="1">
      <c r="A74" s="197"/>
      <c r="B74" s="941"/>
      <c r="C74" s="942"/>
      <c r="D74" s="943"/>
      <c r="E74" s="943"/>
      <c r="F74" s="238" t="str">
        <f ca="1">IF(B66="Лікар-педіатр",Законод!$G$17,IF(B66="Лікар загальної практики - сімейний лікар",Законод!$G$21,IF(B66="Лікар-терапевт",Законод!$G$25,"х")))</f>
        <v>понад ліміт (2161-2340)</v>
      </c>
      <c r="G74" s="940" t="s">
        <v>346</v>
      </c>
      <c r="H74" s="940"/>
      <c r="I74" s="940"/>
      <c r="J74" s="940"/>
      <c r="K74" s="940"/>
      <c r="L74" s="196">
        <f ca="1">IF($B$66="Лікар загальної практики - сімейний лікар",IF(L70&lt;Законод!$C$22,0,(IF(AND(L70&gt;=Законод!$G$22,L70&lt;=Законод!$G$23),L70-Законод!$F$23,IF('01_Доходи'!L70&gt;=Законод!$H$22,Законод!$G$24,0)))),IF($B$66="Лікар-педіатр",IF(L70&lt;Законод!$C$18,0,(IF(AND(L70&gt;=Законод!$G$18,L70&lt;=Законод!$G$19),L70-Законод!$F$19,IF('01_Доходи'!L70&gt;=Законод!$H$18,Законод!$G$20,0)))),IF($B$66="Лікар-терапевт",IF(L70&lt;Законод!$C$26,0,(IF(AND(L70&gt;=Законод!$G$26,L70&lt;=Законод!$G$27),L70-Законод!$F$27,IF('01_Доходи'!L70&gt;=Законод!$H$26,Законод!$G$28,0)))),0)))</f>
        <v>0</v>
      </c>
      <c r="M74" s="945"/>
      <c r="N74" s="940" t="s">
        <v>346</v>
      </c>
      <c r="O74" s="940"/>
      <c r="P74" s="940"/>
      <c r="Q74" s="940"/>
      <c r="R74" s="940"/>
      <c r="S74" s="196">
        <f ca="1">IF($B$66="Лікар загальної практики - сімейний лікар",IF(S70&lt;Законод!$C$22,0,(IF(AND(S70&gt;=Законод!$G$22,S70&lt;=Законод!$G$23),S70-Законод!$F$23,IF('01_Доходи'!S70&gt;=Законод!$H$22,Законод!$G$24,0)))),IF($B$66="Лікар-педіатр",IF(S70&lt;Законод!$C$18,0,(IF(AND(S70&gt;=Законод!$G$18,S70&lt;=Законод!$G$19),S70-Законод!$F$19,IF('01_Доходи'!S70&gt;=Законод!$H$18,Законод!$G$20,0)))),IF($B$66="Лікар-терапевт",IF(S70&lt;Законод!$C$26,0,(IF(AND(S70&gt;=Законод!$G$26,S70&lt;=Законод!$G$27),S70-Законод!$F$27,IF('01_Доходи'!S70&gt;=Законод!$H$26,Законод!$G$28,0)))),0)))</f>
        <v>0</v>
      </c>
      <c r="T74" s="945"/>
      <c r="U74" s="940" t="s">
        <v>346</v>
      </c>
      <c r="V74" s="940"/>
      <c r="W74" s="940"/>
      <c r="X74" s="940"/>
      <c r="Y74" s="940"/>
      <c r="Z74" s="196">
        <f ca="1">IF($B$66="Лікар загальної практики - сімейний лікар",IF(Z70&lt;Законод!$C$22,0,(IF(AND(Z70&gt;=Законод!$G$22,Z70&lt;=Законод!$G$23),Z70-Законод!$F$23,IF('01_Доходи'!Z70&gt;=Законод!$H$22,Законод!$G$24,0)))),IF($B$66="Лікар-педіатр",IF(Z70&lt;Законод!$C$18,0,(IF(AND(Z70&gt;=Законод!$G$18,Z70&lt;=Законод!$G$19),Z70-Законод!$F$19,IF('01_Доходи'!Z70&gt;=Законод!$H$18,Законод!$G$20,0)))),IF($B$66="Лікар-терапевт",IF(Z70&lt;Законод!$C$26,0,(IF(AND(Z70&gt;=Законод!$G$26,Z70&lt;=Законод!$G$27),Z70-Законод!$F$27,IF('01_Доходи'!Z70&gt;=Законод!$H$26,Законод!$G$28,0)))),0)))</f>
        <v>0</v>
      </c>
      <c r="AA74" s="945"/>
      <c r="AB74" s="940" t="s">
        <v>346</v>
      </c>
      <c r="AC74" s="940"/>
      <c r="AD74" s="940"/>
      <c r="AE74" s="940"/>
      <c r="AF74" s="940"/>
      <c r="AG74" s="196">
        <f ca="1">IF($B$66="Лікар загальної практики - сімейний лікар",IF(AG70&lt;Законод!$C$22,0,(IF(AND(AG70&gt;=Законод!$G$22,AG70&lt;=Законод!$G$23),AG70-Законод!$F$23,IF('01_Доходи'!AG70&gt;=Законод!$H$22,Законод!$G$24,0)))),IF($B$66="Лікар-педіатр",IF(AG70&lt;Законод!$C$18,0,(IF(AND(AG70&gt;=Законод!$G$18,AG70&lt;=Законод!$G$19),AG70-Законод!$F$19,IF('01_Доходи'!AG70&gt;=Законод!$H$18,Законод!$G$20,0)))),IF($B$66="Лікар-терапевт",IF(AG70&lt;Законод!$C$26,0,(IF(AND(AG70&gt;=Законод!$G$26,AG70&lt;=Законод!$G$27),AG70-Законод!$F$27,IF('01_Доходи'!AG70&gt;=Законод!$H$26,Законод!$G$28,0)))),0)))</f>
        <v>0</v>
      </c>
      <c r="AH74" s="945"/>
      <c r="AI74" s="201"/>
      <c r="AJ74" s="933"/>
      <c r="AK74" s="927"/>
      <c r="AL74" s="927"/>
      <c r="AM74" s="899"/>
      <c r="AN74" s="210">
        <f ca="1">IF(B66="Лікар загальної практики - сімейний лікар",L74*Законод!$C$9/4*Законод!$G$16,IF(B66="Лікар-педіатр",L74*Законод!$C$9/4*Законод!$G$16,IF(B66="Лікар-терапевт",L74*Законод!$C$9/4*Законод!$G$16,0)))</f>
        <v>0</v>
      </c>
      <c r="AO74" s="210">
        <f ca="1">IF(B66="Лікар загальної практики - сімейний лікар",S74*Законод!$C$9/4*Законод!$G$16,IF(B66="Лікар-педіатр",S74*Законод!$C$9/4*Законод!$G$16,IF(B66="Лікар-терапевт",S74*Законод!$C$9/4*Законод!$G$16,0)))</f>
        <v>0</v>
      </c>
      <c r="AP74" s="210">
        <f ca="1">IF(B66="Лікар загальної практики - сімейний лікар",Z74*Законод!$C$9/4*Законод!$G$16,IF(B66="Лікар-педіатр",Z74*Законод!$C$9/4*Законод!$G$16,IF(B66="Лікар-терапевт",Z74*Законод!$C$9/4*Законод!$G$16,0)))</f>
        <v>0</v>
      </c>
      <c r="AQ74" s="210">
        <f ca="1">IF(B66="Лікар загальної практики - сімейний лікар",AG74*Законод!$C$9/4*Законод!$G$16,IF(B66="Лікар-педіатр",AG74*Законод!$C$9/4*Законод!$G$16,IF(B66="Лікар-терапевт",AG74*Законод!$C$9/4*Законод!$G$16,0)))</f>
        <v>0</v>
      </c>
      <c r="AR74" s="211">
        <f t="shared" si="4"/>
        <v>0</v>
      </c>
    </row>
    <row r="75" spans="1:44" s="50" customFormat="1" ht="31.9" customHeight="1">
      <c r="A75" s="197"/>
      <c r="B75" s="941"/>
      <c r="C75" s="942"/>
      <c r="D75" s="943"/>
      <c r="E75" s="943"/>
      <c r="F75" s="238" t="str">
        <f ca="1">IF(B66="Лікар-педіатр",Законод!$H$17,IF(B66="Лікар загальної практики - сімейний лікар",Законод!$H$21,IF(B66="Лікар-терапевт",Законод!$H$25,"х")))</f>
        <v>понад ліміт (2341-2520)</v>
      </c>
      <c r="G75" s="940" t="s">
        <v>346</v>
      </c>
      <c r="H75" s="940"/>
      <c r="I75" s="940"/>
      <c r="J75" s="940"/>
      <c r="K75" s="940"/>
      <c r="L75" s="196">
        <f ca="1">IF($B$66="Лікар загальної практики - сімейний лікар",IF(L70&lt;Законод!$C$22,0,(IF(AND(L70&gt;=Законод!$H$22,L70&lt;=Законод!$H$23),L70-Законод!$G$23,IF('01_Доходи'!L70&gt;=Законод!$I$22,Законод!$H$24,0)))),IF($B$66="Лікар-педіатр",IF(L70&lt;Законод!$C$18,0,(IF(AND(L70&gt;=Законод!$H$18,L70&lt;=Законод!$H$19),L70-Законод!$G$19,IF('01_Доходи'!L70&gt;=Законод!$I$18,Законод!$H$20,0)))),IF($B$66="Лікар-терапевт",IF(L70&lt;Законод!$C$26,0,(IF(AND(L70&gt;=Законод!$H$26,L70&lt;=Законод!$H$27),L70-Законод!$G$27,IF(L70&gt;=Законод!$I$26,Законод!$H$28,0)))),0)))</f>
        <v>0</v>
      </c>
      <c r="M75" s="945"/>
      <c r="N75" s="940" t="s">
        <v>346</v>
      </c>
      <c r="O75" s="940"/>
      <c r="P75" s="940"/>
      <c r="Q75" s="940"/>
      <c r="R75" s="940"/>
      <c r="S75" s="196">
        <f ca="1">IF($B$66="Лікар загальної практики - сімейний лікар",IF(S70&lt;Законод!$C$22,0,(IF(AND(S70&gt;=Законод!$H$22,S70&lt;=Законод!$H$23),S70-Законод!$G$23,IF('01_Доходи'!S70&gt;=Законод!$I$22,Законод!$H$24,0)))),IF($B$66="Лікар-педіатр",IF(S70&lt;Законод!$C$18,0,(IF(AND(S70&gt;=Законод!$H$18,S70&lt;=Законод!$H$19),S70-Законод!$G$19,IF('01_Доходи'!S70&gt;=Законод!$I$18,Законод!$H$20,0)))),IF($B$66="Лікар-терапевт",IF(S70&lt;Законод!$C$26,0,(IF(AND(S70&gt;=Законод!$H$26,S70&lt;=Законод!$H$27),S70-Законод!$G$27,IF(S70&gt;=Законод!$I$26,Законод!$H$28,0)))),0)))</f>
        <v>0</v>
      </c>
      <c r="T75" s="945"/>
      <c r="U75" s="940" t="s">
        <v>346</v>
      </c>
      <c r="V75" s="940"/>
      <c r="W75" s="940"/>
      <c r="X75" s="940"/>
      <c r="Y75" s="940"/>
      <c r="Z75" s="196">
        <f ca="1">IF($B$66="Лікар загальної практики - сімейний лікар",IF(Z70&lt;Законод!$C$22,0,(IF(AND(Z70&gt;=Законод!$H$22,Z70&lt;=Законод!$H$23),Z70-Законод!$G$23,IF('01_Доходи'!Z70&gt;=Законод!$I$22,Законод!$H$24,0)))),IF($B$66="Лікар-педіатр",IF(Z70&lt;Законод!$C$18,0,(IF(AND(Z70&gt;=Законод!$H$18,Z70&lt;=Законод!$H$19),Z70-Законод!$G$19,IF('01_Доходи'!Z70&gt;=Законод!$I$18,Законод!$H$20,0)))),IF($B$66="Лікар-терапевт",IF(Z70&lt;Законод!$C$26,0,(IF(AND(Z70&gt;=Законод!$H$26,Z70&lt;=Законод!$H$27),Z70-Законод!$G$27,IF(Z70&gt;=Законод!$I$26,Законод!$H$28,0)))),0)))</f>
        <v>0</v>
      </c>
      <c r="AA75" s="945"/>
      <c r="AB75" s="940" t="s">
        <v>346</v>
      </c>
      <c r="AC75" s="940"/>
      <c r="AD75" s="940"/>
      <c r="AE75" s="940"/>
      <c r="AF75" s="940"/>
      <c r="AG75" s="196">
        <f ca="1">IF($B$66="Лікар загальної практики - сімейний лікар",IF(AG70&lt;Законод!$C$22,0,(IF(AND(AG70&gt;=Законод!$H$22,AG70&lt;=Законод!$H$23),AG70-Законод!$G$23,IF('01_Доходи'!AG70&gt;=Законод!$I$22,Законод!$H$24,0)))),IF($B$66="Лікар-педіатр",IF(AG70&lt;Законод!$C$18,0,(IF(AND(AG70&gt;=Законод!$H$18,AG70&lt;=Законод!$H$19),AG70-Законод!$G$19,IF('01_Доходи'!AG70&gt;=Законод!$I$18,Законод!$H$20,0)))),IF($B$66="Лікар-терапевт",IF(AG70&lt;Законод!$C$26,0,(IF(AND(AG70&gt;=Законод!$H$26,AG70&lt;=Законод!$H$27),AG70-Законод!$G$27,IF(AG70&gt;=Законод!$I$26,Законод!$H$28,0)))),0)))</f>
        <v>0</v>
      </c>
      <c r="AH75" s="945"/>
      <c r="AI75" s="201"/>
      <c r="AJ75" s="933"/>
      <c r="AK75" s="927"/>
      <c r="AL75" s="927"/>
      <c r="AM75" s="899"/>
      <c r="AN75" s="210">
        <f ca="1">IF(B66="Лікар загальної практики - сімейний лікар",L75*Законод!$C$9/4*Законод!$H$16,IF(B66="Лікар-педіатр",L75*Законод!$C$9/4*Законод!$H$16,IF(B66="Лікар-терапевт",L75*Законод!$C$9/4*Законод!$H$16,0)))</f>
        <v>0</v>
      </c>
      <c r="AO75" s="210">
        <f ca="1">IF(B66="Лікар загальної практики - сімейний лікар",S75*Законод!$C$9/4*Законод!$H$16,IF(B66="Лікар-педіатр",S75*Законод!$C$9/4*Законод!$H$16,IF(B66="Лікар-терапевт",S75*Законод!$C$9/4*Законод!$H$16,0)))</f>
        <v>0</v>
      </c>
      <c r="AP75" s="210">
        <f ca="1">IF(B66="Лікар загальної практики - сімейний лікар",Z75*Законод!$C$9/4*Законод!$H$16,IF(B66="Лікар-педіатр",Z75*Законод!$C$9/4*Законод!$H$16,IF(B66="Лікар-терапевт",Z75*Законод!$C$9/4*Законод!$H$16,0)))</f>
        <v>0</v>
      </c>
      <c r="AQ75" s="210">
        <f ca="1">IF(B66="Лікар загальної практики - сімейний лікар",AG75*Законод!$C$9/4*Законод!$H$16,IF(B66="Лікар-педіатр",AG75*Законод!$C$9/4*Законод!$H$16,IF(B66="Лікар-терапевт",AG75*Законод!$C$9/4*Законод!$H$16,0)))</f>
        <v>0</v>
      </c>
      <c r="AR75" s="211">
        <f t="shared" si="4"/>
        <v>0</v>
      </c>
    </row>
    <row r="76" spans="1:44" s="50" customFormat="1" ht="31.9" customHeight="1">
      <c r="A76" s="197"/>
      <c r="B76" s="941"/>
      <c r="C76" s="942"/>
      <c r="D76" s="943"/>
      <c r="E76" s="943"/>
      <c r="F76" s="238" t="str">
        <f ca="1">IF(B66="Лікар-педіатр",Законод!$I$17,IF(B66="Лікар загальної практики - сімейний лікар",Законод!$I$21,IF(B66="Лікар-терапевт",Законод!$I$25,"х")))</f>
        <v>понад ліміт (2521-2700)</v>
      </c>
      <c r="G76" s="940" t="s">
        <v>346</v>
      </c>
      <c r="H76" s="940"/>
      <c r="I76" s="940"/>
      <c r="J76" s="940"/>
      <c r="K76" s="940"/>
      <c r="L76" s="196">
        <f ca="1">IF($B$66="Лікар загальної практики - сімейний лікар",IF(L70&lt;Законод!$C$22,0,(IF(AND(L70&gt;=Законод!$I$22,L70&lt;=Законод!$I$23),L70-Законод!$H$23,IF('01_Доходи'!L70&gt;=Законод!$I$22,Законод!$I$24,0)))),IF($B$66="Лікар-педіатр",IF(L70&lt;Законод!$C$18,0,(IF(AND(L70&gt;=Законод!$I$18,L70&lt;=Законод!$I$19),L70-Законод!$H$19,IF('01_Доходи'!L70&gt;=Законод!$I$18,Законод!$H$20,0)))),IF($B$66="Лікар-терапевт",IF(L70&lt;Законод!$C$26,0,(IF(AND(L70&gt;=Законод!$I$26,L70&lt;=Законод!$I$27),L70-Законод!$H$27,IF('01_Доходи'!L70&gt;=Законод!$I$26,Законод!$H$28,0)))),0)))</f>
        <v>0</v>
      </c>
      <c r="M76" s="945"/>
      <c r="N76" s="940" t="s">
        <v>346</v>
      </c>
      <c r="O76" s="940"/>
      <c r="P76" s="940"/>
      <c r="Q76" s="940"/>
      <c r="R76" s="940"/>
      <c r="S76" s="196">
        <f ca="1">IF($B$66="Лікар загальної практики - сімейний лікар",IF(S70&lt;Законод!$C$22,0,(IF(AND(S70&gt;=Законод!$I$22,S70&lt;=Законод!$I$23),S70-Законод!$H$23,IF('01_Доходи'!S70&gt;=Законод!$I$22,Законод!$I$24,0)))),IF($B$66="Лікар-педіатр",IF(S70&lt;Законод!$C$18,0,(IF(AND(S70&gt;=Законод!$I$18,S70&lt;=Законод!$I$19),S70-Законод!$H$19,IF('01_Доходи'!S70&gt;=Законод!$I$18,Законод!$H$20,0)))),IF($B$66="Лікар-терапевт",IF(S70&lt;Законод!$C$26,0,(IF(AND(S70&gt;=Законод!$I$26,S70&lt;=Законод!$I$27),S70-Законод!$H$27,IF('01_Доходи'!S70&gt;=Законод!$I$26,Законод!$H$28,0)))),0)))</f>
        <v>0</v>
      </c>
      <c r="T76" s="945"/>
      <c r="U76" s="940" t="s">
        <v>346</v>
      </c>
      <c r="V76" s="940"/>
      <c r="W76" s="940"/>
      <c r="X76" s="940"/>
      <c r="Y76" s="940"/>
      <c r="Z76" s="196">
        <f ca="1">IF($B$66="Лікар загальної практики - сімейний лікар",IF(Z70&lt;Законод!$C$22,0,(IF(AND(Z70&gt;=Законод!$I$22,Z70&lt;=Законод!$I$23),Z70-Законод!$H$23,IF('01_Доходи'!Z70&gt;=Законод!$I$22,Законод!$I$24,0)))),IF($B$66="Лікар-педіатр",IF(Z70&lt;Законод!$C$18,0,(IF(AND(Z70&gt;=Законод!$I$18,Z70&lt;=Законод!$I$19),Z70-Законод!$H$19,IF('01_Доходи'!Z70&gt;=Законод!$I$18,Законод!$H$20,0)))),IF($B$66="Лікар-терапевт",IF(Z70&lt;Законод!$C$26,0,(IF(AND(Z70&gt;=Законод!$I$26,Z70&lt;=Законод!$I$27),Z70-Законод!$H$27,IF('01_Доходи'!Z70&gt;=Законод!$I$26,Законод!$H$28,0)))),0)))</f>
        <v>0</v>
      </c>
      <c r="AA76" s="945"/>
      <c r="AB76" s="940" t="s">
        <v>346</v>
      </c>
      <c r="AC76" s="940"/>
      <c r="AD76" s="940"/>
      <c r="AE76" s="940"/>
      <c r="AF76" s="940"/>
      <c r="AG76" s="196">
        <f ca="1">IF($B$66="Лікар загальної практики - сімейний лікар",IF(AG70&lt;Законод!$C$22,0,(IF(AND(AG70&gt;=Законод!$I$22,AG70&lt;=Законод!$I$23),AG70-Законод!$H$23,IF('01_Доходи'!AG70&gt;=Законод!$I$22,Законод!$I$24,0)))),IF($B$66="Лікар-педіатр",IF(AG70&lt;Законод!$C$18,0,(IF(AND(AG70&gt;=Законод!$I$18,AG70&lt;=Законод!$I$19),AG70-Законод!$H$19,IF('01_Доходи'!AG70&gt;=Законод!$I$18,Законод!$H$20,0)))),IF($B$66="Лікар-терапевт",IF(AG70&lt;Законод!$C$26,0,(IF(AND(AG70&gt;=Законод!$I$26,AG70&lt;=Законод!$I$27),AG70-Законод!$H$27,IF('01_Доходи'!AG70&gt;=Законод!$I$26,Законод!$H$28,0)))),0)))</f>
        <v>0</v>
      </c>
      <c r="AH76" s="945"/>
      <c r="AI76" s="201"/>
      <c r="AJ76" s="933"/>
      <c r="AK76" s="927"/>
      <c r="AL76" s="927"/>
      <c r="AM76" s="899"/>
      <c r="AN76" s="210">
        <f ca="1">IF(B66="Лікар загальної практики - сімейний лікар",L76*Законод!$C$9/4*Законод!$I$16,IF(B66="Лікар-педіатр",L76*Законод!$C$9/4*Законод!$I$16,IF(B66="Лікар-терапевт",L76*Законод!$C$9/4*Законод!$I$16,0)))</f>
        <v>0</v>
      </c>
      <c r="AO76" s="210">
        <f ca="1">IF(B66="Лікар загальної практики - сімейний лікар",S76*Законод!$C$9/4*Законод!$I$16,IF(B66="Лікар-педіатр",S76*Законод!$C$9/4*Законод!$I$16,IF(B66="Лікар-терапевт",S76*Законод!$C$9/4*Законод!$I$16,0)))</f>
        <v>0</v>
      </c>
      <c r="AP76" s="210">
        <f ca="1">IF(B66="Лікар загальної практики - сімейний лікар",Z76*Законод!$C$9/4*Законод!$I$16,IF(B66="Лікар-педіатр",Z76*Законод!$C$9/4*Законод!$I$16,IF(B66="Лікар-терапевт",Z76*Законод!$C$9/4*Законод!$I$16,0)))</f>
        <v>0</v>
      </c>
      <c r="AQ76" s="210">
        <f ca="1">IF(B66="Лікар загальної практики - сімейний лікар",AG76*Законод!$C$9/4*Законод!$I$16,IF(B66="Лікар-педіатр",AG76*Законод!$C$9/4*Законод!$I$16,IF(B66="Лікар-терапевт",AG76*Законод!$C$9/4*Законод!$I$16,0)))</f>
        <v>0</v>
      </c>
      <c r="AR76" s="211">
        <f t="shared" si="4"/>
        <v>0</v>
      </c>
    </row>
    <row r="77" spans="1:44" s="218" customFormat="1" ht="31.9" customHeight="1" thickBot="1">
      <c r="A77" s="213"/>
      <c r="B77" s="941"/>
      <c r="C77" s="942"/>
      <c r="D77" s="943"/>
      <c r="E77" s="943"/>
      <c r="F77" s="239" t="str">
        <f ca="1">IF(B66="Лікар-педіатр",Законод!$J$17,IF(B66="Лікар загальної практики - сімейний лікар",Законод!$J$21,IF(B66="Лікар-терапевт",Законод!$J$25,"х")))</f>
        <v>понад ліміт (&gt;=2701)</v>
      </c>
      <c r="G77" s="939" t="s">
        <v>346</v>
      </c>
      <c r="H77" s="939"/>
      <c r="I77" s="939"/>
      <c r="J77" s="939"/>
      <c r="K77" s="939"/>
      <c r="L77" s="196">
        <f ca="1">IF($B$66="Лікар загальної практики - сімейний лікар",IF(L70&gt;=Законод!$J$22,'01_Доходи'!L70-('01_Доходи'!L71+'01_Доходи'!L72+'01_Доходи'!L73+'01_Доходи'!L74+'01_Доходи'!L75+'01_Доходи'!L76),0),IF($B$66="Лікар-педіатр",IF(L70&gt;=Законод!$J$18,'01_Доходи'!L70-('01_Доходи'!L71+'01_Доходи'!L72+'01_Доходи'!L73+'01_Доходи'!L74+'01_Доходи'!L75+'01_Доходи'!L76),0),IF($B$66="Лікар-терапевт",IF('01_Доходи'!L70&gt;=Законод!$J$26,L70-Законод!$I$27,0),0)))</f>
        <v>0</v>
      </c>
      <c r="M77" s="945"/>
      <c r="N77" s="939" t="s">
        <v>346</v>
      </c>
      <c r="O77" s="939"/>
      <c r="P77" s="939"/>
      <c r="Q77" s="939"/>
      <c r="R77" s="939"/>
      <c r="S77" s="196">
        <f ca="1">IF($B$66="Лікар загальної практики - сімейний лікар",IF(S70&gt;=Законод!$J$22,'01_Доходи'!S70-('01_Доходи'!S71+'01_Доходи'!S72+'01_Доходи'!S73+'01_Доходи'!S74+'01_Доходи'!S75+'01_Доходи'!S76),0),IF($B$66="Лікар-педіатр",IF(S70&gt;=Законод!$J$18,'01_Доходи'!S70-('01_Доходи'!S71+'01_Доходи'!S72+'01_Доходи'!S73+'01_Доходи'!S74+'01_Доходи'!S75+'01_Доходи'!S76),0),IF($B$66="Лікар-терапевт",IF('01_Доходи'!S70&gt;=Законод!$J$26,S70-Законод!$I$27,0),0)))</f>
        <v>0</v>
      </c>
      <c r="T77" s="945"/>
      <c r="U77" s="939" t="s">
        <v>346</v>
      </c>
      <c r="V77" s="939"/>
      <c r="W77" s="939"/>
      <c r="X77" s="939"/>
      <c r="Y77" s="939"/>
      <c r="Z77" s="196">
        <f ca="1">IF($B$66="Лікар загальної практики - сімейний лікар",IF(Z70&gt;=Законод!$J$22,'01_Доходи'!Z70-('01_Доходи'!Z71+'01_Доходи'!Z72+'01_Доходи'!Z73+'01_Доходи'!Z74+'01_Доходи'!Z75+'01_Доходи'!Z76),0),IF($B$66="Лікар-педіатр",IF(Z70&gt;=Законод!$J$18,'01_Доходи'!Z70-('01_Доходи'!Z71+'01_Доходи'!Z72+'01_Доходи'!Z73+'01_Доходи'!Z74+'01_Доходи'!Z75+'01_Доходи'!Z76),0),IF($B$66="Лікар-терапевт",IF('01_Доходи'!Z70&gt;=Законод!$J$26,Z70-Законод!$I$27,0),0)))</f>
        <v>0</v>
      </c>
      <c r="AA77" s="945"/>
      <c r="AB77" s="939" t="s">
        <v>346</v>
      </c>
      <c r="AC77" s="939"/>
      <c r="AD77" s="939"/>
      <c r="AE77" s="939"/>
      <c r="AF77" s="939"/>
      <c r="AG77" s="196">
        <f ca="1">IF($B$66="Лікар загальної практики - сімейний лікар",IF(AG70&gt;=Законод!$J$22,'01_Доходи'!AG70-('01_Доходи'!AG71+'01_Доходи'!AG72+'01_Доходи'!AG73+'01_Доходи'!AG74+'01_Доходи'!AG75+'01_Доходи'!AG76),0),IF($B$66="Лікар-педіатр",IF(AG70&gt;=Законод!$J$18,'01_Доходи'!AG70-('01_Доходи'!AG71+'01_Доходи'!AG72+'01_Доходи'!AG73+'01_Доходи'!AG74+'01_Доходи'!AG75+'01_Доходи'!AG76),0),IF($B$66="Лікар-терапевт",IF('01_Доходи'!AG70&gt;=Законод!$J$26,AG70-Законод!$I$27,0),0)))</f>
        <v>0</v>
      </c>
      <c r="AH77" s="945"/>
      <c r="AI77" s="215"/>
      <c r="AJ77" s="934"/>
      <c r="AK77" s="928"/>
      <c r="AL77" s="928"/>
      <c r="AM77" s="900"/>
      <c r="AN77" s="216">
        <f ca="1">IF(B66="Лікар загальної практики - сімейний лікар",L77*Законод!$C$9/4*Законод!$J$16,IF(B66="Лікар-педіатр",L77*Законод!$C$9/4*Законод!$J$16,IF(B66="Лікар-терапевт",L77*Законод!$C$9/4*Законод!$J$16,0)))</f>
        <v>0</v>
      </c>
      <c r="AO77" s="216">
        <f ca="1">IF(B66="Лікар загальної практики - сімейний лікар",S77*Законод!$C$9/4*Законод!$J$16,IF(B66="Лікар-педіатр",S77*Законод!$C$9/4*Законод!$J$16,IF(B66="Лікар-терапевт",S77*Законод!$C$9/4*Законод!$J$16,0)))</f>
        <v>0</v>
      </c>
      <c r="AP77" s="216">
        <f ca="1">IF(B66="Лікар загальної практики - сімейний лікар",S77*Законод!$C$9/4*Законод!$J$16,IF(B66="Лікар-педіатр",S77*Законод!$C$9/4*Законод!$J$16,IF(B66="Лікар-терапевт",S77*Законод!$C$9/4*Законод!$J$16,0)))</f>
        <v>0</v>
      </c>
      <c r="AQ77" s="216">
        <f ca="1">IF(B66="Лікар загальної практики - сімейний лікар",AG77*Законод!$C$9/4*Законод!$J$16,IF(B66="Лікар-педіатр",AG77*Законод!$C$9/4*Законод!$J$16,IF(B66="Лікар-терапевт",AG77*Законод!$C$9/4*Законод!$J$16,0)))</f>
        <v>0</v>
      </c>
      <c r="AR77" s="217">
        <f t="shared" si="4"/>
        <v>0</v>
      </c>
    </row>
    <row r="78" spans="1:44" s="233" customFormat="1" ht="22.9" customHeight="1" thickBot="1">
      <c r="A78" s="219"/>
      <c r="B78" s="220"/>
      <c r="C78" s="731"/>
      <c r="D78" s="222"/>
      <c r="E78" s="222"/>
      <c r="F78" s="223"/>
      <c r="G78" s="224"/>
      <c r="H78" s="224"/>
      <c r="I78" s="224"/>
      <c r="J78" s="224"/>
      <c r="K78" s="224"/>
      <c r="L78" s="225"/>
      <c r="M78" s="226"/>
      <c r="N78" s="224"/>
      <c r="O78" s="224"/>
      <c r="P78" s="224"/>
      <c r="Q78" s="224"/>
      <c r="R78" s="224"/>
      <c r="S78" s="225"/>
      <c r="T78" s="226"/>
      <c r="U78" s="224"/>
      <c r="V78" s="224"/>
      <c r="W78" s="224"/>
      <c r="X78" s="224"/>
      <c r="Y78" s="224"/>
      <c r="Z78" s="227"/>
      <c r="AA78" s="226"/>
      <c r="AB78" s="224"/>
      <c r="AC78" s="224"/>
      <c r="AD78" s="224"/>
      <c r="AE78" s="224"/>
      <c r="AF78" s="224"/>
      <c r="AG78" s="227"/>
      <c r="AH78" s="226"/>
      <c r="AI78" s="228"/>
      <c r="AJ78" s="229"/>
      <c r="AK78" s="229"/>
      <c r="AL78" s="229"/>
      <c r="AM78" s="230"/>
      <c r="AN78" s="231"/>
      <c r="AO78" s="231"/>
      <c r="AP78" s="231"/>
      <c r="AQ78" s="231"/>
      <c r="AR78" s="232"/>
    </row>
    <row r="79" spans="1:44" s="191" customFormat="1" ht="30" customHeight="1">
      <c r="A79" s="194">
        <f>A66+1</f>
        <v>4</v>
      </c>
      <c r="B79" s="941" t="s">
        <v>235</v>
      </c>
      <c r="C79" s="942" t="s">
        <v>70</v>
      </c>
      <c r="D79" s="943"/>
      <c r="E79" s="943" t="s">
        <v>69</v>
      </c>
      <c r="F79" s="234" t="s">
        <v>582</v>
      </c>
      <c r="G79" s="196">
        <f>IF($B$79="Лікар-педіатр",G82*L79,IF($B$79="Лікар-терапевт","х",IF($B$79="Лікар загальної практики - сімейний лікар",G82*L79,0)))</f>
        <v>79.952550415183865</v>
      </c>
      <c r="H79" s="196">
        <f>IF($B$79="Лікар-педіатр",H82*L79,IF($B$79="Лікар-терапевт","х",IF($B$79="Лікар загальної практики - сімейний лікар",H82*L79,0)))</f>
        <v>294.82502965599048</v>
      </c>
      <c r="I79" s="196">
        <f>IF($B$79="Лікар-педіатр","x",IF($B$79="Лікар-терапевт",I82*L79,IF($B$79="Лікар загальної практики - сімейний лікар",I82*L79,0)))</f>
        <v>441.73784104389085</v>
      </c>
      <c r="J79" s="196">
        <f>IF($B$79="Лікар-педіатр","x",IF($B$79="Лікар-терапевт",J82*L79,IF($B$79="Лікар загальної практики - сімейний лікар",J82*L79,0)))</f>
        <v>604.64116251482801</v>
      </c>
      <c r="K79" s="196">
        <f>IF($B$79="Лікар-педіатр","x",IF($B$79="Лікар-терапевт",K82*L79,IF($B$79="Лікар загальної практики - сімейний лікар",K82*L79,0)))</f>
        <v>263.84341637010675</v>
      </c>
      <c r="L79" s="558">
        <v>1685</v>
      </c>
      <c r="M79" s="945">
        <v>1</v>
      </c>
      <c r="N79" s="196">
        <f>IF($B$79="Лікар-педіатр",N82*S79,IF($B$79="Лікар-терапевт","х",IF($B$79="Лікар загальної практики - сімейний лікар",N82*S79,0)))</f>
        <v>79.952550415183865</v>
      </c>
      <c r="O79" s="196">
        <f>IF($B$79="Лікар-педіатр",O82*S79,IF($B$79="Лікар-терапевт","х",IF($B$79="Лікар загальної практики - сімейний лікар",O82*S79,0)))</f>
        <v>294.82502965599048</v>
      </c>
      <c r="P79" s="196">
        <f>IF($B$79="Лікар-педіатр","x",IF($B$79="Лікар-терапевт",P82*S79,IF($B$79="Лікар загальної практики - сімейний лікар",P82*S79,0)))</f>
        <v>441.73784104389085</v>
      </c>
      <c r="Q79" s="196">
        <f>IF($B$79="Лікар-педіатр","x",IF($B$79="Лікар-терапевт",Q82*S79,IF($B$79="Лікар загальної практики - сімейний лікар",Q82*S79,0)))</f>
        <v>604.64116251482801</v>
      </c>
      <c r="R79" s="196">
        <f>IF($B$79="Лікар-педіатр","x",IF($B$79="Лікар-терапевт",R82*S79,IF($B$79="Лікар загальної практики - сімейний лікар",R82*S79,0)))</f>
        <v>263.84341637010675</v>
      </c>
      <c r="S79" s="558">
        <v>1685</v>
      </c>
      <c r="T79" s="945">
        <v>1</v>
      </c>
      <c r="U79" s="196">
        <f>IF($B$79="Лікар-педіатр",U82*Z79,IF($B$79="Лікар-терапевт","х",IF($B$79="Лікар загальної практики - сімейний лікар",U82*Z79,0)))</f>
        <v>80</v>
      </c>
      <c r="V79" s="196">
        <f>IF($B$79="Лікар-педіатр",V82*Z79,IF($B$79="Лікар-терапевт","х",IF($B$79="Лікар загальної практики - сімейний лікар",V82*Z79,0)))</f>
        <v>295</v>
      </c>
      <c r="W79" s="196">
        <f>IF($B$79="Лікар-педіатр","x",IF($B$79="Лікар-терапевт",W82*Z79,IF($B$79="Лікар загальної практики - сімейний лікар",W82*Z79,0)))</f>
        <v>442</v>
      </c>
      <c r="X79" s="196">
        <f>IF($B$79="Лікар-педіатр","x",IF($B$79="Лікар-терапевт",X82*Z79,IF($B$79="Лікар загальної практики - сімейний лікар",X82*Z79,0)))</f>
        <v>605</v>
      </c>
      <c r="Y79" s="196">
        <f>IF($B$79="Лікар-педіатр","x",IF($B$79="Лікар-терапевт",Y82*Z79,IF($B$79="Лікар загальної практики - сімейний лікар",Y82*Z79,0)))</f>
        <v>264</v>
      </c>
      <c r="Z79" s="558">
        <v>1686</v>
      </c>
      <c r="AA79" s="945">
        <v>1</v>
      </c>
      <c r="AB79" s="196">
        <v>65</v>
      </c>
      <c r="AC79" s="196">
        <v>287</v>
      </c>
      <c r="AD79" s="196">
        <v>425</v>
      </c>
      <c r="AE79" s="196">
        <v>571</v>
      </c>
      <c r="AF79" s="196">
        <v>300</v>
      </c>
      <c r="AG79" s="558">
        <f>AB79+AC79+AD79+AE79+AF79</f>
        <v>1648</v>
      </c>
      <c r="AH79" s="945">
        <v>1</v>
      </c>
      <c r="AI79" s="541">
        <f>A79</f>
        <v>4</v>
      </c>
      <c r="AJ79" s="932" t="str">
        <f>B79</f>
        <v>Лікар загальної практики - сімейний лікар</v>
      </c>
      <c r="AK79" s="926" t="str">
        <f>C79</f>
        <v>Венедіктова Світлана Павлівна</v>
      </c>
      <c r="AL79" s="926">
        <f>D79</f>
        <v>0</v>
      </c>
      <c r="AM79" s="901" t="s">
        <v>785</v>
      </c>
      <c r="AN79" s="923">
        <f>SUM(AN84:AN90)</f>
        <v>322823.53872117185</v>
      </c>
      <c r="AO79" s="923">
        <f>SUM(AO84:AO90)</f>
        <v>322823.53872117185</v>
      </c>
      <c r="AP79" s="923">
        <f>SUM(AP84:AP90)</f>
        <v>322887.3756875</v>
      </c>
      <c r="AQ79" s="923">
        <f>SUM(AQ84:AQ90)</f>
        <v>315203.968475</v>
      </c>
      <c r="AR79" s="914">
        <f>SUM(AN79:AQ83)</f>
        <v>1283738.4216048438</v>
      </c>
    </row>
    <row r="80" spans="1:44" s="50" customFormat="1" ht="28.15" customHeight="1">
      <c r="A80" s="197"/>
      <c r="B80" s="941"/>
      <c r="C80" s="942"/>
      <c r="D80" s="943"/>
      <c r="E80" s="943"/>
      <c r="F80" s="234" t="s">
        <v>583</v>
      </c>
      <c r="G80" s="196">
        <f>IF($B$79="Лікар-педіатр",G82*L80,IF($B$79="Лікар-терапевт","х",IF($B$79="Лікар загальної практики - сімейний лікар",G82*L80,0)))</f>
        <v>80</v>
      </c>
      <c r="H80" s="196">
        <f>IF($B$79="Лікар-педіатр",H82*L80,IF($B$79="Лікар-терапевт","х",IF($B$79="Лікар загальної практики - сімейний лікар",H82*L80,0)))</f>
        <v>295</v>
      </c>
      <c r="I80" s="196">
        <f>IF($B$79="Лікар-педіатр","x",IF($B$79="Лікар-терапевт",I82*L80,IF($B$79="Лікар загальної практики - сімейний лікар",I82*L80,0)))</f>
        <v>442</v>
      </c>
      <c r="J80" s="196">
        <f>IF($B$79="Лікар-педіатр","x",IF($B$79="Лікар-терапевт",J82*L80,IF($B$79="Лікар загальної практики - сімейний лікар",J82*L80,0)))</f>
        <v>605</v>
      </c>
      <c r="K80" s="196">
        <f>IF($B$79="Лікар-педіатр","x",IF($B$79="Лікар-терапевт",K82*L80,IF($B$79="Лікар загальної практики - сімейний лікар",K82*L80,0)))</f>
        <v>264</v>
      </c>
      <c r="L80" s="558">
        <v>1686</v>
      </c>
      <c r="M80" s="945"/>
      <c r="N80" s="196">
        <f>IF($B$79="Лікар-педіатр",N82*S80,IF($B$79="Лікар-терапевт","х",IF($B$79="Лікар загальної практики - сімейний лікар",N82*S80,0)))</f>
        <v>80</v>
      </c>
      <c r="O80" s="196">
        <f>IF($B$79="Лікар-педіатр",O82*S80,IF($B$79="Лікар-терапевт","х",IF($B$79="Лікар загальної практики - сімейний лікар",O82*S80,0)))</f>
        <v>295</v>
      </c>
      <c r="P80" s="196">
        <f>IF($B$79="Лікар-педіатр","x",IF($B$79="Лікар-терапевт",P82*S80,IF($B$79="Лікар загальної практики - сімейний лікар",P82*S80,0)))</f>
        <v>442</v>
      </c>
      <c r="Q80" s="196">
        <f>IF($B$79="Лікар-педіатр","x",IF($B$79="Лікар-терапевт",Q82*S80,IF($B$79="Лікар загальної практики - сімейний лікар",Q82*S80,0)))</f>
        <v>605</v>
      </c>
      <c r="R80" s="196">
        <f>IF($B$79="Лікар-педіатр","x",IF($B$79="Лікар-терапевт",R82*S80,IF($B$79="Лікар загальної практики - сімейний лікар",R82*S80,0)))</f>
        <v>264</v>
      </c>
      <c r="S80" s="558">
        <v>1686</v>
      </c>
      <c r="T80" s="945"/>
      <c r="U80" s="196">
        <f>IF($B$79="Лікар-педіатр",U82*Z80,IF($B$79="Лікар-терапевт","х",IF($B$79="Лікар загальної практики - сімейний лікар",U82*Z80,0)))</f>
        <v>80</v>
      </c>
      <c r="V80" s="196">
        <f>IF($B$79="Лікар-педіатр",V82*Z80,IF($B$79="Лікар-терапевт","х",IF($B$79="Лікар загальної практики - сімейний лікар",V82*Z80,0)))</f>
        <v>295</v>
      </c>
      <c r="W80" s="196">
        <f>IF($B$79="Лікар-педіатр","x",IF($B$79="Лікар-терапевт",W82*Z80,IF($B$79="Лікар загальної практики - сімейний лікар",W82*Z80,0)))</f>
        <v>442</v>
      </c>
      <c r="X80" s="196">
        <f>IF($B$79="Лікар-педіатр","x",IF($B$79="Лікар-терапевт",X82*Z80,IF($B$79="Лікар загальної практики - сімейний лікар",X82*Z80,0)))</f>
        <v>605</v>
      </c>
      <c r="Y80" s="196">
        <f>IF($B$79="Лікар-педіатр","x",IF($B$79="Лікар-терапевт",Y82*Z80,IF($B$79="Лікар загальної практики - сімейний лікар",Y82*Z80,0)))</f>
        <v>264</v>
      </c>
      <c r="Z80" s="558">
        <v>1686</v>
      </c>
      <c r="AA80" s="945"/>
      <c r="AB80" s="196">
        <v>65</v>
      </c>
      <c r="AC80" s="196">
        <v>287</v>
      </c>
      <c r="AD80" s="196">
        <v>425</v>
      </c>
      <c r="AE80" s="196">
        <v>571</v>
      </c>
      <c r="AF80" s="196">
        <v>300</v>
      </c>
      <c r="AG80" s="558">
        <f>AB80+AC80+AD80+AE80+AF80</f>
        <v>1648</v>
      </c>
      <c r="AH80" s="945"/>
      <c r="AI80" s="198"/>
      <c r="AJ80" s="933"/>
      <c r="AK80" s="927"/>
      <c r="AL80" s="927"/>
      <c r="AM80" s="902"/>
      <c r="AN80" s="924"/>
      <c r="AO80" s="924"/>
      <c r="AP80" s="924"/>
      <c r="AQ80" s="924"/>
      <c r="AR80" s="915"/>
    </row>
    <row r="81" spans="1:44" s="90" customFormat="1" ht="31.15" customHeight="1">
      <c r="A81" s="240"/>
      <c r="B81" s="941"/>
      <c r="C81" s="942"/>
      <c r="D81" s="943"/>
      <c r="E81" s="943"/>
      <c r="F81" s="241" t="s">
        <v>584</v>
      </c>
      <c r="G81" s="199">
        <v>80</v>
      </c>
      <c r="H81" s="199">
        <v>295</v>
      </c>
      <c r="I81" s="199">
        <v>442</v>
      </c>
      <c r="J81" s="199">
        <v>605</v>
      </c>
      <c r="K81" s="199">
        <v>264</v>
      </c>
      <c r="L81" s="200">
        <f>SUM(G81:K81)</f>
        <v>1686</v>
      </c>
      <c r="M81" s="945"/>
      <c r="N81" s="199">
        <v>80</v>
      </c>
      <c r="O81" s="199">
        <v>295</v>
      </c>
      <c r="P81" s="199">
        <v>442</v>
      </c>
      <c r="Q81" s="199">
        <v>605</v>
      </c>
      <c r="R81" s="199">
        <v>264</v>
      </c>
      <c r="S81" s="200">
        <f>SUM(N81:R81)</f>
        <v>1686</v>
      </c>
      <c r="T81" s="945"/>
      <c r="U81" s="199">
        <v>80</v>
      </c>
      <c r="V81" s="199">
        <v>295</v>
      </c>
      <c r="W81" s="199">
        <v>442</v>
      </c>
      <c r="X81" s="199">
        <v>605</v>
      </c>
      <c r="Y81" s="199">
        <v>264</v>
      </c>
      <c r="Z81" s="200">
        <f>SUM(U81:Y81)</f>
        <v>1686</v>
      </c>
      <c r="AA81" s="945"/>
      <c r="AB81" s="196">
        <v>65</v>
      </c>
      <c r="AC81" s="196">
        <v>287</v>
      </c>
      <c r="AD81" s="196">
        <v>425</v>
      </c>
      <c r="AE81" s="196">
        <v>571</v>
      </c>
      <c r="AF81" s="196">
        <v>300</v>
      </c>
      <c r="AG81" s="558">
        <f>AB81+AC81+AD81+AE81+AF81</f>
        <v>1648</v>
      </c>
      <c r="AH81" s="945"/>
      <c r="AI81" s="242"/>
      <c r="AJ81" s="933"/>
      <c r="AK81" s="927"/>
      <c r="AL81" s="927"/>
      <c r="AM81" s="902"/>
      <c r="AN81" s="924"/>
      <c r="AO81" s="924"/>
      <c r="AP81" s="924"/>
      <c r="AQ81" s="924"/>
      <c r="AR81" s="915"/>
    </row>
    <row r="82" spans="1:44" s="50" customFormat="1" ht="31.9" customHeight="1" thickBot="1">
      <c r="A82" s="197"/>
      <c r="B82" s="941"/>
      <c r="C82" s="942"/>
      <c r="D82" s="943"/>
      <c r="E82" s="943"/>
      <c r="F82" s="236" t="s">
        <v>349</v>
      </c>
      <c r="G82" s="203">
        <f>IF($B$79="Лікар-педіатр",G81/L81,IF($B$79="Лікар-терапевт","х",IF($B$79="Лікар загальної практики - сімейний лікар",G81/L81,0)))</f>
        <v>4.7449584816132859E-2</v>
      </c>
      <c r="H82" s="203">
        <f>IF($B$79="Лікар-педіатр",H81/L81,IF($B$79="Лікар-терапевт","х",IF($B$79="Лікар загальної практики - сімейний лікар",H81/L81,0)))</f>
        <v>0.17497034400948991</v>
      </c>
      <c r="I82" s="203">
        <f>IF($B$79="Лікар-педіатр","x",IF($B$79="Лікар-терапевт",I81/L81,IF($B$79="Лікар загальної практики - сімейний лікар",I81/L81,0)))</f>
        <v>0.26215895610913403</v>
      </c>
      <c r="J82" s="203">
        <f>IF($B$79="Лікар-педіатр","x",IF($B$79="Лікар-терапевт",J81/L81,IF($B$79="Лікар загальної практики - сімейний лікар",J81/L81,0)))</f>
        <v>0.35883748517200476</v>
      </c>
      <c r="K82" s="203">
        <f>IF($B$79="Лікар-педіатр","x",IF($B$79="Лікар-терапевт",K81/L81,IF($B$79="Лікар загальної практики - сімейний лікар",K81/L81,0)))</f>
        <v>0.15658362989323843</v>
      </c>
      <c r="L82" s="203">
        <f>SUM(G82:K82)</f>
        <v>1</v>
      </c>
      <c r="M82" s="945"/>
      <c r="N82" s="203">
        <f>IF($B$79="Лікар-педіатр",N81/S81,IF($B$79="Лікар-терапевт","х",IF($B$79="Лікар загальної практики - сімейний лікар",N81/S81,0)))</f>
        <v>4.7449584816132859E-2</v>
      </c>
      <c r="O82" s="203">
        <f>IF($B$79="Лікар-педіатр",O81/S81,IF($B$79="Лікар-терапевт","х",IF($B$79="Лікар загальної практики - сімейний лікар",O81/S81,0)))</f>
        <v>0.17497034400948991</v>
      </c>
      <c r="P82" s="203">
        <f>IF($B$79="Лікар-педіатр","x",IF($B$79="Лікар-терапевт",P81/S81,IF($B$79="Лікар загальної практики - сімейний лікар",P81/S81,0)))</f>
        <v>0.26215895610913403</v>
      </c>
      <c r="Q82" s="203">
        <f>IF($B$79="Лікар-педіатр","x",IF($B$79="Лікар-терапевт",Q81/S81,IF($B$79="Лікар загальної практики - сімейний лікар",Q81/S81,0)))</f>
        <v>0.35883748517200476</v>
      </c>
      <c r="R82" s="203">
        <f>IF($B$79="Лікар-педіатр","x",IF($B$79="Лікар-терапевт",R81/S81,IF($B$79="Лікар загальної практики - сімейний лікар",R81/S81,0)))</f>
        <v>0.15658362989323843</v>
      </c>
      <c r="S82" s="203">
        <f>SUM(N82:R82)</f>
        <v>1</v>
      </c>
      <c r="T82" s="945"/>
      <c r="U82" s="203">
        <f>IF($B$79="Лікар-педіатр",U81/Z81,IF($B$79="Лікар-терапевт","х",IF($B$79="Лікар загальної практики - сімейний лікар",U81/Z81,0)))</f>
        <v>4.7449584816132859E-2</v>
      </c>
      <c r="V82" s="203">
        <f>IF($B$79="Лікар-педіатр",V81/Z81,IF($B$79="Лікар-терапевт","х",IF($B$79="Лікар загальної практики - сімейний лікар",V81/Z81,0)))</f>
        <v>0.17497034400948991</v>
      </c>
      <c r="W82" s="203">
        <f>IF($B$79="Лікар-педіатр","x",IF($B$79="Лікар-терапевт",W81/Z81,IF($B$79="Лікар загальної практики - сімейний лікар",W81/Z81,0)))</f>
        <v>0.26215895610913403</v>
      </c>
      <c r="X82" s="203">
        <f>IF($B$79="Лікар-педіатр","x",IF($B$79="Лікар-терапевт",X81/Z81,IF($B$79="Лікар загальної практики - сімейний лікар",X81/Z81,0)))</f>
        <v>0.35883748517200476</v>
      </c>
      <c r="Y82" s="203">
        <f>IF($B$79="Лікар-педіатр","x",IF($B$79="Лікар-терапевт",Y81/Z81,IF($B$79="Лікар загальної практики - сімейний лікар",Y81/Z81,0)))</f>
        <v>0.15658362989323843</v>
      </c>
      <c r="Z82" s="203">
        <f>SUM(U82:Y82)</f>
        <v>1</v>
      </c>
      <c r="AA82" s="945"/>
      <c r="AB82" s="203">
        <f>IF($B$79="Лікар-педіатр",AB81/AG81,IF($B$79="Лікар-терапевт","х",IF($B$79="Лікар загальної практики - сімейний лікар",AB81/AG81,0)))</f>
        <v>3.9441747572815537E-2</v>
      </c>
      <c r="AC82" s="203">
        <f>IF($B$79="Лікар-педіатр",AC81/AG81,IF($B$79="Лікар-терапевт","х",IF($B$79="Лікар загальної практики - сімейний лікар",AC81/AG81,0)))</f>
        <v>0.17415048543689321</v>
      </c>
      <c r="AD82" s="203">
        <f>IF($B$79="Лікар-педіатр","x",IF($B$79="Лікар-терапевт",AD81/AG81,IF($B$79="Лікар загальної практики - сімейний лікар",AD81/AG81,0)))</f>
        <v>0.25788834951456313</v>
      </c>
      <c r="AE82" s="203">
        <f>IF($B$79="Лікар-педіатр","x",IF($B$79="Лікар-терапевт",AE81/AG81,IF($B$79="Лікар загальної практики - сімейний лікар",AE81/AG81,0)))</f>
        <v>0.34648058252427183</v>
      </c>
      <c r="AF82" s="203">
        <f>IF($B$79="Лікар-педіатр","x",IF($B$79="Лікар-терапевт",AF81/AG81,IF($B$79="Лікар загальної практики - сімейний лікар",AF81/AG81,0)))</f>
        <v>0.18203883495145631</v>
      </c>
      <c r="AG82" s="203">
        <f>SUM(AB82:AF82)</f>
        <v>1</v>
      </c>
      <c r="AH82" s="945"/>
      <c r="AI82" s="201"/>
      <c r="AJ82" s="933"/>
      <c r="AK82" s="927"/>
      <c r="AL82" s="927"/>
      <c r="AM82" s="902"/>
      <c r="AN82" s="924"/>
      <c r="AO82" s="924"/>
      <c r="AP82" s="924"/>
      <c r="AQ82" s="924"/>
      <c r="AR82" s="915"/>
    </row>
    <row r="83" spans="1:44" s="50" customFormat="1" ht="45" customHeight="1" thickBot="1">
      <c r="A83" s="197"/>
      <c r="B83" s="941"/>
      <c r="C83" s="942"/>
      <c r="D83" s="943"/>
      <c r="E83" s="944"/>
      <c r="F83" s="204" t="s">
        <v>585</v>
      </c>
      <c r="G83" s="205">
        <f>IF($B$79="Лікар загальної практики - сімейний лікар",AVERAGE(G79:G81),IF($B$79="Лікар-педіатр",AVERAGE(G79:G81),IF($B$79="Лікар-терапевт","х",0)))</f>
        <v>79.984183471727945</v>
      </c>
      <c r="H83" s="205">
        <f>IF($B$79="Лікар загальної практики - сімейний лікар",AVERAGE(H79:H81),IF($B$79="Лікар-педіатр",AVERAGE(H79:H81),IF($B$79="Лікар-терапевт","х",0)))</f>
        <v>294.94167655199681</v>
      </c>
      <c r="I83" s="205">
        <f>IF($B$79="Лікар загальної практики - сімейний лікар",AVERAGE(I79:I81),IF($B$79="Лікар-педіатр","x",IF($B$79="Лікар-терапевт",AVERAGE(I79:I81),0)))</f>
        <v>441.91261368129699</v>
      </c>
      <c r="J83" s="205">
        <f>IF($B$79="Лікар загальної практики - сімейний лікар",AVERAGE(J79:J81),IF($B$79="Лікар-педіатр","x",IF($B$79="Лікар-терапевт",AVERAGE(J79:J81),0)))</f>
        <v>604.88038750494263</v>
      </c>
      <c r="K83" s="205">
        <f>IF($B$79="Лікар загальної практики - сімейний лікар",AVERAGE(K79:K81),IF($B$79="Лікар-педіатр","x",IF($B$79="Лікар-терапевт",AVERAGE(K79:K81),0)))</f>
        <v>263.94780545670227</v>
      </c>
      <c r="L83" s="206">
        <f>SUM(G83:K83)</f>
        <v>1685.6666666666667</v>
      </c>
      <c r="M83" s="946"/>
      <c r="N83" s="205">
        <f>IF($B$79="Лікар загальної практики - сімейний лікар",AVERAGE(N79:N81),IF($B$79="Лікар-педіатр",AVERAGE(N79:N81),IF($B$79="Лікар-терапевт","х",0)))</f>
        <v>79.984183471727945</v>
      </c>
      <c r="O83" s="205">
        <f>IF($B$79="Лікар загальної практики - сімейний лікар",AVERAGE(O79:O81),IF($B$79="Лікар-педіатр",AVERAGE(O79:O81),IF($B$79="Лікар-терапевт","х",0)))</f>
        <v>294.94167655199681</v>
      </c>
      <c r="P83" s="205">
        <f>IF($B$79="Лікар загальної практики - сімейний лікар",AVERAGE(P79:P81),IF($B$79="Лікар-педіатр","x",IF($B$79="Лікар-терапевт",AVERAGE(P79:P81),0)))</f>
        <v>441.91261368129699</v>
      </c>
      <c r="Q83" s="205">
        <f>IF($B$79="Лікар загальної практики - сімейний лікар",AVERAGE(Q79:Q81),IF($B$79="Лікар-педіатр","x",IF($B$79="Лікар-терапевт",AVERAGE(Q79:Q81),0)))</f>
        <v>604.88038750494263</v>
      </c>
      <c r="R83" s="205">
        <f>IF($B$79="Лікар загальної практики - сімейний лікар",AVERAGE(R79:R81),IF($B$79="Лікар-педіатр","x",IF($B$79="Лікар-терапевт",AVERAGE(R79:R81),0)))</f>
        <v>263.94780545670227</v>
      </c>
      <c r="S83" s="206">
        <f>SUM(N83:R83)</f>
        <v>1685.6666666666667</v>
      </c>
      <c r="T83" s="946"/>
      <c r="U83" s="205">
        <f>IF($B$79="Лікар загальної практики - сімейний лікар",AVERAGE(U79:U81),IF($B$79="Лікар-педіатр",AVERAGE(U79:U81),IF($B$79="Лікар-терапевт","х",0)))</f>
        <v>80</v>
      </c>
      <c r="V83" s="205">
        <f>IF($B$79="Лікар загальної практики - сімейний лікар",AVERAGE(V79:V81),IF($B$79="Лікар-педіатр",AVERAGE(V79:V81),IF($B$79="Лікар-терапевт","х",0)))</f>
        <v>295</v>
      </c>
      <c r="W83" s="205">
        <f>IF($B$79="Лікар загальної практики - сімейний лікар",AVERAGE(W79:W81),IF($B$79="Лікар-педіатр","x",IF($B$79="Лікар-терапевт",AVERAGE(W79:W81),0)))</f>
        <v>442</v>
      </c>
      <c r="X83" s="205">
        <f>IF($B$79="Лікар загальної практики - сімейний лікар",AVERAGE(X79:X81),IF($B$79="Лікар-педіатр","x",IF($B$79="Лікар-терапевт",AVERAGE(X79:X81),0)))</f>
        <v>605</v>
      </c>
      <c r="Y83" s="205">
        <f>IF($B$79="Лікар загальної практики - сімейний лікар",AVERAGE(Y79:Y81),IF($B$79="Лікар-педіатр","x",IF($B$79="Лікар-терапевт",AVERAGE(Y79:Y81),0)))</f>
        <v>264</v>
      </c>
      <c r="Z83" s="206">
        <f>SUM(U83:Y83)</f>
        <v>1686</v>
      </c>
      <c r="AA83" s="946"/>
      <c r="AB83" s="205">
        <f>IF($B$79="Лікар загальної практики - сімейний лікар",AVERAGE(AB79:AB81),IF($B$79="Лікар-педіатр",AVERAGE(AB79:AB81),IF($B$79="Лікар-терапевт","х",0)))</f>
        <v>65</v>
      </c>
      <c r="AC83" s="205">
        <f>IF($B$79="Лікар загальної практики - сімейний лікар",AVERAGE(AC79:AC81),IF($B$79="Лікар-педіатр",AVERAGE(AC79:AC81),IF($B$79="Лікар-терапевт","х",0)))</f>
        <v>287</v>
      </c>
      <c r="AD83" s="205">
        <f>IF($B$79="Лікар загальної практики - сімейний лікар",AVERAGE(AD79:AD81),IF($B$79="Лікар-педіатр","x",IF($B$79="Лікар-терапевт",AVERAGE(AD79:AD81),0)))</f>
        <v>425</v>
      </c>
      <c r="AE83" s="205">
        <f>IF($B$79="Лікар загальної практики - сімейний лікар",AVERAGE(AE79:AE81),IF($B$79="Лікар-педіатр","x",IF($B$79="Лікар-терапевт",AVERAGE(AE79:AE81),0)))</f>
        <v>571</v>
      </c>
      <c r="AF83" s="205">
        <f>IF($B$79="Лікар загальної практики - сімейний лікар",AVERAGE(AF79:AF81),IF($B$79="Лікар-педіатр","x",IF($B$79="Лікар-терапевт",AVERAGE(AF79:AF81),0)))</f>
        <v>300</v>
      </c>
      <c r="AG83" s="206">
        <f>SUM(AB83:AF83)</f>
        <v>1648</v>
      </c>
      <c r="AH83" s="947"/>
      <c r="AI83" s="201"/>
      <c r="AJ83" s="933"/>
      <c r="AK83" s="927"/>
      <c r="AL83" s="927"/>
      <c r="AM83" s="903"/>
      <c r="AN83" s="925"/>
      <c r="AO83" s="925"/>
      <c r="AP83" s="925"/>
      <c r="AQ83" s="925"/>
      <c r="AR83" s="916"/>
    </row>
    <row r="84" spans="1:44" s="50" customFormat="1" ht="40.5">
      <c r="A84" s="197"/>
      <c r="B84" s="941"/>
      <c r="C84" s="942"/>
      <c r="D84" s="943"/>
      <c r="E84" s="943"/>
      <c r="F84" s="237" t="str">
        <f ca="1">IF(B79="Лікар-педіатр",Законод!$C$17,IF(B79="Лікар загальної практики - сімейний лікар",Законод!$C$21,IF(B79="Лікар-терапевт",Законод!$C$25,"х")))</f>
        <v>ліміт (до 1800)</v>
      </c>
      <c r="G84" s="208">
        <f ca="1">IF($B$79="Лікар загальної практики - сімейний лікар",IF(L83&lt;=Законод!$C$22,G83,Законод!$C$22*'01_Доходи'!G82),IF($B$79="Лікар-педіатр",IF(L83&lt;=Законод!$C$18,G83,Законод!$C$18*'01_Доходи'!G82),IF($B$79="Лікар-терапевт","x",0)))</f>
        <v>79.984183471727945</v>
      </c>
      <c r="H84" s="208">
        <f ca="1">IF($B$79="Лікар загальної практики - сімейний лікар",IF(L83&lt;=Законод!$C$22,H83,Законод!$C$22*'01_Доходи'!H82),IF($B$79="Лікар-педіатр",IF(L83&lt;=Законод!$C$18,H83,Законод!$C$18*'01_Доходи'!H82),IF($B$79="Лікар-терапевт","x",0)))</f>
        <v>294.94167655199681</v>
      </c>
      <c r="I84" s="208">
        <f ca="1">IF($B$79="Лікар загальної практики - сімейний лікар",IF(L83&lt;=Законод!$C$22,I83,Законод!$C$22*'01_Доходи'!I82),IF($B$79="Лікар-педіатр","x",IF($B$79="Лікар-терапевт",IF(L83&lt;=Законод!$C$26,I83,Законод!$C$26*'01_Доходи'!I82),0)))</f>
        <v>441.91261368129699</v>
      </c>
      <c r="J84" s="208">
        <f ca="1">IF($B$79="Лікар загальної практики - сімейний лікар",IF(L83&lt;=Законод!$C$22,J83,Законод!$C$22*'01_Доходи'!J82),IF($B$79="Лікар-педіатр","x",IF($B$79="Лікар-терапевт",IF(L83&lt;=Законод!$C$26,J83,Законод!$C$26*'01_Доходи'!J82),0)))</f>
        <v>604.88038750494263</v>
      </c>
      <c r="K84" s="208">
        <f ca="1">IF($B$79="Лікар загальної практики - сімейний лікар",IF(L83&lt;=Законод!$C$22,K83,Законод!$C$22*'01_Доходи'!K82),IF($B$79="Лікар-педіатр","x",IF($B$79="Лікар-терапевт",IF(L83&lt;=Законод!$C$26,K83,Законод!$C$26*'01_Доходи'!K82),0)))</f>
        <v>263.94780545670227</v>
      </c>
      <c r="L84" s="209">
        <f ca="1">SUM(G84:K84)</f>
        <v>1685.6666666666667</v>
      </c>
      <c r="M84" s="945"/>
      <c r="N84" s="208">
        <f ca="1">IF($B$79="Лікар загальної практики - сімейний лікар",IF(S83&lt;=Законод!$C$22,N83,Законод!$C$22*'01_Доходи'!N82),IF($B$79="Лікар-педіатр",IF(S83&lt;=Законод!$C$18,N83,Законод!$C$18*'01_Доходи'!N82),IF($B$79="Лікар-терапевт","x",0)))</f>
        <v>79.984183471727945</v>
      </c>
      <c r="O84" s="208">
        <f ca="1">IF($B$79="Лікар загальної практики - сімейний лікар",IF(S83&lt;=Законод!$C$22,O83,Законод!$C$22*'01_Доходи'!O82),IF($B$79="Лікар-педіатр",IF(S83&lt;=Законод!$C$18,O83,Законод!$C$18*'01_Доходи'!O82),IF($B$79="Лікар-терапевт","x",0)))</f>
        <v>294.94167655199681</v>
      </c>
      <c r="P84" s="208">
        <f ca="1">IF($B$79="Лікар загальної практики - сімейний лікар",IF(S83&lt;=Законод!$C$22,P83,Законод!$C$22*'01_Доходи'!P82),IF($B$79="Лікар-педіатр","x",IF($B$79="Лікар-терапевт",IF(S83&lt;=Законод!$C$26,P83,Законод!$C$26*'01_Доходи'!P82),0)))</f>
        <v>441.91261368129699</v>
      </c>
      <c r="Q84" s="208">
        <f ca="1">IF($B$79="Лікар загальної практики - сімейний лікар",IF(S83&lt;=Законод!$C$22,Q83,Законод!$C$22*'01_Доходи'!Q82),IF($B$79="Лікар-педіатр","x",IF($B$79="Лікар-терапевт",IF(S83&lt;=Законод!$C$26,Q83,Законод!$C$26*'01_Доходи'!Q82),0)))</f>
        <v>604.88038750494263</v>
      </c>
      <c r="R84" s="208">
        <f ca="1">IF($B$79="Лікар загальної практики - сімейний лікар",IF(S83&lt;=Законод!$C$22,R83,Законод!$C$22*'01_Доходи'!R82),IF($B$79="Лікар-педіатр","x",IF($B$79="Лікар-терапевт",IF(S83&lt;=Законод!$C$26,R83,Законод!$C$26*'01_Доходи'!R82),0)))</f>
        <v>263.94780545670227</v>
      </c>
      <c r="S84" s="209">
        <f ca="1">SUM(N84:R84)</f>
        <v>1685.6666666666667</v>
      </c>
      <c r="T84" s="945"/>
      <c r="U84" s="208">
        <f ca="1">IF($B$79="Лікар загальної практики - сімейний лікар",IF(Z83&lt;=Законод!$C$22,U83,Законод!$C$22*'01_Доходи'!U82),IF($B$79="Лікар-педіатр",IF(Z83&lt;=Законод!$C$18,U83,Законод!$C$18*'01_Доходи'!U82),IF($B$79="Лікар-терапевт","x",0)))</f>
        <v>80</v>
      </c>
      <c r="V84" s="208">
        <f ca="1">IF($B$79="Лікар загальної практики - сімейний лікар",IF(Z83&lt;=Законод!$C$22,V83,Законод!$C$22*'01_Доходи'!V82),IF($B$79="Лікар-педіатр",IF(Z83&lt;=Законод!$C$18,V83,Законод!$C$18*'01_Доходи'!V82),IF($B$79="Лікар-терапевт","x",0)))</f>
        <v>295</v>
      </c>
      <c r="W84" s="208">
        <f ca="1">IF($B$79="Лікар загальної практики - сімейний лікар",IF(Z83&lt;=Законод!$C$22,W83,Законод!$C$22*'01_Доходи'!W82),IF($B$79="Лікар-педіатр","x",IF($B$79="Лікар-терапевт",IF(Z83&lt;=Законод!$C$26,W83,Законод!$C$26*'01_Доходи'!W82),0)))</f>
        <v>442</v>
      </c>
      <c r="X84" s="208">
        <f ca="1">IF($B$79="Лікар загальної практики - сімейний лікар",IF(Z83&lt;=Законод!$C$22,X83,Законод!$C$22*'01_Доходи'!X82),IF($B$79="Лікар-педіатр","x",IF($B$79="Лікар-терапевт",IF(Z83&lt;=Законод!$C$26,X83,Законод!$C$26*'01_Доходи'!X82),0)))</f>
        <v>605</v>
      </c>
      <c r="Y84" s="208">
        <f ca="1">IF($B$79="Лікар загальної практики - сімейний лікар",IF(Z83&lt;=Законод!$C$22,Y83,Законод!$C$22*'01_Доходи'!Y82),IF($B$79="Лікар-педіатр","x",IF($B$79="Лікар-терапевт",IF(Z83&lt;=Законод!$C$26,Y83,Законод!$C$26*'01_Доходи'!Y82),0)))</f>
        <v>264</v>
      </c>
      <c r="Z84" s="209">
        <f ca="1">SUM(U84:Y84)</f>
        <v>1686</v>
      </c>
      <c r="AA84" s="945"/>
      <c r="AB84" s="208">
        <f ca="1">IF($B$79="Лікар загальної практики - сімейний лікар",IF(AG83&lt;=Законод!$C$22,AB83,Законод!$C$22*'01_Доходи'!AB82),IF($B$79="Лікар-педіатр",IF(AG83&lt;=Законод!$C$18,AB83,Законод!$C$18*'01_Доходи'!AB82),IF($B$79="Лікар-терапевт","x",0)))</f>
        <v>65</v>
      </c>
      <c r="AC84" s="208">
        <f ca="1">IF($B$79="Лікар загальної практики - сімейний лікар",IF(AG83&lt;=Законод!$C$22,AC83,Законод!$C$22*'01_Доходи'!AC82),IF($B$79="Лікар-педіатр",IF(AG83&lt;=Законод!$C$18,AC83,Законод!$C$18*'01_Доходи'!AC82),IF($B$79="Лікар-терапевт","x",0)))</f>
        <v>287</v>
      </c>
      <c r="AD84" s="208">
        <f ca="1">IF($B$79="Лікар загальної практики - сімейний лікар",IF(AG83&lt;=Законод!$C$22,AD83,Законод!$C$22*'01_Доходи'!AD82),IF($B$79="Лікар-педіатр","x",IF($B$79="Лікар-терапевт",IF(AG83&lt;=Законод!$C$26,AD83,Законод!$C$26*'01_Доходи'!AD82),0)))</f>
        <v>425</v>
      </c>
      <c r="AE84" s="208">
        <f ca="1">IF($B$79="Лікар загальної практики - сімейний лікар",IF(AG83&lt;=Законод!$C$22,AE83,Законод!$C$22*'01_Доходи'!AE82),IF($B$79="Лікар-педіатр","x",IF($B$79="Лікар-терапевт",IF(AG83&lt;=Законод!$C$26,AE83,Законод!$C$26*'01_Доходи'!AE82),0)))</f>
        <v>571</v>
      </c>
      <c r="AF84" s="208">
        <f ca="1">IF($B$79="Лікар загальної практики - сімейний лікар",IF(AG83&lt;=Законод!$C$22,AF83,Законод!$C$22*'01_Доходи'!AF82),IF($B$79="Лікар-педіатр","x",IF($B$79="Лікар-терапевт",IF(AG83&lt;=Законод!$C$26,AF83,Законод!$C$26*'01_Доходи'!AF82),0)))</f>
        <v>300</v>
      </c>
      <c r="AG84" s="209">
        <f ca="1">SUM(AB84:AF84)</f>
        <v>1648</v>
      </c>
      <c r="AH84" s="945"/>
      <c r="AI84" s="201"/>
      <c r="AJ84" s="933"/>
      <c r="AK84" s="927"/>
      <c r="AL84" s="927"/>
      <c r="AM84" s="348" t="s">
        <v>374</v>
      </c>
      <c r="AN84" s="210">
        <f ca="1">IF(B79="Лікар загальної практики - сімейний лікар",G84*Законод!$C$11+'01_Доходи'!H84*Законод!$D$11+'01_Доходи'!I84*Законод!$E$11+'01_Доходи'!J84*Законод!$F$11+'01_Доходи'!K84*Законод!$G$11,IF(B79="Лікар-педіатр",G84*Законод!$C$11+'01_Доходи'!H84*Законод!$D$11,IF(B79="Лікар-терапевт",'01_Доходи'!I84*Законод!$E$11+'01_Доходи'!J84*Законод!$F$11+'01_Доходи'!K84*Законод!$G$11,0)))</f>
        <v>322823.53872117185</v>
      </c>
      <c r="AO84" s="210">
        <f ca="1">IF(B79="Лікар загальної практики - сімейний лікар",N84*Законод!$C$11+'01_Доходи'!O84*Законод!$D$11+'01_Доходи'!P84*Законод!$E$11+'01_Доходи'!Q84*Законод!$F$11+'01_Доходи'!R84*Законод!$G$11,IF(B79="Лікар-педіатр",N84*Законод!$C$11+'01_Доходи'!O84*Законод!$D$11,IF(B79="Лікар-терапевт",'01_Доходи'!P84*Законод!$E$11+'01_Доходи'!Q84*Законод!$F$11+'01_Доходи'!R84*Законод!$G$11,0)))</f>
        <v>322823.53872117185</v>
      </c>
      <c r="AP84" s="210">
        <f ca="1">IF(B79="Лікар загальної практики - сімейний лікар",U84*Законод!$C$11+'01_Доходи'!V84*Законод!$D$11+'01_Доходи'!W84*Законод!$E$11+'01_Доходи'!X84*Законод!$F$11+'01_Доходи'!Y84*Законод!$G$11,IF(B79="Лікар-педіатр",U84*Законод!$C$11+'01_Доходи'!V84*Законод!$D$11,IF(B79="Лікар-терапевт",'01_Доходи'!W84*Законод!$E$11+'01_Доходи'!X84*Законод!$F$11+'01_Доходи'!Y84*Законод!$G$11,0)))</f>
        <v>322887.3756875</v>
      </c>
      <c r="AQ84" s="210">
        <f ca="1">IF(B79="Лікар загальної практики - сімейний лікар",AB84*Законод!$C$11+'01_Доходи'!AC84*Законод!$D$11+'01_Доходи'!AD84*Законод!$E$11+'01_Доходи'!AE84*Законод!$F$11+'01_Доходи'!AF84*Законод!$G$11,IF(B79="Лікар-педіатр",AB84*Законод!$C$11+'01_Доходи'!AC84*Законод!$D$11,IF(B79="Лікар-терапевт",'01_Доходи'!AD84*Законод!$E$11+'01_Доходи'!AE84*Законод!$F$11+'01_Доходи'!AF84*Законод!$G$11,0)))</f>
        <v>315203.968475</v>
      </c>
      <c r="AR84" s="211">
        <f t="shared" ref="AR84:AR90" si="5">SUM(AN84:AQ84)</f>
        <v>1283738.4216048438</v>
      </c>
    </row>
    <row r="85" spans="1:44" s="50" customFormat="1" ht="31.9" customHeight="1">
      <c r="A85" s="197"/>
      <c r="B85" s="941"/>
      <c r="C85" s="942"/>
      <c r="D85" s="943"/>
      <c r="E85" s="943"/>
      <c r="F85" s="238" t="str">
        <f ca="1">IF(B79="Лікар-педіатр",Законод!$E$17,IF(B79="Лікар загальної практики - сімейний лікар",Законод!$E$21,IF(B79="Лікар-терапевт",Законод!$E$25,"х")))</f>
        <v>понад ліміт (1801-1980)</v>
      </c>
      <c r="G85" s="940" t="s">
        <v>346</v>
      </c>
      <c r="H85" s="940"/>
      <c r="I85" s="940"/>
      <c r="J85" s="940"/>
      <c r="K85" s="940"/>
      <c r="L85" s="196">
        <f ca="1">IF($B$79="Лікар загальної практики - сімейний лікар",IF(L83&lt;Законод!$C$22,0,(IF(AND(L83&gt;=Законод!$E$22,L83&lt;=Законод!$E$23),L83-Законод!$C$22,IF('01_Доходи'!L83&gt;=Законод!$F$22,Законод!$E$24,0)))),IF($B$79="Лікар-педіатр",IF(L83&lt;Законод!$C$18,0,(IF(AND(L83&gt;=Законод!$E$18,L83&lt;=Законод!$E$19),L83-Законод!$C$18,IF('01_Доходи'!L83&gt;=Законод!$F$18,Законод!$E$20,0)))),IF($B$79="Лікар-терапевт",IF(L83&lt;Законод!$C$26,0,(IF(AND(L83&gt;=Законод!$E$26,L83&lt;=Законод!$E$27),L83-Законод!$C$26,IF('01_Доходи'!L83&gt;=Законод!$F$26,Законод!$E$28,0)))),0)))</f>
        <v>0</v>
      </c>
      <c r="M85" s="945"/>
      <c r="N85" s="940" t="s">
        <v>346</v>
      </c>
      <c r="O85" s="940"/>
      <c r="P85" s="940"/>
      <c r="Q85" s="940"/>
      <c r="R85" s="940"/>
      <c r="S85" s="196">
        <f ca="1">IF($B$79="Лікар загальної практики - сімейний лікар",IF(S83&lt;Законод!$C$22,0,(IF(AND(S83&gt;=Законод!$E$22,S83&lt;=Законод!$E$23),S83-Законод!$C$22,IF('01_Доходи'!S83&gt;=Законод!$F$22,Законод!$E$24,0)))),IF($B$79="Лікар-педіатр",IF(S83&lt;Законод!$C$18,0,(IF(AND(S83&gt;=Законод!$E$18,S83&lt;=Законод!$E$19),S83-Законод!$C$18,IF('01_Доходи'!S83&gt;=Законод!$F$18,Законод!$E$20,0)))),IF($B$79="Лікар-терапевт",IF(S83&lt;Законод!$C$26,0,(IF(AND(S83&gt;=Законод!$E$26,S83&lt;=Законод!$E$27),S83-Законод!$C$26,IF('01_Доходи'!S83&gt;=Законод!$F$26,Законод!$E$28,0)))),0)))</f>
        <v>0</v>
      </c>
      <c r="T85" s="945"/>
      <c r="U85" s="940" t="s">
        <v>346</v>
      </c>
      <c r="V85" s="940"/>
      <c r="W85" s="940"/>
      <c r="X85" s="940"/>
      <c r="Y85" s="940"/>
      <c r="Z85" s="196">
        <f ca="1">IF($B$79="Лікар загальної практики - сімейний лікар",IF(Z83&lt;Законод!$C$22,0,(IF(AND(Z83&gt;=Законод!$E$22,Z83&lt;=Законод!$E$23),Z83-Законод!$C$22,IF('01_Доходи'!Z83&gt;=Законод!$F$22,Законод!$E$24,0)))),IF($B$79="Лікар-педіатр",IF(Z83&lt;Законод!$C$18,0,(IF(AND(Z83&gt;=Законод!$E$18,Z83&lt;=Законод!$E$19),Z83-Законод!$C$18,IF('01_Доходи'!Z83&gt;=Законод!$F$18,Законод!$E$20,0)))),IF($B$79="Лікар-терапевт",IF(Z83&lt;Законод!$C$26,0,(IF(AND(Z83&gt;=Законод!$E$26,Z83&lt;=Законод!$E$27),Z83-Законод!$C$26,IF('01_Доходи'!Z83&gt;=Законод!$F$26,Законод!$E$28,0)))),0)))</f>
        <v>0</v>
      </c>
      <c r="AA85" s="945"/>
      <c r="AB85" s="940" t="s">
        <v>346</v>
      </c>
      <c r="AC85" s="940"/>
      <c r="AD85" s="940"/>
      <c r="AE85" s="940"/>
      <c r="AF85" s="940"/>
      <c r="AG85" s="196">
        <f ca="1">IF($B$79="Лікар загальної практики - сімейний лікар",IF(AG83&lt;Законод!$C$22,0,(IF(AND(AG83&gt;=Законод!$E$22,AG83&lt;=Законод!$E$23),AG83-Законод!$C$22,IF('01_Доходи'!AG83&gt;=Законод!$F$22,Законод!$E$24,0)))),IF($B$79="Лікар-педіатр",IF(AG83&lt;Законод!$C$18,0,(IF(AND(AG83&gt;=Законод!$E$18,AG83&lt;=Законод!$E$19),AG83-Законод!$C$18,IF('01_Доходи'!AG83&gt;=Законод!$F$18,Законод!$E$20,0)))),IF($B$79="Лікар-терапевт",IF(AG83&lt;Законод!$C$26,0,(IF(AND(AG83&gt;=Законод!$E$26,AG83&lt;=Законод!$E$27),AG83-Законод!$C$26,IF('01_Доходи'!AG83&gt;=Законод!$F$26,Законод!$E$28,0)))),0)))</f>
        <v>0</v>
      </c>
      <c r="AH85" s="945"/>
      <c r="AI85" s="201"/>
      <c r="AJ85" s="933"/>
      <c r="AK85" s="927"/>
      <c r="AL85" s="927"/>
      <c r="AM85" s="898" t="s">
        <v>375</v>
      </c>
      <c r="AN85" s="210">
        <f ca="1">IF(B79="Лікар загальної практики - сімейний лікар",L85*Законод!$C$9/4*Законод!$E$16,IF(B79="Лікар-педіатр",L85*Законод!$C$9/4*Законод!$E$16,IF(B79="Лікар-терапевт",L85*Законод!$C$9/4*Законод!$E$16,0)))</f>
        <v>0</v>
      </c>
      <c r="AO85" s="210">
        <f ca="1">IF(B79="Лікар загальної практики - сімейний лікар",S85*Законод!$C$9/4*Законод!$E$16,IF(B79="Лікар-педіатр",S85*Законод!$C$9/4*Законод!$E$16,IF(B79="Лікар-терапевт",S85*Законод!$C$9/4*Законод!$E$16,0)))</f>
        <v>0</v>
      </c>
      <c r="AP85" s="210">
        <f ca="1">IF(B79="Лікар загальної практики - сімейний лікар",Z85*Законод!$C$9/4*Законод!$E$16,IF(B79="Лікар-педіатр",Z85*Законод!$C$9/4*Законод!$E$16,IF(B79="Лікар-терапевт",Z85*Законод!$C$9/4*Законод!$E$16,0)))</f>
        <v>0</v>
      </c>
      <c r="AQ85" s="210">
        <f ca="1">IF(B79="Лікар загальної практики - сімейний лікар",AG85*Законод!$C$9/4*Законод!$E$16,IF(B79="Лікар-педіатр",AG85*Законод!$C$9/4*Законод!$E$16,IF(B79="Лікар-терапевт",AG85*Законод!$C$9/4*Законод!$E$16,0)))</f>
        <v>0</v>
      </c>
      <c r="AR85" s="211">
        <f t="shared" si="5"/>
        <v>0</v>
      </c>
    </row>
    <row r="86" spans="1:44" s="50" customFormat="1" ht="31.9" customHeight="1">
      <c r="A86" s="197"/>
      <c r="B86" s="941"/>
      <c r="C86" s="942"/>
      <c r="D86" s="943"/>
      <c r="E86" s="943"/>
      <c r="F86" s="238" t="str">
        <f ca="1">IF(B79="Лікар-педіатр",Законод!$F$17,IF(B79="Лікар загальної практики - сімейний лікар",Законод!$F$21,IF(B79="Лікар-терапевт",Законод!$F$25,"х")))</f>
        <v>понад ліміт (1981-2160)</v>
      </c>
      <c r="G86" s="940" t="s">
        <v>346</v>
      </c>
      <c r="H86" s="940"/>
      <c r="I86" s="940"/>
      <c r="J86" s="940"/>
      <c r="K86" s="940"/>
      <c r="L86" s="196">
        <f ca="1">IF($B$79="Лікар загальної практики - сімейний лікар",IF(L83&lt;Законод!$C$22,0,(IF(AND(L83&gt;=Законод!$F$22,L83&lt;=Законод!$F$23),L83-Законод!$E$23,IF('01_Доходи'!L83&gt;=Законод!$G$22,Законод!$F$24,0)))),IF($B$79="Лікар-педіатр",IF(L83&lt;Законод!$C$18,0,(IF(AND(L83&gt;=Законод!$F$18,L83&lt;=Законод!$F$19),L83-Законод!$E$19,IF('01_Доходи'!L83&gt;=Законод!$G$18,Законод!$F$20,0)))),IF($B$79="Лікар-терапевт",IF(L83&lt;Законод!$C$26,0,(IF(AND(L83&gt;=Законод!$F$26,L83&lt;=Законод!$F$27),L83-Законод!$E$27,IF('01_Доходи'!L83&gt;=Законод!$G$26,Законод!$F$28,0)))),0)))</f>
        <v>0</v>
      </c>
      <c r="M86" s="945"/>
      <c r="N86" s="940" t="s">
        <v>346</v>
      </c>
      <c r="O86" s="940"/>
      <c r="P86" s="940"/>
      <c r="Q86" s="940"/>
      <c r="R86" s="940"/>
      <c r="S86" s="196">
        <f ca="1">IF($B$79="Лікар загальної практики - сімейний лікар",IF(S83&lt;Законод!$C$22,0,(IF(AND(S83&gt;=Законод!$F$22,S83&lt;=Законод!$F$23),S83-Законод!$E$23,IF('01_Доходи'!S83&gt;=Законод!$G$22,Законод!$F$24,0)))),IF($B$79="Лікар-педіатр",IF(S83&lt;Законод!$C$18,0,(IF(AND(S83&gt;=Законод!$F$18,S83&lt;=Законод!$F$19),S83-Законод!$E$19,IF('01_Доходи'!S83&gt;=Законод!$G$18,Законод!$F$20,0)))),IF($B$79="Лікар-терапевт",IF(S83&lt;Законод!$C$26,0,(IF(AND(S83&gt;=Законод!$F$26,S83&lt;=Законод!$F$27),S83-Законод!$E$27,IF('01_Доходи'!S83&gt;=Законод!$G$26,Законод!$F$28,0)))),0)))</f>
        <v>0</v>
      </c>
      <c r="T86" s="945"/>
      <c r="U86" s="940" t="s">
        <v>346</v>
      </c>
      <c r="V86" s="940"/>
      <c r="W86" s="940"/>
      <c r="X86" s="940"/>
      <c r="Y86" s="940"/>
      <c r="Z86" s="196">
        <f ca="1">IF($B$79="Лікар загальної практики - сімейний лікар",IF(Z83&lt;Законод!$C$22,0,(IF(AND(Z83&gt;=Законод!$F$22,Z83&lt;=Законод!$F$23),Z83-Законод!$E$23,IF('01_Доходи'!Z83&gt;=Законод!$G$22,Законод!$F$24,0)))),IF($B$79="Лікар-педіатр",IF(Z83&lt;Законод!$C$18,0,(IF(AND(Z83&gt;=Законод!$F$18,Z83&lt;=Законод!$F$19),Z83-Законод!$E$19,IF('01_Доходи'!Z83&gt;=Законод!$G$18,Законод!$F$20,0)))),IF($B$79="Лікар-терапевт",IF(Z83&lt;Законод!$C$26,0,(IF(AND(Z83&gt;=Законод!$F$26,Z83&lt;=Законод!$F$27),Z83-Законод!$E$27,IF('01_Доходи'!Z83&gt;=Законод!$G$26,Законод!$F$28,0)))),0)))</f>
        <v>0</v>
      </c>
      <c r="AA86" s="945"/>
      <c r="AB86" s="940" t="s">
        <v>346</v>
      </c>
      <c r="AC86" s="940"/>
      <c r="AD86" s="940"/>
      <c r="AE86" s="940"/>
      <c r="AF86" s="940"/>
      <c r="AG86" s="196">
        <f ca="1">IF($B$79="Лікар загальної практики - сімейний лікар",IF(AG83&lt;Законод!$C$22,0,(IF(AND(AG83&gt;=Законод!$F$22,AG83&lt;=Законод!$F$23),AG83-Законод!$E$23,IF('01_Доходи'!AG83&gt;=Законод!$G$22,Законод!$F$24,0)))),IF($B$79="Лікар-педіатр",IF(AG83&lt;Законод!$C$18,0,(IF(AND(AG83&gt;=Законод!$F$18,AG83&lt;=Законод!$F$19),AG83-Законод!$E$19,IF('01_Доходи'!AG83&gt;=Законод!$G$18,Законод!$F$20,0)))),IF($B$79="Лікар-терапевт",IF(AG83&lt;Законод!$C$26,0,(IF(AND(AG83&gt;=Законод!$F$26,AG83&lt;=Законод!$F$27),AG83-Законод!$E$27,IF('01_Доходи'!AG83&gt;=Законод!$G$26,Законод!$F$28,0)))),0)))</f>
        <v>0</v>
      </c>
      <c r="AH86" s="945"/>
      <c r="AI86" s="201"/>
      <c r="AJ86" s="933"/>
      <c r="AK86" s="927"/>
      <c r="AL86" s="927"/>
      <c r="AM86" s="899"/>
      <c r="AN86" s="210">
        <f ca="1">IF(B79="Лікар загальної практики - сімейний лікар",L86*Законод!$C$9/4*Законод!$F$16,IF(B79="Лікар-педіатр",L86*Законод!$C$9/4*Законод!$F$16,IF(B79="Лікар-терапевт",L86*Законод!$C$9/4*Законод!$F$16,0)))</f>
        <v>0</v>
      </c>
      <c r="AO86" s="210">
        <f ca="1">IF(B79="Лікар загальної практики - сімейний лікар",S86*Законод!$C$9/4*Законод!$F$16,IF(B79="Лікар-педіатр",S86*Законод!$C$9/4*Законод!$F$16,IF(B79="Лікар-терапевт",S86*Законод!$C$9/4*Законод!$F$16,0)))</f>
        <v>0</v>
      </c>
      <c r="AP86" s="210">
        <f ca="1">IF(B79="Лікар загальної практики - сімейний лікар",Z86*Законод!$C$9/4*Законод!$F$16,IF(B79="Лікар-педіатр",Z86*Законод!$C$9/4*Законод!$F$16,IF(B79="Лікар-терапевт",Z86*Законод!$C$9/4*Законод!$F$16,0)))</f>
        <v>0</v>
      </c>
      <c r="AQ86" s="210">
        <f ca="1">IF(B79="Лікар загальної практики - сімейний лікар",AG86*Законод!$C$9/4*Законод!$F$16,IF(B79="Лікар-педіатр",AG86*Законод!$C$9/4*Законод!$F$16,IF(B79="Лікар-терапевт",AG86*Законод!$C$9/4*Законод!$F$16,0)))</f>
        <v>0</v>
      </c>
      <c r="AR86" s="211">
        <f t="shared" si="5"/>
        <v>0</v>
      </c>
    </row>
    <row r="87" spans="1:44" s="50" customFormat="1" ht="31.9" customHeight="1">
      <c r="A87" s="197"/>
      <c r="B87" s="941"/>
      <c r="C87" s="942"/>
      <c r="D87" s="943"/>
      <c r="E87" s="943"/>
      <c r="F87" s="238" t="str">
        <f ca="1">IF(B79="Лікар-педіатр",Законод!$G$17,IF(B79="Лікар загальної практики - сімейний лікар",Законод!$G$21,IF(B79="Лікар-терапевт",Законод!$G$25,"х")))</f>
        <v>понад ліміт (2161-2340)</v>
      </c>
      <c r="G87" s="940" t="s">
        <v>346</v>
      </c>
      <c r="H87" s="940"/>
      <c r="I87" s="940"/>
      <c r="J87" s="940"/>
      <c r="K87" s="940"/>
      <c r="L87" s="196">
        <f ca="1">IF($B$79="Лікар загальної практики - сімейний лікар",IF(L83&lt;Законод!$C$22,0,(IF(AND(L83&gt;=Законод!$G$22,L83&lt;=Законод!$G$23),L83-Законод!$F$23,IF('01_Доходи'!L83&gt;=Законод!$H$22,Законод!$G$24,0)))),IF($B$79="Лікар-педіатр",IF(L83&lt;Законод!$C$18,0,(IF(AND(L83&gt;=Законод!$G$18,L83&lt;=Законод!$G$19),L83-Законод!$F$19,IF('01_Доходи'!L83&gt;=Законод!$H$18,Законод!$G$20,0)))),IF($B$79="Лікар-терапевт",IF(L83&lt;Законод!$C$26,0,(IF(AND(L83&gt;=Законод!$G$26,L83&lt;=Законод!$G$27),L83-Законод!$F$27,IF('01_Доходи'!L83&gt;=Законод!$H$26,Законод!$G$28,0)))),0)))</f>
        <v>0</v>
      </c>
      <c r="M87" s="945"/>
      <c r="N87" s="940" t="s">
        <v>346</v>
      </c>
      <c r="O87" s="940"/>
      <c r="P87" s="940"/>
      <c r="Q87" s="940"/>
      <c r="R87" s="940"/>
      <c r="S87" s="196">
        <f ca="1">IF($B$79="Лікар загальної практики - сімейний лікар",IF(S83&lt;Законод!$C$22,0,(IF(AND(S83&gt;=Законод!$G$22,S83&lt;=Законод!$G$23),S83-Законод!$F$23,IF('01_Доходи'!S83&gt;=Законод!$H$22,Законод!$G$24,0)))),IF($B$79="Лікар-педіатр",IF(S83&lt;Законод!$C$18,0,(IF(AND(S83&gt;=Законод!$G$18,S83&lt;=Законод!$G$19),S83-Законод!$F$19,IF('01_Доходи'!S83&gt;=Законод!$H$18,Законод!$G$20,0)))),IF($B$79="Лікар-терапевт",IF(S83&lt;Законод!$C$26,0,(IF(AND(S83&gt;=Законод!$G$26,S83&lt;=Законод!$G$27),S83-Законод!$F$27,IF('01_Доходи'!S83&gt;=Законод!$H$26,Законод!$G$28,0)))),0)))</f>
        <v>0</v>
      </c>
      <c r="T87" s="945"/>
      <c r="U87" s="940" t="s">
        <v>346</v>
      </c>
      <c r="V87" s="940"/>
      <c r="W87" s="940"/>
      <c r="X87" s="940"/>
      <c r="Y87" s="940"/>
      <c r="Z87" s="196">
        <f ca="1">IF($B$79="Лікар загальної практики - сімейний лікар",IF(Z83&lt;Законод!$C$22,0,(IF(AND(Z83&gt;=Законод!$G$22,Z83&lt;=Законод!$G$23),Z83-Законод!$F$23,IF('01_Доходи'!Z83&gt;=Законод!$H$22,Законод!$G$24,0)))),IF($B$79="Лікар-педіатр",IF(Z83&lt;Законод!$C$18,0,(IF(AND(Z83&gt;=Законод!$G$18,Z83&lt;=Законод!$G$19),Z83-Законод!$F$19,IF('01_Доходи'!Z83&gt;=Законод!$H$18,Законод!$G$20,0)))),IF($B$79="Лікар-терапевт",IF(Z83&lt;Законод!$C$26,0,(IF(AND(Z83&gt;=Законод!$G$26,Z83&lt;=Законод!$G$27),Z83-Законод!$F$27,IF('01_Доходи'!Z83&gt;=Законод!$H$26,Законод!$G$28,0)))),0)))</f>
        <v>0</v>
      </c>
      <c r="AA87" s="945"/>
      <c r="AB87" s="940" t="s">
        <v>346</v>
      </c>
      <c r="AC87" s="940"/>
      <c r="AD87" s="940"/>
      <c r="AE87" s="940"/>
      <c r="AF87" s="940"/>
      <c r="AG87" s="196">
        <f ca="1">IF($B$79="Лікар загальної практики - сімейний лікар",IF(AG83&lt;Законод!$C$22,0,(IF(AND(AG83&gt;=Законод!$G$22,AG83&lt;=Законод!$G$23),AG83-Законод!$F$23,IF('01_Доходи'!AG83&gt;=Законод!$H$22,Законод!$G$24,0)))),IF($B$79="Лікар-педіатр",IF(AG83&lt;Законод!$C$18,0,(IF(AND(AG83&gt;=Законод!$G$18,AG83&lt;=Законод!$G$19),AG83-Законод!$F$19,IF('01_Доходи'!AG83&gt;=Законод!$H$18,Законод!$G$20,0)))),IF($B$79="Лікар-терапевт",IF(AG83&lt;Законод!$C$26,0,(IF(AND(AG83&gt;=Законод!$G$26,AG83&lt;=Законод!$G$27),AG83-Законод!$F$27,IF('01_Доходи'!AG83&gt;=Законод!$H$26,Законод!$G$28,0)))),0)))</f>
        <v>0</v>
      </c>
      <c r="AH87" s="945"/>
      <c r="AI87" s="201"/>
      <c r="AJ87" s="933"/>
      <c r="AK87" s="927"/>
      <c r="AL87" s="927"/>
      <c r="AM87" s="899"/>
      <c r="AN87" s="210">
        <f ca="1">IF(B79="Лікар загальної практики - сімейний лікар",L87*Законод!$C$9/4*Законод!$G$16,IF(B79="Лікар-педіатр",L87*Законод!$C$9/4*Законод!$G$16,IF(B79="Лікар-терапевт",L87*Законод!$C$9/4*Законод!$G$16,0)))</f>
        <v>0</v>
      </c>
      <c r="AO87" s="210">
        <f ca="1">IF(B79="Лікар загальної практики - сімейний лікар",S87*Законод!$C$9/4*Законод!$G$16,IF(B79="Лікар-педіатр",S87*Законод!$C$9/4*Законод!$G$16,IF(B79="Лікар-терапевт",S87*Законод!$C$9/4*Законод!$G$16,0)))</f>
        <v>0</v>
      </c>
      <c r="AP87" s="210">
        <f ca="1">IF(B79="Лікар загальної практики - сімейний лікар",Z87*Законод!$C$9/4*Законод!$G$16,IF(B79="Лікар-педіатр",Z87*Законод!$C$9/4*Законод!$G$16,IF(B79="Лікар-терапевт",Z87*Законод!$C$9/4*Законод!$G$16,0)))</f>
        <v>0</v>
      </c>
      <c r="AQ87" s="210">
        <f ca="1">IF(B79="Лікар загальної практики - сімейний лікар",AG87*Законод!$C$9/4*Законод!$G$16,IF(B79="Лікар-педіатр",AG87*Законод!$C$9/4*Законод!$G$16,IF(B79="Лікар-терапевт",AG87*Законод!$C$9/4*Законод!$G$16,0)))</f>
        <v>0</v>
      </c>
      <c r="AR87" s="211">
        <f t="shared" si="5"/>
        <v>0</v>
      </c>
    </row>
    <row r="88" spans="1:44" s="50" customFormat="1" ht="31.9" customHeight="1">
      <c r="A88" s="197"/>
      <c r="B88" s="941"/>
      <c r="C88" s="942"/>
      <c r="D88" s="943"/>
      <c r="E88" s="943"/>
      <c r="F88" s="238" t="str">
        <f ca="1">IF(B79="Лікар-педіатр",Законод!$H$17,IF(B79="Лікар загальної практики - сімейний лікар",Законод!$H$21,IF(B79="Лікар-терапевт",Законод!$H$25,"х")))</f>
        <v>понад ліміт (2341-2520)</v>
      </c>
      <c r="G88" s="940" t="s">
        <v>346</v>
      </c>
      <c r="H88" s="940"/>
      <c r="I88" s="940"/>
      <c r="J88" s="940"/>
      <c r="K88" s="940"/>
      <c r="L88" s="196">
        <f ca="1">IF($B$79="Лікар загальної практики - сімейний лікар",IF(L83&lt;Законод!$C$22,0,(IF(AND(L83&gt;=Законод!$H$22,L83&lt;=Законод!$H$23),L83-Законод!$G$23,IF('01_Доходи'!L83&gt;=Законод!$I$22,Законод!$H$24,0)))),IF($B$79="Лікар-педіатр",IF(L83&lt;Законод!$C$18,0,(IF(AND(L83&gt;=Законод!$H$18,L83&lt;=Законод!$H$19),L83-Законод!$G$19,IF('01_Доходи'!L83&gt;=Законод!$I$18,Законод!$H$20,0)))),IF($B$79="Лікар-терапевт",IF(L83&lt;Законод!$C$26,0,(IF(AND(L83&gt;=Законод!$H$26,L83&lt;=Законод!$H$27),L83-Законод!$G$27,IF(L83&gt;=Законод!$I$26,Законод!$H$28,0)))),0)))</f>
        <v>0</v>
      </c>
      <c r="M88" s="945"/>
      <c r="N88" s="940" t="s">
        <v>346</v>
      </c>
      <c r="O88" s="940"/>
      <c r="P88" s="940"/>
      <c r="Q88" s="940"/>
      <c r="R88" s="940"/>
      <c r="S88" s="196">
        <f ca="1">IF($B$79="Лікар загальної практики - сімейний лікар",IF(S83&lt;Законод!$C$22,0,(IF(AND(S83&gt;=Законод!$H$22,S83&lt;=Законод!$H$23),S83-Законод!$G$23,IF('01_Доходи'!S83&gt;=Законод!$I$22,Законод!$H$24,0)))),IF($B$79="Лікар-педіатр",IF(S83&lt;Законод!$C$18,0,(IF(AND(S83&gt;=Законод!$H$18,S83&lt;=Законод!$H$19),S83-Законод!$G$19,IF('01_Доходи'!S83&gt;=Законод!$I$18,Законод!$H$20,0)))),IF($B$79="Лікар-терапевт",IF(S83&lt;Законод!$C$26,0,(IF(AND(S83&gt;=Законод!$H$26,S83&lt;=Законод!$H$27),S83-Законод!$G$27,IF(S83&gt;=Законод!$I$26,Законод!$H$28,0)))),0)))</f>
        <v>0</v>
      </c>
      <c r="T88" s="945"/>
      <c r="U88" s="940" t="s">
        <v>346</v>
      </c>
      <c r="V88" s="940"/>
      <c r="W88" s="940"/>
      <c r="X88" s="940"/>
      <c r="Y88" s="940"/>
      <c r="Z88" s="196">
        <f ca="1">IF($B$79="Лікар загальної практики - сімейний лікар",IF(Z83&lt;Законод!$C$22,0,(IF(AND(Z83&gt;=Законод!$H$22,Z83&lt;=Законод!$H$23),Z83-Законод!$G$23,IF('01_Доходи'!Z83&gt;=Законод!$I$22,Законод!$H$24,0)))),IF($B$79="Лікар-педіатр",IF(Z83&lt;Законод!$C$18,0,(IF(AND(Z83&gt;=Законод!$H$18,Z83&lt;=Законод!$H$19),Z83-Законод!$G$19,IF('01_Доходи'!Z83&gt;=Законод!$I$18,Законод!$H$20,0)))),IF($B$79="Лікар-терапевт",IF(Z83&lt;Законод!$C$26,0,(IF(AND(Z83&gt;=Законод!$H$26,Z83&lt;=Законод!$H$27),Z83-Законод!$G$27,IF(Z83&gt;=Законод!$I$26,Законод!$H$28,0)))),0)))</f>
        <v>0</v>
      </c>
      <c r="AA88" s="945"/>
      <c r="AB88" s="940" t="s">
        <v>346</v>
      </c>
      <c r="AC88" s="940"/>
      <c r="AD88" s="940"/>
      <c r="AE88" s="940"/>
      <c r="AF88" s="940"/>
      <c r="AG88" s="196">
        <f ca="1">IF($B$79="Лікар загальної практики - сімейний лікар",IF(AG83&lt;Законод!$C$22,0,(IF(AND(AG83&gt;=Законод!$H$22,AG83&lt;=Законод!$H$23),AG83-Законод!$G$23,IF('01_Доходи'!AG83&gt;=Законод!$I$22,Законод!$H$24,0)))),IF($B$79="Лікар-педіатр",IF(AG83&lt;Законод!$C$18,0,(IF(AND(AG83&gt;=Законод!$H$18,AG83&lt;=Законод!$H$19),AG83-Законод!$G$19,IF('01_Доходи'!AG83&gt;=Законод!$I$18,Законод!$H$20,0)))),IF($B$79="Лікар-терапевт",IF(AG83&lt;Законод!$C$26,0,(IF(AND(AG83&gt;=Законод!$H$26,AG83&lt;=Законод!$H$27),AG83-Законод!$G$27,IF(AG83&gt;=Законод!$I$26,Законод!$H$28,0)))),0)))</f>
        <v>0</v>
      </c>
      <c r="AH88" s="945"/>
      <c r="AI88" s="201"/>
      <c r="AJ88" s="933"/>
      <c r="AK88" s="927"/>
      <c r="AL88" s="927"/>
      <c r="AM88" s="899"/>
      <c r="AN88" s="210">
        <f ca="1">IF(B79="Лікар загальної практики - сімейний лікар",L88*Законод!$C$9/4*Законод!$H$16,IF(B79="Лікар-педіатр",L88*Законод!$C$9/4*Законод!$H$16,IF(B79="Лікар-терапевт",L88*Законод!$C$9/4*Законод!$H$16,0)))</f>
        <v>0</v>
      </c>
      <c r="AO88" s="210">
        <f ca="1">IF(B79="Лікар загальної практики - сімейний лікар",S88*Законод!$C$9/4*Законод!$H$16,IF(B79="Лікар-педіатр",S88*Законод!$C$9/4*Законод!$H$16,IF(B79="Лікар-терапевт",S88*Законод!$C$9/4*Законод!$H$16,0)))</f>
        <v>0</v>
      </c>
      <c r="AP88" s="210">
        <f ca="1">IF(B79="Лікар загальної практики - сімейний лікар",Z88*Законод!$C$9/4*Законод!$H$16,IF(B79="Лікар-педіатр",Z88*Законод!$C$9/4*Законод!$H$16,IF(B79="Лікар-терапевт",Z88*Законод!$C$9/4*Законод!$H$16,0)))</f>
        <v>0</v>
      </c>
      <c r="AQ88" s="210">
        <f ca="1">IF(B79="Лікар загальної практики - сімейний лікар",AG88*Законод!$C$9/4*Законод!$H$16,IF(B79="Лікар-педіатр",AG88*Законод!$C$9/4*Законод!$H$16,IF(B79="Лікар-терапевт",AG88*Законод!$C$9/4*Законод!$H$16,0)))</f>
        <v>0</v>
      </c>
      <c r="AR88" s="211">
        <f t="shared" si="5"/>
        <v>0</v>
      </c>
    </row>
    <row r="89" spans="1:44" s="50" customFormat="1" ht="31.9" customHeight="1">
      <c r="A89" s="197"/>
      <c r="B89" s="941"/>
      <c r="C89" s="942"/>
      <c r="D89" s="943"/>
      <c r="E89" s="943"/>
      <c r="F89" s="238" t="str">
        <f ca="1">IF(B79="Лікар-педіатр",Законод!$I$17,IF(B79="Лікар загальної практики - сімейний лікар",Законод!$I$21,IF(B79="Лікар-терапевт",Законод!$I$25,"х")))</f>
        <v>понад ліміт (2521-2700)</v>
      </c>
      <c r="G89" s="940" t="s">
        <v>346</v>
      </c>
      <c r="H89" s="940"/>
      <c r="I89" s="940"/>
      <c r="J89" s="940"/>
      <c r="K89" s="940"/>
      <c r="L89" s="196">
        <f ca="1">IF($B$79="Лікар загальної практики - сімейний лікар",IF(L83&lt;Законод!$C$22,0,(IF(AND(L83&gt;=Законод!$I$22,L83&lt;=Законод!$I$23),L83-Законод!$H$23,IF('01_Доходи'!L83&gt;=Законод!$I$22,Законод!$I$24,0)))),IF($B$79="Лікар-педіатр",IF(L83&lt;Законод!$C$18,0,(IF(AND(L83&gt;=Законод!$I$18,L83&lt;=Законод!$I$19),L83-Законод!$H$19,IF('01_Доходи'!L83&gt;=Законод!$I$18,Законод!$H$20,0)))),IF($B$79="Лікар-терапевт",IF(L83&lt;Законод!$C$26,0,(IF(AND(L83&gt;=Законод!$I$26,L83&lt;=Законод!$I$27),L83-Законод!$H$27,IF('01_Доходи'!L83&gt;=Законод!$I$26,Законод!$H$28,0)))),0)))</f>
        <v>0</v>
      </c>
      <c r="M89" s="945"/>
      <c r="N89" s="940" t="s">
        <v>346</v>
      </c>
      <c r="O89" s="940"/>
      <c r="P89" s="940"/>
      <c r="Q89" s="940"/>
      <c r="R89" s="940"/>
      <c r="S89" s="196">
        <f ca="1">IF($B$79="Лікар загальної практики - сімейний лікар",IF(S83&lt;Законод!$C$22,0,(IF(AND(S83&gt;=Законод!$I$22,S83&lt;=Законод!$I$23),S83-Законод!$H$23,IF('01_Доходи'!S83&gt;=Законод!$I$22,Законод!$I$24,0)))),IF($B$79="Лікар-педіатр",IF(S83&lt;Законод!$C$18,0,(IF(AND(S83&gt;=Законод!$I$18,S83&lt;=Законод!$I$19),S83-Законод!$H$19,IF('01_Доходи'!S83&gt;=Законод!$I$18,Законод!$H$20,0)))),IF($B$79="Лікар-терапевт",IF(S83&lt;Законод!$C$26,0,(IF(AND(S83&gt;=Законод!$I$26,S83&lt;=Законод!$I$27),S83-Законод!$H$27,IF('01_Доходи'!S83&gt;=Законод!$I$26,Законод!$H$28,0)))),0)))</f>
        <v>0</v>
      </c>
      <c r="T89" s="945"/>
      <c r="U89" s="940" t="s">
        <v>346</v>
      </c>
      <c r="V89" s="940"/>
      <c r="W89" s="940"/>
      <c r="X89" s="940"/>
      <c r="Y89" s="940"/>
      <c r="Z89" s="196">
        <f ca="1">IF($B$79="Лікар загальної практики - сімейний лікар",IF(Z83&lt;Законод!$C$22,0,(IF(AND(Z83&gt;=Законод!$I$22,Z83&lt;=Законод!$I$23),Z83-Законод!$H$23,IF('01_Доходи'!Z83&gt;=Законод!$I$22,Законод!$I$24,0)))),IF($B$79="Лікар-педіатр",IF(Z83&lt;Законод!$C$18,0,(IF(AND(Z83&gt;=Законод!$I$18,Z83&lt;=Законод!$I$19),Z83-Законод!$H$19,IF('01_Доходи'!Z83&gt;=Законод!$I$18,Законод!$H$20,0)))),IF($B$79="Лікар-терапевт",IF(Z83&lt;Законод!$C$26,0,(IF(AND(Z83&gt;=Законод!$I$26,Z83&lt;=Законод!$I$27),Z83-Законод!$H$27,IF('01_Доходи'!Z83&gt;=Законод!$I$26,Законод!$H$28,0)))),0)))</f>
        <v>0</v>
      </c>
      <c r="AA89" s="945"/>
      <c r="AB89" s="940" t="s">
        <v>346</v>
      </c>
      <c r="AC89" s="940"/>
      <c r="AD89" s="940"/>
      <c r="AE89" s="940"/>
      <c r="AF89" s="940"/>
      <c r="AG89" s="196">
        <f ca="1">IF($B$79="Лікар загальної практики - сімейний лікар",IF(AG83&lt;Законод!$C$22,0,(IF(AND(AG83&gt;=Законод!$I$22,AG83&lt;=Законод!$I$23),AG83-Законод!$H$23,IF('01_Доходи'!AG83&gt;=Законод!$I$22,Законод!$I$24,0)))),IF($B$79="Лікар-педіатр",IF(AG83&lt;Законод!$C$18,0,(IF(AND(AG83&gt;=Законод!$I$18,AG83&lt;=Законод!$I$19),AG83-Законод!$H$19,IF('01_Доходи'!AG83&gt;=Законод!$I$18,Законод!$H$20,0)))),IF($B$79="Лікар-терапевт",IF(AG83&lt;Законод!$C$26,0,(IF(AND(AG83&gt;=Законод!$I$26,AG83&lt;=Законод!$I$27),AG83-Законод!$H$27,IF('01_Доходи'!AG83&gt;=Законод!$I$26,Законод!$H$28,0)))),0)))</f>
        <v>0</v>
      </c>
      <c r="AH89" s="945"/>
      <c r="AI89" s="201"/>
      <c r="AJ89" s="933"/>
      <c r="AK89" s="927"/>
      <c r="AL89" s="927"/>
      <c r="AM89" s="899"/>
      <c r="AN89" s="210">
        <f ca="1">IF(B79="Лікар загальної практики - сімейний лікар",L89*Законод!$C$9/4*Законод!$I$16,IF(B79="Лікар-педіатр",L89*Законод!$C$9/4*Законод!$I$16,IF(B79="Лікар-терапевт",L89*Законод!$C$9/4*Законод!$I$16,0)))</f>
        <v>0</v>
      </c>
      <c r="AO89" s="210">
        <f ca="1">IF(B79="Лікар загальної практики - сімейний лікар",S89*Законод!$C$9/4*Законод!$I$16,IF(B79="Лікар-педіатр",S89*Законод!$C$9/4*Законод!$I$16,IF(B79="Лікар-терапевт",S89*Законод!$C$9/4*Законод!$I$16,0)))</f>
        <v>0</v>
      </c>
      <c r="AP89" s="210">
        <f ca="1">IF(B79="Лікар загальної практики - сімейний лікар",Z89*Законод!$C$9/4*Законод!$I$16,IF(B79="Лікар-педіатр",Z89*Законод!$C$9/4*Законод!$I$16,IF(B79="Лікар-терапевт",Z89*Законод!$C$9/4*Законод!$I$16,0)))</f>
        <v>0</v>
      </c>
      <c r="AQ89" s="210">
        <f ca="1">IF(B79="Лікар загальної практики - сімейний лікар",AG89*Законод!$C$9/4*Законод!$I$16,IF(B79="Лікар-педіатр",AG89*Законод!$C$9/4*Законод!$I$16,IF(B79="Лікар-терапевт",AG89*Законод!$C$9/4*Законод!$I$16,0)))</f>
        <v>0</v>
      </c>
      <c r="AR89" s="211">
        <f t="shared" si="5"/>
        <v>0</v>
      </c>
    </row>
    <row r="90" spans="1:44" s="218" customFormat="1" ht="31.9" customHeight="1" thickBot="1">
      <c r="A90" s="213"/>
      <c r="B90" s="941"/>
      <c r="C90" s="942"/>
      <c r="D90" s="943"/>
      <c r="E90" s="943"/>
      <c r="F90" s="239" t="str">
        <f ca="1">IF(B79="Лікар-педіатр",Законод!$J$17,IF(B79="Лікар загальної практики - сімейний лікар",Законод!$J$21,IF(B79="Лікар-терапевт",Законод!$J$25,"х")))</f>
        <v>понад ліміт (&gt;=2701)</v>
      </c>
      <c r="G90" s="939" t="s">
        <v>346</v>
      </c>
      <c r="H90" s="939"/>
      <c r="I90" s="939"/>
      <c r="J90" s="939"/>
      <c r="K90" s="939"/>
      <c r="L90" s="196">
        <f ca="1">IF($B$79="Лікар загальної практики - сімейний лікар",IF(L83&gt;=Законод!$J$22,'01_Доходи'!L83-('01_Доходи'!L84+'01_Доходи'!L85+'01_Доходи'!L86+'01_Доходи'!L87+'01_Доходи'!L88+'01_Доходи'!L89),0),IF($B$79="Лікар-педіатр",IF(L83&gt;=Законод!$J$18,'01_Доходи'!L83-('01_Доходи'!L84+'01_Доходи'!L85+'01_Доходи'!L86+'01_Доходи'!L87+'01_Доходи'!L88+'01_Доходи'!L89),0),IF($B$79="Лікар-терапевт",IF('01_Доходи'!L83&gt;=Законод!$J$26,L83-Законод!$I$27,0),0)))</f>
        <v>0</v>
      </c>
      <c r="M90" s="945"/>
      <c r="N90" s="939" t="s">
        <v>346</v>
      </c>
      <c r="O90" s="939"/>
      <c r="P90" s="939"/>
      <c r="Q90" s="939"/>
      <c r="R90" s="939"/>
      <c r="S90" s="196">
        <f ca="1">IF($B$79="Лікар загальної практики - сімейний лікар",IF(S83&gt;=Законод!$J$22,'01_Доходи'!S83-('01_Доходи'!S84+'01_Доходи'!S85+'01_Доходи'!S86+'01_Доходи'!S87+'01_Доходи'!S88+'01_Доходи'!S89),0),IF($B$79="Лікар-педіатр",IF(S83&gt;=Законод!$J$18,'01_Доходи'!S83-('01_Доходи'!S84+'01_Доходи'!S85+'01_Доходи'!S86+'01_Доходи'!S87+'01_Доходи'!S88+'01_Доходи'!S89),0),IF($B$79="Лікар-терапевт",IF('01_Доходи'!S83&gt;=Законод!$J$26,S83-Законод!$I$27,0),0)))</f>
        <v>0</v>
      </c>
      <c r="T90" s="945"/>
      <c r="U90" s="939" t="s">
        <v>346</v>
      </c>
      <c r="V90" s="939"/>
      <c r="W90" s="939"/>
      <c r="X90" s="939"/>
      <c r="Y90" s="939"/>
      <c r="Z90" s="196">
        <f ca="1">IF($B$79="Лікар загальної практики - сімейний лікар",IF(Z83&gt;=Законод!$J$22,'01_Доходи'!Z83-('01_Доходи'!Z84+'01_Доходи'!Z85+'01_Доходи'!Z86+'01_Доходи'!Z87+'01_Доходи'!Z88+'01_Доходи'!Z89),0),IF($B$79="Лікар-педіатр",IF(Z83&gt;=Законод!$J$18,'01_Доходи'!Z83-('01_Доходи'!Z84+'01_Доходи'!Z85+'01_Доходи'!Z86+'01_Доходи'!Z87+'01_Доходи'!Z88+'01_Доходи'!Z89),0),IF($B$79="Лікар-терапевт",IF('01_Доходи'!Z83&gt;=Законод!$J$26,Z83-Законод!$I$27,0),0)))</f>
        <v>0</v>
      </c>
      <c r="AA90" s="945"/>
      <c r="AB90" s="939" t="s">
        <v>346</v>
      </c>
      <c r="AC90" s="939"/>
      <c r="AD90" s="939"/>
      <c r="AE90" s="939"/>
      <c r="AF90" s="939"/>
      <c r="AG90" s="196">
        <f ca="1">IF($B$79="Лікар загальної практики - сімейний лікар",IF(AG83&gt;=Законод!$J$22,'01_Доходи'!AG83-('01_Доходи'!AG84+'01_Доходи'!AG85+'01_Доходи'!AG86+'01_Доходи'!AG87+'01_Доходи'!AG88+'01_Доходи'!AG89),0),IF($B$79="Лікар-педіатр",IF(AG83&gt;=Законод!$J$18,'01_Доходи'!AG83-('01_Доходи'!AG84+'01_Доходи'!AG85+'01_Доходи'!AG86+'01_Доходи'!AG87+'01_Доходи'!AG88+'01_Доходи'!AG89),0),IF($B$79="Лікар-терапевт",IF('01_Доходи'!AG83&gt;=Законод!$J$26,AG83-Законод!$I$27,0),0)))</f>
        <v>0</v>
      </c>
      <c r="AH90" s="945"/>
      <c r="AI90" s="215"/>
      <c r="AJ90" s="934"/>
      <c r="AK90" s="928"/>
      <c r="AL90" s="928"/>
      <c r="AM90" s="900"/>
      <c r="AN90" s="216">
        <f ca="1">IF(B79="Лікар загальної практики - сімейний лікар",L90*Законод!$C$9/4*Законод!$J$16,IF(B79="Лікар-педіатр",L90*Законод!$C$9/4*Законод!$J$16,IF(B79="Лікар-терапевт",L90*Законод!$C$9/4*Законод!$J$16,0)))</f>
        <v>0</v>
      </c>
      <c r="AO90" s="216">
        <f ca="1">IF(B79="Лікар загальної практики - сімейний лікар",S90*Законод!$C$9/4*Законод!$J$16,IF(B79="Лікар-педіатр",S90*Законод!$C$9/4*Законод!$J$16,IF(B79="Лікар-терапевт",S90*Законод!$C$9/4*Законод!$J$16,0)))</f>
        <v>0</v>
      </c>
      <c r="AP90" s="216">
        <f ca="1">IF(B79="Лікар загальної практики - сімейний лікар",S90*Законод!$C$9/4*Законод!$J$16,IF(B79="Лікар-педіатр",S90*Законод!$C$9/4*Законод!$J$16,IF(B79="Лікар-терапевт",S90*Законод!$C$9/4*Законод!$J$16,0)))</f>
        <v>0</v>
      </c>
      <c r="AQ90" s="216">
        <f ca="1">IF(B79="Лікар загальної практики - сімейний лікар",AG90*Законод!$C$9/4*Законод!$J$16,IF(B79="Лікар-педіатр",AG90*Законод!$C$9/4*Законод!$J$16,IF(B79="Лікар-терапевт",AG90*Законод!$C$9/4*Законод!$J$16,0)))</f>
        <v>0</v>
      </c>
      <c r="AR90" s="217">
        <f t="shared" si="5"/>
        <v>0</v>
      </c>
    </row>
    <row r="91" spans="1:44" s="233" customFormat="1" ht="19.149999999999999" customHeight="1" thickBot="1">
      <c r="A91" s="219"/>
      <c r="B91" s="220"/>
      <c r="C91" s="731"/>
      <c r="D91" s="222"/>
      <c r="E91" s="222"/>
      <c r="F91" s="223"/>
      <c r="G91" s="224"/>
      <c r="H91" s="224"/>
      <c r="I91" s="224"/>
      <c r="J91" s="224"/>
      <c r="K91" s="224"/>
      <c r="L91" s="225"/>
      <c r="M91" s="226"/>
      <c r="N91" s="224"/>
      <c r="O91" s="224"/>
      <c r="P91" s="224"/>
      <c r="Q91" s="224"/>
      <c r="R91" s="224"/>
      <c r="S91" s="225"/>
      <c r="T91" s="226"/>
      <c r="U91" s="224"/>
      <c r="V91" s="224"/>
      <c r="W91" s="224"/>
      <c r="X91" s="224"/>
      <c r="Y91" s="224"/>
      <c r="Z91" s="227"/>
      <c r="AA91" s="226"/>
      <c r="AB91" s="224"/>
      <c r="AC91" s="224"/>
      <c r="AD91" s="224"/>
      <c r="AE91" s="224"/>
      <c r="AF91" s="224"/>
      <c r="AG91" s="227"/>
      <c r="AH91" s="226"/>
      <c r="AI91" s="228"/>
      <c r="AJ91" s="229"/>
      <c r="AK91" s="229"/>
      <c r="AL91" s="229"/>
      <c r="AM91" s="230"/>
      <c r="AN91" s="231"/>
      <c r="AO91" s="231"/>
      <c r="AP91" s="231"/>
      <c r="AQ91" s="231"/>
      <c r="AR91" s="232"/>
    </row>
    <row r="92" spans="1:44" s="191" customFormat="1" ht="30" customHeight="1">
      <c r="A92" s="194">
        <f>A79+1</f>
        <v>5</v>
      </c>
      <c r="B92" s="941" t="s">
        <v>235</v>
      </c>
      <c r="C92" s="942" t="s">
        <v>71</v>
      </c>
      <c r="D92" s="943"/>
      <c r="E92" s="943" t="s">
        <v>65</v>
      </c>
      <c r="F92" s="234" t="s">
        <v>582</v>
      </c>
      <c r="G92" s="196">
        <v>38</v>
      </c>
      <c r="H92" s="196">
        <v>121</v>
      </c>
      <c r="I92" s="196">
        <v>419</v>
      </c>
      <c r="J92" s="196">
        <v>395</v>
      </c>
      <c r="K92" s="196">
        <v>126</v>
      </c>
      <c r="L92" s="558">
        <f>G92+H92+I92+J92+K92</f>
        <v>1099</v>
      </c>
      <c r="M92" s="945">
        <v>1</v>
      </c>
      <c r="N92" s="196">
        <v>38</v>
      </c>
      <c r="O92" s="196">
        <v>121</v>
      </c>
      <c r="P92" s="196">
        <v>419</v>
      </c>
      <c r="Q92" s="196">
        <v>395</v>
      </c>
      <c r="R92" s="196">
        <v>126</v>
      </c>
      <c r="S92" s="558">
        <f>N92+O92+P92+Q92+R92</f>
        <v>1099</v>
      </c>
      <c r="T92" s="945">
        <v>1</v>
      </c>
      <c r="U92" s="196">
        <v>38</v>
      </c>
      <c r="V92" s="196">
        <v>121</v>
      </c>
      <c r="W92" s="196">
        <v>419</v>
      </c>
      <c r="X92" s="196">
        <v>395</v>
      </c>
      <c r="Y92" s="196">
        <v>126</v>
      </c>
      <c r="Z92" s="558">
        <f>U92+V92+W92+X92+Y92</f>
        <v>1099</v>
      </c>
      <c r="AA92" s="945">
        <v>1</v>
      </c>
      <c r="AB92" s="196">
        <v>38</v>
      </c>
      <c r="AC92" s="196">
        <v>121</v>
      </c>
      <c r="AD92" s="196">
        <v>419</v>
      </c>
      <c r="AE92" s="196">
        <v>395</v>
      </c>
      <c r="AF92" s="196">
        <v>126</v>
      </c>
      <c r="AG92" s="558">
        <f>AB92+AC92+AD92+AE92+AF92</f>
        <v>1099</v>
      </c>
      <c r="AH92" s="945">
        <v>1</v>
      </c>
      <c r="AI92" s="541">
        <f>A92</f>
        <v>5</v>
      </c>
      <c r="AJ92" s="932" t="str">
        <f>B92</f>
        <v>Лікар загальної практики - сімейний лікар</v>
      </c>
      <c r="AK92" s="926" t="str">
        <f>C92</f>
        <v>Глинюк Яна Ярославівна</v>
      </c>
      <c r="AL92" s="926">
        <f>D92</f>
        <v>0</v>
      </c>
      <c r="AM92" s="901" t="s">
        <v>785</v>
      </c>
      <c r="AN92" s="923">
        <f>SUM(AN97:AN103)</f>
        <v>189383.4308875</v>
      </c>
      <c r="AO92" s="923">
        <f>SUM(AO97:AO103)</f>
        <v>189383.4308875</v>
      </c>
      <c r="AP92" s="923">
        <f>SUM(AP97:AP103)</f>
        <v>189383.4308875</v>
      </c>
      <c r="AQ92" s="923">
        <f>SUM(AQ97:AQ103)</f>
        <v>189383.4308875</v>
      </c>
      <c r="AR92" s="914">
        <f>SUM(AN92:AQ96)</f>
        <v>757533.72355</v>
      </c>
    </row>
    <row r="93" spans="1:44" s="50" customFormat="1" ht="28.15" customHeight="1">
      <c r="A93" s="197"/>
      <c r="B93" s="941"/>
      <c r="C93" s="942"/>
      <c r="D93" s="943"/>
      <c r="E93" s="943"/>
      <c r="F93" s="234" t="s">
        <v>583</v>
      </c>
      <c r="G93" s="196">
        <v>38</v>
      </c>
      <c r="H93" s="196">
        <v>121</v>
      </c>
      <c r="I93" s="196">
        <v>419</v>
      </c>
      <c r="J93" s="196">
        <v>395</v>
      </c>
      <c r="K93" s="196">
        <v>126</v>
      </c>
      <c r="L93" s="558">
        <f>G93+H93+I93+J93+K93</f>
        <v>1099</v>
      </c>
      <c r="M93" s="945"/>
      <c r="N93" s="196">
        <v>38</v>
      </c>
      <c r="O93" s="196">
        <v>121</v>
      </c>
      <c r="P93" s="196">
        <v>419</v>
      </c>
      <c r="Q93" s="196">
        <v>395</v>
      </c>
      <c r="R93" s="196">
        <v>126</v>
      </c>
      <c r="S93" s="558">
        <f>N93+O93+P93+Q93+R93</f>
        <v>1099</v>
      </c>
      <c r="T93" s="945"/>
      <c r="U93" s="196">
        <v>38</v>
      </c>
      <c r="V93" s="196">
        <v>121</v>
      </c>
      <c r="W93" s="196">
        <v>419</v>
      </c>
      <c r="X93" s="196">
        <v>395</v>
      </c>
      <c r="Y93" s="196">
        <v>126</v>
      </c>
      <c r="Z93" s="558">
        <f>U93+V93+W93+X93+Y93</f>
        <v>1099</v>
      </c>
      <c r="AA93" s="945"/>
      <c r="AB93" s="196">
        <v>38</v>
      </c>
      <c r="AC93" s="196">
        <v>121</v>
      </c>
      <c r="AD93" s="196">
        <v>419</v>
      </c>
      <c r="AE93" s="196">
        <v>395</v>
      </c>
      <c r="AF93" s="196">
        <v>126</v>
      </c>
      <c r="AG93" s="558">
        <f>AB93+AC93+AD93+AE93+AF93</f>
        <v>1099</v>
      </c>
      <c r="AH93" s="945"/>
      <c r="AI93" s="198"/>
      <c r="AJ93" s="933"/>
      <c r="AK93" s="927"/>
      <c r="AL93" s="927"/>
      <c r="AM93" s="902"/>
      <c r="AN93" s="924"/>
      <c r="AO93" s="924"/>
      <c r="AP93" s="924"/>
      <c r="AQ93" s="924"/>
      <c r="AR93" s="915"/>
    </row>
    <row r="94" spans="1:44" s="90" customFormat="1" ht="31.15" customHeight="1">
      <c r="A94" s="240"/>
      <c r="B94" s="941"/>
      <c r="C94" s="942"/>
      <c r="D94" s="943"/>
      <c r="E94" s="943"/>
      <c r="F94" s="241" t="s">
        <v>584</v>
      </c>
      <c r="G94" s="196">
        <v>38</v>
      </c>
      <c r="H94" s="196">
        <v>121</v>
      </c>
      <c r="I94" s="196">
        <v>419</v>
      </c>
      <c r="J94" s="196">
        <v>395</v>
      </c>
      <c r="K94" s="196">
        <v>126</v>
      </c>
      <c r="L94" s="558">
        <f>G94+H94+I94+J94+K94</f>
        <v>1099</v>
      </c>
      <c r="M94" s="945"/>
      <c r="N94" s="196">
        <v>38</v>
      </c>
      <c r="O94" s="196">
        <v>121</v>
      </c>
      <c r="P94" s="196">
        <v>419</v>
      </c>
      <c r="Q94" s="196">
        <v>395</v>
      </c>
      <c r="R94" s="196">
        <v>126</v>
      </c>
      <c r="S94" s="558">
        <f>N94+O94+P94+Q94+R94</f>
        <v>1099</v>
      </c>
      <c r="T94" s="945"/>
      <c r="U94" s="196">
        <v>38</v>
      </c>
      <c r="V94" s="196">
        <v>121</v>
      </c>
      <c r="W94" s="196">
        <v>419</v>
      </c>
      <c r="X94" s="196">
        <v>395</v>
      </c>
      <c r="Y94" s="196">
        <v>126</v>
      </c>
      <c r="Z94" s="558">
        <f>U94+V94+W94+X94+Y94</f>
        <v>1099</v>
      </c>
      <c r="AA94" s="945"/>
      <c r="AB94" s="196">
        <v>38</v>
      </c>
      <c r="AC94" s="196">
        <v>121</v>
      </c>
      <c r="AD94" s="196">
        <v>419</v>
      </c>
      <c r="AE94" s="196">
        <v>395</v>
      </c>
      <c r="AF94" s="196">
        <v>126</v>
      </c>
      <c r="AG94" s="558">
        <f>AB94+AC94+AD94+AE94+AF94</f>
        <v>1099</v>
      </c>
      <c r="AH94" s="945"/>
      <c r="AI94" s="242"/>
      <c r="AJ94" s="933"/>
      <c r="AK94" s="927"/>
      <c r="AL94" s="927"/>
      <c r="AM94" s="902"/>
      <c r="AN94" s="924"/>
      <c r="AO94" s="924"/>
      <c r="AP94" s="924"/>
      <c r="AQ94" s="924"/>
      <c r="AR94" s="915"/>
    </row>
    <row r="95" spans="1:44" s="50" customFormat="1" ht="31.9" customHeight="1" thickBot="1">
      <c r="A95" s="197"/>
      <c r="B95" s="941"/>
      <c r="C95" s="942"/>
      <c r="D95" s="943"/>
      <c r="E95" s="943"/>
      <c r="F95" s="236" t="s">
        <v>349</v>
      </c>
      <c r="G95" s="203">
        <f>IF($B$92="Лікар-педіатр",G94/L94,IF($B$92="Лікар-терапевт","х",IF($B$92="Лікар загальної практики - сімейний лікар",G94/L94,0)))</f>
        <v>3.4576888080072796E-2</v>
      </c>
      <c r="H95" s="203">
        <f>IF($B$92="Лікар-педіатр",H94/L94,IF($B$92="Лікар-терапевт","х",IF($B$92="Лікар загальної практики - сімейний лікар",H94/L94,0)))</f>
        <v>0.11010009099181074</v>
      </c>
      <c r="I95" s="203">
        <f>IF($B$92="Лікар-педіатр","x",IF($B$92="Лікар-терапевт",I94/L94,IF($B$92="Лікар загальної практики - сімейний лікар",I94/L94,0)))</f>
        <v>0.38125568698817108</v>
      </c>
      <c r="J95" s="203">
        <f>IF($B$92="Лікар-педіатр","x",IF($B$92="Лікар-терапевт",J94/L94,IF($B$92="Лікар загальної практики - сімейний лікар",J94/L94,0)))</f>
        <v>0.35941765241128298</v>
      </c>
      <c r="K95" s="203">
        <f>IF($B$92="Лікар-педіатр","x",IF($B$92="Лікар-терапевт",K94/L94,IF($B$92="Лікар загальної практики - сімейний лікар",K94/L94,0)))</f>
        <v>0.11464968152866242</v>
      </c>
      <c r="L95" s="203">
        <f>SUM(G95:K95)</f>
        <v>1</v>
      </c>
      <c r="M95" s="945"/>
      <c r="N95" s="203">
        <f>IF($B$92="Лікар-педіатр",N94/S94,IF($B$92="Лікар-терапевт","х",IF($B$92="Лікар загальної практики - сімейний лікар",N94/S94,0)))</f>
        <v>3.4576888080072796E-2</v>
      </c>
      <c r="O95" s="203">
        <f>IF($B$92="Лікар-педіатр",O94/S94,IF($B$92="Лікар-терапевт","х",IF($B$92="Лікар загальної практики - сімейний лікар",O94/S94,0)))</f>
        <v>0.11010009099181074</v>
      </c>
      <c r="P95" s="203">
        <f>IF($B$92="Лікар-педіатр","x",IF($B$92="Лікар-терапевт",P94/S94,IF($B$92="Лікар загальної практики - сімейний лікар",P94/S94,0)))</f>
        <v>0.38125568698817108</v>
      </c>
      <c r="Q95" s="203">
        <f>IF($B$92="Лікар-педіатр","x",IF($B$92="Лікар-терапевт",Q94/S94,IF($B$92="Лікар загальної практики - сімейний лікар",Q94/S94,0)))</f>
        <v>0.35941765241128298</v>
      </c>
      <c r="R95" s="203">
        <f>IF($B$92="Лікар-педіатр","x",IF($B$92="Лікар-терапевт",R94/S94,IF($B$92="Лікар загальної практики - сімейний лікар",R94/S94,0)))</f>
        <v>0.11464968152866242</v>
      </c>
      <c r="S95" s="203">
        <f>SUM(N95:R95)</f>
        <v>1</v>
      </c>
      <c r="T95" s="945"/>
      <c r="U95" s="203">
        <f>IF($B$92="Лікар-педіатр",U94/Z94,IF($B$92="Лікар-терапевт","х",IF($B$92="Лікар загальної практики - сімейний лікар",U94/Z94,0)))</f>
        <v>3.4576888080072796E-2</v>
      </c>
      <c r="V95" s="203">
        <f>IF($B$92="Лікар-педіатр",V94/Z94,IF($B$92="Лікар-терапевт","х",IF($B$92="Лікар загальної практики - сімейний лікар",V94/Z94,0)))</f>
        <v>0.11010009099181074</v>
      </c>
      <c r="W95" s="203">
        <f>IF($B$92="Лікар-педіатр","x",IF($B$92="Лікар-терапевт",W94/Z94,IF($B$92="Лікар загальної практики - сімейний лікар",W94/Z94,0)))</f>
        <v>0.38125568698817108</v>
      </c>
      <c r="X95" s="203">
        <f>IF($B$92="Лікар-педіатр","x",IF($B$92="Лікар-терапевт",X94/Z94,IF($B$92="Лікар загальної практики - сімейний лікар",X94/Z94,0)))</f>
        <v>0.35941765241128298</v>
      </c>
      <c r="Y95" s="203">
        <f>IF($B$92="Лікар-педіатр","x",IF($B$92="Лікар-терапевт",Y94/Z94,IF($B$92="Лікар загальної практики - сімейний лікар",Y94/Z94,0)))</f>
        <v>0.11464968152866242</v>
      </c>
      <c r="Z95" s="203">
        <f>SUM(U95:Y95)</f>
        <v>1</v>
      </c>
      <c r="AA95" s="945"/>
      <c r="AB95" s="203">
        <f>IF($B$92="Лікар-педіатр",AB94/AG94,IF($B$92="Лікар-терапевт","х",IF($B$92="Лікар загальної практики - сімейний лікар",AB94/AG94,0)))</f>
        <v>3.4576888080072796E-2</v>
      </c>
      <c r="AC95" s="203">
        <f>IF($B$92="Лікар-педіатр",AC94/AG94,IF($B$92="Лікар-терапевт","х",IF($B$92="Лікар загальної практики - сімейний лікар",AC94/AG94,0)))</f>
        <v>0.11010009099181074</v>
      </c>
      <c r="AD95" s="203">
        <f>IF($B$92="Лікар-педіатр","x",IF($B$92="Лікар-терапевт",AD94/AG94,IF($B$92="Лікар загальної практики - сімейний лікар",AD94/AG94,0)))</f>
        <v>0.38125568698817108</v>
      </c>
      <c r="AE95" s="203">
        <f>IF($B$92="Лікар-педіатр","x",IF($B$92="Лікар-терапевт",AE94/AG94,IF($B$92="Лікар загальної практики - сімейний лікар",AE94/AG94,0)))</f>
        <v>0.35941765241128298</v>
      </c>
      <c r="AF95" s="203">
        <f>IF($B$92="Лікар-педіатр","x",IF($B$92="Лікар-терапевт",AF94/AG94,IF($B$92="Лікар загальної практики - сімейний лікар",AF94/AG94,0)))</f>
        <v>0.11464968152866242</v>
      </c>
      <c r="AG95" s="203">
        <f>SUM(AB95:AF95)</f>
        <v>1</v>
      </c>
      <c r="AH95" s="945"/>
      <c r="AI95" s="201"/>
      <c r="AJ95" s="933"/>
      <c r="AK95" s="927"/>
      <c r="AL95" s="927"/>
      <c r="AM95" s="902"/>
      <c r="AN95" s="924"/>
      <c r="AO95" s="924"/>
      <c r="AP95" s="924"/>
      <c r="AQ95" s="924"/>
      <c r="AR95" s="915"/>
    </row>
    <row r="96" spans="1:44" s="50" customFormat="1" ht="45" customHeight="1" thickBot="1">
      <c r="A96" s="197"/>
      <c r="B96" s="941"/>
      <c r="C96" s="942"/>
      <c r="D96" s="943"/>
      <c r="E96" s="944"/>
      <c r="F96" s="204" t="s">
        <v>585</v>
      </c>
      <c r="G96" s="205">
        <f>IF($B$92="Лікар загальної практики - сімейний лікар",AVERAGE(G92:G94),IF($B$92="Лікар-педіатр",AVERAGE(G92:G94),IF($B$92="Лікар-терапевт","х",0)))</f>
        <v>38</v>
      </c>
      <c r="H96" s="205">
        <f>IF($B$92="Лікар загальної практики - сімейний лікар",AVERAGE(H92:H94),IF($B$92="Лікар-педіатр",AVERAGE(H92:H94),IF($B$92="Лікар-терапевт","х",0)))</f>
        <v>121</v>
      </c>
      <c r="I96" s="205">
        <f>IF($B$92="Лікар загальної практики - сімейний лікар",AVERAGE(I92:I94),IF($B$92="Лікар-педіатр","x",IF($B$92="Лікар-терапевт",AVERAGE(I92:I94),0)))</f>
        <v>419</v>
      </c>
      <c r="J96" s="205">
        <f>IF($B$92="Лікар загальної практики - сімейний лікар",AVERAGE(J92:J94),IF($B$92="Лікар-педіатр","x",IF($B$92="Лікар-терапевт",AVERAGE(J92:J94),0)))</f>
        <v>395</v>
      </c>
      <c r="K96" s="205">
        <f>IF($B$92="Лікар загальної практики - сімейний лікар",AVERAGE(K92:K94),IF($B$92="Лікар-педіатр","x",IF($B$92="Лікар-терапевт",AVERAGE(K92:K94),0)))</f>
        <v>126</v>
      </c>
      <c r="L96" s="206">
        <f>SUM(G96:K96)</f>
        <v>1099</v>
      </c>
      <c r="M96" s="946"/>
      <c r="N96" s="205">
        <f>IF($B$92="Лікар загальної практики - сімейний лікар",AVERAGE(N92:N94),IF($B$92="Лікар-педіатр",AVERAGE(N92:N94),IF($B$92="Лікар-терапевт","х",0)))</f>
        <v>38</v>
      </c>
      <c r="O96" s="205">
        <f>IF($B$92="Лікар загальної практики - сімейний лікар",AVERAGE(O92:O94),IF($B$92="Лікар-педіатр",AVERAGE(O92:O94),IF($B$92="Лікар-терапевт","х",0)))</f>
        <v>121</v>
      </c>
      <c r="P96" s="205">
        <f>IF($B$92="Лікар загальної практики - сімейний лікар",AVERAGE(P92:P94),IF($B$92="Лікар-педіатр","x",IF($B$92="Лікар-терапевт",AVERAGE(P92:P94),0)))</f>
        <v>419</v>
      </c>
      <c r="Q96" s="205">
        <f>IF($B$92="Лікар загальної практики - сімейний лікар",AVERAGE(Q92:Q94),IF($B$92="Лікар-педіатр","x",IF($B$92="Лікар-терапевт",AVERAGE(Q92:Q94),0)))</f>
        <v>395</v>
      </c>
      <c r="R96" s="205">
        <f>IF($B$92="Лікар загальної практики - сімейний лікар",AVERAGE(R92:R94),IF($B$92="Лікар-педіатр","x",IF($B$92="Лікар-терапевт",AVERAGE(R92:R94),0)))</f>
        <v>126</v>
      </c>
      <c r="S96" s="206">
        <f>SUM(N96:R96)</f>
        <v>1099</v>
      </c>
      <c r="T96" s="946"/>
      <c r="U96" s="205">
        <f>IF($B$92="Лікар загальної практики - сімейний лікар",AVERAGE(U92:U94),IF($B$92="Лікар-педіатр",AVERAGE(U92:U94),IF($B$92="Лікар-терапевт","х",0)))</f>
        <v>38</v>
      </c>
      <c r="V96" s="205">
        <f>IF($B$92="Лікар загальної практики - сімейний лікар",AVERAGE(V92:V94),IF($B$92="Лікар-педіатр",AVERAGE(V92:V94),IF($B$92="Лікар-терапевт","х",0)))</f>
        <v>121</v>
      </c>
      <c r="W96" s="205">
        <f>IF($B$92="Лікар загальної практики - сімейний лікар",AVERAGE(W92:W94),IF($B$92="Лікар-педіатр","x",IF($B$92="Лікар-терапевт",AVERAGE(W92:W94),0)))</f>
        <v>419</v>
      </c>
      <c r="X96" s="205">
        <f>IF($B$92="Лікар загальної практики - сімейний лікар",AVERAGE(X92:X94),IF($B$92="Лікар-педіатр","x",IF($B$92="Лікар-терапевт",AVERAGE(X92:X94),0)))</f>
        <v>395</v>
      </c>
      <c r="Y96" s="205">
        <f>IF($B$92="Лікар загальної практики - сімейний лікар",AVERAGE(Y92:Y94),IF($B$92="Лікар-педіатр","x",IF($B$92="Лікар-терапевт",AVERAGE(Y92:Y94),0)))</f>
        <v>126</v>
      </c>
      <c r="Z96" s="206">
        <f>SUM(U96:Y96)</f>
        <v>1099</v>
      </c>
      <c r="AA96" s="946"/>
      <c r="AB96" s="205">
        <f>IF($B$92="Лікар загальної практики - сімейний лікар",AVERAGE(AB92:AB94),IF($B$92="Лікар-педіатр",AVERAGE(AB92:AB94),IF($B$92="Лікар-терапевт","х",0)))</f>
        <v>38</v>
      </c>
      <c r="AC96" s="205">
        <f>IF($B$92="Лікар загальної практики - сімейний лікар",AVERAGE(AC92:AC94),IF($B$92="Лікар-педіатр",AVERAGE(AC92:AC94),IF($B$92="Лікар-терапевт","х",0)))</f>
        <v>121</v>
      </c>
      <c r="AD96" s="205">
        <f>IF($B$92="Лікар загальної практики - сімейний лікар",AVERAGE(AD92:AD94),IF($B$92="Лікар-педіатр","x",IF($B$92="Лікар-терапевт",AVERAGE(AD92:AD94),0)))</f>
        <v>419</v>
      </c>
      <c r="AE96" s="205">
        <f>IF($B$92="Лікар загальної практики - сімейний лікар",AVERAGE(AE92:AE94),IF($B$92="Лікар-педіатр","x",IF($B$92="Лікар-терапевт",AVERAGE(AE92:AE94),0)))</f>
        <v>395</v>
      </c>
      <c r="AF96" s="205">
        <f>IF($B$92="Лікар загальної практики - сімейний лікар",AVERAGE(AF92:AF94),IF($B$92="Лікар-педіатр","x",IF($B$92="Лікар-терапевт",AVERAGE(AF92:AF94),0)))</f>
        <v>126</v>
      </c>
      <c r="AG96" s="206">
        <f>SUM(AB96:AF96)</f>
        <v>1099</v>
      </c>
      <c r="AH96" s="947"/>
      <c r="AI96" s="201"/>
      <c r="AJ96" s="933"/>
      <c r="AK96" s="927"/>
      <c r="AL96" s="927"/>
      <c r="AM96" s="903"/>
      <c r="AN96" s="925"/>
      <c r="AO96" s="925"/>
      <c r="AP96" s="925"/>
      <c r="AQ96" s="925"/>
      <c r="AR96" s="916"/>
    </row>
    <row r="97" spans="1:44" s="50" customFormat="1" ht="40.5">
      <c r="A97" s="197"/>
      <c r="B97" s="941"/>
      <c r="C97" s="942"/>
      <c r="D97" s="943"/>
      <c r="E97" s="943"/>
      <c r="F97" s="237" t="str">
        <f ca="1">IF(B92="Лікар-педіатр",Законод!$C$17,IF(B92="Лікар загальної практики - сімейний лікар",Законод!$C$21,IF(B92="Лікар-терапевт",Законод!$C$25,"х")))</f>
        <v>ліміт (до 1800)</v>
      </c>
      <c r="G97" s="208">
        <f ca="1">IF($B$92="Лікар загальної практики - сімейний лікар",IF(L96&lt;=Законод!$C$22,G96,Законод!$C$22*'01_Доходи'!G95),IF($B$92="Лікар-педіатр",IF(L96&lt;=Законод!$C$18,G96,Законод!$C$18*'01_Доходи'!G95),IF($B$92="Лікар-терапевт","x",0)))</f>
        <v>38</v>
      </c>
      <c r="H97" s="208">
        <f ca="1">IF($B$92="Лікар загальної практики - сімейний лікар",IF(L96&lt;=Законод!$C$22,H96,Законод!$C$22*'01_Доходи'!H95),IF($B$92="Лікар-педіатр",IF(L96&lt;=Законод!$C$18,H96,Законод!$C$18*'01_Доходи'!H95),IF($B$92="Лікар-терапевт","x",0)))</f>
        <v>121</v>
      </c>
      <c r="I97" s="208">
        <f ca="1">IF($B$92="Лікар загальної практики - сімейний лікар",IF(L96&lt;=Законод!$C$22,I96,Законод!$C$22*'01_Доходи'!I95),IF($B$92="Лікар-педіатр","x",IF($B$92="Лікар-терапевт",IF(L96&lt;=Законод!$C$26,I96,Законод!$C$26*'01_Доходи'!I95),0)))</f>
        <v>419</v>
      </c>
      <c r="J97" s="208">
        <f ca="1">IF($B$92="Лікар загальної практики - сімейний лікар",IF(L96&lt;=Законод!$C$22,J96,Законод!$C$22*'01_Доходи'!J95),IF($B$92="Лікар-педіатр","x",IF($B$92="Лікар-терапевт",IF(L96&lt;=Законод!$C$26,J96,Законод!$C$26*'01_Доходи'!J95),0)))</f>
        <v>395</v>
      </c>
      <c r="K97" s="208">
        <f ca="1">IF($B$92="Лікар загальної практики - сімейний лікар",IF(L96&lt;=Законод!$C$22,K96,Законод!$C$22*'01_Доходи'!K95),IF($B$92="Лікар-педіатр","x",IF($B$92="Лікар-терапевт",IF(L96&lt;=Законод!$C$26,K96,Законод!$C$26*'01_Доходи'!K95),0)))</f>
        <v>126</v>
      </c>
      <c r="L97" s="209">
        <f ca="1">SUM(G97:K97)</f>
        <v>1099</v>
      </c>
      <c r="M97" s="945"/>
      <c r="N97" s="208">
        <f ca="1">IF($B$92="Лікар загальної практики - сімейний лікар",IF(S96&lt;=Законод!$C$22,N96,Законод!$C$22*'01_Доходи'!N95),IF($B$92="Лікар-педіатр",IF(S96&lt;=Законод!$C$18,N96,Законод!$C$18*'01_Доходи'!N95),IF($B$92="Лікар-терапевт","x",0)))</f>
        <v>38</v>
      </c>
      <c r="O97" s="208">
        <f ca="1">IF($B$92="Лікар загальної практики - сімейний лікар",IF(S96&lt;=Законод!$C$22,O96,Законод!$C$22*'01_Доходи'!O95),IF($B$92="Лікар-педіатр",IF(S96&lt;=Законод!$C$18,O96,Законод!$C$18*'01_Доходи'!O95),IF($B$92="Лікар-терапевт","x",0)))</f>
        <v>121</v>
      </c>
      <c r="P97" s="208">
        <f ca="1">IF($B$92="Лікар загальної практики - сімейний лікар",IF(S96&lt;=Законод!$C$22,P96,Законод!$C$22*'01_Доходи'!P95),IF($B$92="Лікар-педіатр","x",IF($B$92="Лікар-терапевт",IF(S96&lt;=Законод!$C$26,P96,Законод!$C$26*'01_Доходи'!P95),0)))</f>
        <v>419</v>
      </c>
      <c r="Q97" s="208">
        <f ca="1">IF($B$92="Лікар загальної практики - сімейний лікар",IF(S96&lt;=Законод!$C$22,Q96,Законод!$C$22*'01_Доходи'!Q95),IF($B$92="Лікар-педіатр","x",IF($B$92="Лікар-терапевт",IF(S96&lt;=Законод!$C$26,Q96,Законод!$C$26*'01_Доходи'!Q95),0)))</f>
        <v>395</v>
      </c>
      <c r="R97" s="208">
        <f ca="1">IF($B$92="Лікар загальної практики - сімейний лікар",IF(S96&lt;=Законод!$C$22,R96,Законод!$C$22*'01_Доходи'!R95),IF($B$92="Лікар-педіатр","x",IF($B$92="Лікар-терапевт",IF(S96&lt;=Законод!$C$26,R96,Законод!$C$26*'01_Доходи'!R95),0)))</f>
        <v>126</v>
      </c>
      <c r="S97" s="209">
        <f ca="1">SUM(N97:R97)</f>
        <v>1099</v>
      </c>
      <c r="T97" s="945"/>
      <c r="U97" s="208">
        <f ca="1">IF($B$92="Лікар загальної практики - сімейний лікар",IF(Z96&lt;=Законод!$C$22,U96,Законод!$C$22*'01_Доходи'!U95),IF($B$92="Лікар-педіатр",IF(Z96&lt;=Законод!$C$18,U96,Законод!$C$18*'01_Доходи'!U95),IF($B$92="Лікар-терапевт","x",0)))</f>
        <v>38</v>
      </c>
      <c r="V97" s="208">
        <f ca="1">IF($B$92="Лікар загальної практики - сімейний лікар",IF(Z96&lt;=Законод!$C$22,V96,Законод!$C$22*'01_Доходи'!V95),IF($B$92="Лікар-педіатр",IF(Z96&lt;=Законод!$C$18,V96,Законод!$C$18*'01_Доходи'!V95),IF($B$92="Лікар-терапевт","x",0)))</f>
        <v>121</v>
      </c>
      <c r="W97" s="208">
        <f ca="1">IF($B$92="Лікар загальної практики - сімейний лікар",IF(Z96&lt;=Законод!$C$22,W96,Законод!$C$22*'01_Доходи'!W95),IF($B$92="Лікар-педіатр","x",IF($B$92="Лікар-терапевт",IF(Z96&lt;=Законод!$C$26,W96,Законод!$C$26*'01_Доходи'!W95),0)))</f>
        <v>419</v>
      </c>
      <c r="X97" s="208">
        <f ca="1">IF($B$92="Лікар загальної практики - сімейний лікар",IF(Z96&lt;=Законод!$C$22,X96,Законод!$C$22*'01_Доходи'!X95),IF($B$92="Лікар-педіатр","x",IF($B$92="Лікар-терапевт",IF(Z96&lt;=Законод!$C$26,X96,Законод!$C$26*'01_Доходи'!X95),0)))</f>
        <v>395</v>
      </c>
      <c r="Y97" s="208">
        <f ca="1">IF($B$92="Лікар загальної практики - сімейний лікар",IF(Z96&lt;=Законод!$C$22,Y96,Законод!$C$22*'01_Доходи'!Y95),IF($B$92="Лікар-педіатр","x",IF($B$92="Лікар-терапевт",IF(Z96&lt;=Законод!$C$26,Y96,Законод!$C$26*'01_Доходи'!Y95),0)))</f>
        <v>126</v>
      </c>
      <c r="Z97" s="209">
        <f ca="1">SUM(U97:Y97)</f>
        <v>1099</v>
      </c>
      <c r="AA97" s="945"/>
      <c r="AB97" s="208">
        <f ca="1">IF($B$92="Лікар загальної практики - сімейний лікар",IF(AG96&lt;=Законод!$C$22,AB96,Законод!$C$22*'01_Доходи'!AB95),IF($B$92="Лікар-педіатр",IF(AG96&lt;=Законод!$C$18,AB96,Законод!$C$18*'01_Доходи'!AB95),IF($B$92="Лікар-терапевт","x",0)))</f>
        <v>38</v>
      </c>
      <c r="AC97" s="208">
        <f ca="1">IF($B$92="Лікар загальної практики - сімейний лікар",IF(AG96&lt;=Законод!$C$22,AC96,Законод!$C$22*'01_Доходи'!AC95),IF($B$92="Лікар-педіатр",IF(AG96&lt;=Законод!$C$18,AC96,Законод!$C$18*'01_Доходи'!AC95),IF($B$92="Лікар-терапевт","x",0)))</f>
        <v>121</v>
      </c>
      <c r="AD97" s="208">
        <f ca="1">IF($B$92="Лікар загальної практики - сімейний лікар",IF(AG96&lt;=Законод!$C$22,AD96,Законод!$C$22*'01_Доходи'!AD95),IF($B$92="Лікар-педіатр","x",IF($B$92="Лікар-терапевт",IF(AG96&lt;=Законод!$C$26,AD96,Законод!$C$26*'01_Доходи'!AD95),0)))</f>
        <v>419</v>
      </c>
      <c r="AE97" s="208">
        <f ca="1">IF($B$92="Лікар загальної практики - сімейний лікар",IF(AG96&lt;=Законод!$C$22,AE96,Законод!$C$22*'01_Доходи'!AE95),IF($B$92="Лікар-педіатр","x",IF($B$92="Лікар-терапевт",IF(AG96&lt;=Законод!$C$26,AE96,Законод!$C$26*'01_Доходи'!AE95),0)))</f>
        <v>395</v>
      </c>
      <c r="AF97" s="208">
        <f ca="1">IF($B$92="Лікар загальної практики - сімейний лікар",IF(AG96&lt;=Законод!$C$22,AF96,Законод!$C$22*'01_Доходи'!AF95),IF($B$92="Лікар-педіатр","x",IF($B$92="Лікар-терапевт",IF(AG96&lt;=Законод!$C$26,AF96,Законод!$C$26*'01_Доходи'!AF95),0)))</f>
        <v>126</v>
      </c>
      <c r="AG97" s="209">
        <f ca="1">SUM(AB97:AF97)</f>
        <v>1099</v>
      </c>
      <c r="AH97" s="945"/>
      <c r="AI97" s="201"/>
      <c r="AJ97" s="933"/>
      <c r="AK97" s="927"/>
      <c r="AL97" s="927"/>
      <c r="AM97" s="348" t="s">
        <v>374</v>
      </c>
      <c r="AN97" s="210">
        <f ca="1">IF(B92="Лікар загальної практики - сімейний лікар",G97*Законод!$C$11+'01_Доходи'!H97*Законод!$D$11+'01_Доходи'!I97*Законод!$E$11+'01_Доходи'!J97*Законод!$F$11+'01_Доходи'!K97*Законод!$G$11,IF(B92="Лікар-педіатр",G97*Законод!$C$11+'01_Доходи'!H97*Законод!$D$11,IF(B92="Лікар-терапевт",'01_Доходи'!I97*Законод!$E$11+'01_Доходи'!J97*Законод!$F$11+'01_Доходи'!K97*Законод!$G$11,0)))</f>
        <v>189383.4308875</v>
      </c>
      <c r="AO97" s="210">
        <f ca="1">IF(B92="Лікар загальної практики - сімейний лікар",N97*Законод!$C$11+'01_Доходи'!O97*Законод!$D$11+'01_Доходи'!P97*Законод!$E$11+'01_Доходи'!Q97*Законод!$F$11+'01_Доходи'!R97*Законод!$G$11,IF(B92="Лікар-педіатр",N97*Законод!$C$11+'01_Доходи'!O97*Законод!$D$11,IF(B92="Лікар-терапевт",'01_Доходи'!P97*Законод!$E$11+'01_Доходи'!Q97*Законод!$F$11+'01_Доходи'!R97*Законод!$G$11,0)))</f>
        <v>189383.4308875</v>
      </c>
      <c r="AP97" s="210">
        <f ca="1">IF(B92="Лікар загальної практики - сімейний лікар",U97*Законод!$C$11+'01_Доходи'!V97*Законод!$D$11+'01_Доходи'!W97*Законод!$E$11+'01_Доходи'!X97*Законод!$F$11+'01_Доходи'!Y97*Законод!$G$11,IF(B92="Лікар-педіатр",U97*Законод!$C$11+'01_Доходи'!V97*Законод!$D$11,IF(B92="Лікар-терапевт",'01_Доходи'!W97*Законод!$E$11+'01_Доходи'!X97*Законод!$F$11+'01_Доходи'!Y97*Законод!$G$11,0)))</f>
        <v>189383.4308875</v>
      </c>
      <c r="AQ97" s="210">
        <f ca="1">IF(B92="Лікар загальної практики - сімейний лікар",AB97*Законод!$C$11+'01_Доходи'!AC97*Законод!$D$11+'01_Доходи'!AD97*Законод!$E$11+'01_Доходи'!AE97*Законод!$F$11+'01_Доходи'!AF97*Законод!$G$11,IF(B92="Лікар-педіатр",AB97*Законод!$C$11+'01_Доходи'!AC97*Законод!$D$11,IF(B92="Лікар-терапевт",'01_Доходи'!AD97*Законод!$E$11+'01_Доходи'!AE97*Законод!$F$11+'01_Доходи'!AF97*Законод!$G$11,0)))</f>
        <v>189383.4308875</v>
      </c>
      <c r="AR97" s="211">
        <f t="shared" ref="AR97:AR103" si="6">SUM(AN97:AQ97)</f>
        <v>757533.72355</v>
      </c>
    </row>
    <row r="98" spans="1:44" s="50" customFormat="1" ht="31.9" customHeight="1">
      <c r="A98" s="197"/>
      <c r="B98" s="941"/>
      <c r="C98" s="942"/>
      <c r="D98" s="943"/>
      <c r="E98" s="943"/>
      <c r="F98" s="238" t="str">
        <f ca="1">IF(B92="Лікар-педіатр",Законод!$E$17,IF(B92="Лікар загальної практики - сімейний лікар",Законод!$E$21,IF(B92="Лікар-терапевт",Законод!$E$25,"х")))</f>
        <v>понад ліміт (1801-1980)</v>
      </c>
      <c r="G98" s="940" t="s">
        <v>346</v>
      </c>
      <c r="H98" s="940"/>
      <c r="I98" s="940"/>
      <c r="J98" s="940"/>
      <c r="K98" s="940"/>
      <c r="L98" s="196">
        <f ca="1">IF($B$92="Лікар загальної практики - сімейний лікар",IF(L96&lt;Законод!$C$22,0,(IF(AND(L96&gt;=Законод!$E$22,L96&lt;=Законод!$E$23),L96-Законод!$C$22,IF('01_Доходи'!L96&gt;=Законод!$F$22,Законод!$E$24,0)))),IF($B$92="Лікар-педіатр",IF(L96&lt;Законод!$C$18,0,(IF(AND(L96&gt;=Законод!$E$18,L96&lt;=Законод!$E$19),L96-Законод!$C$18,IF('01_Доходи'!L96&gt;=Законод!$F$18,Законод!$E$20,0)))),IF($B$92="Лікар-терапевт",IF(L96&lt;Законод!$C$26,0,(IF(AND(L96&gt;=Законод!$E$26,L96&lt;=Законод!$E$27),L96-Законод!$C$26,IF('01_Доходи'!L96&gt;=Законод!$F$26,Законод!$E$28,0)))),0)))</f>
        <v>0</v>
      </c>
      <c r="M98" s="945"/>
      <c r="N98" s="940" t="s">
        <v>346</v>
      </c>
      <c r="O98" s="940"/>
      <c r="P98" s="940"/>
      <c r="Q98" s="940"/>
      <c r="R98" s="940"/>
      <c r="S98" s="196">
        <f ca="1">IF($B$92="Лікар загальної практики - сімейний лікар",IF(S96&lt;Законод!$C$22,0,(IF(AND(S96&gt;=Законод!$E$22,S96&lt;=Законод!$E$23),S96-Законод!$C$22,IF('01_Доходи'!S96&gt;=Законод!$F$22,Законод!$E$24,0)))),IF($B$92="Лікар-педіатр",IF(S96&lt;Законод!$C$18,0,(IF(AND(S96&gt;=Законод!$E$18,S96&lt;=Законод!$E$19),S96-Законод!$C$18,IF('01_Доходи'!S96&gt;=Законод!$F$18,Законод!$E$20,0)))),IF($B$92="Лікар-терапевт",IF(S96&lt;Законод!$C$26,0,(IF(AND(S96&gt;=Законод!$E$26,S96&lt;=Законод!$E$27),S96-Законод!$C$26,IF('01_Доходи'!S96&gt;=Законод!$F$26,Законод!$E$28,0)))),0)))</f>
        <v>0</v>
      </c>
      <c r="T98" s="945"/>
      <c r="U98" s="940" t="s">
        <v>346</v>
      </c>
      <c r="V98" s="940"/>
      <c r="W98" s="940"/>
      <c r="X98" s="940"/>
      <c r="Y98" s="940"/>
      <c r="Z98" s="196">
        <f ca="1">IF($B$92="Лікар загальної практики - сімейний лікар",IF(Z96&lt;Законод!$C$22,0,(IF(AND(Z96&gt;=Законод!$E$22,Z96&lt;=Законод!$E$23),Z96-Законод!$C$22,IF('01_Доходи'!Z96&gt;=Законод!$F$22,Законод!$E$24,0)))),IF($B$92="Лікар-педіатр",IF(Z96&lt;Законод!$C$18,0,(IF(AND(Z96&gt;=Законод!$E$18,Z96&lt;=Законод!$E$19),Z96-Законод!$C$18,IF('01_Доходи'!Z96&gt;=Законод!$F$18,Законод!$E$20,0)))),IF($B$92="Лікар-терапевт",IF(Z96&lt;Законод!$C$26,0,(IF(AND(Z96&gt;=Законод!$E$26,Z96&lt;=Законод!$E$27),Z96-Законод!$C$26,IF('01_Доходи'!Z96&gt;=Законод!$F$26,Законод!$E$28,0)))),0)))</f>
        <v>0</v>
      </c>
      <c r="AA98" s="945"/>
      <c r="AB98" s="940" t="s">
        <v>346</v>
      </c>
      <c r="AC98" s="940"/>
      <c r="AD98" s="940"/>
      <c r="AE98" s="940"/>
      <c r="AF98" s="940"/>
      <c r="AG98" s="196">
        <f ca="1">IF($B$92="Лікар загальної практики - сімейний лікар",IF(AG96&lt;Законод!$C$22,0,(IF(AND(AG96&gt;=Законод!$E$22,AG96&lt;=Законод!$E$23),AG96-Законод!$C$22,IF('01_Доходи'!AG96&gt;=Законод!$F$22,Законод!$E$24,0)))),IF($B$92="Лікар-педіатр",IF(AG96&lt;Законод!$C$18,0,(IF(AND(AG96&gt;=Законод!$E$18,AG96&lt;=Законод!$E$19),AG96-Законод!$C$18,IF('01_Доходи'!AG96&gt;=Законод!$F$18,Законод!$E$20,0)))),IF($B$92="Лікар-терапевт",IF(AG96&lt;Законод!$C$26,0,(IF(AND(AG96&gt;=Законод!$E$26,AG96&lt;=Законод!$E$27),AG96-Законод!$C$26,IF('01_Доходи'!AG96&gt;=Законод!$F$26,Законод!$E$28,0)))),0)))</f>
        <v>0</v>
      </c>
      <c r="AH98" s="945"/>
      <c r="AI98" s="201"/>
      <c r="AJ98" s="933"/>
      <c r="AK98" s="927"/>
      <c r="AL98" s="927"/>
      <c r="AM98" s="898" t="s">
        <v>375</v>
      </c>
      <c r="AN98" s="210">
        <f ca="1">IF(B92="Лікар загальної практики - сімейний лікар",L98*Законод!$C$9/4*Законод!$E$16,IF(B92="Лікар-педіатр",L98*Законод!$C$9/4*Законод!$E$16,IF(B92="Лікар-терапевт",L98*Законод!$C$9/4*Законод!$E$16,0)))</f>
        <v>0</v>
      </c>
      <c r="AO98" s="210">
        <f ca="1">IF(B92="Лікар загальної практики - сімейний лікар",S98*Законод!$C$9/4*Законод!$E$16,IF(B92="Лікар-педіатр",S98*Законод!$C$9/4*Законод!$E$16,IF(B92="Лікар-терапевт",S98*Законод!$C$9/4*Законод!$E$16,0)))</f>
        <v>0</v>
      </c>
      <c r="AP98" s="210">
        <f ca="1">IF(B92="Лікар загальної практики - сімейний лікар",Z98*Законод!$C$9/4*Законод!$E$16,IF(B92="Лікар-педіатр",Z98*Законод!$C$9/4*Законод!$E$16,IF(B92="Лікар-терапевт",Z98*Законод!$C$9/4*Законод!$E$16,0)))</f>
        <v>0</v>
      </c>
      <c r="AQ98" s="210">
        <f ca="1">IF(B92="Лікар загальної практики - сімейний лікар",AG98*Законод!$C$9/4*Законод!$E$16,IF(B92="Лікар-педіатр",AG98*Законод!$C$9/4*Законод!$E$16,IF(B92="Лікар-терапевт",AG98*Законод!$C$9/4*Законод!$E$16,0)))</f>
        <v>0</v>
      </c>
      <c r="AR98" s="211">
        <f t="shared" si="6"/>
        <v>0</v>
      </c>
    </row>
    <row r="99" spans="1:44" s="50" customFormat="1" ht="31.9" customHeight="1">
      <c r="A99" s="197"/>
      <c r="B99" s="941"/>
      <c r="C99" s="942"/>
      <c r="D99" s="943"/>
      <c r="E99" s="943"/>
      <c r="F99" s="238" t="str">
        <f ca="1">IF(B92="Лікар-педіатр",Законод!$F$17,IF(B92="Лікар загальної практики - сімейний лікар",Законод!$F$21,IF(B92="Лікар-терапевт",Законод!$F$25,"х")))</f>
        <v>понад ліміт (1981-2160)</v>
      </c>
      <c r="G99" s="940" t="s">
        <v>346</v>
      </c>
      <c r="H99" s="940"/>
      <c r="I99" s="940"/>
      <c r="J99" s="940"/>
      <c r="K99" s="940"/>
      <c r="L99" s="196">
        <f ca="1">IF($B$92="Лікар загальної практики - сімейний лікар",IF(L96&lt;Законод!$C$22,0,(IF(AND(L96&gt;=Законод!$F$22,L96&lt;=Законод!$F$23),L96-Законод!$E$23,IF('01_Доходи'!L96&gt;=Законод!$G$22,Законод!$F$24,0)))),IF($B$92="Лікар-педіатр",IF(L96&lt;Законод!$C$18,0,(IF(AND(L96&gt;=Законод!$F$18,L96&lt;=Законод!$F$19),L96-Законод!$E$19,IF('01_Доходи'!L96&gt;=Законод!$G$18,Законод!$F$20,0)))),IF($B$92="Лікар-терапевт",IF(L96&lt;Законод!$C$26,0,(IF(AND(L96&gt;=Законод!$F$26,L96&lt;=Законод!$F$27),L96-Законод!$E$27,IF('01_Доходи'!L96&gt;=Законод!$G$26,Законод!$F$28,0)))),0)))</f>
        <v>0</v>
      </c>
      <c r="M99" s="945"/>
      <c r="N99" s="940" t="s">
        <v>346</v>
      </c>
      <c r="O99" s="940"/>
      <c r="P99" s="940"/>
      <c r="Q99" s="940"/>
      <c r="R99" s="940"/>
      <c r="S99" s="196">
        <f ca="1">IF($B$92="Лікар загальної практики - сімейний лікар",IF(S96&lt;Законод!$C$22,0,(IF(AND(S96&gt;=Законод!$F$22,S96&lt;=Законод!$F$23),S96-Законод!$E$23,IF('01_Доходи'!S96&gt;=Законод!$G$22,Законод!$F$24,0)))),IF($B$92="Лікар-педіатр",IF(S96&lt;Законод!$C$18,0,(IF(AND(S96&gt;=Законод!$F$18,S96&lt;=Законод!$F$19),S96-Законод!$E$19,IF('01_Доходи'!S96&gt;=Законод!$G$18,Законод!$F$20,0)))),IF($B$92="Лікар-терапевт",IF(S96&lt;Законод!$C$26,0,(IF(AND(S96&gt;=Законод!$F$26,S96&lt;=Законод!$F$27),S96-Законод!$E$27,IF('01_Доходи'!S96&gt;=Законод!$G$26,Законод!$F$28,0)))),0)))</f>
        <v>0</v>
      </c>
      <c r="T99" s="945"/>
      <c r="U99" s="940" t="s">
        <v>346</v>
      </c>
      <c r="V99" s="940"/>
      <c r="W99" s="940"/>
      <c r="X99" s="940"/>
      <c r="Y99" s="940"/>
      <c r="Z99" s="196">
        <f ca="1">IF($B$92="Лікар загальної практики - сімейний лікар",IF(Z96&lt;Законод!$C$22,0,(IF(AND(Z96&gt;=Законод!$F$22,Z96&lt;=Законод!$F$23),Z96-Законод!$E$23,IF('01_Доходи'!Z96&gt;=Законод!$G$22,Законод!$F$24,0)))),IF($B$92="Лікар-педіатр",IF(Z96&lt;Законод!$C$18,0,(IF(AND(Z96&gt;=Законод!$F$18,Z96&lt;=Законод!$F$19),Z96-Законод!$E$19,IF('01_Доходи'!Z96&gt;=Законод!$G$18,Законод!$F$20,0)))),IF($B$92="Лікар-терапевт",IF(Z96&lt;Законод!$C$26,0,(IF(AND(Z96&gt;=Законод!$F$26,Z96&lt;=Законод!$F$27),Z96-Законод!$E$27,IF('01_Доходи'!Z96&gt;=Законод!$G$26,Законод!$F$28,0)))),0)))</f>
        <v>0</v>
      </c>
      <c r="AA99" s="945"/>
      <c r="AB99" s="940" t="s">
        <v>346</v>
      </c>
      <c r="AC99" s="940"/>
      <c r="AD99" s="940"/>
      <c r="AE99" s="940"/>
      <c r="AF99" s="940"/>
      <c r="AG99" s="196">
        <f ca="1">IF($B$92="Лікар загальної практики - сімейний лікар",IF(AG96&lt;Законод!$C$22,0,(IF(AND(AG96&gt;=Законод!$F$22,AG96&lt;=Законод!$F$23),AG96-Законод!$E$23,IF('01_Доходи'!AG96&gt;=Законод!$G$22,Законод!$F$24,0)))),IF($B$92="Лікар-педіатр",IF(AG96&lt;Законод!$C$18,0,(IF(AND(AG96&gt;=Законод!$F$18,AG96&lt;=Законод!$F$19),AG96-Законод!$E$19,IF('01_Доходи'!AG96&gt;=Законод!$G$18,Законод!$F$20,0)))),IF($B$92="Лікар-терапевт",IF(AG96&lt;Законод!$C$26,0,(IF(AND(AG96&gt;=Законод!$F$26,AG96&lt;=Законод!$F$27),AG96-Законод!$E$27,IF('01_Доходи'!AG96&gt;=Законод!$G$26,Законод!$F$28,0)))),0)))</f>
        <v>0</v>
      </c>
      <c r="AH99" s="945"/>
      <c r="AI99" s="201"/>
      <c r="AJ99" s="933"/>
      <c r="AK99" s="927"/>
      <c r="AL99" s="927"/>
      <c r="AM99" s="899"/>
      <c r="AN99" s="210">
        <f ca="1">IF(B92="Лікар загальної практики - сімейний лікар",L99*Законод!$C$9/4*Законод!$F$16,IF(B92="Лікар-педіатр",L99*Законод!$C$9/4*Законод!$F$16,IF(B92="Лікар-терапевт",L99*Законод!$C$9/4*Законод!$F$16,0)))</f>
        <v>0</v>
      </c>
      <c r="AO99" s="210">
        <f ca="1">IF(B92="Лікар загальної практики - сімейний лікар",S99*Законод!$C$9/4*Законод!$F$16,IF(B92="Лікар-педіатр",S99*Законод!$C$9/4*Законод!$F$16,IF(B92="Лікар-терапевт",S99*Законод!$C$9/4*Законод!$F$16,0)))</f>
        <v>0</v>
      </c>
      <c r="AP99" s="210">
        <f ca="1">IF(B92="Лікар загальної практики - сімейний лікар",Z99*Законод!$C$9/4*Законод!$F$16,IF(B92="Лікар-педіатр",Z99*Законод!$C$9/4*Законод!$F$16,IF(B92="Лікар-терапевт",Z99*Законод!$C$9/4*Законод!$F$16,0)))</f>
        <v>0</v>
      </c>
      <c r="AQ99" s="210">
        <f ca="1">IF(B92="Лікар загальної практики - сімейний лікар",AG99*Законод!$C$9/4*Законод!$F$16,IF(B92="Лікар-педіатр",AG99*Законод!$C$9/4*Законод!$F$16,IF(B92="Лікар-терапевт",AG99*Законод!$C$9/4*Законод!$F$16,0)))</f>
        <v>0</v>
      </c>
      <c r="AR99" s="211">
        <f t="shared" si="6"/>
        <v>0</v>
      </c>
    </row>
    <row r="100" spans="1:44" s="50" customFormat="1" ht="31.9" customHeight="1">
      <c r="A100" s="197"/>
      <c r="B100" s="941"/>
      <c r="C100" s="942"/>
      <c r="D100" s="943"/>
      <c r="E100" s="943"/>
      <c r="F100" s="238" t="str">
        <f ca="1">IF(B92="Лікар-педіатр",Законод!$G$17,IF(B92="Лікар загальної практики - сімейний лікар",Законод!$G$21,IF(B92="Лікар-терапевт",Законод!$G$25,"х")))</f>
        <v>понад ліміт (2161-2340)</v>
      </c>
      <c r="G100" s="940" t="s">
        <v>346</v>
      </c>
      <c r="H100" s="940"/>
      <c r="I100" s="940"/>
      <c r="J100" s="940"/>
      <c r="K100" s="940"/>
      <c r="L100" s="196">
        <f ca="1">IF($B$92="Лікар загальної практики - сімейний лікар",IF(L96&lt;Законод!$C$22,0,(IF(AND(L96&gt;=Законод!$G$22,L96&lt;=Законод!$G$23),L96-Законод!$F$23,IF('01_Доходи'!L96&gt;=Законод!$H$22,Законод!$G$24,0)))),IF($B$92="Лікар-педіатр",IF(L96&lt;Законод!$C$18,0,(IF(AND(L96&gt;=Законод!$G$18,L96&lt;=Законод!$G$19),L96-Законод!$F$19,IF('01_Доходи'!L96&gt;=Законод!$H$18,Законод!$G$20,0)))),IF($B$92="Лікар-терапевт",IF(L96&lt;Законод!$C$26,0,(IF(AND(L96&gt;=Законод!$G$26,L96&lt;=Законод!$G$27),L96-Законод!$F$27,IF('01_Доходи'!L96&gt;=Законод!$H$26,Законод!$G$28,0)))),0)))</f>
        <v>0</v>
      </c>
      <c r="M100" s="945"/>
      <c r="N100" s="940" t="s">
        <v>346</v>
      </c>
      <c r="O100" s="940"/>
      <c r="P100" s="940"/>
      <c r="Q100" s="940"/>
      <c r="R100" s="940"/>
      <c r="S100" s="196">
        <f ca="1">IF($B$92="Лікар загальної практики - сімейний лікар",IF(S96&lt;Законод!$C$22,0,(IF(AND(S96&gt;=Законод!$G$22,S96&lt;=Законод!$G$23),S96-Законод!$F$23,IF('01_Доходи'!S96&gt;=Законод!$H$22,Законод!$G$24,0)))),IF($B$92="Лікар-педіатр",IF(S96&lt;Законод!$C$18,0,(IF(AND(S96&gt;=Законод!$G$18,S96&lt;=Законод!$G$19),S96-Законод!$F$19,IF('01_Доходи'!S96&gt;=Законод!$H$18,Законод!$G$20,0)))),IF($B$92="Лікар-терапевт",IF(S96&lt;Законод!$C$26,0,(IF(AND(S96&gt;=Законод!$G$26,S96&lt;=Законод!$G$27),S96-Законод!$F$27,IF('01_Доходи'!S96&gt;=Законод!$H$26,Законод!$G$28,0)))),0)))</f>
        <v>0</v>
      </c>
      <c r="T100" s="945"/>
      <c r="U100" s="940" t="s">
        <v>346</v>
      </c>
      <c r="V100" s="940"/>
      <c r="W100" s="940"/>
      <c r="X100" s="940"/>
      <c r="Y100" s="940"/>
      <c r="Z100" s="196">
        <f ca="1">IF($B$92="Лікар загальної практики - сімейний лікар",IF(Z96&lt;Законод!$C$22,0,(IF(AND(Z96&gt;=Законод!$G$22,Z96&lt;=Законод!$G$23),Z96-Законод!$F$23,IF('01_Доходи'!Z96&gt;=Законод!$H$22,Законод!$G$24,0)))),IF($B$92="Лікар-педіатр",IF(Z96&lt;Законод!$C$18,0,(IF(AND(Z96&gt;=Законод!$G$18,Z96&lt;=Законод!$G$19),Z96-Законод!$F$19,IF('01_Доходи'!Z96&gt;=Законод!$H$18,Законод!$G$20,0)))),IF($B$92="Лікар-терапевт",IF(Z96&lt;Законод!$C$26,0,(IF(AND(Z96&gt;=Законод!$G$26,Z96&lt;=Законод!$G$27),Z96-Законод!$F$27,IF('01_Доходи'!Z96&gt;=Законод!$H$26,Законод!$G$28,0)))),0)))</f>
        <v>0</v>
      </c>
      <c r="AA100" s="945"/>
      <c r="AB100" s="940" t="s">
        <v>346</v>
      </c>
      <c r="AC100" s="940"/>
      <c r="AD100" s="940"/>
      <c r="AE100" s="940"/>
      <c r="AF100" s="940"/>
      <c r="AG100" s="196">
        <f ca="1">IF($B$92="Лікар загальної практики - сімейний лікар",IF(AG96&lt;Законод!$C$22,0,(IF(AND(AG96&gt;=Законод!$G$22,AG96&lt;=Законод!$G$23),AG96-Законод!$F$23,IF('01_Доходи'!AG96&gt;=Законод!$H$22,Законод!$G$24,0)))),IF($B$92="Лікар-педіатр",IF(AG96&lt;Законод!$C$18,0,(IF(AND(AG96&gt;=Законод!$G$18,AG96&lt;=Законод!$G$19),AG96-Законод!$F$19,IF('01_Доходи'!AG96&gt;=Законод!$H$18,Законод!$G$20,0)))),IF($B$92="Лікар-терапевт",IF(AG96&lt;Законод!$C$26,0,(IF(AND(AG96&gt;=Законод!$G$26,AG96&lt;=Законод!$G$27),AG96-Законод!$F$27,IF('01_Доходи'!AG96&gt;=Законод!$H$26,Законод!$G$28,0)))),0)))</f>
        <v>0</v>
      </c>
      <c r="AH100" s="945"/>
      <c r="AI100" s="201"/>
      <c r="AJ100" s="933"/>
      <c r="AK100" s="927"/>
      <c r="AL100" s="927"/>
      <c r="AM100" s="899"/>
      <c r="AN100" s="210">
        <f ca="1">IF(B92="Лікар загальної практики - сімейний лікар",L100*Законод!$C$9/4*Законод!$G$16,IF(B92="Лікар-педіатр",L100*Законод!$C$9/4*Законод!$G$16,IF(B92="Лікар-терапевт",L100*Законод!$C$9/4*Законод!$G$16,0)))</f>
        <v>0</v>
      </c>
      <c r="AO100" s="210">
        <f ca="1">IF(B92="Лікар загальної практики - сімейний лікар",S100*Законод!$C$9/4*Законод!$G$16,IF(B92="Лікар-педіатр",S100*Законод!$C$9/4*Законод!$G$16,IF(B92="Лікар-терапевт",S100*Законод!$C$9/4*Законод!$G$16,0)))</f>
        <v>0</v>
      </c>
      <c r="AP100" s="210">
        <f ca="1">IF(B92="Лікар загальної практики - сімейний лікар",Z100*Законод!$C$9/4*Законод!$G$16,IF(B92="Лікар-педіатр",Z100*Законод!$C$9/4*Законод!$G$16,IF(B92="Лікар-терапевт",Z100*Законод!$C$9/4*Законод!$G$16,0)))</f>
        <v>0</v>
      </c>
      <c r="AQ100" s="210">
        <f ca="1">IF(B92="Лікар загальної практики - сімейний лікар",AG100*Законод!$C$9/4*Законод!$G$16,IF(B92="Лікар-педіатр",AG100*Законод!$C$9/4*Законод!$G$16,IF(B92="Лікар-терапевт",AG100*Законод!$C$9/4*Законод!$G$16,0)))</f>
        <v>0</v>
      </c>
      <c r="AR100" s="211">
        <f t="shared" si="6"/>
        <v>0</v>
      </c>
    </row>
    <row r="101" spans="1:44" s="50" customFormat="1" ht="31.9" customHeight="1">
      <c r="A101" s="197"/>
      <c r="B101" s="941"/>
      <c r="C101" s="942"/>
      <c r="D101" s="943"/>
      <c r="E101" s="943"/>
      <c r="F101" s="238" t="str">
        <f ca="1">IF(B92="Лікар-педіатр",Законод!$H$17,IF(B92="Лікар загальної практики - сімейний лікар",Законод!$H$21,IF(B92="Лікар-терапевт",Законод!$H$25,"х")))</f>
        <v>понад ліміт (2341-2520)</v>
      </c>
      <c r="G101" s="940" t="s">
        <v>346</v>
      </c>
      <c r="H101" s="940"/>
      <c r="I101" s="940"/>
      <c r="J101" s="940"/>
      <c r="K101" s="940"/>
      <c r="L101" s="196">
        <f ca="1">IF($B$92="Лікар загальної практики - сімейний лікар",IF(L96&lt;Законод!$C$22,0,(IF(AND(L96&gt;=Законод!$H$22,L96&lt;=Законод!$H$23),L96-Законод!$G$23,IF('01_Доходи'!L96&gt;=Законод!$I$22,Законод!$H$24,0)))),IF($B$92="Лікар-педіатр",IF(L96&lt;Законод!$C$18,0,(IF(AND(L96&gt;=Законод!$H$18,L96&lt;=Законод!$H$19),L96-Законод!$G$19,IF('01_Доходи'!L96&gt;=Законод!$I$18,Законод!$H$20,0)))),IF($B$92="Лікар-терапевт",IF(L96&lt;Законод!$C$26,0,(IF(AND(L96&gt;=Законод!$H$26,L96&lt;=Законод!$H$27),L96-Законод!$G$27,IF(L96&gt;=Законод!$I$26,Законод!$H$28,0)))),0)))</f>
        <v>0</v>
      </c>
      <c r="M101" s="945"/>
      <c r="N101" s="940" t="s">
        <v>346</v>
      </c>
      <c r="O101" s="940"/>
      <c r="P101" s="940"/>
      <c r="Q101" s="940"/>
      <c r="R101" s="940"/>
      <c r="S101" s="196">
        <f ca="1">IF($B$92="Лікар загальної практики - сімейний лікар",IF(S96&lt;Законод!$C$22,0,(IF(AND(S96&gt;=Законод!$H$22,S96&lt;=Законод!$H$23),S96-Законод!$G$23,IF('01_Доходи'!S96&gt;=Законод!$I$22,Законод!$H$24,0)))),IF($B$92="Лікар-педіатр",IF(S96&lt;Законод!$C$18,0,(IF(AND(S96&gt;=Законод!$H$18,S96&lt;=Законод!$H$19),S96-Законод!$G$19,IF('01_Доходи'!S96&gt;=Законод!$I$18,Законод!$H$20,0)))),IF($B$92="Лікар-терапевт",IF(S96&lt;Законод!$C$26,0,(IF(AND(S96&gt;=Законод!$H$26,S96&lt;=Законод!$H$27),S96-Законод!$G$27,IF(S96&gt;=Законод!$I$26,Законод!$H$28,0)))),0)))</f>
        <v>0</v>
      </c>
      <c r="T101" s="945"/>
      <c r="U101" s="940" t="s">
        <v>346</v>
      </c>
      <c r="V101" s="940"/>
      <c r="W101" s="940"/>
      <c r="X101" s="940"/>
      <c r="Y101" s="940"/>
      <c r="Z101" s="196">
        <f ca="1">IF($B$92="Лікар загальної практики - сімейний лікар",IF(Z96&lt;Законод!$C$22,0,(IF(AND(Z96&gt;=Законод!$H$22,Z96&lt;=Законод!$H$23),Z96-Законод!$G$23,IF('01_Доходи'!Z96&gt;=Законод!$I$22,Законод!$H$24,0)))),IF($B$92="Лікар-педіатр",IF(Z96&lt;Законод!$C$18,0,(IF(AND(Z96&gt;=Законод!$H$18,Z96&lt;=Законод!$H$19),Z96-Законод!$G$19,IF('01_Доходи'!Z96&gt;=Законод!$I$18,Законод!$H$20,0)))),IF($B$92="Лікар-терапевт",IF(Z96&lt;Законод!$C$26,0,(IF(AND(Z96&gt;=Законод!$H$26,Z96&lt;=Законод!$H$27),Z96-Законод!$G$27,IF(Z96&gt;=Законод!$I$26,Законод!$H$28,0)))),0)))</f>
        <v>0</v>
      </c>
      <c r="AA101" s="945"/>
      <c r="AB101" s="940" t="s">
        <v>346</v>
      </c>
      <c r="AC101" s="940"/>
      <c r="AD101" s="940"/>
      <c r="AE101" s="940"/>
      <c r="AF101" s="940"/>
      <c r="AG101" s="196">
        <f ca="1">IF($B$92="Лікар загальної практики - сімейний лікар",IF(AG96&lt;Законод!$C$22,0,(IF(AND(AG96&gt;=Законод!$H$22,AG96&lt;=Законод!$H$23),AG96-Законод!$G$23,IF('01_Доходи'!AG96&gt;=Законод!$I$22,Законод!$H$24,0)))),IF($B$92="Лікар-педіатр",IF(AG96&lt;Законод!$C$18,0,(IF(AND(AG96&gt;=Законод!$H$18,AG96&lt;=Законод!$H$19),AG96-Законод!$G$19,IF('01_Доходи'!AG96&gt;=Законод!$I$18,Законод!$H$20,0)))),IF($B$92="Лікар-терапевт",IF(AG96&lt;Законод!$C$26,0,(IF(AND(AG96&gt;=Законод!$H$26,AG96&lt;=Законод!$H$27),AG96-Законод!$G$27,IF(AG96&gt;=Законод!$I$26,Законод!$H$28,0)))),0)))</f>
        <v>0</v>
      </c>
      <c r="AH101" s="945"/>
      <c r="AI101" s="201"/>
      <c r="AJ101" s="933"/>
      <c r="AK101" s="927"/>
      <c r="AL101" s="927"/>
      <c r="AM101" s="899"/>
      <c r="AN101" s="210">
        <f ca="1">IF(B92="Лікар загальної практики - сімейний лікар",L101*Законод!$C$9/4*Законод!$H$16,IF(B92="Лікар-педіатр",L101*Законод!$C$9/4*Законод!$H$16,IF(B92="Лікар-терапевт",L101*Законод!$C$9/4*Законод!$H$16,0)))</f>
        <v>0</v>
      </c>
      <c r="AO101" s="210">
        <f ca="1">IF(B92="Лікар загальної практики - сімейний лікар",S101*Законод!$C$9/4*Законод!$H$16,IF(B92="Лікар-педіатр",S101*Законод!$C$9/4*Законод!$H$16,IF(B92="Лікар-терапевт",S101*Законод!$C$9/4*Законод!$H$16,0)))</f>
        <v>0</v>
      </c>
      <c r="AP101" s="210">
        <f ca="1">IF(B92="Лікар загальної практики - сімейний лікар",Z101*Законод!$C$9/4*Законод!$H$16,IF(B92="Лікар-педіатр",Z101*Законод!$C$9/4*Законод!$H$16,IF(B92="Лікар-терапевт",Z101*Законод!$C$9/4*Законод!$H$16,0)))</f>
        <v>0</v>
      </c>
      <c r="AQ101" s="210">
        <f ca="1">IF(B92="Лікар загальної практики - сімейний лікар",AG101*Законод!$C$9/4*Законод!$H$16,IF(B92="Лікар-педіатр",AG101*Законод!$C$9/4*Законод!$H$16,IF(B92="Лікар-терапевт",AG101*Законод!$C$9/4*Законод!$H$16,0)))</f>
        <v>0</v>
      </c>
      <c r="AR101" s="211">
        <f t="shared" si="6"/>
        <v>0</v>
      </c>
    </row>
    <row r="102" spans="1:44" s="50" customFormat="1" ht="31.9" customHeight="1">
      <c r="A102" s="197"/>
      <c r="B102" s="941"/>
      <c r="C102" s="942"/>
      <c r="D102" s="943"/>
      <c r="E102" s="943"/>
      <c r="F102" s="238" t="str">
        <f ca="1">IF(B92="Лікар-педіатр",Законод!$I$17,IF(B92="Лікар загальної практики - сімейний лікар",Законод!$I$21,IF(B92="Лікар-терапевт",Законод!$I$25,"х")))</f>
        <v>понад ліміт (2521-2700)</v>
      </c>
      <c r="G102" s="940" t="s">
        <v>346</v>
      </c>
      <c r="H102" s="940"/>
      <c r="I102" s="940"/>
      <c r="J102" s="940"/>
      <c r="K102" s="940"/>
      <c r="L102" s="196">
        <f ca="1">IF($B$92="Лікар загальної практики - сімейний лікар",IF(L96&lt;Законод!$C$22,0,(IF(AND(L96&gt;=Законод!$I$22,L96&lt;=Законод!$I$23),L96-Законод!$H$23,IF('01_Доходи'!L96&gt;=Законод!$I$22,Законод!$I$24,0)))),IF($B$92="Лікар-педіатр",IF(L96&lt;Законод!$C$18,0,(IF(AND(L96&gt;=Законод!$I$18,L96&lt;=Законод!$I$19),L96-Законод!$H$19,IF('01_Доходи'!L96&gt;=Законод!$I$18,Законод!$H$20,0)))),IF($B$92="Лікар-терапевт",IF(L96&lt;Законод!$C$26,0,(IF(AND(L96&gt;=Законод!$I$26,L96&lt;=Законод!$I$27),L96-Законод!$H$27,IF('01_Доходи'!L96&gt;=Законод!$I$26,Законод!$H$28,0)))),0)))</f>
        <v>0</v>
      </c>
      <c r="M102" s="945"/>
      <c r="N102" s="940" t="s">
        <v>346</v>
      </c>
      <c r="O102" s="940"/>
      <c r="P102" s="940"/>
      <c r="Q102" s="940"/>
      <c r="R102" s="940"/>
      <c r="S102" s="196">
        <f ca="1">IF($B$92="Лікар загальної практики - сімейний лікар",IF(S96&lt;Законод!$C$22,0,(IF(AND(S96&gt;=Законод!$I$22,S96&lt;=Законод!$I$23),S96-Законод!$H$23,IF('01_Доходи'!S96&gt;=Законод!$I$22,Законод!$I$24,0)))),IF($B$92="Лікар-педіатр",IF(S96&lt;Законод!$C$18,0,(IF(AND(S96&gt;=Законод!$I$18,S96&lt;=Законод!$I$19),S96-Законод!$H$19,IF('01_Доходи'!S96&gt;=Законод!$I$18,Законод!$H$20,0)))),IF($B$92="Лікар-терапевт",IF(S96&lt;Законод!$C$26,0,(IF(AND(S96&gt;=Законод!$I$26,S96&lt;=Законод!$I$27),S96-Законод!$H$27,IF('01_Доходи'!S96&gt;=Законод!$I$26,Законод!$H$28,0)))),0)))</f>
        <v>0</v>
      </c>
      <c r="T102" s="945"/>
      <c r="U102" s="940" t="s">
        <v>346</v>
      </c>
      <c r="V102" s="940"/>
      <c r="W102" s="940"/>
      <c r="X102" s="940"/>
      <c r="Y102" s="940"/>
      <c r="Z102" s="196">
        <f ca="1">IF($B$92="Лікар загальної практики - сімейний лікар",IF(Z96&lt;Законод!$C$22,0,(IF(AND(Z96&gt;=Законод!$I$22,Z96&lt;=Законод!$I$23),Z96-Законод!$H$23,IF('01_Доходи'!Z96&gt;=Законод!$I$22,Законод!$I$24,0)))),IF($B$92="Лікар-педіатр",IF(Z96&lt;Законод!$C$18,0,(IF(AND(Z96&gt;=Законод!$I$18,Z96&lt;=Законод!$I$19),Z96-Законод!$H$19,IF('01_Доходи'!Z96&gt;=Законод!$I$18,Законод!$H$20,0)))),IF($B$92="Лікар-терапевт",IF(Z96&lt;Законод!$C$26,0,(IF(AND(Z96&gt;=Законод!$I$26,Z96&lt;=Законод!$I$27),Z96-Законод!$H$27,IF('01_Доходи'!Z96&gt;=Законод!$I$26,Законод!$H$28,0)))),0)))</f>
        <v>0</v>
      </c>
      <c r="AA102" s="945"/>
      <c r="AB102" s="940" t="s">
        <v>346</v>
      </c>
      <c r="AC102" s="940"/>
      <c r="AD102" s="940"/>
      <c r="AE102" s="940"/>
      <c r="AF102" s="940"/>
      <c r="AG102" s="196">
        <f ca="1">IF($B$92="Лікар загальної практики - сімейний лікар",IF(AG96&lt;Законод!$C$22,0,(IF(AND(AG96&gt;=Законод!$I$22,AG96&lt;=Законод!$I$23),AG96-Законод!$H$23,IF('01_Доходи'!AG96&gt;=Законод!$I$22,Законод!$I$24,0)))),IF($B$92="Лікар-педіатр",IF(AG96&lt;Законод!$C$18,0,(IF(AND(AG96&gt;=Законод!$I$18,AG96&lt;=Законод!$I$19),AG96-Законод!$H$19,IF('01_Доходи'!AG96&gt;=Законод!$I$18,Законод!$H$20,0)))),IF($B$92="Лікар-терапевт",IF(AG96&lt;Законод!$C$26,0,(IF(AND(AG96&gt;=Законод!$I$26,AG96&lt;=Законод!$I$27),AG96-Законод!$H$27,IF('01_Доходи'!AG96&gt;=Законод!$I$26,Законод!$H$28,0)))),0)))</f>
        <v>0</v>
      </c>
      <c r="AH102" s="945"/>
      <c r="AI102" s="201"/>
      <c r="AJ102" s="933"/>
      <c r="AK102" s="927"/>
      <c r="AL102" s="927"/>
      <c r="AM102" s="899"/>
      <c r="AN102" s="210">
        <f ca="1">IF(B92="Лікар загальної практики - сімейний лікар",L102*Законод!$C$9/4*Законод!$I$16,IF(B92="Лікар-педіатр",L102*Законод!$C$9/4*Законод!$I$16,IF(B92="Лікар-терапевт",L102*Законод!$C$9/4*Законод!$I$16,0)))</f>
        <v>0</v>
      </c>
      <c r="AO102" s="210">
        <f ca="1">IF(B92="Лікар загальної практики - сімейний лікар",S102*Законод!$C$9/4*Законод!$I$16,IF(B92="Лікар-педіатр",S102*Законод!$C$9/4*Законод!$I$16,IF(B92="Лікар-терапевт",S102*Законод!$C$9/4*Законод!$I$16,0)))</f>
        <v>0</v>
      </c>
      <c r="AP102" s="210">
        <f ca="1">IF(B92="Лікар загальної практики - сімейний лікар",Z102*Законод!$C$9/4*Законод!$I$16,IF(B92="Лікар-педіатр",Z102*Законод!$C$9/4*Законод!$I$16,IF(B92="Лікар-терапевт",Z102*Законод!$C$9/4*Законод!$I$16,0)))</f>
        <v>0</v>
      </c>
      <c r="AQ102" s="210">
        <f ca="1">IF(B92="Лікар загальної практики - сімейний лікар",AG102*Законод!$C$9/4*Законод!$I$16,IF(B92="Лікар-педіатр",AG102*Законод!$C$9/4*Законод!$I$16,IF(B92="Лікар-терапевт",AG102*Законод!$C$9/4*Законод!$I$16,0)))</f>
        <v>0</v>
      </c>
      <c r="AR102" s="211">
        <f t="shared" si="6"/>
        <v>0</v>
      </c>
    </row>
    <row r="103" spans="1:44" s="218" customFormat="1" ht="31.9" customHeight="1" thickBot="1">
      <c r="A103" s="213"/>
      <c r="B103" s="941"/>
      <c r="C103" s="942"/>
      <c r="D103" s="943"/>
      <c r="E103" s="943"/>
      <c r="F103" s="239" t="str">
        <f ca="1">IF(B92="Лікар-педіатр",Законод!$J$17,IF(B92="Лікар загальної практики - сімейний лікар",Законод!$J$21,IF(B92="Лікар-терапевт",Законод!$J$25,"х")))</f>
        <v>понад ліміт (&gt;=2701)</v>
      </c>
      <c r="G103" s="939" t="s">
        <v>346</v>
      </c>
      <c r="H103" s="939"/>
      <c r="I103" s="939"/>
      <c r="J103" s="939"/>
      <c r="K103" s="939"/>
      <c r="L103" s="196">
        <f ca="1">IF($B$92="Лікар загальної практики - сімейний лікар",IF(L96&gt;=Законод!$J$22,'01_Доходи'!L96-('01_Доходи'!L97+'01_Доходи'!L98+'01_Доходи'!L99+'01_Доходи'!L100+'01_Доходи'!L101+'01_Доходи'!L102),0),IF($B$92="Лікар-педіатр",IF(L96&gt;=Законод!$J$18,'01_Доходи'!L96-('01_Доходи'!L97+'01_Доходи'!L98+'01_Доходи'!L99+'01_Доходи'!L100+'01_Доходи'!L101+'01_Доходи'!L102),0),IF($B$92="Лікар-терапевт",IF('01_Доходи'!L96&gt;=Законод!$J$26,L96-Законод!$I$27,0),0)))</f>
        <v>0</v>
      </c>
      <c r="M103" s="945"/>
      <c r="N103" s="939" t="s">
        <v>346</v>
      </c>
      <c r="O103" s="939"/>
      <c r="P103" s="939"/>
      <c r="Q103" s="939"/>
      <c r="R103" s="939"/>
      <c r="S103" s="196">
        <f ca="1">IF($B$92="Лікар загальної практики - сімейний лікар",IF(S96&gt;=Законод!$J$22,'01_Доходи'!S96-('01_Доходи'!S97+'01_Доходи'!S98+'01_Доходи'!S99+'01_Доходи'!S100+'01_Доходи'!S101+'01_Доходи'!S102),0),IF($B$92="Лікар-педіатр",IF(S96&gt;=Законод!$J$18,'01_Доходи'!S96-('01_Доходи'!S97+'01_Доходи'!S98+'01_Доходи'!S99+'01_Доходи'!S100+'01_Доходи'!S101+'01_Доходи'!S102),0),IF($B$92="Лікар-терапевт",IF('01_Доходи'!S96&gt;=Законод!$J$26,S96-Законод!$I$27,0),0)))</f>
        <v>0</v>
      </c>
      <c r="T103" s="945"/>
      <c r="U103" s="939" t="s">
        <v>346</v>
      </c>
      <c r="V103" s="939"/>
      <c r="W103" s="939"/>
      <c r="X103" s="939"/>
      <c r="Y103" s="939"/>
      <c r="Z103" s="196">
        <f ca="1">IF($B$92="Лікар загальної практики - сімейний лікар",IF(Z96&gt;=Законод!$J$22,'01_Доходи'!Z96-('01_Доходи'!Z97+'01_Доходи'!Z98+'01_Доходи'!Z99+'01_Доходи'!Z100+'01_Доходи'!Z101+'01_Доходи'!Z102),0),IF($B$92="Лікар-педіатр",IF(Z96&gt;=Законод!$J$18,'01_Доходи'!Z96-('01_Доходи'!Z97+'01_Доходи'!Z98+'01_Доходи'!Z99+'01_Доходи'!Z100+'01_Доходи'!Z101+'01_Доходи'!Z102),0),IF($B$92="Лікар-терапевт",IF('01_Доходи'!Z96&gt;=Законод!$J$26,Z96-Законод!$I$27,0),0)))</f>
        <v>0</v>
      </c>
      <c r="AA103" s="945"/>
      <c r="AB103" s="939" t="s">
        <v>346</v>
      </c>
      <c r="AC103" s="939"/>
      <c r="AD103" s="939"/>
      <c r="AE103" s="939"/>
      <c r="AF103" s="939"/>
      <c r="AG103" s="196">
        <f ca="1">IF($B$92="Лікар загальної практики - сімейний лікар",IF(AG96&gt;=Законод!$J$22,'01_Доходи'!AG96-('01_Доходи'!AG97+'01_Доходи'!AG98+'01_Доходи'!AG99+'01_Доходи'!AG100+'01_Доходи'!AG101+'01_Доходи'!AG102),0),IF($B$92="Лікар-педіатр",IF(AG96&gt;=Законод!$J$18,'01_Доходи'!AG96-('01_Доходи'!AG97+'01_Доходи'!AG98+'01_Доходи'!AG99+'01_Доходи'!AG100+'01_Доходи'!AG101+'01_Доходи'!AG102),0),IF($B$92="Лікар-терапевт",IF('01_Доходи'!AG96&gt;=Законод!$J$26,AG96-Законод!$I$27,0),0)))</f>
        <v>0</v>
      </c>
      <c r="AH103" s="945"/>
      <c r="AI103" s="215"/>
      <c r="AJ103" s="934"/>
      <c r="AK103" s="928"/>
      <c r="AL103" s="928"/>
      <c r="AM103" s="900"/>
      <c r="AN103" s="216">
        <f ca="1">IF(B92="Лікар загальної практики - сімейний лікар",L103*Законод!$C$9/4*Законод!$J$16,IF(B92="Лікар-педіатр",L103*Законод!$C$9/4*Законод!$J$16,IF(B92="Лікар-терапевт",L103*Законод!$C$9/4*Законод!$J$16,0)))</f>
        <v>0</v>
      </c>
      <c r="AO103" s="216">
        <f ca="1">IF(B92="Лікар загальної практики - сімейний лікар",S103*Законод!$C$9/4*Законод!$J$16,IF(B92="Лікар-педіатр",S103*Законод!$C$9/4*Законод!$J$16,IF(B92="Лікар-терапевт",S103*Законод!$C$9/4*Законод!$J$16,0)))</f>
        <v>0</v>
      </c>
      <c r="AP103" s="216">
        <f ca="1">IF(B92="Лікар загальної практики - сімейний лікар",S103*Законод!$C$9/4*Законод!$J$16,IF(B92="Лікар-педіатр",S103*Законод!$C$9/4*Законод!$J$16,IF(B92="Лікар-терапевт",S103*Законод!$C$9/4*Законод!$J$16,0)))</f>
        <v>0</v>
      </c>
      <c r="AQ103" s="216">
        <f ca="1">IF(B92="Лікар загальної практики - сімейний лікар",AG103*Законод!$C$9/4*Законод!$J$16,IF(B92="Лікар-педіатр",AG103*Законод!$C$9/4*Законод!$J$16,IF(B92="Лікар-терапевт",AG103*Законод!$C$9/4*Законод!$J$16,0)))</f>
        <v>0</v>
      </c>
      <c r="AR103" s="217">
        <f t="shared" si="6"/>
        <v>0</v>
      </c>
    </row>
    <row r="104" spans="1:44" s="233" customFormat="1" ht="20.45" customHeight="1" thickBot="1">
      <c r="A104" s="219"/>
      <c r="B104" s="220"/>
      <c r="C104" s="221"/>
      <c r="D104" s="222"/>
      <c r="E104" s="222"/>
      <c r="F104" s="223"/>
      <c r="G104" s="224"/>
      <c r="H104" s="224"/>
      <c r="I104" s="224"/>
      <c r="J104" s="224"/>
      <c r="K104" s="224"/>
      <c r="L104" s="225"/>
      <c r="M104" s="226"/>
      <c r="N104" s="224"/>
      <c r="O104" s="224"/>
      <c r="P104" s="224"/>
      <c r="Q104" s="224"/>
      <c r="R104" s="224"/>
      <c r="S104" s="225"/>
      <c r="T104" s="226"/>
      <c r="U104" s="224"/>
      <c r="V104" s="224"/>
      <c r="W104" s="224"/>
      <c r="X104" s="224"/>
      <c r="Y104" s="224"/>
      <c r="Z104" s="227"/>
      <c r="AA104" s="226"/>
      <c r="AB104" s="224"/>
      <c r="AC104" s="224"/>
      <c r="AD104" s="224"/>
      <c r="AE104" s="224"/>
      <c r="AF104" s="224"/>
      <c r="AG104" s="227"/>
      <c r="AH104" s="226"/>
      <c r="AI104" s="228"/>
      <c r="AJ104" s="229"/>
      <c r="AK104" s="229"/>
      <c r="AL104" s="229"/>
      <c r="AM104" s="230"/>
      <c r="AN104" s="231"/>
      <c r="AO104" s="231"/>
      <c r="AP104" s="231"/>
      <c r="AQ104" s="231"/>
      <c r="AR104" s="232"/>
    </row>
    <row r="105" spans="1:44" s="191" customFormat="1" ht="30" customHeight="1">
      <c r="A105" s="194">
        <f>A92+1</f>
        <v>6</v>
      </c>
      <c r="B105" s="941" t="s">
        <v>236</v>
      </c>
      <c r="C105" s="942" t="s">
        <v>72</v>
      </c>
      <c r="D105" s="943"/>
      <c r="E105" s="943" t="s">
        <v>65</v>
      </c>
      <c r="F105" s="234" t="s">
        <v>582</v>
      </c>
      <c r="G105" s="196" t="str">
        <f>IF($B$105="Лікар-педіатр",G108*L105,IF($B$105="Лікар-терапевт","х",IF($B$105="Лікар загальної практики - сімейний лікар",G108*L105,0)))</f>
        <v>х</v>
      </c>
      <c r="H105" s="196" t="str">
        <f>IF($B$105="Лікар-педіатр",H108*L105,IF($B$105="Лікар-терапевт","х",IF($B$105="Лікар загальної практики - сімейний лікар",H108*L105,0)))</f>
        <v>х</v>
      </c>
      <c r="I105" s="196">
        <v>559</v>
      </c>
      <c r="J105" s="196">
        <v>847</v>
      </c>
      <c r="K105" s="196">
        <v>386</v>
      </c>
      <c r="L105" s="558">
        <f>I105+J105+K105</f>
        <v>1792</v>
      </c>
      <c r="M105" s="945">
        <v>1</v>
      </c>
      <c r="N105" s="196" t="str">
        <f>IF($B$105="Лікар-педіатр",N108*S105,IF($B$105="Лікар-терапевт","х",IF($B$105="Лікар загальної практики - сімейний лікар",N108*S105,0)))</f>
        <v>х</v>
      </c>
      <c r="O105" s="196" t="str">
        <f>IF($B$105="Лікар-педіатр",O108*S105,IF($B$105="Лікар-терапевт","х",IF($B$105="Лікар загальної практики - сімейний лікар",O108*S105,0)))</f>
        <v>х</v>
      </c>
      <c r="P105" s="196">
        <v>559</v>
      </c>
      <c r="Q105" s="196">
        <v>847</v>
      </c>
      <c r="R105" s="196">
        <v>386</v>
      </c>
      <c r="S105" s="558">
        <f>P105+Q105+R105</f>
        <v>1792</v>
      </c>
      <c r="T105" s="945">
        <v>1</v>
      </c>
      <c r="U105" s="196" t="str">
        <f>IF($B$105="Лікар-педіатр",U108*Z105,IF($B$105="Лікар-терапевт","х",IF($B$105="Лікар загальної практики - сімейний лікар",U108*Z105,0)))</f>
        <v>х</v>
      </c>
      <c r="V105" s="196" t="str">
        <f>IF($B$105="Лікар-педіатр",V108*Z105,IF($B$105="Лікар-терапевт","х",IF($B$105="Лікар загальної практики - сімейний лікар",V108*Z105,0)))</f>
        <v>х</v>
      </c>
      <c r="W105" s="196">
        <v>559</v>
      </c>
      <c r="X105" s="196">
        <v>847</v>
      </c>
      <c r="Y105" s="196">
        <v>386</v>
      </c>
      <c r="Z105" s="558">
        <f>W105+X105+Y105</f>
        <v>1792</v>
      </c>
      <c r="AA105" s="945">
        <v>1</v>
      </c>
      <c r="AB105" s="196" t="str">
        <f>IF($B$105="Лікар-педіатр",AB108*AG105,IF($B$105="Лікар-терапевт","х",IF($B$105="Лікар загальної практики - сімейний лікар",AB108*AG105,0)))</f>
        <v>х</v>
      </c>
      <c r="AC105" s="196" t="str">
        <f>IF($B$105="Лікар-педіатр",AC108*AG105,IF($B$105="Лікар-терапевт","х",IF($B$105="Лікар загальної практики - сімейний лікар",AC108*AG105,0)))</f>
        <v>х</v>
      </c>
      <c r="AD105" s="196">
        <v>559</v>
      </c>
      <c r="AE105" s="196">
        <v>847</v>
      </c>
      <c r="AF105" s="196">
        <v>386</v>
      </c>
      <c r="AG105" s="558">
        <f>AD105+AE105+AF105</f>
        <v>1792</v>
      </c>
      <c r="AH105" s="945">
        <v>1</v>
      </c>
      <c r="AI105" s="541">
        <f>A105</f>
        <v>6</v>
      </c>
      <c r="AJ105" s="932" t="str">
        <f>B105</f>
        <v>Лікар-терапевт</v>
      </c>
      <c r="AK105" s="926" t="str">
        <f>C105</f>
        <v>Гнатюк Володимир Іванович</v>
      </c>
      <c r="AL105" s="926">
        <f>D105</f>
        <v>0</v>
      </c>
      <c r="AM105" s="901" t="s">
        <v>785</v>
      </c>
      <c r="AN105" s="923">
        <f>SUM(AN110:AN116)</f>
        <v>284340.34571249998</v>
      </c>
      <c r="AO105" s="923">
        <f>SUM(AO110:AO116)</f>
        <v>284340.34571249998</v>
      </c>
      <c r="AP105" s="923">
        <f>SUM(AP110:AP116)</f>
        <v>284340.34571249998</v>
      </c>
      <c r="AQ105" s="923">
        <f>SUM(AQ110:AQ116)</f>
        <v>284340.34571249998</v>
      </c>
      <c r="AR105" s="914">
        <f>SUM(AN105:AQ109)</f>
        <v>1137361.3828499999</v>
      </c>
    </row>
    <row r="106" spans="1:44" s="50" customFormat="1" ht="28.15" customHeight="1">
      <c r="A106" s="197"/>
      <c r="B106" s="941"/>
      <c r="C106" s="942"/>
      <c r="D106" s="943"/>
      <c r="E106" s="943"/>
      <c r="F106" s="234" t="s">
        <v>583</v>
      </c>
      <c r="G106" s="196" t="str">
        <f>IF($B$105="Лікар-педіатр",G108*L106,IF($B$105="Лікар-терапевт","х",IF($B$105="Лікар загальної практики - сімейний лікар",G108*L106,0)))</f>
        <v>х</v>
      </c>
      <c r="H106" s="196" t="str">
        <f>IF($B$105="Лікар-педіатр",H108*L106,IF($B$105="Лікар-терапевт","х",IF($B$105="Лікар загальної практики - сімейний лікар",H108*L106,0)))</f>
        <v>х</v>
      </c>
      <c r="I106" s="196">
        <v>559</v>
      </c>
      <c r="J106" s="196">
        <v>847</v>
      </c>
      <c r="K106" s="196">
        <v>386</v>
      </c>
      <c r="L106" s="558">
        <f>I106+J106+K106</f>
        <v>1792</v>
      </c>
      <c r="M106" s="945"/>
      <c r="N106" s="196" t="str">
        <f>IF($B$105="Лікар-педіатр",N108*S106,IF($B$105="Лікар-терапевт","х",IF($B$105="Лікар загальної практики - сімейний лікар",N108*S106,0)))</f>
        <v>х</v>
      </c>
      <c r="O106" s="196" t="str">
        <f>IF($B$105="Лікар-педіатр",O108*S106,IF($B$105="Лікар-терапевт","х",IF($B$105="Лікар загальної практики - сімейний лікар",O108*S106,0)))</f>
        <v>х</v>
      </c>
      <c r="P106" s="196">
        <v>559</v>
      </c>
      <c r="Q106" s="196">
        <v>847</v>
      </c>
      <c r="R106" s="196">
        <v>386</v>
      </c>
      <c r="S106" s="558">
        <f>P106+Q106+R106</f>
        <v>1792</v>
      </c>
      <c r="T106" s="945"/>
      <c r="U106" s="196" t="str">
        <f>IF($B$105="Лікар-педіатр",U108*Z106,IF($B$105="Лікар-терапевт","х",IF($B$105="Лікар загальної практики - сімейний лікар",U108*Z106,0)))</f>
        <v>х</v>
      </c>
      <c r="V106" s="196" t="str">
        <f>IF($B$105="Лікар-педіатр",V108*Z106,IF($B$105="Лікар-терапевт","х",IF($B$105="Лікар загальної практики - сімейний лікар",V108*Z106,0)))</f>
        <v>х</v>
      </c>
      <c r="W106" s="196">
        <v>559</v>
      </c>
      <c r="X106" s="196">
        <v>847</v>
      </c>
      <c r="Y106" s="196">
        <v>386</v>
      </c>
      <c r="Z106" s="558">
        <f>W106+X106+Y106</f>
        <v>1792</v>
      </c>
      <c r="AA106" s="945"/>
      <c r="AB106" s="196" t="str">
        <f>IF($B$105="Лікар-педіатр",AB108*AG106,IF($B$105="Лікар-терапевт","х",IF($B$105="Лікар загальної практики - сімейний лікар",AB108*AG106,0)))</f>
        <v>х</v>
      </c>
      <c r="AC106" s="196" t="str">
        <f>IF($B$105="Лікар-педіатр",AC108*AG106,IF($B$105="Лікар-терапевт","х",IF($B$105="Лікар загальної практики - сімейний лікар",AC108*AG106,0)))</f>
        <v>х</v>
      </c>
      <c r="AD106" s="196">
        <v>559</v>
      </c>
      <c r="AE106" s="196">
        <v>847</v>
      </c>
      <c r="AF106" s="196">
        <v>386</v>
      </c>
      <c r="AG106" s="558">
        <f>AD106+AE106+AF106</f>
        <v>1792</v>
      </c>
      <c r="AH106" s="945"/>
      <c r="AI106" s="198"/>
      <c r="AJ106" s="933"/>
      <c r="AK106" s="927"/>
      <c r="AL106" s="927"/>
      <c r="AM106" s="902"/>
      <c r="AN106" s="924"/>
      <c r="AO106" s="924"/>
      <c r="AP106" s="924"/>
      <c r="AQ106" s="924"/>
      <c r="AR106" s="915"/>
    </row>
    <row r="107" spans="1:44" s="90" customFormat="1" ht="31.15" customHeight="1">
      <c r="A107" s="240"/>
      <c r="B107" s="941"/>
      <c r="C107" s="942"/>
      <c r="D107" s="943"/>
      <c r="E107" s="943"/>
      <c r="F107" s="241" t="s">
        <v>584</v>
      </c>
      <c r="G107" s="199" t="str">
        <f>IF(B105="Лікар загальної практики - сімейний лікар"," ",IF(B105="Лікар-педіатр"," ",IF(B105="Лікар-терапевт","х",0)))</f>
        <v>х</v>
      </c>
      <c r="H107" s="199" t="str">
        <f>IF(B105="Лікар загальної практики - сімейний лікар"," ",IF(B105="Лікар-педіатр"," ",IF(B105="Лікар-терапевт","х",0)))</f>
        <v>х</v>
      </c>
      <c r="I107" s="196">
        <v>559</v>
      </c>
      <c r="J107" s="196">
        <v>847</v>
      </c>
      <c r="K107" s="196">
        <v>386</v>
      </c>
      <c r="L107" s="558">
        <f>I107+J107+K107</f>
        <v>1792</v>
      </c>
      <c r="M107" s="945"/>
      <c r="N107" s="199" t="str">
        <f>IF(B105="Лікар загальної практики - сімейний лікар"," ",IF(B105="Лікар-педіатр"," ",IF(B105="Лікар-терапевт","х",0)))</f>
        <v>х</v>
      </c>
      <c r="O107" s="199" t="str">
        <f>IF(B105="Лікар загальної практики - сімейний лікар"," ",IF(B105="Лікар-педіатр"," ",IF(B105="Лікар-терапевт","х",0)))</f>
        <v>х</v>
      </c>
      <c r="P107" s="196">
        <v>559</v>
      </c>
      <c r="Q107" s="196">
        <v>847</v>
      </c>
      <c r="R107" s="196">
        <v>386</v>
      </c>
      <c r="S107" s="200">
        <f>SUM(N107:R107)</f>
        <v>1792</v>
      </c>
      <c r="T107" s="945"/>
      <c r="U107" s="199" t="str">
        <f>IF(B105="Лікар загальної практики - сімейний лікар"," ",IF(B105="Лікар-педіатр"," ",IF(B105="Лікар-терапевт","х",0)))</f>
        <v>х</v>
      </c>
      <c r="V107" s="199" t="str">
        <f>IF(B105="Лікар загальної практики - сімейний лікар"," ",IF(B105="Лікар-педіатр"," ",IF(B105="Лікар-терапевт","х",0)))</f>
        <v>х</v>
      </c>
      <c r="W107" s="196">
        <v>559</v>
      </c>
      <c r="X107" s="196">
        <v>847</v>
      </c>
      <c r="Y107" s="196">
        <v>386</v>
      </c>
      <c r="Z107" s="558">
        <f>W107+X107+Y107</f>
        <v>1792</v>
      </c>
      <c r="AA107" s="945"/>
      <c r="AB107" s="199" t="str">
        <f>IF(B105="Лікар загальної практики - сімейний лікар"," ",IF(B105="Лікар-педіатр"," ",IF(B105="Лікар-терапевт","х",0)))</f>
        <v>х</v>
      </c>
      <c r="AC107" s="199" t="str">
        <f>IF(B105="Лікар загальної практики - сімейний лікар"," ",IF(B105="Лікар-педіатр"," ",IF(B105="Лікар-терапевт","х",0)))</f>
        <v>х</v>
      </c>
      <c r="AD107" s="196">
        <v>559</v>
      </c>
      <c r="AE107" s="196">
        <v>847</v>
      </c>
      <c r="AF107" s="196">
        <v>386</v>
      </c>
      <c r="AG107" s="558">
        <f>AD107+AE107+AF107</f>
        <v>1792</v>
      </c>
      <c r="AH107" s="945"/>
      <c r="AI107" s="242"/>
      <c r="AJ107" s="933"/>
      <c r="AK107" s="927"/>
      <c r="AL107" s="927"/>
      <c r="AM107" s="902"/>
      <c r="AN107" s="924"/>
      <c r="AO107" s="924"/>
      <c r="AP107" s="924"/>
      <c r="AQ107" s="924"/>
      <c r="AR107" s="915"/>
    </row>
    <row r="108" spans="1:44" s="50" customFormat="1" ht="31.9" customHeight="1" thickBot="1">
      <c r="A108" s="197"/>
      <c r="B108" s="941"/>
      <c r="C108" s="942"/>
      <c r="D108" s="943"/>
      <c r="E108" s="943"/>
      <c r="F108" s="236" t="s">
        <v>349</v>
      </c>
      <c r="G108" s="203" t="str">
        <f>IF($B$105="Лікар-педіатр",G107/L107,IF($B$105="Лікар-терапевт","х",IF($B$105="Лікар загальної практики - сімейний лікар",G107/L107,0)))</f>
        <v>х</v>
      </c>
      <c r="H108" s="203" t="str">
        <f>IF($B$105="Лікар-педіатр",H107/L107,IF($B$105="Лікар-терапевт","х",IF($B$105="Лікар загальної практики - сімейний лікар",H107/L107,0)))</f>
        <v>х</v>
      </c>
      <c r="I108" s="203">
        <f>IF($B$105="Лікар-педіатр","x",IF($B$105="Лікар-терапевт",I107/L107,IF($B$105="Лікар загальної практики - сімейний лікар",I107/L107,0)))</f>
        <v>0.3119419642857143</v>
      </c>
      <c r="J108" s="203">
        <f>IF($B$105="Лікар-педіатр","x",IF($B$105="Лікар-терапевт",J107/L107,IF($B$105="Лікар загальної практики - сімейний лікар",J107/L107,0)))</f>
        <v>0.47265625</v>
      </c>
      <c r="K108" s="203">
        <f>IF($B$105="Лікар-педіатр","x",IF($B$105="Лікар-терапевт",K107/L107,IF($B$105="Лікар загальної практики - сімейний лікар",K107/L107,0)))</f>
        <v>0.21540178571428573</v>
      </c>
      <c r="L108" s="203">
        <f>SUM(G108:K108)</f>
        <v>1</v>
      </c>
      <c r="M108" s="945"/>
      <c r="N108" s="203" t="str">
        <f>IF($B$105="Лікар-педіатр",N107/S107,IF($B$105="Лікар-терапевт","х",IF($B$105="Лікар загальної практики - сімейний лікар",N107/S107,0)))</f>
        <v>х</v>
      </c>
      <c r="O108" s="203" t="str">
        <f>IF($B$105="Лікар-педіатр",O107/S107,IF($B$105="Лікар-терапевт","х",IF($B$105="Лікар загальної практики - сімейний лікар",O107/S107,0)))</f>
        <v>х</v>
      </c>
      <c r="P108" s="203">
        <f>IF($B$105="Лікар-педіатр","x",IF($B$105="Лікар-терапевт",P107/S107,IF($B$105="Лікар загальної практики - сімейний лікар",P107/S107,0)))</f>
        <v>0.3119419642857143</v>
      </c>
      <c r="Q108" s="203">
        <f>IF($B$105="Лікар-педіатр","x",IF($B$105="Лікар-терапевт",Q107/S107,IF($B$105="Лікар загальної практики - сімейний лікар",Q107/S107,0)))</f>
        <v>0.47265625</v>
      </c>
      <c r="R108" s="203">
        <f>IF($B$105="Лікар-педіатр","x",IF($B$105="Лікар-терапевт",R107/S107,IF($B$105="Лікар загальної практики - сімейний лікар",R107/S107,0)))</f>
        <v>0.21540178571428573</v>
      </c>
      <c r="S108" s="203">
        <f>SUM(N108:R108)</f>
        <v>1</v>
      </c>
      <c r="T108" s="945"/>
      <c r="U108" s="203" t="str">
        <f>IF($B$105="Лікар-педіатр",U107/Z107,IF($B$105="Лікар-терапевт","х",IF($B$105="Лікар загальної практики - сімейний лікар",U107/Z107,0)))</f>
        <v>х</v>
      </c>
      <c r="V108" s="203" t="str">
        <f>IF($B$105="Лікар-педіатр",V107/Z107,IF($B$105="Лікар-терапевт","х",IF($B$105="Лікар загальної практики - сімейний лікар",V107/Z107,0)))</f>
        <v>х</v>
      </c>
      <c r="W108" s="203">
        <f>IF($B$105="Лікар-педіатр","x",IF($B$105="Лікар-терапевт",W107/Z107,IF($B$105="Лікар загальної практики - сімейний лікар",W107/Z107,0)))</f>
        <v>0.3119419642857143</v>
      </c>
      <c r="X108" s="203">
        <f>IF($B$105="Лікар-педіатр","x",IF($B$105="Лікар-терапевт",X107/Z107,IF($B$105="Лікар загальної практики - сімейний лікар",X107/Z107,0)))</f>
        <v>0.47265625</v>
      </c>
      <c r="Y108" s="203">
        <f>IF($B$105="Лікар-педіатр","x",IF($B$105="Лікар-терапевт",Y107/Z107,IF($B$105="Лікар загальної практики - сімейний лікар",Y107/Z107,0)))</f>
        <v>0.21540178571428573</v>
      </c>
      <c r="Z108" s="203">
        <f>SUM(U108:Y108)</f>
        <v>1</v>
      </c>
      <c r="AA108" s="945"/>
      <c r="AB108" s="203" t="str">
        <f>IF($B$105="Лікар-педіатр",AB107/AG107,IF($B$105="Лікар-терапевт","х",IF($B$105="Лікар загальної практики - сімейний лікар",AB107/AG107,0)))</f>
        <v>х</v>
      </c>
      <c r="AC108" s="203" t="str">
        <f>IF($B$105="Лікар-педіатр",AC107/AG107,IF($B$105="Лікар-терапевт","х",IF($B$105="Лікар загальної практики - сімейний лікар",AC107/AG107,0)))</f>
        <v>х</v>
      </c>
      <c r="AD108" s="203">
        <f>IF($B$105="Лікар-педіатр","x",IF($B$105="Лікар-терапевт",AD107/AG107,IF($B$105="Лікар загальної практики - сімейний лікар",AD107/AG107,0)))</f>
        <v>0.3119419642857143</v>
      </c>
      <c r="AE108" s="203">
        <f>IF($B$105="Лікар-педіатр","x",IF($B$105="Лікар-терапевт",AE107/AG107,IF($B$105="Лікар загальної практики - сімейний лікар",AE107/AG107,0)))</f>
        <v>0.47265625</v>
      </c>
      <c r="AF108" s="203">
        <f>IF($B$105="Лікар-педіатр","x",IF($B$105="Лікар-терапевт",AF107/AG107,IF($B$105="Лікар загальної практики - сімейний лікар",AF107/AG107,0)))</f>
        <v>0.21540178571428573</v>
      </c>
      <c r="AG108" s="203">
        <f>SUM(AB108:AF108)</f>
        <v>1</v>
      </c>
      <c r="AH108" s="945"/>
      <c r="AI108" s="201"/>
      <c r="AJ108" s="933"/>
      <c r="AK108" s="927"/>
      <c r="AL108" s="927"/>
      <c r="AM108" s="902"/>
      <c r="AN108" s="924"/>
      <c r="AO108" s="924"/>
      <c r="AP108" s="924"/>
      <c r="AQ108" s="924"/>
      <c r="AR108" s="915"/>
    </row>
    <row r="109" spans="1:44" s="50" customFormat="1" ht="45" customHeight="1" thickBot="1">
      <c r="A109" s="197"/>
      <c r="B109" s="941"/>
      <c r="C109" s="942"/>
      <c r="D109" s="943"/>
      <c r="E109" s="944"/>
      <c r="F109" s="204" t="s">
        <v>585</v>
      </c>
      <c r="G109" s="205" t="str">
        <f>IF($B$105="Лікар загальної практики - сімейний лікар",AVERAGE(G105:G107),IF($B$105="Лікар-педіатр",AVERAGE(G105:G107),IF($B$105="Лікар-терапевт","х",0)))</f>
        <v>х</v>
      </c>
      <c r="H109" s="205" t="str">
        <f>IF($B$105="Лікар загальної практики - сімейний лікар",AVERAGE(H105:H107),IF($B$105="Лікар-педіатр",AVERAGE(H105:H107),IF($B$105="Лікар-терапевт","х",0)))</f>
        <v>х</v>
      </c>
      <c r="I109" s="205">
        <f>IF($B$105="Лікар загальної практики - сімейний лікар",AVERAGE(I105:I107),IF($B$105="Лікар-педіатр","x",IF($B$105="Лікар-терапевт",AVERAGE(I105:I107),0)))</f>
        <v>559</v>
      </c>
      <c r="J109" s="205">
        <f>IF($B$105="Лікар загальної практики - сімейний лікар",AVERAGE(J105:J107),IF($B$105="Лікар-педіатр","x",IF($B$105="Лікар-терапевт",AVERAGE(J105:J107),0)))</f>
        <v>847</v>
      </c>
      <c r="K109" s="205">
        <f>IF($B$105="Лікар загальної практики - сімейний лікар",AVERAGE(K105:K107),IF($B$105="Лікар-педіатр","x",IF($B$105="Лікар-терапевт",AVERAGE(K105:K107),0)))</f>
        <v>386</v>
      </c>
      <c r="L109" s="206">
        <f>SUM(G109:K109)</f>
        <v>1792</v>
      </c>
      <c r="M109" s="946"/>
      <c r="N109" s="205" t="str">
        <f>IF($B$105="Лікар загальної практики - сімейний лікар",AVERAGE(N105:N107),IF($B$105="Лікар-педіатр",AVERAGE(N105:N107),IF($B$105="Лікар-терапевт","х",0)))</f>
        <v>х</v>
      </c>
      <c r="O109" s="205" t="str">
        <f>IF($B$105="Лікар загальної практики - сімейний лікар",AVERAGE(O105:O107),IF($B$105="Лікар-педіатр",AVERAGE(O105:O107),IF($B$105="Лікар-терапевт","х",0)))</f>
        <v>х</v>
      </c>
      <c r="P109" s="205">
        <f>IF($B$105="Лікар загальної практики - сімейний лікар",AVERAGE(P105:P107),IF($B$105="Лікар-педіатр","x",IF($B$105="Лікар-терапевт",AVERAGE(P105:P107),0)))</f>
        <v>559</v>
      </c>
      <c r="Q109" s="205">
        <f>IF($B$105="Лікар загальної практики - сімейний лікар",AVERAGE(Q105:Q107),IF($B$105="Лікар-педіатр","x",IF($B$105="Лікар-терапевт",AVERAGE(Q105:Q107),0)))</f>
        <v>847</v>
      </c>
      <c r="R109" s="205">
        <f>IF($B$105="Лікар загальної практики - сімейний лікар",AVERAGE(R105:R107),IF($B$105="Лікар-педіатр","x",IF($B$105="Лікар-терапевт",AVERAGE(R105:R107),0)))</f>
        <v>386</v>
      </c>
      <c r="S109" s="206">
        <f>SUM(N109:R109)</f>
        <v>1792</v>
      </c>
      <c r="T109" s="946"/>
      <c r="U109" s="205" t="str">
        <f>IF($B$105="Лікар загальної практики - сімейний лікар",AVERAGE(U105:U107),IF($B$105="Лікар-педіатр",AVERAGE(U105:U107),IF($B$105="Лікар-терапевт","х",0)))</f>
        <v>х</v>
      </c>
      <c r="V109" s="205" t="str">
        <f>IF($B$105="Лікар загальної практики - сімейний лікар",AVERAGE(V105:V107),IF($B$105="Лікар-педіатр",AVERAGE(V105:V107),IF($B$105="Лікар-терапевт","х",0)))</f>
        <v>х</v>
      </c>
      <c r="W109" s="205">
        <f>IF($B$105="Лікар загальної практики - сімейний лікар",AVERAGE(W105:W107),IF($B$105="Лікар-педіатр","x",IF($B$105="Лікар-терапевт",AVERAGE(W105:W107),0)))</f>
        <v>559</v>
      </c>
      <c r="X109" s="205">
        <f>IF($B$105="Лікар загальної практики - сімейний лікар",AVERAGE(X105:X107),IF($B$105="Лікар-педіатр","x",IF($B$105="Лікар-терапевт",AVERAGE(X105:X107),0)))</f>
        <v>847</v>
      </c>
      <c r="Y109" s="205">
        <f>IF($B$105="Лікар загальної практики - сімейний лікар",AVERAGE(Y105:Y107),IF($B$105="Лікар-педіатр","x",IF($B$105="Лікар-терапевт",AVERAGE(Y105:Y107),0)))</f>
        <v>386</v>
      </c>
      <c r="Z109" s="206">
        <f>SUM(U109:Y109)</f>
        <v>1792</v>
      </c>
      <c r="AA109" s="946"/>
      <c r="AB109" s="205" t="str">
        <f>IF($B$105="Лікар загальної практики - сімейний лікар",AVERAGE(AB105:AB107),IF($B$105="Лікар-педіатр",AVERAGE(AB105:AB107),IF($B$105="Лікар-терапевт","х",0)))</f>
        <v>х</v>
      </c>
      <c r="AC109" s="205" t="str">
        <f>IF($B$105="Лікар загальної практики - сімейний лікар",AVERAGE(AC105:AC107),IF($B$105="Лікар-педіатр",AVERAGE(AC105:AC107),IF($B$105="Лікар-терапевт","х",0)))</f>
        <v>х</v>
      </c>
      <c r="AD109" s="205">
        <f>IF($B$105="Лікар загальної практики - сімейний лікар",AVERAGE(AD105:AD107),IF($B$105="Лікар-педіатр","x",IF($B$105="Лікар-терапевт",AVERAGE(AD105:AD107),0)))</f>
        <v>559</v>
      </c>
      <c r="AE109" s="205">
        <f>IF($B$105="Лікар загальної практики - сімейний лікар",AVERAGE(AE105:AE107),IF($B$105="Лікар-педіатр","x",IF($B$105="Лікар-терапевт",AVERAGE(AE105:AE107),0)))</f>
        <v>847</v>
      </c>
      <c r="AF109" s="205">
        <f>IF($B$105="Лікар загальної практики - сімейний лікар",AVERAGE(AF105:AF107),IF($B$105="Лікар-педіатр","x",IF($B$105="Лікар-терапевт",AVERAGE(AF105:AF107),0)))</f>
        <v>386</v>
      </c>
      <c r="AG109" s="206">
        <f>SUM(AB109:AF109)</f>
        <v>1792</v>
      </c>
      <c r="AH109" s="947"/>
      <c r="AI109" s="201"/>
      <c r="AJ109" s="933"/>
      <c r="AK109" s="927"/>
      <c r="AL109" s="927"/>
      <c r="AM109" s="903"/>
      <c r="AN109" s="925"/>
      <c r="AO109" s="925"/>
      <c r="AP109" s="925"/>
      <c r="AQ109" s="925"/>
      <c r="AR109" s="916"/>
    </row>
    <row r="110" spans="1:44" s="50" customFormat="1" ht="40.5">
      <c r="A110" s="197"/>
      <c r="B110" s="941"/>
      <c r="C110" s="942"/>
      <c r="D110" s="943"/>
      <c r="E110" s="943"/>
      <c r="F110" s="237" t="str">
        <f ca="1">IF(B105="Лікар-педіатр",Законод!$C$17,IF(B105="Лікар загальної практики - сімейний лікар",Законод!$C$21,IF(B105="Лікар-терапевт",Законод!$C$25,"х")))</f>
        <v>ліміт (до 2000)</v>
      </c>
      <c r="G110" s="208" t="str">
        <f ca="1">IF($B$105="Лікар загальної практики - сімейний лікар",IF(L109&lt;=Законод!$C$22,G109,Законод!$C$22*'01_Доходи'!G108),IF($B$105="Лікар-педіатр",IF(L109&lt;=Законод!$C$18,G109,Законод!$C$18*'01_Доходи'!G108),IF($B$105="Лікар-терапевт","x",0)))</f>
        <v>x</v>
      </c>
      <c r="H110" s="208" t="str">
        <f ca="1">IF($B$105="Лікар загальної практики - сімейний лікар",IF(L109&lt;=Законод!$C$22,H109,Законод!$C$22*'01_Доходи'!H108),IF($B$105="Лікар-педіатр",IF(L109&lt;=Законод!$C$18,H109,Законод!$C$18*'01_Доходи'!H108),IF($B$105="Лікар-терапевт","x",0)))</f>
        <v>x</v>
      </c>
      <c r="I110" s="208">
        <f ca="1">IF($B$105="Лікар загальної практики - сімейний лікар",IF(L109&lt;=Законод!$C$22,I109,Законод!$C$22*'01_Доходи'!I108),IF($B$105="Лікар-педіатр","x",IF($B$105="Лікар-терапевт",IF(L109&lt;=Законод!$C$26,I109,Законод!$C$26*'01_Доходи'!I108),0)))</f>
        <v>559</v>
      </c>
      <c r="J110" s="208">
        <f ca="1">IF($B$105="Лікар загальної практики - сімейний лікар",IF(L109&lt;=Законод!$C$22,J109,Законод!$C$22*'01_Доходи'!J108),IF($B$105="Лікар-педіатр","x",IF($B$105="Лікар-терапевт",IF(L109&lt;=Законод!$C$26,J109,Законод!$C$26*'01_Доходи'!J108),0)))</f>
        <v>847</v>
      </c>
      <c r="K110" s="208">
        <f ca="1">IF($B$105="Лікар загальної практики - сімейний лікар",IF(L109&lt;=Законод!$C$22,K109,Законод!$C$22*'01_Доходи'!K108),IF($B$105="Лікар-педіатр","x",IF($B$105="Лікар-терапевт",IF(L109&lt;=Законод!$C$26,K109,Законод!$C$26*'01_Доходи'!K108),0)))</f>
        <v>386</v>
      </c>
      <c r="L110" s="209">
        <f ca="1">SUM(G110:K110)</f>
        <v>1792</v>
      </c>
      <c r="M110" s="945"/>
      <c r="N110" s="208" t="str">
        <f ca="1">IF($B$105="Лікар загальної практики - сімейний лікар",IF(S109&lt;=Законод!$C$22,N109,Законод!$C$22*'01_Доходи'!N108),IF($B$105="Лікар-педіатр",IF(S109&lt;=Законод!$C$18,N109,Законод!$C$18*'01_Доходи'!N108),IF($B$105="Лікар-терапевт","x",0)))</f>
        <v>x</v>
      </c>
      <c r="O110" s="208" t="str">
        <f ca="1">IF($B$105="Лікар загальної практики - сімейний лікар",IF(S109&lt;=Законод!$C$22,O109,Законод!$C$22*'01_Доходи'!O108),IF($B$105="Лікар-педіатр",IF(S109&lt;=Законод!$C$18,O109,Законод!$C$18*'01_Доходи'!O108),IF($B$105="Лікар-терапевт","x",0)))</f>
        <v>x</v>
      </c>
      <c r="P110" s="208">
        <f ca="1">IF($B$105="Лікар загальної практики - сімейний лікар",IF(S109&lt;=Законод!$C$22,P109,Законод!$C$22*'01_Доходи'!P108),IF($B$105="Лікар-педіатр","x",IF($B$105="Лікар-терапевт",IF(S109&lt;=Законод!$C$26,P109,Законод!$C$26*'01_Доходи'!P108),0)))</f>
        <v>559</v>
      </c>
      <c r="Q110" s="208">
        <f ca="1">IF($B$105="Лікар загальної практики - сімейний лікар",IF(S109&lt;=Законод!$C$22,Q109,Законод!$C$22*'01_Доходи'!Q108),IF($B$105="Лікар-педіатр","x",IF($B$105="Лікар-терапевт",IF(S109&lt;=Законод!$C$26,Q109,Законод!$C$26*'01_Доходи'!Q108),0)))</f>
        <v>847</v>
      </c>
      <c r="R110" s="208">
        <f ca="1">IF($B$105="Лікар загальної практики - сімейний лікар",IF(S109&lt;=Законод!$C$22,R109,Законод!$C$22*'01_Доходи'!R108),IF($B$105="Лікар-педіатр","x",IF($B$105="Лікар-терапевт",IF(S109&lt;=Законод!$C$26,R109,Законод!$C$26*'01_Доходи'!R108),0)))</f>
        <v>386</v>
      </c>
      <c r="S110" s="209">
        <f ca="1">SUM(N110:R110)</f>
        <v>1792</v>
      </c>
      <c r="T110" s="945"/>
      <c r="U110" s="208" t="str">
        <f ca="1">IF($B$105="Лікар загальної практики - сімейний лікар",IF(Z109&lt;=Законод!$C$22,U109,Законод!$C$22*'01_Доходи'!U108),IF($B$105="Лікар-педіатр",IF(Z109&lt;=Законод!$C$18,U109,Законод!$C$18*'01_Доходи'!U108),IF($B$105="Лікар-терапевт","x",0)))</f>
        <v>x</v>
      </c>
      <c r="V110" s="208" t="str">
        <f ca="1">IF($B$105="Лікар загальної практики - сімейний лікар",IF(Z109&lt;=Законод!$C$22,V109,Законод!$C$22*'01_Доходи'!V108),IF($B$105="Лікар-педіатр",IF(Z109&lt;=Законод!$C$18,V109,Законод!$C$18*'01_Доходи'!V108),IF($B$105="Лікар-терапевт","x",0)))</f>
        <v>x</v>
      </c>
      <c r="W110" s="208">
        <f ca="1">IF($B$105="Лікар загальної практики - сімейний лікар",IF(Z109&lt;=Законод!$C$22,W109,Законод!$C$22*'01_Доходи'!W108),IF($B$105="Лікар-педіатр","x",IF($B$105="Лікар-терапевт",IF(Z109&lt;=Законод!$C$26,W109,Законод!$C$26*'01_Доходи'!W108),0)))</f>
        <v>559</v>
      </c>
      <c r="X110" s="208">
        <f ca="1">IF($B$105="Лікар загальної практики - сімейний лікар",IF(Z109&lt;=Законод!$C$22,X109,Законод!$C$22*'01_Доходи'!X108),IF($B$105="Лікар-педіатр","x",IF($B$105="Лікар-терапевт",IF(Z109&lt;=Законод!$C$26,X109,Законод!$C$26*'01_Доходи'!X108),0)))</f>
        <v>847</v>
      </c>
      <c r="Y110" s="208">
        <f ca="1">IF($B$105="Лікар загальної практики - сімейний лікар",IF(Z109&lt;=Законод!$C$22,Y109,Законод!$C$22*'01_Доходи'!Y108),IF($B$105="Лікар-педіатр","x",IF($B$105="Лікар-терапевт",IF(Z109&lt;=Законод!$C$26,Y109,Законод!$C$26*'01_Доходи'!Y108),0)))</f>
        <v>386</v>
      </c>
      <c r="Z110" s="209">
        <f ca="1">SUM(U110:Y110)</f>
        <v>1792</v>
      </c>
      <c r="AA110" s="945"/>
      <c r="AB110" s="208" t="str">
        <f ca="1">IF($B$105="Лікар загальної практики - сімейний лікар",IF(AG109&lt;=Законод!$C$22,AB109,Законод!$C$22*'01_Доходи'!AB108),IF($B$105="Лікар-педіатр",IF(AG109&lt;=Законод!$C$18,AB109,Законод!$C$18*'01_Доходи'!AB108),IF($B$105="Лікар-терапевт","x",0)))</f>
        <v>x</v>
      </c>
      <c r="AC110" s="208" t="str">
        <f ca="1">IF($B$105="Лікар загальної практики - сімейний лікар",IF(AG109&lt;=Законод!$C$22,AC109,Законод!$C$22*'01_Доходи'!AC108),IF($B$105="Лікар-педіатр",IF(AG109&lt;=Законод!$C$18,AC109,Законод!$C$18*'01_Доходи'!AC108),IF($B$105="Лікар-терапевт","x",0)))</f>
        <v>x</v>
      </c>
      <c r="AD110" s="208">
        <f ca="1">IF($B$105="Лікар загальної практики - сімейний лікар",IF(AG109&lt;=Законод!$C$22,AD109,Законод!$C$22*'01_Доходи'!AD108),IF($B$105="Лікар-педіатр","x",IF($B$105="Лікар-терапевт",IF(AG109&lt;=Законод!$C$26,AD109,Законод!$C$26*'01_Доходи'!AD108),0)))</f>
        <v>559</v>
      </c>
      <c r="AE110" s="208">
        <f ca="1">IF($B$105="Лікар загальної практики - сімейний лікар",IF(AG109&lt;=Законод!$C$22,AE109,Законод!$C$22*'01_Доходи'!AE108),IF($B$105="Лікар-педіатр","x",IF($B$105="Лікар-терапевт",IF(AG109&lt;=Законод!$C$26,AE109,Законод!$C$26*'01_Доходи'!AE108),0)))</f>
        <v>847</v>
      </c>
      <c r="AF110" s="208">
        <f ca="1">IF($B$105="Лікар загальної практики - сімейний лікар",IF(AG109&lt;=Законод!$C$22,AF109,Законод!$C$22*'01_Доходи'!AF108),IF($B$105="Лікар-педіатр","x",IF($B$105="Лікар-терапевт",IF(AG109&lt;=Законод!$C$26,AF109,Законод!$C$26*'01_Доходи'!AF108),0)))</f>
        <v>386</v>
      </c>
      <c r="AG110" s="209">
        <f ca="1">SUM(AB110:AF110)</f>
        <v>1792</v>
      </c>
      <c r="AH110" s="945"/>
      <c r="AI110" s="201"/>
      <c r="AJ110" s="933"/>
      <c r="AK110" s="927"/>
      <c r="AL110" s="927"/>
      <c r="AM110" s="348" t="s">
        <v>374</v>
      </c>
      <c r="AN110" s="210">
        <f ca="1">IF(B105="Лікар загальної практики - сімейний лікар",G110*Законод!$C$11+'01_Доходи'!H110*Законод!$D$11+'01_Доходи'!I110*Законод!$E$11+'01_Доходи'!J110*Законод!$F$11+'01_Доходи'!K110*Законод!$G$11,IF(B105="Лікар-педіатр",G110*Законод!$C$11+'01_Доходи'!H110*Законод!$D$11,IF(B105="Лікар-терапевт",'01_Доходи'!I110*Законод!$E$11+'01_Доходи'!J110*Законод!$F$11+'01_Доходи'!K110*Законод!$G$11,0)))</f>
        <v>284340.34571249998</v>
      </c>
      <c r="AO110" s="210">
        <f ca="1">IF(B105="Лікар загальної практики - сімейний лікар",N110*Законод!$C$11+'01_Доходи'!O110*Законод!$D$11+'01_Доходи'!P110*Законод!$E$11+'01_Доходи'!Q110*Законод!$F$11+'01_Доходи'!R110*Законод!$G$11,IF(B105="Лікар-педіатр",N110*Законод!$C$11+'01_Доходи'!O110*Законод!$D$11,IF(B105="Лікар-терапевт",'01_Доходи'!P110*Законод!$E$11+'01_Доходи'!Q110*Законод!$F$11+'01_Доходи'!R110*Законод!$G$11,0)))</f>
        <v>284340.34571249998</v>
      </c>
      <c r="AP110" s="210">
        <f ca="1">IF(B105="Лікар загальної практики - сімейний лікар",U110*Законод!$C$11+'01_Доходи'!V110*Законод!$D$11+'01_Доходи'!W110*Законод!$E$11+'01_Доходи'!X110*Законод!$F$11+'01_Доходи'!Y110*Законод!$G$11,IF(B105="Лікар-педіатр",U110*Законод!$C$11+'01_Доходи'!V110*Законод!$D$11,IF(B105="Лікар-терапевт",'01_Доходи'!W110*Законод!$E$11+'01_Доходи'!X110*Законод!$F$11+'01_Доходи'!Y110*Законод!$G$11,0)))</f>
        <v>284340.34571249998</v>
      </c>
      <c r="AQ110" s="210">
        <f ca="1">IF(B105="Лікар загальної практики - сімейний лікар",AB110*Законод!$C$11+'01_Доходи'!AC110*Законод!$D$11+'01_Доходи'!AD110*Законод!$E$11+'01_Доходи'!AE110*Законод!$F$11+'01_Доходи'!AF110*Законод!$G$11,IF(B105="Лікар-педіатр",AB110*Законод!$C$11+'01_Доходи'!AC110*Законод!$D$11,IF(B105="Лікар-терапевт",'01_Доходи'!AD110*Законод!$E$11+'01_Доходи'!AE110*Законод!$F$11+'01_Доходи'!AF110*Законод!$G$11,0)))</f>
        <v>284340.34571249998</v>
      </c>
      <c r="AR110" s="211">
        <f t="shared" ref="AR110:AR116" si="7">SUM(AN110:AQ110)</f>
        <v>1137361.3828499999</v>
      </c>
    </row>
    <row r="111" spans="1:44" s="50" customFormat="1" ht="31.9" customHeight="1">
      <c r="A111" s="197"/>
      <c r="B111" s="941"/>
      <c r="C111" s="942"/>
      <c r="D111" s="943"/>
      <c r="E111" s="943"/>
      <c r="F111" s="238" t="str">
        <f ca="1">IF(B105="Лікар-педіатр",Законод!$E$17,IF(B105="Лікар загальної практики - сімейний лікар",Законод!$E$21,IF(B105="Лікар-терапевт",Законод!$E$25,"х")))</f>
        <v>понад ліміт (2001-2200)</v>
      </c>
      <c r="G111" s="940" t="s">
        <v>346</v>
      </c>
      <c r="H111" s="940"/>
      <c r="I111" s="940"/>
      <c r="J111" s="940"/>
      <c r="K111" s="940"/>
      <c r="L111" s="196">
        <f ca="1">IF($B$105="Лікар загальної практики - сімейний лікар",IF(L109&lt;Законод!$C$22,0,(IF(AND(L109&gt;=Законод!$E$22,L109&lt;=Законод!$E$23),L109-Законод!$C$22,IF('01_Доходи'!L109&gt;=Законод!$F$22,Законод!$E$24,0)))),IF($B$105="Лікар-педіатр",IF(L109&lt;Законод!$C$18,0,(IF(AND(L109&gt;=Законод!$E$18,L109&lt;=Законод!$E$19),L109-Законод!$C$18,IF('01_Доходи'!L109&gt;=Законод!$F$18,Законод!$E$20,0)))),IF($B$105="Лікар-терапевт",IF(L109&lt;Законод!$C$26,0,(IF(AND(L109&gt;=Законод!$E$26,L109&lt;=Законод!$E$27),L109-Законод!$C$26,IF('01_Доходи'!L109&gt;=Законод!$F$26,Законод!$E$28,0)))),0)))</f>
        <v>0</v>
      </c>
      <c r="M111" s="945"/>
      <c r="N111" s="940" t="s">
        <v>346</v>
      </c>
      <c r="O111" s="940"/>
      <c r="P111" s="940"/>
      <c r="Q111" s="940"/>
      <c r="R111" s="940"/>
      <c r="S111" s="196">
        <f ca="1">IF($B$105="Лікар загальної практики - сімейний лікар",IF(S109&lt;Законод!$C$22,0,(IF(AND(S109&gt;=Законод!$E$22,S109&lt;=Законод!$E$23),S109-Законод!$C$22,IF('01_Доходи'!S109&gt;=Законод!$F$22,Законод!$E$24,0)))),IF($B$105="Лікар-педіатр",IF(S109&lt;Законод!$C$18,0,(IF(AND(S109&gt;=Законод!$E$18,S109&lt;=Законод!$E$19),S109-Законод!$C$18,IF('01_Доходи'!S109&gt;=Законод!$F$18,Законод!$E$20,0)))),IF($B$105="Лікар-терапевт",IF(S109&lt;Законод!$C$26,0,(IF(AND(S109&gt;=Законод!$E$26,S109&lt;=Законод!$E$27),S109-Законод!$C$26,IF('01_Доходи'!S109&gt;=Законод!$F$26,Законод!$E$28,0)))),0)))</f>
        <v>0</v>
      </c>
      <c r="T111" s="945"/>
      <c r="U111" s="940" t="s">
        <v>346</v>
      </c>
      <c r="V111" s="940"/>
      <c r="W111" s="940"/>
      <c r="X111" s="940"/>
      <c r="Y111" s="940"/>
      <c r="Z111" s="196">
        <f ca="1">IF($B$105="Лікар загальної практики - сімейний лікар",IF(Z109&lt;Законод!$C$22,0,(IF(AND(Z109&gt;=Законод!$E$22,Z109&lt;=Законод!$E$23),Z109-Законод!$C$22,IF('01_Доходи'!Z109&gt;=Законод!$F$22,Законод!$E$24,0)))),IF($B$105="Лікар-педіатр",IF(Z109&lt;Законод!$C$18,0,(IF(AND(Z109&gt;=Законод!$E$18,Z109&lt;=Законод!$E$19),Z109-Законод!$C$18,IF('01_Доходи'!Z109&gt;=Законод!$F$18,Законод!$E$20,0)))),IF($B$105="Лікар-терапевт",IF(Z109&lt;Законод!$C$26,0,(IF(AND(Z109&gt;=Законод!$E$26,Z109&lt;=Законод!$E$27),Z109-Законод!$C$26,IF('01_Доходи'!Z109&gt;=Законод!$F$26,Законод!$E$28,0)))),0)))</f>
        <v>0</v>
      </c>
      <c r="AA111" s="945"/>
      <c r="AB111" s="940" t="s">
        <v>346</v>
      </c>
      <c r="AC111" s="940"/>
      <c r="AD111" s="940"/>
      <c r="AE111" s="940"/>
      <c r="AF111" s="940"/>
      <c r="AG111" s="196">
        <f ca="1">IF($B$105="Лікар загальної практики - сімейний лікар",IF(AG109&lt;Законод!$C$22,0,(IF(AND(AG109&gt;=Законод!$E$22,AG109&lt;=Законод!$E$23),AG109-Законод!$C$22,IF('01_Доходи'!AG109&gt;=Законод!$F$22,Законод!$E$24,0)))),IF($B$105="Лікар-педіатр",IF(AG109&lt;Законод!$C$18,0,(IF(AND(AG109&gt;=Законод!$E$18,AG109&lt;=Законод!$E$19),AG109-Законод!$C$18,IF('01_Доходи'!AG109&gt;=Законод!$F$18,Законод!$E$20,0)))),IF($B$105="Лікар-терапевт",IF(AG109&lt;Законод!$C$26,0,(IF(AND(AG109&gt;=Законод!$E$26,AG109&lt;=Законод!$E$27),AG109-Законод!$C$26,IF('01_Доходи'!AG109&gt;=Законод!$F$26,Законод!$E$28,0)))),0)))</f>
        <v>0</v>
      </c>
      <c r="AH111" s="945"/>
      <c r="AI111" s="201"/>
      <c r="AJ111" s="933"/>
      <c r="AK111" s="927"/>
      <c r="AL111" s="927"/>
      <c r="AM111" s="898" t="s">
        <v>375</v>
      </c>
      <c r="AN111" s="210">
        <f ca="1">IF(B105="Лікар загальної практики - сімейний лікар",L111*Законод!$C$9/4*Законод!$E$16,IF(B105="Лікар-педіатр",L111*Законод!$C$9/4*Законод!$E$16,IF(B105="Лікар-терапевт",L111*Законод!$C$9/4*Законод!$E$16,0)))</f>
        <v>0</v>
      </c>
      <c r="AO111" s="210">
        <f ca="1">IF(B105="Лікар загальної практики - сімейний лікар",S111*Законод!$C$9/4*Законод!$E$16,IF(B105="Лікар-педіатр",S111*Законод!$C$9/4*Законод!$E$16,IF(B105="Лікар-терапевт",S111*Законод!$C$9/4*Законод!$E$16,0)))</f>
        <v>0</v>
      </c>
      <c r="AP111" s="210">
        <f ca="1">IF(B105="Лікар загальної практики - сімейний лікар",Z111*Законод!$C$9/4*Законод!$E$16,IF(B105="Лікар-педіатр",Z111*Законод!$C$9/4*Законод!$E$16,IF(B105="Лікар-терапевт",Z111*Законод!$C$9/4*Законод!$E$16,0)))</f>
        <v>0</v>
      </c>
      <c r="AQ111" s="210">
        <f ca="1">IF(B105="Лікар загальної практики - сімейний лікар",AG111*Законод!$C$9/4*Законод!$E$16,IF(B105="Лікар-педіатр",AG111*Законод!$C$9/4*Законод!$E$16,IF(B105="Лікар-терапевт",AG111*Законод!$C$9/4*Законод!$E$16,0)))</f>
        <v>0</v>
      </c>
      <c r="AR111" s="211">
        <f t="shared" si="7"/>
        <v>0</v>
      </c>
    </row>
    <row r="112" spans="1:44" s="50" customFormat="1" ht="31.9" customHeight="1">
      <c r="A112" s="197"/>
      <c r="B112" s="941"/>
      <c r="C112" s="942"/>
      <c r="D112" s="943"/>
      <c r="E112" s="943"/>
      <c r="F112" s="238" t="str">
        <f ca="1">IF(B105="Лікар-педіатр",Законод!$F$17,IF(B105="Лікар загальної практики - сімейний лікар",Законод!$F$21,IF(B105="Лікар-терапевт",Законод!$F$25,"х")))</f>
        <v>понад ліміт (2201-2400)</v>
      </c>
      <c r="G112" s="940" t="s">
        <v>346</v>
      </c>
      <c r="H112" s="940"/>
      <c r="I112" s="940"/>
      <c r="J112" s="940"/>
      <c r="K112" s="940"/>
      <c r="L112" s="196">
        <f ca="1">IF($B$105="Лікар загальної практики - сімейний лікар",IF(L109&lt;Законод!$C$22,0,(IF(AND(L109&gt;=Законод!$F$22,L109&lt;=Законод!$F$23),L109-Законод!$E$23,IF('01_Доходи'!L109&gt;=Законод!$G$22,Законод!$F$24,0)))),IF($B$105="Лікар-педіатр",IF(L109&lt;Законод!$C$18,0,(IF(AND(L109&gt;=Законод!$F$18,L109&lt;=Законод!$F$19),L109-Законод!$E$19,IF('01_Доходи'!L109&gt;=Законод!$G$18,Законод!$F$20,0)))),IF($B$105="Лікар-терапевт",IF(L109&lt;Законод!$C$26,0,(IF(AND(L109&gt;=Законод!$F$26,L109&lt;=Законод!$F$27),L109-Законод!$E$27,IF('01_Доходи'!L109&gt;=Законод!$G$26,Законод!$F$28,0)))),0)))</f>
        <v>0</v>
      </c>
      <c r="M112" s="945"/>
      <c r="N112" s="940" t="s">
        <v>346</v>
      </c>
      <c r="O112" s="940"/>
      <c r="P112" s="940"/>
      <c r="Q112" s="940"/>
      <c r="R112" s="940"/>
      <c r="S112" s="196">
        <f ca="1">IF($B$105="Лікар загальної практики - сімейний лікар",IF(S109&lt;Законод!$C$22,0,(IF(AND(S109&gt;=Законод!$F$22,S109&lt;=Законод!$F$23),S109-Законод!$E$23,IF('01_Доходи'!S109&gt;=Законод!$G$22,Законод!$F$24,0)))),IF($B$105="Лікар-педіатр",IF(S109&lt;Законод!$C$18,0,(IF(AND(S109&gt;=Законод!$F$18,S109&lt;=Законод!$F$19),S109-Законод!$E$19,IF('01_Доходи'!S109&gt;=Законод!$G$18,Законод!$F$20,0)))),IF($B$105="Лікар-терапевт",IF(S109&lt;Законод!$C$26,0,(IF(AND(S109&gt;=Законод!$F$26,S109&lt;=Законод!$F$27),S109-Законод!$E$27,IF('01_Доходи'!S109&gt;=Законод!$G$26,Законод!$F$28,0)))),0)))</f>
        <v>0</v>
      </c>
      <c r="T112" s="945"/>
      <c r="U112" s="940" t="s">
        <v>346</v>
      </c>
      <c r="V112" s="940"/>
      <c r="W112" s="940"/>
      <c r="X112" s="940"/>
      <c r="Y112" s="940"/>
      <c r="Z112" s="196">
        <f ca="1">IF($B$105="Лікар загальної практики - сімейний лікар",IF(Z109&lt;Законод!$C$22,0,(IF(AND(Z109&gt;=Законод!$F$22,Z109&lt;=Законод!$F$23),Z109-Законод!$E$23,IF('01_Доходи'!Z109&gt;=Законод!$G$22,Законод!$F$24,0)))),IF($B$105="Лікар-педіатр",IF(Z109&lt;Законод!$C$18,0,(IF(AND(Z109&gt;=Законод!$F$18,Z109&lt;=Законод!$F$19),Z109-Законод!$E$19,IF('01_Доходи'!Z109&gt;=Законод!$G$18,Законод!$F$20,0)))),IF($B$105="Лікар-терапевт",IF(Z109&lt;Законод!$C$26,0,(IF(AND(Z109&gt;=Законод!$F$26,Z109&lt;=Законод!$F$27),Z109-Законод!$E$27,IF('01_Доходи'!Z109&gt;=Законод!$G$26,Законод!$F$28,0)))),0)))</f>
        <v>0</v>
      </c>
      <c r="AA112" s="945"/>
      <c r="AB112" s="940" t="s">
        <v>346</v>
      </c>
      <c r="AC112" s="940"/>
      <c r="AD112" s="940"/>
      <c r="AE112" s="940"/>
      <c r="AF112" s="940"/>
      <c r="AG112" s="196">
        <f ca="1">IF($B$105="Лікар загальної практики - сімейний лікар",IF(AG109&lt;Законод!$C$22,0,(IF(AND(AG109&gt;=Законод!$F$22,AG109&lt;=Законод!$F$23),AG109-Законод!$E$23,IF('01_Доходи'!AG109&gt;=Законод!$G$22,Законод!$F$24,0)))),IF($B$105="Лікар-педіатр",IF(AG109&lt;Законод!$C$18,0,(IF(AND(AG109&gt;=Законод!$F$18,AG109&lt;=Законод!$F$19),AG109-Законод!$E$19,IF('01_Доходи'!AG109&gt;=Законод!$G$18,Законод!$F$20,0)))),IF($B$105="Лікар-терапевт",IF(AG109&lt;Законод!$C$26,0,(IF(AND(AG109&gt;=Законод!$F$26,AG109&lt;=Законод!$F$27),AG109-Законод!$E$27,IF('01_Доходи'!AG109&gt;=Законод!$G$26,Законод!$F$28,0)))),0)))</f>
        <v>0</v>
      </c>
      <c r="AH112" s="945"/>
      <c r="AI112" s="201"/>
      <c r="AJ112" s="933"/>
      <c r="AK112" s="927"/>
      <c r="AL112" s="927"/>
      <c r="AM112" s="899"/>
      <c r="AN112" s="210">
        <f ca="1">IF(B105="Лікар загальної практики - сімейний лікар",L112*Законод!$C$9/4*Законод!$F$16,IF(B105="Лікар-педіатр",L112*Законод!$C$9/4*Законод!$F$16,IF(B105="Лікар-терапевт",L112*Законод!$C$9/4*Законод!$F$16,0)))</f>
        <v>0</v>
      </c>
      <c r="AO112" s="210">
        <f ca="1">IF(B105="Лікар загальної практики - сімейний лікар",S112*Законод!$C$9/4*Законод!$F$16,IF(B105="Лікар-педіатр",S112*Законод!$C$9/4*Законод!$F$16,IF(B105="Лікар-терапевт",S112*Законод!$C$9/4*Законод!$F$16,0)))</f>
        <v>0</v>
      </c>
      <c r="AP112" s="210">
        <f ca="1">IF(B105="Лікар загальної практики - сімейний лікар",Z112*Законод!$C$9/4*Законод!$F$16,IF(B105="Лікар-педіатр",Z112*Законод!$C$9/4*Законод!$F$16,IF(B105="Лікар-терапевт",Z112*Законод!$C$9/4*Законод!$F$16,0)))</f>
        <v>0</v>
      </c>
      <c r="AQ112" s="210">
        <f ca="1">IF(B105="Лікар загальної практики - сімейний лікар",AG112*Законод!$C$9/4*Законод!$F$16,IF(B105="Лікар-педіатр",AG112*Законод!$C$9/4*Законод!$F$16,IF(B105="Лікар-терапевт",AG112*Законод!$C$9/4*Законод!$F$16,0)))</f>
        <v>0</v>
      </c>
      <c r="AR112" s="211">
        <f t="shared" si="7"/>
        <v>0</v>
      </c>
    </row>
    <row r="113" spans="1:44" s="50" customFormat="1" ht="31.9" customHeight="1">
      <c r="A113" s="197"/>
      <c r="B113" s="941"/>
      <c r="C113" s="942"/>
      <c r="D113" s="943"/>
      <c r="E113" s="943"/>
      <c r="F113" s="238" t="str">
        <f ca="1">IF(B105="Лікар-педіатр",Законод!$G$17,IF(B105="Лікар загальної практики - сімейний лікар",Законод!$G$21,IF(B105="Лікар-терапевт",Законод!$G$25,"х")))</f>
        <v>понад ліміт (2401-2600)</v>
      </c>
      <c r="G113" s="940" t="s">
        <v>346</v>
      </c>
      <c r="H113" s="940"/>
      <c r="I113" s="940"/>
      <c r="J113" s="940"/>
      <c r="K113" s="940"/>
      <c r="L113" s="196">
        <f ca="1">IF($B$105="Лікар загальної практики - сімейний лікар",IF(L109&lt;Законод!$C$22,0,(IF(AND(L109&gt;=Законод!$G$22,L109&lt;=Законод!$G$23),L109-Законод!$F$23,IF('01_Доходи'!L109&gt;=Законод!$H$22,Законод!$G$24,0)))),IF($B$105="Лікар-педіатр",IF(L109&lt;Законод!$C$18,0,(IF(AND(L109&gt;=Законод!$G$18,L109&lt;=Законод!$G$19),L109-Законод!$F$19,IF('01_Доходи'!L109&gt;=Законод!$H$18,Законод!$G$20,0)))),IF($B$105="Лікар-терапевт",IF(L109&lt;Законод!$C$26,0,(IF(AND(L109&gt;=Законод!$G$26,L109&lt;=Законод!$G$27),L109-Законод!$F$27,IF('01_Доходи'!L109&gt;=Законод!$H$26,Законод!$G$28,0)))),0)))</f>
        <v>0</v>
      </c>
      <c r="M113" s="945"/>
      <c r="N113" s="940" t="s">
        <v>346</v>
      </c>
      <c r="O113" s="940"/>
      <c r="P113" s="940"/>
      <c r="Q113" s="940"/>
      <c r="R113" s="940"/>
      <c r="S113" s="196">
        <f ca="1">IF($B$105="Лікар загальної практики - сімейний лікар",IF(S109&lt;Законод!$C$22,0,(IF(AND(S109&gt;=Законод!$G$22,S109&lt;=Законод!$G$23),S109-Законод!$F$23,IF('01_Доходи'!S109&gt;=Законод!$H$22,Законод!$G$24,0)))),IF($B$105="Лікар-педіатр",IF(S109&lt;Законод!$C$18,0,(IF(AND(S109&gt;=Законод!$G$18,S109&lt;=Законод!$G$19),S109-Законод!$F$19,IF('01_Доходи'!S109&gt;=Законод!$H$18,Законод!$G$20,0)))),IF($B$105="Лікар-терапевт",IF(S109&lt;Законод!$C$26,0,(IF(AND(S109&gt;=Законод!$G$26,S109&lt;=Законод!$G$27),S109-Законод!$F$27,IF('01_Доходи'!S109&gt;=Законод!$H$26,Законод!$G$28,0)))),0)))</f>
        <v>0</v>
      </c>
      <c r="T113" s="945"/>
      <c r="U113" s="940" t="s">
        <v>346</v>
      </c>
      <c r="V113" s="940"/>
      <c r="W113" s="940"/>
      <c r="X113" s="940"/>
      <c r="Y113" s="940"/>
      <c r="Z113" s="196">
        <f ca="1">IF($B$105="Лікар загальної практики - сімейний лікар",IF(Z109&lt;Законод!$C$22,0,(IF(AND(Z109&gt;=Законод!$G$22,Z109&lt;=Законод!$G$23),Z109-Законод!$F$23,IF('01_Доходи'!Z109&gt;=Законод!$H$22,Законод!$G$24,0)))),IF($B$105="Лікар-педіатр",IF(Z109&lt;Законод!$C$18,0,(IF(AND(Z109&gt;=Законод!$G$18,Z109&lt;=Законод!$G$19),Z109-Законод!$F$19,IF('01_Доходи'!Z109&gt;=Законод!$H$18,Законод!$G$20,0)))),IF($B$105="Лікар-терапевт",IF(Z109&lt;Законод!$C$26,0,(IF(AND(Z109&gt;=Законод!$G$26,Z109&lt;=Законод!$G$27),Z109-Законод!$F$27,IF('01_Доходи'!Z109&gt;=Законод!$H$26,Законод!$G$28,0)))),0)))</f>
        <v>0</v>
      </c>
      <c r="AA113" s="945"/>
      <c r="AB113" s="940" t="s">
        <v>346</v>
      </c>
      <c r="AC113" s="940"/>
      <c r="AD113" s="940"/>
      <c r="AE113" s="940"/>
      <c r="AF113" s="940"/>
      <c r="AG113" s="196">
        <f ca="1">IF($B$105="Лікар загальної практики - сімейний лікар",IF(AG109&lt;Законод!$C$22,0,(IF(AND(AG109&gt;=Законод!$G$22,AG109&lt;=Законод!$G$23),AG109-Законод!$F$23,IF('01_Доходи'!AG109&gt;=Законод!$H$22,Законод!$G$24,0)))),IF($B$105="Лікар-педіатр",IF(AG109&lt;Законод!$C$18,0,(IF(AND(AG109&gt;=Законод!$G$18,AG109&lt;=Законод!$G$19),AG109-Законод!$F$19,IF('01_Доходи'!AG109&gt;=Законод!$H$18,Законод!$G$20,0)))),IF($B$105="Лікар-терапевт",IF(AG109&lt;Законод!$C$26,0,(IF(AND(AG109&gt;=Законод!$G$26,AG109&lt;=Законод!$G$27),AG109-Законод!$F$27,IF('01_Доходи'!AG109&gt;=Законод!$H$26,Законод!$G$28,0)))),0)))</f>
        <v>0</v>
      </c>
      <c r="AH113" s="945"/>
      <c r="AI113" s="201"/>
      <c r="AJ113" s="933"/>
      <c r="AK113" s="927"/>
      <c r="AL113" s="927"/>
      <c r="AM113" s="899"/>
      <c r="AN113" s="210">
        <f ca="1">IF(B105="Лікар загальної практики - сімейний лікар",L113*Законод!$C$9/4*Законод!$G$16,IF(B105="Лікар-педіатр",L113*Законод!$C$9/4*Законод!$G$16,IF(B105="Лікар-терапевт",L113*Законод!$C$9/4*Законод!$G$16,0)))</f>
        <v>0</v>
      </c>
      <c r="AO113" s="210">
        <f ca="1">IF(B105="Лікар загальної практики - сімейний лікар",S113*Законод!$C$9/4*Законод!$G$16,IF(B105="Лікар-педіатр",S113*Законод!$C$9/4*Законод!$G$16,IF(B105="Лікар-терапевт",S113*Законод!$C$9/4*Законод!$G$16,0)))</f>
        <v>0</v>
      </c>
      <c r="AP113" s="210">
        <f ca="1">IF(B105="Лікар загальної практики - сімейний лікар",Z113*Законод!$C$9/4*Законод!$G$16,IF(B105="Лікар-педіатр",Z113*Законод!$C$9/4*Законод!$G$16,IF(B105="Лікар-терапевт",Z113*Законод!$C$9/4*Законод!$G$16,0)))</f>
        <v>0</v>
      </c>
      <c r="AQ113" s="210">
        <f ca="1">IF(B105="Лікар загальної практики - сімейний лікар",AG113*Законод!$C$9/4*Законод!$G$16,IF(B105="Лікар-педіатр",AG113*Законод!$C$9/4*Законод!$G$16,IF(B105="Лікар-терапевт",AG113*Законод!$C$9/4*Законод!$G$16,0)))</f>
        <v>0</v>
      </c>
      <c r="AR113" s="211">
        <f t="shared" si="7"/>
        <v>0</v>
      </c>
    </row>
    <row r="114" spans="1:44" s="50" customFormat="1" ht="31.9" customHeight="1">
      <c r="A114" s="197"/>
      <c r="B114" s="941"/>
      <c r="C114" s="942"/>
      <c r="D114" s="943"/>
      <c r="E114" s="943"/>
      <c r="F114" s="238" t="str">
        <f ca="1">IF(B105="Лікар-педіатр",Законод!$H$17,IF(B105="Лікар загальної практики - сімейний лікар",Законод!$H$21,IF(B105="Лікар-терапевт",Законод!$H$25,"х")))</f>
        <v>понад ліміт (2601-2800)</v>
      </c>
      <c r="G114" s="940" t="s">
        <v>346</v>
      </c>
      <c r="H114" s="940"/>
      <c r="I114" s="940"/>
      <c r="J114" s="940"/>
      <c r="K114" s="940"/>
      <c r="L114" s="196">
        <f ca="1">IF($B$105="Лікар загальної практики - сімейний лікар",IF(L109&lt;Законод!$C$22,0,(IF(AND(L109&gt;=Законод!$H$22,L109&lt;=Законод!$H$23),L109-Законод!$G$23,IF('01_Доходи'!L109&gt;=Законод!$I$22,Законод!$H$24,0)))),IF($B$105="Лікар-педіатр",IF(L109&lt;Законод!$C$18,0,(IF(AND(L109&gt;=Законод!$H$18,L109&lt;=Законод!$H$19),L109-Законод!$G$19,IF('01_Доходи'!L109&gt;=Законод!$I$18,Законод!$H$20,0)))),IF($B$105="Лікар-терапевт",IF(L109&lt;Законод!$C$26,0,(IF(AND(L109&gt;=Законод!$H$26,L109&lt;=Законод!$H$27),L109-Законод!$G$27,IF(L109&gt;=Законод!$I$26,Законод!$H$28,0)))),0)))</f>
        <v>0</v>
      </c>
      <c r="M114" s="945"/>
      <c r="N114" s="940" t="s">
        <v>346</v>
      </c>
      <c r="O114" s="940"/>
      <c r="P114" s="940"/>
      <c r="Q114" s="940"/>
      <c r="R114" s="940"/>
      <c r="S114" s="196">
        <f ca="1">IF($B$105="Лікар загальної практики - сімейний лікар",IF(S109&lt;Законод!$C$22,0,(IF(AND(S109&gt;=Законод!$H$22,S109&lt;=Законод!$H$23),S109-Законод!$G$23,IF('01_Доходи'!S109&gt;=Законод!$I$22,Законод!$H$24,0)))),IF($B$105="Лікар-педіатр",IF(S109&lt;Законод!$C$18,0,(IF(AND(S109&gt;=Законод!$H$18,S109&lt;=Законод!$H$19),S109-Законод!$G$19,IF('01_Доходи'!S109&gt;=Законод!$I$18,Законод!$H$20,0)))),IF($B$105="Лікар-терапевт",IF(S109&lt;Законод!$C$26,0,(IF(AND(S109&gt;=Законод!$H$26,S109&lt;=Законод!$H$27),S109-Законод!$G$27,IF(S109&gt;=Законод!$I$26,Законод!$H$28,0)))),0)))</f>
        <v>0</v>
      </c>
      <c r="T114" s="945"/>
      <c r="U114" s="940" t="s">
        <v>346</v>
      </c>
      <c r="V114" s="940"/>
      <c r="W114" s="940"/>
      <c r="X114" s="940"/>
      <c r="Y114" s="940"/>
      <c r="Z114" s="196">
        <f ca="1">IF($B$105="Лікар загальної практики - сімейний лікар",IF(Z109&lt;Законод!$C$22,0,(IF(AND(Z109&gt;=Законод!$H$22,Z109&lt;=Законод!$H$23),Z109-Законод!$G$23,IF('01_Доходи'!Z109&gt;=Законод!$I$22,Законод!$H$24,0)))),IF($B$105="Лікар-педіатр",IF(Z109&lt;Законод!$C$18,0,(IF(AND(Z109&gt;=Законод!$H$18,Z109&lt;=Законод!$H$19),Z109-Законод!$G$19,IF('01_Доходи'!Z109&gt;=Законод!$I$18,Законод!$H$20,0)))),IF($B$105="Лікар-терапевт",IF(Z109&lt;Законод!$C$26,0,(IF(AND(Z109&gt;=Законод!$H$26,Z109&lt;=Законод!$H$27),Z109-Законод!$G$27,IF(Z109&gt;=Законод!$I$26,Законод!$H$28,0)))),0)))</f>
        <v>0</v>
      </c>
      <c r="AA114" s="945"/>
      <c r="AB114" s="940" t="s">
        <v>346</v>
      </c>
      <c r="AC114" s="940"/>
      <c r="AD114" s="940"/>
      <c r="AE114" s="940"/>
      <c r="AF114" s="940"/>
      <c r="AG114" s="196">
        <f ca="1">IF($B$105="Лікар загальної практики - сімейний лікар",IF(AG109&lt;Законод!$C$22,0,(IF(AND(AG109&gt;=Законод!$H$22,AG109&lt;=Законод!$H$23),AG109-Законод!$G$23,IF('01_Доходи'!AG109&gt;=Законод!$I$22,Законод!$H$24,0)))),IF($B$105="Лікар-педіатр",IF(AG109&lt;Законод!$C$18,0,(IF(AND(AG109&gt;=Законод!$H$18,AG109&lt;=Законод!$H$19),AG109-Законод!$G$19,IF('01_Доходи'!AG109&gt;=Законод!$I$18,Законод!$H$20,0)))),IF($B$105="Лікар-терапевт",IF(AG109&lt;Законод!$C$26,0,(IF(AND(AG109&gt;=Законод!$H$26,AG109&lt;=Законод!$H$27),AG109-Законод!$G$27,IF(AG109&gt;=Законод!$I$26,Законод!$H$28,0)))),0)))</f>
        <v>0</v>
      </c>
      <c r="AH114" s="945"/>
      <c r="AI114" s="201"/>
      <c r="AJ114" s="933"/>
      <c r="AK114" s="927"/>
      <c r="AL114" s="927"/>
      <c r="AM114" s="899"/>
      <c r="AN114" s="210">
        <f ca="1">IF(B105="Лікар загальної практики - сімейний лікар",L114*Законод!$C$9/4*Законод!$H$16,IF(B105="Лікар-педіатр",L114*Законод!$C$9/4*Законод!$H$16,IF(B105="Лікар-терапевт",L114*Законод!$C$9/4*Законод!$H$16,0)))</f>
        <v>0</v>
      </c>
      <c r="AO114" s="210">
        <f ca="1">IF(B105="Лікар загальної практики - сімейний лікар",S114*Законод!$C$9/4*Законод!$H$16,IF(B105="Лікар-педіатр",S114*Законод!$C$9/4*Законод!$H$16,IF(B105="Лікар-терапевт",S114*Законод!$C$9/4*Законод!$H$16,0)))</f>
        <v>0</v>
      </c>
      <c r="AP114" s="210">
        <f ca="1">IF(B105="Лікар загальної практики - сімейний лікар",Z114*Законод!$C$9/4*Законод!$H$16,IF(B105="Лікар-педіатр",Z114*Законод!$C$9/4*Законод!$H$16,IF(B105="Лікар-терапевт",Z114*Законод!$C$9/4*Законод!$H$16,0)))</f>
        <v>0</v>
      </c>
      <c r="AQ114" s="210">
        <f ca="1">IF(B105="Лікар загальної практики - сімейний лікар",AG114*Законод!$C$9/4*Законод!$H$16,IF(B105="Лікар-педіатр",AG114*Законод!$C$9/4*Законод!$H$16,IF(B105="Лікар-терапевт",AG114*Законод!$C$9/4*Законод!$H$16,0)))</f>
        <v>0</v>
      </c>
      <c r="AR114" s="211">
        <f t="shared" si="7"/>
        <v>0</v>
      </c>
    </row>
    <row r="115" spans="1:44" s="50" customFormat="1" ht="31.9" customHeight="1">
      <c r="A115" s="197"/>
      <c r="B115" s="941"/>
      <c r="C115" s="942"/>
      <c r="D115" s="943"/>
      <c r="E115" s="943"/>
      <c r="F115" s="238" t="str">
        <f ca="1">IF(B105="Лікар-педіатр",Законод!$I$17,IF(B105="Лікар загальної практики - сімейний лікар",Законод!$I$21,IF(B105="Лікар-терапевт",Законод!$I$25,"х")))</f>
        <v>понад ліміт (2801-3000)</v>
      </c>
      <c r="G115" s="940" t="s">
        <v>346</v>
      </c>
      <c r="H115" s="940"/>
      <c r="I115" s="940"/>
      <c r="J115" s="940"/>
      <c r="K115" s="940"/>
      <c r="L115" s="196">
        <f ca="1">IF($B$105="Лікар загальної практики - сімейний лікар",IF(L109&lt;Законод!$C$22,0,(IF(AND(L109&gt;=Законод!$I$22,L109&lt;=Законод!$I$23),L109-Законод!$H$23,IF('01_Доходи'!L109&gt;=Законод!$I$22,Законод!$I$24,0)))),IF($B$105="Лікар-педіатр",IF(L109&lt;Законод!$C$18,0,(IF(AND(L109&gt;=Законод!$I$18,L109&lt;=Законод!$I$19),L109-Законод!$H$19,IF('01_Доходи'!L109&gt;=Законод!$I$18,Законод!$H$20,0)))),IF($B$105="Лікар-терапевт",IF(L109&lt;Законод!$C$26,0,(IF(AND(L109&gt;=Законод!$I$26,L109&lt;=Законод!$I$27),L109-Законод!$H$27,IF('01_Доходи'!L109&gt;=Законод!$I$26,Законод!$H$28,0)))),0)))</f>
        <v>0</v>
      </c>
      <c r="M115" s="945"/>
      <c r="N115" s="940" t="s">
        <v>346</v>
      </c>
      <c r="O115" s="940"/>
      <c r="P115" s="940"/>
      <c r="Q115" s="940"/>
      <c r="R115" s="940"/>
      <c r="S115" s="196">
        <f ca="1">IF($B$105="Лікар загальної практики - сімейний лікар",IF(S109&lt;Законод!$C$22,0,(IF(AND(S109&gt;=Законод!$I$22,S109&lt;=Законод!$I$23),S109-Законод!$H$23,IF('01_Доходи'!S109&gt;=Законод!$I$22,Законод!$I$24,0)))),IF($B$105="Лікар-педіатр",IF(S109&lt;Законод!$C$18,0,(IF(AND(S109&gt;=Законод!$I$18,S109&lt;=Законод!$I$19),S109-Законод!$H$19,IF('01_Доходи'!S109&gt;=Законод!$I$18,Законод!$H$20,0)))),IF($B$105="Лікар-терапевт",IF(S109&lt;Законод!$C$26,0,(IF(AND(S109&gt;=Законод!$I$26,S109&lt;=Законод!$I$27),S109-Законод!$H$27,IF('01_Доходи'!S109&gt;=Законод!$I$26,Законод!$H$28,0)))),0)))</f>
        <v>0</v>
      </c>
      <c r="T115" s="945"/>
      <c r="U115" s="940" t="s">
        <v>346</v>
      </c>
      <c r="V115" s="940"/>
      <c r="W115" s="940"/>
      <c r="X115" s="940"/>
      <c r="Y115" s="940"/>
      <c r="Z115" s="196">
        <f ca="1">IF($B$105="Лікар загальної практики - сімейний лікар",IF(Z109&lt;Законод!$C$22,0,(IF(AND(Z109&gt;=Законод!$I$22,Z109&lt;=Законод!$I$23),Z109-Законод!$H$23,IF('01_Доходи'!Z109&gt;=Законод!$I$22,Законод!$I$24,0)))),IF($B$105="Лікар-педіатр",IF(Z109&lt;Законод!$C$18,0,(IF(AND(Z109&gt;=Законод!$I$18,Z109&lt;=Законод!$I$19),Z109-Законод!$H$19,IF('01_Доходи'!Z109&gt;=Законод!$I$18,Законод!$H$20,0)))),IF($B$105="Лікар-терапевт",IF(Z109&lt;Законод!$C$26,0,(IF(AND(Z109&gt;=Законод!$I$26,Z109&lt;=Законод!$I$27),Z109-Законод!$H$27,IF('01_Доходи'!Z109&gt;=Законод!$I$26,Законод!$H$28,0)))),0)))</f>
        <v>0</v>
      </c>
      <c r="AA115" s="945"/>
      <c r="AB115" s="940" t="s">
        <v>346</v>
      </c>
      <c r="AC115" s="940"/>
      <c r="AD115" s="940"/>
      <c r="AE115" s="940"/>
      <c r="AF115" s="940"/>
      <c r="AG115" s="196">
        <f ca="1">IF($B$105="Лікар загальної практики - сімейний лікар",IF(AG109&lt;Законод!$C$22,0,(IF(AND(AG109&gt;=Законод!$I$22,AG109&lt;=Законод!$I$23),AG109-Законод!$H$23,IF('01_Доходи'!AG109&gt;=Законод!$I$22,Законод!$I$24,0)))),IF($B$105="Лікар-педіатр",IF(AG109&lt;Законод!$C$18,0,(IF(AND(AG109&gt;=Законод!$I$18,AG109&lt;=Законод!$I$19),AG109-Законод!$H$19,IF('01_Доходи'!AG109&gt;=Законод!$I$18,Законод!$H$20,0)))),IF($B$105="Лікар-терапевт",IF(AG109&lt;Законод!$C$26,0,(IF(AND(AG109&gt;=Законод!$I$26,AG109&lt;=Законод!$I$27),AG109-Законод!$H$27,IF('01_Доходи'!AG109&gt;=Законод!$I$26,Законод!$H$28,0)))),0)))</f>
        <v>0</v>
      </c>
      <c r="AH115" s="945"/>
      <c r="AI115" s="201"/>
      <c r="AJ115" s="933"/>
      <c r="AK115" s="927"/>
      <c r="AL115" s="927"/>
      <c r="AM115" s="899"/>
      <c r="AN115" s="210">
        <f ca="1">IF(B105="Лікар загальної практики - сімейний лікар",L115*Законод!$C$9/4*Законод!$I$16,IF(B105="Лікар-педіатр",L115*Законод!$C$9/4*Законод!$I$16,IF(B105="Лікар-терапевт",L115*Законод!$C$9/4*Законод!$I$16,0)))</f>
        <v>0</v>
      </c>
      <c r="AO115" s="210">
        <f ca="1">IF(B105="Лікар загальної практики - сімейний лікар",S115*Законод!$C$9/4*Законод!$I$16,IF(B105="Лікар-педіатр",S115*Законод!$C$9/4*Законод!$I$16,IF(B105="Лікар-терапевт",S115*Законод!$C$9/4*Законод!$I$16,0)))</f>
        <v>0</v>
      </c>
      <c r="AP115" s="210">
        <f ca="1">IF(B105="Лікар загальної практики - сімейний лікар",Z115*Законод!$C$9/4*Законод!$I$16,IF(B105="Лікар-педіатр",Z115*Законод!$C$9/4*Законод!$I$16,IF(B105="Лікар-терапевт",Z115*Законод!$C$9/4*Законод!$I$16,0)))</f>
        <v>0</v>
      </c>
      <c r="AQ115" s="210">
        <f ca="1">IF(B105="Лікар загальної практики - сімейний лікар",AG115*Законод!$C$9/4*Законод!$I$16,IF(B105="Лікар-педіатр",AG115*Законод!$C$9/4*Законод!$I$16,IF(B105="Лікар-терапевт",AG115*Законод!$C$9/4*Законод!$I$16,0)))</f>
        <v>0</v>
      </c>
      <c r="AR115" s="211">
        <f t="shared" si="7"/>
        <v>0</v>
      </c>
    </row>
    <row r="116" spans="1:44" s="218" customFormat="1" ht="31.9" customHeight="1" thickBot="1">
      <c r="A116" s="213"/>
      <c r="B116" s="941"/>
      <c r="C116" s="942"/>
      <c r="D116" s="943"/>
      <c r="E116" s="943"/>
      <c r="F116" s="239" t="str">
        <f ca="1">IF(B105="Лікар-педіатр",Законод!$J$17,IF(B105="Лікар загальної практики - сімейний лікар",Законод!$J$21,IF(B105="Лікар-терапевт",Законод!$J$25,"х")))</f>
        <v>понад ліміт (&gt;=3001)</v>
      </c>
      <c r="G116" s="939" t="s">
        <v>346</v>
      </c>
      <c r="H116" s="939"/>
      <c r="I116" s="939"/>
      <c r="J116" s="939"/>
      <c r="K116" s="939"/>
      <c r="L116" s="196">
        <f ca="1">IF($B$105="Лікар загальної практики - сімейний лікар",IF(L109&gt;=Законод!$J$22,'01_Доходи'!L109-('01_Доходи'!L110+'01_Доходи'!L111+'01_Доходи'!L112+'01_Доходи'!L113+'01_Доходи'!L114+'01_Доходи'!L115),0),IF($B$105="Лікар-педіатр",IF(L109&gt;=Законод!$J$18,'01_Доходи'!L109-('01_Доходи'!L110+'01_Доходи'!L111+'01_Доходи'!L112+'01_Доходи'!L113+'01_Доходи'!L114+'01_Доходи'!L115),0),IF($B$105="Лікар-терапевт",IF('01_Доходи'!L109&gt;=Законод!$J$26,L109-Законод!$I$27,0),0)))</f>
        <v>0</v>
      </c>
      <c r="M116" s="945"/>
      <c r="N116" s="939" t="s">
        <v>346</v>
      </c>
      <c r="O116" s="939"/>
      <c r="P116" s="939"/>
      <c r="Q116" s="939"/>
      <c r="R116" s="939"/>
      <c r="S116" s="196">
        <f ca="1">IF($B$105="Лікар загальної практики - сімейний лікар",IF(S109&gt;=Законод!$J$22,'01_Доходи'!S109-('01_Доходи'!S110+'01_Доходи'!S111+'01_Доходи'!S112+'01_Доходи'!S113+'01_Доходи'!S114+'01_Доходи'!S115),0),IF($B$105="Лікар-педіатр",IF(S109&gt;=Законод!$J$18,'01_Доходи'!S109-('01_Доходи'!S110+'01_Доходи'!S111+'01_Доходи'!S112+'01_Доходи'!S113+'01_Доходи'!S114+'01_Доходи'!S115),0),IF($B$105="Лікар-терапевт",IF('01_Доходи'!S109&gt;=Законод!$J$26,S109-Законод!$I$27,0),0)))</f>
        <v>0</v>
      </c>
      <c r="T116" s="945"/>
      <c r="U116" s="939" t="s">
        <v>346</v>
      </c>
      <c r="V116" s="939"/>
      <c r="W116" s="939"/>
      <c r="X116" s="939"/>
      <c r="Y116" s="939"/>
      <c r="Z116" s="196">
        <f ca="1">IF($B$105="Лікар загальної практики - сімейний лікар",IF(Z109&gt;=Законод!$J$22,'01_Доходи'!Z109-('01_Доходи'!Z110+'01_Доходи'!Z111+'01_Доходи'!Z112+'01_Доходи'!Z113+'01_Доходи'!Z114+'01_Доходи'!Z115),0),IF($B$105="Лікар-педіатр",IF(Z109&gt;=Законод!$J$18,'01_Доходи'!Z109-('01_Доходи'!Z110+'01_Доходи'!Z111+'01_Доходи'!Z112+'01_Доходи'!Z113+'01_Доходи'!Z114+'01_Доходи'!Z115),0),IF($B$105="Лікар-терапевт",IF('01_Доходи'!Z109&gt;=Законод!$J$26,Z109-Законод!$I$27,0),0)))</f>
        <v>0</v>
      </c>
      <c r="AA116" s="945"/>
      <c r="AB116" s="939" t="s">
        <v>346</v>
      </c>
      <c r="AC116" s="939"/>
      <c r="AD116" s="939"/>
      <c r="AE116" s="939"/>
      <c r="AF116" s="939"/>
      <c r="AG116" s="196">
        <f ca="1">IF($B$105="Лікар загальної практики - сімейний лікар",IF(AG109&gt;=Законод!$J$22,'01_Доходи'!AG109-('01_Доходи'!AG110+'01_Доходи'!AG111+'01_Доходи'!AG112+'01_Доходи'!AG113+'01_Доходи'!AG114+'01_Доходи'!AG115),0),IF($B$105="Лікар-педіатр",IF(AG109&gt;=Законод!$J$18,'01_Доходи'!AG109-('01_Доходи'!AG110+'01_Доходи'!AG111+'01_Доходи'!AG112+'01_Доходи'!AG113+'01_Доходи'!AG114+'01_Доходи'!AG115),0),IF($B$105="Лікар-терапевт",IF('01_Доходи'!AG109&gt;=Законод!$J$26,AG109-Законод!$I$27,0),0)))</f>
        <v>0</v>
      </c>
      <c r="AH116" s="945"/>
      <c r="AI116" s="215"/>
      <c r="AJ116" s="934"/>
      <c r="AK116" s="928"/>
      <c r="AL116" s="928"/>
      <c r="AM116" s="900"/>
      <c r="AN116" s="216">
        <f ca="1">IF(B105="Лікар загальної практики - сімейний лікар",L116*Законод!$C$9/4*Законод!$J$16,IF(B105="Лікар-педіатр",L116*Законод!$C$9/4*Законод!$J$16,IF(B105="Лікар-терапевт",L116*Законод!$C$9/4*Законод!$J$16,0)))</f>
        <v>0</v>
      </c>
      <c r="AO116" s="216">
        <f ca="1">IF(B105="Лікар загальної практики - сімейний лікар",S116*Законод!$C$9/4*Законод!$J$16,IF(B105="Лікар-педіатр",S116*Законод!$C$9/4*Законод!$J$16,IF(B105="Лікар-терапевт",S116*Законод!$C$9/4*Законод!$J$16,0)))</f>
        <v>0</v>
      </c>
      <c r="AP116" s="216">
        <f ca="1">IF(B105="Лікар загальної практики - сімейний лікар",S116*Законод!$C$9/4*Законод!$J$16,IF(B105="Лікар-педіатр",S116*Законод!$C$9/4*Законод!$J$16,IF(B105="Лікар-терапевт",S116*Законод!$C$9/4*Законод!$J$16,0)))</f>
        <v>0</v>
      </c>
      <c r="AQ116" s="216">
        <f ca="1">IF(B105="Лікар загальної практики - сімейний лікар",AG116*Законод!$C$9/4*Законод!$J$16,IF(B105="Лікар-педіатр",AG116*Законод!$C$9/4*Законод!$J$16,IF(B105="Лікар-терапевт",AG116*Законод!$C$9/4*Законод!$J$16,0)))</f>
        <v>0</v>
      </c>
      <c r="AR116" s="217">
        <f t="shared" si="7"/>
        <v>0</v>
      </c>
    </row>
    <row r="117" spans="1:44" s="233" customFormat="1" ht="18" customHeight="1" thickBot="1">
      <c r="A117" s="219"/>
      <c r="B117" s="220"/>
      <c r="C117" s="221"/>
      <c r="D117" s="222"/>
      <c r="E117" s="222"/>
      <c r="F117" s="223"/>
      <c r="G117" s="224"/>
      <c r="H117" s="224"/>
      <c r="I117" s="224"/>
      <c r="J117" s="224"/>
      <c r="K117" s="224"/>
      <c r="L117" s="225"/>
      <c r="M117" s="226"/>
      <c r="N117" s="224"/>
      <c r="O117" s="224"/>
      <c r="P117" s="224"/>
      <c r="Q117" s="224"/>
      <c r="R117" s="224"/>
      <c r="S117" s="225"/>
      <c r="T117" s="226"/>
      <c r="U117" s="224"/>
      <c r="V117" s="224"/>
      <c r="W117" s="224"/>
      <c r="X117" s="224"/>
      <c r="Y117" s="224"/>
      <c r="Z117" s="227"/>
      <c r="AA117" s="226"/>
      <c r="AB117" s="224"/>
      <c r="AC117" s="224"/>
      <c r="AD117" s="224"/>
      <c r="AE117" s="224"/>
      <c r="AF117" s="224"/>
      <c r="AG117" s="227"/>
      <c r="AH117" s="226"/>
      <c r="AI117" s="228"/>
      <c r="AJ117" s="229"/>
      <c r="AK117" s="229"/>
      <c r="AL117" s="229"/>
      <c r="AM117" s="230"/>
      <c r="AN117" s="231"/>
      <c r="AO117" s="231"/>
      <c r="AP117" s="231"/>
      <c r="AQ117" s="231"/>
      <c r="AR117" s="232"/>
    </row>
    <row r="118" spans="1:44" s="191" customFormat="1" ht="30" customHeight="1">
      <c r="A118" s="194">
        <f>A105+1</f>
        <v>7</v>
      </c>
      <c r="B118" s="941" t="s">
        <v>235</v>
      </c>
      <c r="C118" s="942" t="s">
        <v>73</v>
      </c>
      <c r="D118" s="943"/>
      <c r="E118" s="943" t="s">
        <v>65</v>
      </c>
      <c r="F118" s="234" t="s">
        <v>582</v>
      </c>
      <c r="G118" s="196">
        <f>16</f>
        <v>16</v>
      </c>
      <c r="H118" s="196">
        <f>165+19</f>
        <v>184</v>
      </c>
      <c r="I118" s="196">
        <f>579+102</f>
        <v>681</v>
      </c>
      <c r="J118" s="196">
        <f>185+719</f>
        <v>904</v>
      </c>
      <c r="K118" s="196">
        <f>321+62</f>
        <v>383</v>
      </c>
      <c r="L118" s="558">
        <f>G118+H118+I118+J118+K118</f>
        <v>2168</v>
      </c>
      <c r="M118" s="945">
        <v>1</v>
      </c>
      <c r="N118" s="196">
        <f>16</f>
        <v>16</v>
      </c>
      <c r="O118" s="196">
        <f>165+19</f>
        <v>184</v>
      </c>
      <c r="P118" s="196">
        <f>579+102</f>
        <v>681</v>
      </c>
      <c r="Q118" s="196">
        <f>185+719</f>
        <v>904</v>
      </c>
      <c r="R118" s="196">
        <f>321+62</f>
        <v>383</v>
      </c>
      <c r="S118" s="558">
        <f>N118+O118+P118+Q118+R118</f>
        <v>2168</v>
      </c>
      <c r="T118" s="945">
        <v>1</v>
      </c>
      <c r="U118" s="196">
        <f>16</f>
        <v>16</v>
      </c>
      <c r="V118" s="196">
        <f>165+19</f>
        <v>184</v>
      </c>
      <c r="W118" s="196">
        <f>579+102</f>
        <v>681</v>
      </c>
      <c r="X118" s="196">
        <f>185+719</f>
        <v>904</v>
      </c>
      <c r="Y118" s="196">
        <f>321+62</f>
        <v>383</v>
      </c>
      <c r="Z118" s="558">
        <f>U118+V118+W118+X118+Y118</f>
        <v>2168</v>
      </c>
      <c r="AA118" s="945">
        <v>1</v>
      </c>
      <c r="AB118" s="196">
        <f>16</f>
        <v>16</v>
      </c>
      <c r="AC118" s="196">
        <f>165+19</f>
        <v>184</v>
      </c>
      <c r="AD118" s="196">
        <f>579+102</f>
        <v>681</v>
      </c>
      <c r="AE118" s="196">
        <f>185+719</f>
        <v>904</v>
      </c>
      <c r="AF118" s="196">
        <f>321+62</f>
        <v>383</v>
      </c>
      <c r="AG118" s="558">
        <f>AB118+AC118+AD118+AE118+AF118</f>
        <v>2168</v>
      </c>
      <c r="AH118" s="945">
        <v>1</v>
      </c>
      <c r="AI118" s="541">
        <f>A118</f>
        <v>7</v>
      </c>
      <c r="AJ118" s="932" t="str">
        <f>B118</f>
        <v>Лікар загальної практики - сімейний лікар</v>
      </c>
      <c r="AK118" s="926" t="str">
        <f>C118</f>
        <v>Гнатюк Людмила Миколаївна</v>
      </c>
      <c r="AL118" s="926">
        <f>D118</f>
        <v>0</v>
      </c>
      <c r="AM118" s="901" t="s">
        <v>785</v>
      </c>
      <c r="AN118" s="923">
        <f>SUM(AN123:AN129)</f>
        <v>341640.04854889301</v>
      </c>
      <c r="AO118" s="923">
        <f>SUM(AO123:AO129)</f>
        <v>341640.04854889301</v>
      </c>
      <c r="AP118" s="923">
        <f>SUM(AP123:AP129)</f>
        <v>341640.04854889301</v>
      </c>
      <c r="AQ118" s="923">
        <f>SUM(AQ123:AQ129)</f>
        <v>341640.04854889301</v>
      </c>
      <c r="AR118" s="914">
        <f>SUM(AN118:AQ122)</f>
        <v>1366560.1941955721</v>
      </c>
    </row>
    <row r="119" spans="1:44" s="50" customFormat="1" ht="28.15" customHeight="1">
      <c r="A119" s="197"/>
      <c r="B119" s="941"/>
      <c r="C119" s="942"/>
      <c r="D119" s="943"/>
      <c r="E119" s="943"/>
      <c r="F119" s="234" t="s">
        <v>583</v>
      </c>
      <c r="G119" s="196">
        <f>16</f>
        <v>16</v>
      </c>
      <c r="H119" s="196">
        <f>165+19</f>
        <v>184</v>
      </c>
      <c r="I119" s="196">
        <f>579+102</f>
        <v>681</v>
      </c>
      <c r="J119" s="196">
        <f>185+719</f>
        <v>904</v>
      </c>
      <c r="K119" s="196">
        <f>321+62</f>
        <v>383</v>
      </c>
      <c r="L119" s="558">
        <f>G119+H119+I119+J119+K119</f>
        <v>2168</v>
      </c>
      <c r="M119" s="945"/>
      <c r="N119" s="196">
        <f>16</f>
        <v>16</v>
      </c>
      <c r="O119" s="196">
        <f>165+19</f>
        <v>184</v>
      </c>
      <c r="P119" s="196">
        <f>579+102</f>
        <v>681</v>
      </c>
      <c r="Q119" s="196">
        <f>185+719</f>
        <v>904</v>
      </c>
      <c r="R119" s="196">
        <f>321+62</f>
        <v>383</v>
      </c>
      <c r="S119" s="558">
        <f>N119+O119+P119+Q119+R119</f>
        <v>2168</v>
      </c>
      <c r="T119" s="945"/>
      <c r="U119" s="196">
        <f>16</f>
        <v>16</v>
      </c>
      <c r="V119" s="196">
        <f>165+19</f>
        <v>184</v>
      </c>
      <c r="W119" s="196">
        <f>579+102</f>
        <v>681</v>
      </c>
      <c r="X119" s="196">
        <f>185+719</f>
        <v>904</v>
      </c>
      <c r="Y119" s="196">
        <f>321+62</f>
        <v>383</v>
      </c>
      <c r="Z119" s="558">
        <f>U119+V119+W119+X119+Y119</f>
        <v>2168</v>
      </c>
      <c r="AA119" s="945"/>
      <c r="AB119" s="196">
        <f>16</f>
        <v>16</v>
      </c>
      <c r="AC119" s="196">
        <f>165+19</f>
        <v>184</v>
      </c>
      <c r="AD119" s="196">
        <f>579+102</f>
        <v>681</v>
      </c>
      <c r="AE119" s="196">
        <f>185+719</f>
        <v>904</v>
      </c>
      <c r="AF119" s="196">
        <f>321+62</f>
        <v>383</v>
      </c>
      <c r="AG119" s="558">
        <f>AB119+AC119+AD119+AE119+AF119</f>
        <v>2168</v>
      </c>
      <c r="AH119" s="945"/>
      <c r="AI119" s="198"/>
      <c r="AJ119" s="933"/>
      <c r="AK119" s="927"/>
      <c r="AL119" s="927"/>
      <c r="AM119" s="902"/>
      <c r="AN119" s="924"/>
      <c r="AO119" s="924"/>
      <c r="AP119" s="924"/>
      <c r="AQ119" s="924"/>
      <c r="AR119" s="915"/>
    </row>
    <row r="120" spans="1:44" s="90" customFormat="1" ht="31.15" customHeight="1">
      <c r="A120" s="240"/>
      <c r="B120" s="941"/>
      <c r="C120" s="942"/>
      <c r="D120" s="943"/>
      <c r="E120" s="943"/>
      <c r="F120" s="241" t="s">
        <v>584</v>
      </c>
      <c r="G120" s="196">
        <f>16</f>
        <v>16</v>
      </c>
      <c r="H120" s="196">
        <f>165+19</f>
        <v>184</v>
      </c>
      <c r="I120" s="196">
        <f>579+102</f>
        <v>681</v>
      </c>
      <c r="J120" s="196">
        <f>185+719</f>
        <v>904</v>
      </c>
      <c r="K120" s="196">
        <f>321+62</f>
        <v>383</v>
      </c>
      <c r="L120" s="558">
        <f>G120+H120+I120+J120+K120</f>
        <v>2168</v>
      </c>
      <c r="M120" s="945"/>
      <c r="N120" s="196">
        <f>16</f>
        <v>16</v>
      </c>
      <c r="O120" s="196">
        <f>165+19</f>
        <v>184</v>
      </c>
      <c r="P120" s="196">
        <f>579+102</f>
        <v>681</v>
      </c>
      <c r="Q120" s="196">
        <f>185+719</f>
        <v>904</v>
      </c>
      <c r="R120" s="196">
        <f>321+62</f>
        <v>383</v>
      </c>
      <c r="S120" s="200">
        <f>SUM(N120:R120)</f>
        <v>2168</v>
      </c>
      <c r="T120" s="945"/>
      <c r="U120" s="196">
        <f>16</f>
        <v>16</v>
      </c>
      <c r="V120" s="196">
        <f>165+19</f>
        <v>184</v>
      </c>
      <c r="W120" s="196">
        <f>579+102</f>
        <v>681</v>
      </c>
      <c r="X120" s="196">
        <f>185+719</f>
        <v>904</v>
      </c>
      <c r="Y120" s="196">
        <f>321+62</f>
        <v>383</v>
      </c>
      <c r="Z120" s="558">
        <f>U120+V120+W120+X120+Y120</f>
        <v>2168</v>
      </c>
      <c r="AA120" s="945"/>
      <c r="AB120" s="196">
        <f>16</f>
        <v>16</v>
      </c>
      <c r="AC120" s="196">
        <f>165+19</f>
        <v>184</v>
      </c>
      <c r="AD120" s="196">
        <f>579+102</f>
        <v>681</v>
      </c>
      <c r="AE120" s="196">
        <f>185+719</f>
        <v>904</v>
      </c>
      <c r="AF120" s="196">
        <f>321+62</f>
        <v>383</v>
      </c>
      <c r="AG120" s="558">
        <f>AB120+AC120+AD120+AE120+AF120</f>
        <v>2168</v>
      </c>
      <c r="AH120" s="945"/>
      <c r="AI120" s="242"/>
      <c r="AJ120" s="933"/>
      <c r="AK120" s="927"/>
      <c r="AL120" s="927"/>
      <c r="AM120" s="902"/>
      <c r="AN120" s="924"/>
      <c r="AO120" s="924"/>
      <c r="AP120" s="924"/>
      <c r="AQ120" s="924"/>
      <c r="AR120" s="915"/>
    </row>
    <row r="121" spans="1:44" s="50" customFormat="1" ht="31.9" customHeight="1" thickBot="1">
      <c r="A121" s="197"/>
      <c r="B121" s="941"/>
      <c r="C121" s="942"/>
      <c r="D121" s="943"/>
      <c r="E121" s="943"/>
      <c r="F121" s="236" t="s">
        <v>349</v>
      </c>
      <c r="G121" s="203">
        <f>IF($B$118="Лікар-педіатр",G120/L120,IF($B$118="Лікар-терапевт","х",IF($B$118="Лікар загальної практики - сімейний лікар",G120/L120,0)))</f>
        <v>7.3800738007380072E-3</v>
      </c>
      <c r="H121" s="203">
        <f>IF($B$118="Лікар-педіатр",H120/L120,IF($B$118="Лікар-терапевт","х",IF($B$118="Лікар загальної практики - сімейний лікар",H120/L120,0)))</f>
        <v>8.4870848708487087E-2</v>
      </c>
      <c r="I121" s="203">
        <f>IF($B$118="Лікар-педіатр","x",IF($B$118="Лікар-терапевт",I120/L120,IF($B$118="Лікар загальної практики - сімейний лікар",I120/L120,0)))</f>
        <v>0.31411439114391143</v>
      </c>
      <c r="J121" s="203">
        <f>IF($B$118="Лікар-педіатр","x",IF($B$118="Лікар-терапевт",J120/L120,IF($B$118="Лікар загальної практики - сімейний лікар",J120/L120,0)))</f>
        <v>0.41697416974169743</v>
      </c>
      <c r="K121" s="203">
        <f>IF($B$118="Лікар-педіатр","x",IF($B$118="Лікар-терапевт",K120/L120,IF($B$118="Лікар загальної практики - сімейний лікар",K120/L120,0)))</f>
        <v>0.17666051660516605</v>
      </c>
      <c r="L121" s="203">
        <f>SUM(G121:K121)</f>
        <v>1</v>
      </c>
      <c r="M121" s="945"/>
      <c r="N121" s="203">
        <f>IF($B$118="Лікар-педіатр",N120/S120,IF($B$118="Лікар-терапевт","х",IF($B$118="Лікар загальної практики - сімейний лікар",N120/S120,0)))</f>
        <v>7.3800738007380072E-3</v>
      </c>
      <c r="O121" s="203">
        <f>IF($B$118="Лікар-педіатр",O120/S120,IF($B$118="Лікар-терапевт","х",IF($B$118="Лікар загальної практики - сімейний лікар",O120/S120,0)))</f>
        <v>8.4870848708487087E-2</v>
      </c>
      <c r="P121" s="203">
        <f>IF($B$118="Лікар-педіатр","x",IF($B$118="Лікар-терапевт",P120/S120,IF($B$118="Лікар загальної практики - сімейний лікар",P120/S120,0)))</f>
        <v>0.31411439114391143</v>
      </c>
      <c r="Q121" s="203">
        <f>IF($B$118="Лікар-педіатр","x",IF($B$118="Лікар-терапевт",Q120/S120,IF($B$118="Лікар загальної практики - сімейний лікар",Q120/S120,0)))</f>
        <v>0.41697416974169743</v>
      </c>
      <c r="R121" s="203">
        <f>IF($B$118="Лікар-педіатр","x",IF($B$118="Лікар-терапевт",R120/S120,IF($B$118="Лікар загальної практики - сімейний лікар",R120/S120,0)))</f>
        <v>0.17666051660516605</v>
      </c>
      <c r="S121" s="203">
        <f>SUM(N121:R121)</f>
        <v>1</v>
      </c>
      <c r="T121" s="945"/>
      <c r="U121" s="203">
        <f>IF($B$118="Лікар-педіатр",U120/Z120,IF($B$118="Лікар-терапевт","х",IF($B$118="Лікар загальної практики - сімейний лікар",U120/Z120,0)))</f>
        <v>7.3800738007380072E-3</v>
      </c>
      <c r="V121" s="203">
        <f>IF($B$118="Лікар-педіатр",V120/Z120,IF($B$118="Лікар-терапевт","х",IF($B$118="Лікар загальної практики - сімейний лікар",V120/Z120,0)))</f>
        <v>8.4870848708487087E-2</v>
      </c>
      <c r="W121" s="203">
        <f>IF($B$118="Лікар-педіатр","x",IF($B$118="Лікар-терапевт",W120/Z120,IF($B$118="Лікар загальної практики - сімейний лікар",W120/Z120,0)))</f>
        <v>0.31411439114391143</v>
      </c>
      <c r="X121" s="203">
        <f>IF($B$118="Лікар-педіатр","x",IF($B$118="Лікар-терапевт",X120/Z120,IF($B$118="Лікар загальної практики - сімейний лікар",X120/Z120,0)))</f>
        <v>0.41697416974169743</v>
      </c>
      <c r="Y121" s="203">
        <f>IF($B$118="Лікар-педіатр","x",IF($B$118="Лікар-терапевт",Y120/Z120,IF($B$118="Лікар загальної практики - сімейний лікар",Y120/Z120,0)))</f>
        <v>0.17666051660516605</v>
      </c>
      <c r="Z121" s="203">
        <f>SUM(U121:Y121)</f>
        <v>1</v>
      </c>
      <c r="AA121" s="945"/>
      <c r="AB121" s="203">
        <f>IF($B$118="Лікар-педіатр",AB120/AG120,IF($B$118="Лікар-терапевт","х",IF($B$118="Лікар загальної практики - сімейний лікар",AB120/AG120,0)))</f>
        <v>7.3800738007380072E-3</v>
      </c>
      <c r="AC121" s="203">
        <f>IF($B$118="Лікар-педіатр",AC120/AG120,IF($B$118="Лікар-терапевт","х",IF($B$118="Лікар загальної практики - сімейний лікар",AC120/AG120,0)))</f>
        <v>8.4870848708487087E-2</v>
      </c>
      <c r="AD121" s="203">
        <f>IF($B$118="Лікар-педіатр","x",IF($B$118="Лікар-терапевт",AD120/AG120,IF($B$118="Лікар загальної практики - сімейний лікар",AD120/AG120,0)))</f>
        <v>0.31411439114391143</v>
      </c>
      <c r="AE121" s="203">
        <f>IF($B$118="Лікар-педіатр","x",IF($B$118="Лікар-терапевт",AE120/AG120,IF($B$118="Лікар загальної практики - сімейний лікар",AE120/AG120,0)))</f>
        <v>0.41697416974169743</v>
      </c>
      <c r="AF121" s="203">
        <f>IF($B$118="Лікар-педіатр","x",IF($B$118="Лікар-терапевт",AF120/AG120,IF($B$118="Лікар загальної практики - сімейний лікар",AF120/AG120,0)))</f>
        <v>0.17666051660516605</v>
      </c>
      <c r="AG121" s="203">
        <f>SUM(AB121:AF121)</f>
        <v>1</v>
      </c>
      <c r="AH121" s="945"/>
      <c r="AI121" s="201"/>
      <c r="AJ121" s="933"/>
      <c r="AK121" s="927"/>
      <c r="AL121" s="927"/>
      <c r="AM121" s="902"/>
      <c r="AN121" s="924"/>
      <c r="AO121" s="924"/>
      <c r="AP121" s="924"/>
      <c r="AQ121" s="924"/>
      <c r="AR121" s="915"/>
    </row>
    <row r="122" spans="1:44" s="50" customFormat="1" ht="45" customHeight="1" thickBot="1">
      <c r="A122" s="197"/>
      <c r="B122" s="941"/>
      <c r="C122" s="942"/>
      <c r="D122" s="943"/>
      <c r="E122" s="944"/>
      <c r="F122" s="204" t="s">
        <v>585</v>
      </c>
      <c r="G122" s="205">
        <f>IF($B$118="Лікар загальної практики - сімейний лікар",AVERAGE(G118:G120),IF($B$118="Лікар-педіатр",AVERAGE(G118:G120),IF($B$118="Лікар-терапевт","х",0)))</f>
        <v>16</v>
      </c>
      <c r="H122" s="205">
        <f>IF($B$118="Лікар загальної практики - сімейний лікар",AVERAGE(H118:H120),IF($B$118="Лікар-педіатр",AVERAGE(H118:H120),IF($B$118="Лікар-терапевт","х",0)))</f>
        <v>184</v>
      </c>
      <c r="I122" s="205">
        <f>IF($B$118="Лікар загальної практики - сімейний лікар",AVERAGE(I118:I120),IF($B$118="Лікар-педіатр","x",IF($B$118="Лікар-терапевт",AVERAGE(I118:I120),0)))</f>
        <v>681</v>
      </c>
      <c r="J122" s="205">
        <f>IF($B$118="Лікар загальної практики - сімейний лікар",AVERAGE(J118:J120),IF($B$118="Лікар-педіатр","x",IF($B$118="Лікар-терапевт",AVERAGE(J118:J120),0)))</f>
        <v>904</v>
      </c>
      <c r="K122" s="205">
        <f>IF($B$118="Лікар загальної практики - сімейний лікар",AVERAGE(K118:K120),IF($B$118="Лікар-педіатр","x",IF($B$118="Лікар-терапевт",AVERAGE(K118:K120),0)))</f>
        <v>383</v>
      </c>
      <c r="L122" s="206">
        <f>SUM(G122:K122)</f>
        <v>2168</v>
      </c>
      <c r="M122" s="946"/>
      <c r="N122" s="205">
        <f>IF($B$118="Лікар загальної практики - сімейний лікар",AVERAGE(N118:N120),IF($B$118="Лікар-педіатр",AVERAGE(N118:N120),IF($B$118="Лікар-терапевт","х",0)))</f>
        <v>16</v>
      </c>
      <c r="O122" s="205">
        <f>IF($B$118="Лікар загальної практики - сімейний лікар",AVERAGE(O118:O120),IF($B$118="Лікар-педіатр",AVERAGE(O118:O120),IF($B$118="Лікар-терапевт","х",0)))</f>
        <v>184</v>
      </c>
      <c r="P122" s="205">
        <f>IF($B$118="Лікар загальної практики - сімейний лікар",AVERAGE(P118:P120),IF($B$118="Лікар-педіатр","x",IF($B$118="Лікар-терапевт",AVERAGE(P118:P120),0)))</f>
        <v>681</v>
      </c>
      <c r="Q122" s="205">
        <f>IF($B$118="Лікар загальної практики - сімейний лікар",AVERAGE(Q118:Q120),IF($B$118="Лікар-педіатр","x",IF($B$118="Лікар-терапевт",AVERAGE(Q118:Q120),0)))</f>
        <v>904</v>
      </c>
      <c r="R122" s="205">
        <f>IF($B$118="Лікар загальної практики - сімейний лікар",AVERAGE(R118:R120),IF($B$118="Лікар-педіатр","x",IF($B$118="Лікар-терапевт",AVERAGE(R118:R120),0)))</f>
        <v>383</v>
      </c>
      <c r="S122" s="206">
        <f>SUM(N122:R122)</f>
        <v>2168</v>
      </c>
      <c r="T122" s="946"/>
      <c r="U122" s="205">
        <f>IF($B$118="Лікар загальної практики - сімейний лікар",AVERAGE(U118:U120),IF($B$118="Лікар-педіатр",AVERAGE(U118:U120),IF($B$118="Лікар-терапевт","х",0)))</f>
        <v>16</v>
      </c>
      <c r="V122" s="205">
        <f>IF($B$118="Лікар загальної практики - сімейний лікар",AVERAGE(V118:V120),IF($B$118="Лікар-педіатр",AVERAGE(V118:V120),IF($B$118="Лікар-терапевт","х",0)))</f>
        <v>184</v>
      </c>
      <c r="W122" s="205">
        <f>IF($B$118="Лікар загальної практики - сімейний лікар",AVERAGE(W118:W120),IF($B$118="Лікар-педіатр","x",IF($B$118="Лікар-терапевт",AVERAGE(W118:W120),0)))</f>
        <v>681</v>
      </c>
      <c r="X122" s="205">
        <f>IF($B$118="Лікар загальної практики - сімейний лікар",AVERAGE(X118:X120),IF($B$118="Лікар-педіатр","x",IF($B$118="Лікар-терапевт",AVERAGE(X118:X120),0)))</f>
        <v>904</v>
      </c>
      <c r="Y122" s="205">
        <f>IF($B$118="Лікар загальної практики - сімейний лікар",AVERAGE(Y118:Y120),IF($B$118="Лікар-педіатр","x",IF($B$118="Лікар-терапевт",AVERAGE(Y118:Y120),0)))</f>
        <v>383</v>
      </c>
      <c r="Z122" s="206">
        <f>SUM(U122:Y122)</f>
        <v>2168</v>
      </c>
      <c r="AA122" s="946"/>
      <c r="AB122" s="205">
        <f>IF($B$118="Лікар загальної практики - сімейний лікар",AVERAGE(AB118:AB120),IF($B$118="Лікар-педіатр",AVERAGE(AB118:AB120),IF($B$118="Лікар-терапевт","х",0)))</f>
        <v>16</v>
      </c>
      <c r="AC122" s="205">
        <f>IF($B$118="Лікар загальної практики - сімейний лікар",AVERAGE(AC118:AC120),IF($B$118="Лікар-педіатр",AVERAGE(AC118:AC120),IF($B$118="Лікар-терапевт","х",0)))</f>
        <v>184</v>
      </c>
      <c r="AD122" s="205">
        <f>IF($B$118="Лікар загальної практики - сімейний лікар",AVERAGE(AD118:AD120),IF($B$118="Лікар-педіатр","x",IF($B$118="Лікар-терапевт",AVERAGE(AD118:AD120),0)))</f>
        <v>681</v>
      </c>
      <c r="AE122" s="205">
        <f>IF($B$118="Лікар загальної практики - сімейний лікар",AVERAGE(AE118:AE120),IF($B$118="Лікар-педіатр","x",IF($B$118="Лікар-терапевт",AVERAGE(AE118:AE120),0)))</f>
        <v>904</v>
      </c>
      <c r="AF122" s="205">
        <f>IF($B$118="Лікар загальної практики - сімейний лікар",AVERAGE(AF118:AF120),IF($B$118="Лікар-педіатр","x",IF($B$118="Лікар-терапевт",AVERAGE(AF118:AF120),0)))</f>
        <v>383</v>
      </c>
      <c r="AG122" s="206">
        <f>SUM(AB122:AF122)</f>
        <v>2168</v>
      </c>
      <c r="AH122" s="947"/>
      <c r="AI122" s="201"/>
      <c r="AJ122" s="933"/>
      <c r="AK122" s="927"/>
      <c r="AL122" s="927"/>
      <c r="AM122" s="903"/>
      <c r="AN122" s="925"/>
      <c r="AO122" s="925"/>
      <c r="AP122" s="925"/>
      <c r="AQ122" s="925"/>
      <c r="AR122" s="916"/>
    </row>
    <row r="123" spans="1:44" s="50" customFormat="1" ht="40.5">
      <c r="A123" s="197"/>
      <c r="B123" s="941"/>
      <c r="C123" s="942"/>
      <c r="D123" s="943"/>
      <c r="E123" s="943"/>
      <c r="F123" s="237" t="str">
        <f ca="1">IF(B118="Лікар-педіатр",Законод!$C$17,IF(B118="Лікар загальної практики - сімейний лікар",Законод!$C$21,IF(B118="Лікар-терапевт",Законод!$C$25,"х")))</f>
        <v>ліміт (до 1800)</v>
      </c>
      <c r="G123" s="208">
        <f ca="1">IF($B$118="Лікар загальної практики - сімейний лікар",IF(L122&lt;=Законод!$C$22,G122,Законод!$C$22*'01_Доходи'!G121),IF($B$118="Лікар-педіатр",IF(L122&lt;=Законод!$C$18,G122,Законод!$C$18*'01_Доходи'!G121),IF($B$118="Лікар-терапевт","x",0)))</f>
        <v>13.284132841328413</v>
      </c>
      <c r="H123" s="208">
        <f ca="1">IF($B$118="Лікар загальної практики - сімейний лікар",IF(L122&lt;=Законод!$C$22,H122,Законод!$C$22*'01_Доходи'!H121),IF($B$118="Лікар-педіатр",IF(L122&lt;=Законод!$C$18,H122,Законод!$C$18*'01_Доходи'!H121),IF($B$118="Лікар-терапевт","x",0)))</f>
        <v>152.76752767527677</v>
      </c>
      <c r="I123" s="208">
        <f ca="1">IF($B$118="Лікар загальної практики - сімейний лікар",IF(L122&lt;=Законод!$C$22,I122,Законод!$C$22*'01_Доходи'!I121),IF($B$118="Лікар-педіатр","x",IF($B$118="Лікар-терапевт",IF(L122&lt;=Законод!$C$26,I122,Законод!$C$26*'01_Доходи'!I121),0)))</f>
        <v>565.40590405904061</v>
      </c>
      <c r="J123" s="208">
        <f ca="1">IF($B$118="Лікар загальної практики - сімейний лікар",IF(L122&lt;=Законод!$C$22,J122,Законод!$C$22*'01_Доходи'!J121),IF($B$118="Лікар-педіатр","x",IF($B$118="Лікар-терапевт",IF(L122&lt;=Законод!$C$26,J122,Законод!$C$26*'01_Доходи'!J121),0)))</f>
        <v>750.55350553505536</v>
      </c>
      <c r="K123" s="208">
        <f ca="1">IF($B$118="Лікар загальної практики - сімейний лікар",IF(L122&lt;=Законод!$C$22,K122,Законод!$C$22*'01_Доходи'!K121),IF($B$118="Лікар-педіатр","x",IF($B$118="Лікар-терапевт",IF(L122&lt;=Законод!$C$26,K122,Законод!$C$26*'01_Доходи'!K121),0)))</f>
        <v>317.9889298892989</v>
      </c>
      <c r="L123" s="209">
        <f ca="1">SUM(G123:K123)</f>
        <v>1800</v>
      </c>
      <c r="M123" s="945"/>
      <c r="N123" s="208">
        <f ca="1">IF($B$118="Лікар загальної практики - сімейний лікар",IF(S122&lt;=Законод!$C$22,N122,Законод!$C$22*'01_Доходи'!N121),IF($B$118="Лікар-педіатр",IF(S122&lt;=Законод!$C$18,N122,Законод!$C$18*'01_Доходи'!N121),IF($B$118="Лікар-терапевт","x",0)))</f>
        <v>13.284132841328413</v>
      </c>
      <c r="O123" s="208">
        <f ca="1">IF($B$118="Лікар загальної практики - сімейний лікар",IF(S122&lt;=Законод!$C$22,O122,Законод!$C$22*'01_Доходи'!O121),IF($B$118="Лікар-педіатр",IF(S122&lt;=Законод!$C$18,O122,Законод!$C$18*'01_Доходи'!O121),IF($B$118="Лікар-терапевт","x",0)))</f>
        <v>152.76752767527677</v>
      </c>
      <c r="P123" s="208">
        <f ca="1">IF($B$118="Лікар загальної практики - сімейний лікар",IF(S122&lt;=Законод!$C$22,P122,Законод!$C$22*'01_Доходи'!P121),IF($B$118="Лікар-педіатр","x",IF($B$118="Лікар-терапевт",IF(S122&lt;=Законод!$C$26,P122,Законод!$C$26*'01_Доходи'!P121),0)))</f>
        <v>565.40590405904061</v>
      </c>
      <c r="Q123" s="208">
        <f ca="1">IF($B$118="Лікар загальної практики - сімейний лікар",IF(S122&lt;=Законод!$C$22,Q122,Законод!$C$22*'01_Доходи'!Q121),IF($B$118="Лікар-педіатр","x",IF($B$118="Лікар-терапевт",IF(S122&lt;=Законод!$C$26,Q122,Законод!$C$26*'01_Доходи'!Q121),0)))</f>
        <v>750.55350553505536</v>
      </c>
      <c r="R123" s="208">
        <f ca="1">IF($B$118="Лікар загальної практики - сімейний лікар",IF(S122&lt;=Законод!$C$22,R122,Законод!$C$22*'01_Доходи'!R121),IF($B$118="Лікар-педіатр","x",IF($B$118="Лікар-терапевт",IF(S122&lt;=Законод!$C$26,R122,Законод!$C$26*'01_Доходи'!R121),0)))</f>
        <v>317.9889298892989</v>
      </c>
      <c r="S123" s="209">
        <f ca="1">SUM(N123:R123)</f>
        <v>1800</v>
      </c>
      <c r="T123" s="945"/>
      <c r="U123" s="208">
        <f ca="1">IF($B$118="Лікар загальної практики - сімейний лікар",IF(Z122&lt;=Законод!$C$22,U122,Законод!$C$22*'01_Доходи'!U121),IF($B$118="Лікар-педіатр",IF(Z122&lt;=Законод!$C$18,U122,Законод!$C$18*'01_Доходи'!U121),IF($B$118="Лікар-терапевт","x",0)))</f>
        <v>13.284132841328413</v>
      </c>
      <c r="V123" s="208">
        <f ca="1">IF($B$118="Лікар загальної практики - сімейний лікар",IF(Z122&lt;=Законод!$C$22,V122,Законод!$C$22*'01_Доходи'!V121),IF($B$118="Лікар-педіатр",IF(Z122&lt;=Законод!$C$18,V122,Законод!$C$18*'01_Доходи'!V121),IF($B$118="Лікар-терапевт","x",0)))</f>
        <v>152.76752767527677</v>
      </c>
      <c r="W123" s="208">
        <f ca="1">IF($B$118="Лікар загальної практики - сімейний лікар",IF(Z122&lt;=Законод!$C$22,W122,Законод!$C$22*'01_Доходи'!W121),IF($B$118="Лікар-педіатр","x",IF($B$118="Лікар-терапевт",IF(Z122&lt;=Законод!$C$26,W122,Законод!$C$26*'01_Доходи'!W121),0)))</f>
        <v>565.40590405904061</v>
      </c>
      <c r="X123" s="208">
        <f ca="1">IF($B$118="Лікар загальної практики - сімейний лікар",IF(Z122&lt;=Законод!$C$22,X122,Законод!$C$22*'01_Доходи'!X121),IF($B$118="Лікар-педіатр","x",IF($B$118="Лікар-терапевт",IF(Z122&lt;=Законод!$C$26,X122,Законод!$C$26*'01_Доходи'!X121),0)))</f>
        <v>750.55350553505536</v>
      </c>
      <c r="Y123" s="208">
        <f ca="1">IF($B$118="Лікар загальної практики - сімейний лікар",IF(Z122&lt;=Законод!$C$22,Y122,Законод!$C$22*'01_Доходи'!Y121),IF($B$118="Лікар-педіатр","x",IF($B$118="Лікар-терапевт",IF(Z122&lt;=Законод!$C$26,Y122,Законод!$C$26*'01_Доходи'!Y121),0)))</f>
        <v>317.9889298892989</v>
      </c>
      <c r="Z123" s="209">
        <f ca="1">SUM(U123:Y123)</f>
        <v>1800</v>
      </c>
      <c r="AA123" s="945"/>
      <c r="AB123" s="208">
        <f ca="1">IF($B$118="Лікар загальної практики - сімейний лікар",IF(AG122&lt;=Законод!$C$22,AB122,Законод!$C$22*'01_Доходи'!AB121),IF($B$118="Лікар-педіатр",IF(AG122&lt;=Законод!$C$18,AB122,Законод!$C$18*'01_Доходи'!AB121),IF($B$118="Лікар-терапевт","x",0)))</f>
        <v>13.284132841328413</v>
      </c>
      <c r="AC123" s="208">
        <f ca="1">IF($B$118="Лікар загальної практики - сімейний лікар",IF(AG122&lt;=Законод!$C$22,AC122,Законод!$C$22*'01_Доходи'!AC121),IF($B$118="Лікар-педіатр",IF(AG122&lt;=Законод!$C$18,AC122,Законод!$C$18*'01_Доходи'!AC121),IF($B$118="Лікар-терапевт","x",0)))</f>
        <v>152.76752767527677</v>
      </c>
      <c r="AD123" s="208">
        <f ca="1">IF($B$118="Лікар загальної практики - сімейний лікар",IF(AG122&lt;=Законод!$C$22,AD122,Законод!$C$22*'01_Доходи'!AD121),IF($B$118="Лікар-педіатр","x",IF($B$118="Лікар-терапевт",IF(AG122&lt;=Законод!$C$26,AD122,Законод!$C$26*'01_Доходи'!AD121),0)))</f>
        <v>565.40590405904061</v>
      </c>
      <c r="AE123" s="208">
        <f ca="1">IF($B$118="Лікар загальної практики - сімейний лікар",IF(AG122&lt;=Законод!$C$22,AE122,Законод!$C$22*'01_Доходи'!AE121),IF($B$118="Лікар-педіатр","x",IF($B$118="Лікар-терапевт",IF(AG122&lt;=Законод!$C$26,AE122,Законод!$C$26*'01_Доходи'!AE121),0)))</f>
        <v>750.55350553505536</v>
      </c>
      <c r="AF123" s="208">
        <f ca="1">IF($B$118="Лікар загальної практики - сімейний лікар",IF(AG122&lt;=Законод!$C$22,AF122,Законод!$C$22*'01_Доходи'!AF121),IF($B$118="Лікар-педіатр","x",IF($B$118="Лікар-терапевт",IF(AG122&lt;=Законод!$C$26,AF122,Законод!$C$26*'01_Доходи'!AF121),0)))</f>
        <v>317.9889298892989</v>
      </c>
      <c r="AG123" s="209">
        <f ca="1">SUM(AB123:AF123)</f>
        <v>1800</v>
      </c>
      <c r="AH123" s="945"/>
      <c r="AI123" s="201"/>
      <c r="AJ123" s="933"/>
      <c r="AK123" s="927"/>
      <c r="AL123" s="927"/>
      <c r="AM123" s="348" t="s">
        <v>374</v>
      </c>
      <c r="AN123" s="210">
        <f ca="1">IF(B118="Лікар загальної практики - сімейний лікар",G123*Законод!$C$11+'01_Доходи'!H123*Законод!$D$11+'01_Доходи'!I123*Законод!$E$11+'01_Доходи'!J123*Законод!$F$11+'01_Доходи'!K123*Законод!$G$11,IF(B118="Лікар-педіатр",G123*Законод!$C$11+'01_Доходи'!H123*Законод!$D$11,IF(B118="Лікар-терапевт",'01_Доходи'!I123*Законод!$E$11+'01_Доходи'!J123*Законод!$F$11+'01_Доходи'!K123*Законод!$G$11,0)))</f>
        <v>301800.15929889301</v>
      </c>
      <c r="AO123" s="210">
        <f ca="1">IF(B118="Лікар загальної практики - сімейний лікар",N123*Законод!$C$11+'01_Доходи'!O123*Законод!$D$11+'01_Доходи'!P123*Законод!$E$11+'01_Доходи'!Q123*Законод!$F$11+'01_Доходи'!R123*Законод!$G$11,IF(B118="Лікар-педіатр",N123*Законод!$C$11+'01_Доходи'!O123*Законод!$D$11,IF(B118="Лікар-терапевт",'01_Доходи'!P123*Законод!$E$11+'01_Доходи'!Q123*Законод!$F$11+'01_Доходи'!R123*Законод!$G$11,0)))</f>
        <v>301800.15929889301</v>
      </c>
      <c r="AP123" s="210">
        <f ca="1">IF(B118="Лікар загальної практики - сімейний лікар",U123*Законод!$C$11+'01_Доходи'!V123*Законод!$D$11+'01_Доходи'!W123*Законод!$E$11+'01_Доходи'!X123*Законод!$F$11+'01_Доходи'!Y123*Законод!$G$11,IF(B118="Лікар-педіатр",U123*Законод!$C$11+'01_Доходи'!V123*Законод!$D$11,IF(B118="Лікар-терапевт",'01_Доходи'!W123*Законод!$E$11+'01_Доходи'!X123*Законод!$F$11+'01_Доходи'!Y123*Законод!$G$11,0)))</f>
        <v>301800.15929889301</v>
      </c>
      <c r="AQ123" s="210">
        <f ca="1">IF(B118="Лікар загальної практики - сімейний лікар",AB123*Законод!$C$11+'01_Доходи'!AC123*Законод!$D$11+'01_Доходи'!AD123*Законод!$E$11+'01_Доходи'!AE123*Законод!$F$11+'01_Доходи'!AF123*Законод!$G$11,IF(B118="Лікар-педіатр",AB123*Законод!$C$11+'01_Доходи'!AC123*Законод!$D$11,IF(B118="Лікар-терапевт",'01_Доходи'!AD123*Законод!$E$11+'01_Доходи'!AE123*Законод!$F$11+'01_Доходи'!AF123*Законод!$G$11,0)))</f>
        <v>301800.15929889301</v>
      </c>
      <c r="AR123" s="211">
        <f t="shared" ref="AR123:AR129" si="8">SUM(AN123:AQ123)</f>
        <v>1207200.637195572</v>
      </c>
    </row>
    <row r="124" spans="1:44" s="50" customFormat="1" ht="31.9" customHeight="1">
      <c r="A124" s="197"/>
      <c r="B124" s="941"/>
      <c r="C124" s="942"/>
      <c r="D124" s="943"/>
      <c r="E124" s="943"/>
      <c r="F124" s="238" t="str">
        <f ca="1">IF(B118="Лікар-педіатр",Законод!$E$17,IF(B118="Лікар загальної практики - сімейний лікар",Законод!$E$21,IF(B118="Лікар-терапевт",Законод!$E$25,"х")))</f>
        <v>понад ліміт (1801-1980)</v>
      </c>
      <c r="G124" s="940" t="s">
        <v>346</v>
      </c>
      <c r="H124" s="940"/>
      <c r="I124" s="940"/>
      <c r="J124" s="940"/>
      <c r="K124" s="940"/>
      <c r="L124" s="196">
        <f ca="1">IF($B$118="Лікар загальної практики - сімейний лікар",IF(L122&lt;Законод!$C$22,0,(IF(AND(L122&gt;=Законод!$E$22,L122&lt;=Законод!$E$23),L122-Законод!$C$22,IF('01_Доходи'!L122&gt;=Законод!$F$22,Законод!$E$24,0)))),IF($B$118="Лікар-педіатр",IF(L122&lt;Законод!$C$18,0,(IF(AND(L122&gt;=Законод!$E$18,L122&lt;=Законод!$E$19),L122-Законод!$C$18,IF('01_Доходи'!L122&gt;=Законод!$F$18,Законод!$E$20,0)))),IF($B$118="Лікар-терапевт",IF(L122&lt;Законод!$C$26,0,(IF(AND(L122&gt;=Законод!$E$26,L122&lt;=Законод!$E$27),L122-Законод!$C$26,IF('01_Доходи'!L122&gt;=Законод!$F$26,Законод!$E$28,0)))),0)))</f>
        <v>180.00000000000023</v>
      </c>
      <c r="M124" s="945"/>
      <c r="N124" s="940" t="s">
        <v>346</v>
      </c>
      <c r="O124" s="940"/>
      <c r="P124" s="940"/>
      <c r="Q124" s="940"/>
      <c r="R124" s="940"/>
      <c r="S124" s="196">
        <f ca="1">IF($B$118="Лікар загальної практики - сімейний лікар",IF(S122&lt;Законод!$C$22,0,(IF(AND(S122&gt;=Законод!$E$22,S122&lt;=Законод!$E$23),S122-Законод!$C$22,IF('01_Доходи'!S122&gt;=Законод!$F$22,Законод!$E$24,0)))),IF($B$118="Лікар-педіатр",IF(S122&lt;Законод!$C$18,0,(IF(AND(S122&gt;=Законод!$E$18,S122&lt;=Законод!$E$19),S122-Законод!$C$18,IF('01_Доходи'!S122&gt;=Законод!$F$18,Законод!$E$20,0)))),IF($B$118="Лікар-терапевт",IF(S122&lt;Законод!$C$26,0,(IF(AND(S122&gt;=Законод!$E$26,S122&lt;=Законод!$E$27),S122-Законод!$C$26,IF('01_Доходи'!S122&gt;=Законод!$F$26,Законод!$E$28,0)))),0)))</f>
        <v>180.00000000000023</v>
      </c>
      <c r="T124" s="945"/>
      <c r="U124" s="940" t="s">
        <v>346</v>
      </c>
      <c r="V124" s="940"/>
      <c r="W124" s="940"/>
      <c r="X124" s="940"/>
      <c r="Y124" s="940"/>
      <c r="Z124" s="196">
        <f ca="1">IF($B$118="Лікар загальної практики - сімейний лікар",IF(Z122&lt;Законод!$C$22,0,(IF(AND(Z122&gt;=Законод!$E$22,Z122&lt;=Законод!$E$23),Z122-Законод!$C$22,IF('01_Доходи'!Z122&gt;=Законод!$F$22,Законод!$E$24,0)))),IF($B$118="Лікар-педіатр",IF(Z122&lt;Законод!$C$18,0,(IF(AND(Z122&gt;=Законод!$E$18,Z122&lt;=Законод!$E$19),Z122-Законод!$C$18,IF('01_Доходи'!Z122&gt;=Законод!$F$18,Законод!$E$20,0)))),IF($B$118="Лікар-терапевт",IF(Z122&lt;Законод!$C$26,0,(IF(AND(Z122&gt;=Законод!$E$26,Z122&lt;=Законод!$E$27),Z122-Законод!$C$26,IF('01_Доходи'!Z122&gt;=Законод!$F$26,Законод!$E$28,0)))),0)))</f>
        <v>180.00000000000023</v>
      </c>
      <c r="AA124" s="945"/>
      <c r="AB124" s="940" t="s">
        <v>346</v>
      </c>
      <c r="AC124" s="940"/>
      <c r="AD124" s="940"/>
      <c r="AE124" s="940"/>
      <c r="AF124" s="940"/>
      <c r="AG124" s="196">
        <f ca="1">IF($B$118="Лікар загальної практики - сімейний лікар",IF(AG122&lt;Законод!$C$22,0,(IF(AND(AG122&gt;=Законод!$E$22,AG122&lt;=Законод!$E$23),AG122-Законод!$C$22,IF('01_Доходи'!AG122&gt;=Законод!$F$22,Законод!$E$24,0)))),IF($B$118="Лікар-педіатр",IF(AG122&lt;Законод!$C$18,0,(IF(AND(AG122&gt;=Законод!$E$18,AG122&lt;=Законод!$E$19),AG122-Законод!$C$18,IF('01_Доходи'!AG122&gt;=Законод!$F$18,Законод!$E$20,0)))),IF($B$118="Лікар-терапевт",IF(AG122&lt;Законод!$C$26,0,(IF(AND(AG122&gt;=Законод!$E$26,AG122&lt;=Законод!$E$27),AG122-Законод!$C$26,IF('01_Доходи'!AG122&gt;=Законод!$F$26,Законод!$E$28,0)))),0)))</f>
        <v>180.00000000000023</v>
      </c>
      <c r="AH124" s="945"/>
      <c r="AI124" s="201"/>
      <c r="AJ124" s="933"/>
      <c r="AK124" s="927"/>
      <c r="AL124" s="927"/>
      <c r="AM124" s="898" t="s">
        <v>375</v>
      </c>
      <c r="AN124" s="210">
        <f ca="1">IF(B118="Лікар загальної практики - сімейний лікар",L124*Законод!$C$9/4*Законод!$E$16,IF(B118="Лікар-педіатр",L124*Законод!$C$9/4*Законод!$E$16,IF(B118="Лікар-терапевт",L124*Законод!$C$9/4*Законод!$E$16,0)))</f>
        <v>21805.938000000027</v>
      </c>
      <c r="AO124" s="210">
        <f ca="1">IF(B118="Лікар загальної практики - сімейний лікар",S124*Законод!$C$9/4*Законод!$E$16,IF(B118="Лікар-педіатр",S124*Законод!$C$9/4*Законод!$E$16,IF(B118="Лікар-терапевт",S124*Законод!$C$9/4*Законод!$E$16,0)))</f>
        <v>21805.938000000027</v>
      </c>
      <c r="AP124" s="210">
        <f ca="1">IF(B118="Лікар загальної практики - сімейний лікар",Z124*Законод!$C$9/4*Законод!$E$16,IF(B118="Лікар-педіатр",Z124*Законод!$C$9/4*Законод!$E$16,IF(B118="Лікар-терапевт",Z124*Законод!$C$9/4*Законод!$E$16,0)))</f>
        <v>21805.938000000027</v>
      </c>
      <c r="AQ124" s="210">
        <f ca="1">IF(B118="Лікар загальної практики - сімейний лікар",AG124*Законод!$C$9/4*Законод!$E$16,IF(B118="Лікар-педіатр",AG124*Законод!$C$9/4*Законод!$E$16,IF(B118="Лікар-терапевт",AG124*Законод!$C$9/4*Законод!$E$16,0)))</f>
        <v>21805.938000000027</v>
      </c>
      <c r="AR124" s="211">
        <f t="shared" si="8"/>
        <v>87223.75200000011</v>
      </c>
    </row>
    <row r="125" spans="1:44" s="50" customFormat="1" ht="31.9" customHeight="1">
      <c r="A125" s="197"/>
      <c r="B125" s="941"/>
      <c r="C125" s="942"/>
      <c r="D125" s="943"/>
      <c r="E125" s="943"/>
      <c r="F125" s="238" t="str">
        <f ca="1">IF(B118="Лікар-педіатр",Законод!$F$17,IF(B118="Лікар загальної практики - сімейний лікар",Законод!$F$21,IF(B118="Лікар-терапевт",Законод!$F$25,"х")))</f>
        <v>понад ліміт (1981-2160)</v>
      </c>
      <c r="G125" s="940" t="s">
        <v>346</v>
      </c>
      <c r="H125" s="940"/>
      <c r="I125" s="940"/>
      <c r="J125" s="940"/>
      <c r="K125" s="940"/>
      <c r="L125" s="196">
        <f ca="1">IF($B$118="Лікар загальної практики - сімейний лікар",IF(L122&lt;Законод!$C$22,0,(IF(AND(L122&gt;=Законод!$F$22,L122&lt;=Законод!$F$23),L122-Законод!$E$23,IF('01_Доходи'!L122&gt;=Законод!$G$22,Законод!$F$24,0)))),IF($B$118="Лікар-педіатр",IF(L122&lt;Законод!$C$18,0,(IF(AND(L122&gt;=Законод!$F$18,L122&lt;=Законод!$F$19),L122-Законод!$E$19,IF('01_Доходи'!L122&gt;=Законод!$G$18,Законод!$F$20,0)))),IF($B$118="Лікар-терапевт",IF(L122&lt;Законод!$C$26,0,(IF(AND(L122&gt;=Законод!$F$26,L122&lt;=Законод!$F$27),L122-Законод!$E$27,IF('01_Доходи'!L122&gt;=Законод!$G$26,Законод!$F$28,0)))),0)))</f>
        <v>179.99999999999977</v>
      </c>
      <c r="M125" s="945"/>
      <c r="N125" s="940" t="s">
        <v>346</v>
      </c>
      <c r="O125" s="940"/>
      <c r="P125" s="940"/>
      <c r="Q125" s="940"/>
      <c r="R125" s="940"/>
      <c r="S125" s="196">
        <f ca="1">IF($B$118="Лікар загальної практики - сімейний лікар",IF(S122&lt;Законод!$C$22,0,(IF(AND(S122&gt;=Законод!$F$22,S122&lt;=Законод!$F$23),S122-Законод!$E$23,IF('01_Доходи'!S122&gt;=Законод!$G$22,Законод!$F$24,0)))),IF($B$118="Лікар-педіатр",IF(S122&lt;Законод!$C$18,0,(IF(AND(S122&gt;=Законод!$F$18,S122&lt;=Законод!$F$19),S122-Законод!$E$19,IF('01_Доходи'!S122&gt;=Законод!$G$18,Законод!$F$20,0)))),IF($B$118="Лікар-терапевт",IF(S122&lt;Законод!$C$26,0,(IF(AND(S122&gt;=Законод!$F$26,S122&lt;=Законод!$F$27),S122-Законод!$E$27,IF('01_Доходи'!S122&gt;=Законод!$G$26,Законод!$F$28,0)))),0)))</f>
        <v>179.99999999999977</v>
      </c>
      <c r="T125" s="945"/>
      <c r="U125" s="940" t="s">
        <v>346</v>
      </c>
      <c r="V125" s="940"/>
      <c r="W125" s="940"/>
      <c r="X125" s="940"/>
      <c r="Y125" s="940"/>
      <c r="Z125" s="196">
        <f ca="1">IF($B$118="Лікар загальної практики - сімейний лікар",IF(Z122&lt;Законод!$C$22,0,(IF(AND(Z122&gt;=Законод!$F$22,Z122&lt;=Законод!$F$23),Z122-Законод!$E$23,IF('01_Доходи'!Z122&gt;=Законод!$G$22,Законод!$F$24,0)))),IF($B$118="Лікар-педіатр",IF(Z122&lt;Законод!$C$18,0,(IF(AND(Z122&gt;=Законод!$F$18,Z122&lt;=Законод!$F$19),Z122-Законод!$E$19,IF('01_Доходи'!Z122&gt;=Законод!$G$18,Законод!$F$20,0)))),IF($B$118="Лікар-терапевт",IF(Z122&lt;Законод!$C$26,0,(IF(AND(Z122&gt;=Законод!$F$26,Z122&lt;=Законод!$F$27),Z122-Законод!$E$27,IF('01_Доходи'!Z122&gt;=Законод!$G$26,Законод!$F$28,0)))),0)))</f>
        <v>179.99999999999977</v>
      </c>
      <c r="AA125" s="945"/>
      <c r="AB125" s="940" t="s">
        <v>346</v>
      </c>
      <c r="AC125" s="940"/>
      <c r="AD125" s="940"/>
      <c r="AE125" s="940"/>
      <c r="AF125" s="940"/>
      <c r="AG125" s="196">
        <f ca="1">IF($B$118="Лікар загальної практики - сімейний лікар",IF(AG122&lt;Законод!$C$22,0,(IF(AND(AG122&gt;=Законод!$F$22,AG122&lt;=Законод!$F$23),AG122-Законод!$E$23,IF('01_Доходи'!AG122&gt;=Законод!$G$22,Законод!$F$24,0)))),IF($B$118="Лікар-педіатр",IF(AG122&lt;Законод!$C$18,0,(IF(AND(AG122&gt;=Законод!$F$18,AG122&lt;=Законод!$F$19),AG122-Законод!$E$19,IF('01_Доходи'!AG122&gt;=Законод!$G$18,Законод!$F$20,0)))),IF($B$118="Лікар-терапевт",IF(AG122&lt;Законод!$C$26,0,(IF(AND(AG122&gt;=Законод!$F$26,AG122&lt;=Законод!$F$27),AG122-Законод!$E$27,IF('01_Доходи'!AG122&gt;=Законод!$G$26,Законод!$F$28,0)))),0)))</f>
        <v>179.99999999999977</v>
      </c>
      <c r="AH125" s="945"/>
      <c r="AI125" s="201"/>
      <c r="AJ125" s="933"/>
      <c r="AK125" s="927"/>
      <c r="AL125" s="927"/>
      <c r="AM125" s="899"/>
      <c r="AN125" s="210">
        <f ca="1">IF(B118="Лікар загальної практики - сімейний лікар",L125*Законод!$C$9/4*Законод!$F$16,IF(B118="Лікар-педіатр",L125*Законод!$C$9/4*Законод!$F$16,IF(B118="Лікар-терапевт",L125*Законод!$C$9/4*Законод!$F$16,0)))</f>
        <v>17451.830249999977</v>
      </c>
      <c r="AO125" s="210">
        <f ca="1">IF(B118="Лікар загальної практики - сімейний лікар",S125*Законод!$C$9/4*Законод!$F$16,IF(B118="Лікар-педіатр",S125*Законод!$C$9/4*Законод!$F$16,IF(B118="Лікар-терапевт",S125*Законод!$C$9/4*Законод!$F$16,0)))</f>
        <v>17451.830249999977</v>
      </c>
      <c r="AP125" s="210">
        <f ca="1">IF(B118="Лікар загальної практики - сімейний лікар",Z125*Законод!$C$9/4*Законод!$F$16,IF(B118="Лікар-педіатр",Z125*Законод!$C$9/4*Законод!$F$16,IF(B118="Лікар-терапевт",Z125*Законод!$C$9/4*Законод!$F$16,0)))</f>
        <v>17451.830249999977</v>
      </c>
      <c r="AQ125" s="210">
        <f ca="1">IF(B118="Лікар загальної практики - сімейний лікар",AG125*Законод!$C$9/4*Законод!$F$16,IF(B118="Лікар-педіатр",AG125*Законод!$C$9/4*Законод!$F$16,IF(B118="Лікар-терапевт",AG125*Законод!$C$9/4*Законод!$F$16,0)))</f>
        <v>17451.830249999977</v>
      </c>
      <c r="AR125" s="211">
        <f t="shared" si="8"/>
        <v>69807.320999999909</v>
      </c>
    </row>
    <row r="126" spans="1:44" s="50" customFormat="1" ht="31.9" customHeight="1">
      <c r="A126" s="197"/>
      <c r="B126" s="941"/>
      <c r="C126" s="942"/>
      <c r="D126" s="943"/>
      <c r="E126" s="943"/>
      <c r="F126" s="238" t="str">
        <f ca="1">IF(B118="Лікар-педіатр",Законод!$G$17,IF(B118="Лікар загальної практики - сімейний лікар",Законод!$G$21,IF(B118="Лікар-терапевт",Законод!$G$25,"х")))</f>
        <v>понад ліміт (2161-2340)</v>
      </c>
      <c r="G126" s="940" t="s">
        <v>346</v>
      </c>
      <c r="H126" s="940"/>
      <c r="I126" s="940"/>
      <c r="J126" s="940"/>
      <c r="K126" s="940"/>
      <c r="L126" s="196">
        <f ca="1">IF($B$118="Лікар загальної практики - сімейний лікар",IF(L122&lt;Законод!$C$22,0,(IF(AND(L122&gt;=Законод!$G$22,L122&lt;=Законод!$G$23),L122-Законод!$F$23,IF('01_Доходи'!L122&gt;=Законод!$H$22,Законод!$G$24,0)))),IF($B$118="Лікар-педіатр",IF(L122&lt;Законод!$C$18,0,(IF(AND(L122&gt;=Законод!$G$18,L122&lt;=Законод!$G$19),L122-Законод!$F$19,IF('01_Доходи'!L122&gt;=Законод!$H$18,Законод!$G$20,0)))),IF($B$118="Лікар-терапевт",IF(L122&lt;Законод!$C$26,0,(IF(AND(L122&gt;=Законод!$G$26,L122&lt;=Законод!$G$27),L122-Законод!$F$27,IF('01_Доходи'!L122&gt;=Законод!$H$26,Законод!$G$28,0)))),0)))</f>
        <v>8</v>
      </c>
      <c r="M126" s="945"/>
      <c r="N126" s="940" t="s">
        <v>346</v>
      </c>
      <c r="O126" s="940"/>
      <c r="P126" s="940"/>
      <c r="Q126" s="940"/>
      <c r="R126" s="940"/>
      <c r="S126" s="196">
        <f ca="1">IF($B$118="Лікар загальної практики - сімейний лікар",IF(S122&lt;Законод!$C$22,0,(IF(AND(S122&gt;=Законод!$G$22,S122&lt;=Законод!$G$23),S122-Законод!$F$23,IF('01_Доходи'!S122&gt;=Законод!$H$22,Законод!$G$24,0)))),IF($B$118="Лікар-педіатр",IF(S122&lt;Законод!$C$18,0,(IF(AND(S122&gt;=Законод!$G$18,S122&lt;=Законод!$G$19),S122-Законод!$F$19,IF('01_Доходи'!S122&gt;=Законод!$H$18,Законод!$G$20,0)))),IF($B$118="Лікар-терапевт",IF(S122&lt;Законод!$C$26,0,(IF(AND(S122&gt;=Законод!$G$26,S122&lt;=Законод!$G$27),S122-Законод!$F$27,IF('01_Доходи'!S122&gt;=Законод!$H$26,Законод!$G$28,0)))),0)))</f>
        <v>8</v>
      </c>
      <c r="T126" s="945"/>
      <c r="U126" s="940" t="s">
        <v>346</v>
      </c>
      <c r="V126" s="940"/>
      <c r="W126" s="940"/>
      <c r="X126" s="940"/>
      <c r="Y126" s="940"/>
      <c r="Z126" s="196">
        <f ca="1">IF($B$118="Лікар загальної практики - сімейний лікар",IF(Z122&lt;Законод!$C$22,0,(IF(AND(Z122&gt;=Законод!$G$22,Z122&lt;=Законод!$G$23),Z122-Законод!$F$23,IF('01_Доходи'!Z122&gt;=Законод!$H$22,Законод!$G$24,0)))),IF($B$118="Лікар-педіатр",IF(Z122&lt;Законод!$C$18,0,(IF(AND(Z122&gt;=Законод!$G$18,Z122&lt;=Законод!$G$19),Z122-Законод!$F$19,IF('01_Доходи'!Z122&gt;=Законод!$H$18,Законод!$G$20,0)))),IF($B$118="Лікар-терапевт",IF(Z122&lt;Законод!$C$26,0,(IF(AND(Z122&gt;=Законод!$G$26,Z122&lt;=Законод!$G$27),Z122-Законод!$F$27,IF('01_Доходи'!Z122&gt;=Законод!$H$26,Законод!$G$28,0)))),0)))</f>
        <v>8</v>
      </c>
      <c r="AA126" s="945"/>
      <c r="AB126" s="940" t="s">
        <v>346</v>
      </c>
      <c r="AC126" s="940"/>
      <c r="AD126" s="940"/>
      <c r="AE126" s="940"/>
      <c r="AF126" s="940"/>
      <c r="AG126" s="196">
        <f ca="1">IF($B$118="Лікар загальної практики - сімейний лікар",IF(AG122&lt;Законод!$C$22,0,(IF(AND(AG122&gt;=Законод!$G$22,AG122&lt;=Законод!$G$23),AG122-Законод!$F$23,IF('01_Доходи'!AG122&gt;=Законод!$H$22,Законод!$G$24,0)))),IF($B$118="Лікар-педіатр",IF(AG122&lt;Законод!$C$18,0,(IF(AND(AG122&gt;=Законод!$G$18,AG122&lt;=Законод!$G$19),AG122-Законод!$F$19,IF('01_Доходи'!AG122&gt;=Законод!$H$18,Законод!$G$20,0)))),IF($B$118="Лікар-терапевт",IF(AG122&lt;Законод!$C$26,0,(IF(AND(AG122&gt;=Законод!$G$26,AG122&lt;=Законод!$G$27),AG122-Законод!$F$27,IF('01_Доходи'!AG122&gt;=Законод!$H$26,Законод!$G$28,0)))),0)))</f>
        <v>8</v>
      </c>
      <c r="AH126" s="945"/>
      <c r="AI126" s="201"/>
      <c r="AJ126" s="933"/>
      <c r="AK126" s="927"/>
      <c r="AL126" s="927"/>
      <c r="AM126" s="899"/>
      <c r="AN126" s="210">
        <f ca="1">IF(B118="Лікар загальної практики - сімейний лікар",L126*Законод!$C$9/4*Законод!$G$16,IF(B118="Лікар-педіатр",L126*Законод!$C$9/4*Законод!$G$16,IF(B118="Лікар-терапевт",L126*Законод!$C$9/4*Законод!$G$16,0)))</f>
        <v>582.12099999999998</v>
      </c>
      <c r="AO126" s="210">
        <f ca="1">IF(B118="Лікар загальної практики - сімейний лікар",S126*Законод!$C$9/4*Законод!$G$16,IF(B118="Лікар-педіатр",S126*Законод!$C$9/4*Законод!$G$16,IF(B118="Лікар-терапевт",S126*Законод!$C$9/4*Законод!$G$16,0)))</f>
        <v>582.12099999999998</v>
      </c>
      <c r="AP126" s="210">
        <f ca="1">IF(B118="Лікар загальної практики - сімейний лікар",Z126*Законод!$C$9/4*Законод!$G$16,IF(B118="Лікар-педіатр",Z126*Законод!$C$9/4*Законод!$G$16,IF(B118="Лікар-терапевт",Z126*Законод!$C$9/4*Законод!$G$16,0)))</f>
        <v>582.12099999999998</v>
      </c>
      <c r="AQ126" s="210">
        <f ca="1">IF(B118="Лікар загальної практики - сімейний лікар",AG126*Законод!$C$9/4*Законод!$G$16,IF(B118="Лікар-педіатр",AG126*Законод!$C$9/4*Законод!$G$16,IF(B118="Лікар-терапевт",AG126*Законод!$C$9/4*Законод!$G$16,0)))</f>
        <v>582.12099999999998</v>
      </c>
      <c r="AR126" s="211">
        <f t="shared" si="8"/>
        <v>2328.4839999999999</v>
      </c>
    </row>
    <row r="127" spans="1:44" s="50" customFormat="1" ht="31.9" customHeight="1">
      <c r="A127" s="197"/>
      <c r="B127" s="941"/>
      <c r="C127" s="942"/>
      <c r="D127" s="943"/>
      <c r="E127" s="943"/>
      <c r="F127" s="238" t="str">
        <f ca="1">IF(B118="Лікар-педіатр",Законод!$H$17,IF(B118="Лікар загальної практики - сімейний лікар",Законод!$H$21,IF(B118="Лікар-терапевт",Законод!$H$25,"х")))</f>
        <v>понад ліміт (2341-2520)</v>
      </c>
      <c r="G127" s="940" t="s">
        <v>346</v>
      </c>
      <c r="H127" s="940"/>
      <c r="I127" s="940"/>
      <c r="J127" s="940"/>
      <c r="K127" s="940"/>
      <c r="L127" s="196">
        <f ca="1">IF($B$118="Лікар загальної практики - сімейний лікар",IF(L122&lt;Законод!$C$22,0,(IF(AND(L122&gt;=Законод!$H$22,L122&lt;=Законод!$H$23),L122-Законод!$G$23,IF('01_Доходи'!L122&gt;=Законод!$I$22,Законод!$H$24,0)))),IF($B$118="Лікар-педіатр",IF(L122&lt;Законод!$C$18,0,(IF(AND(L122&gt;=Законод!$H$18,L122&lt;=Законод!$H$19),L122-Законод!$G$19,IF('01_Доходи'!L122&gt;=Законод!$I$18,Законод!$H$20,0)))),IF($B$118="Лікар-терапевт",IF(L122&lt;Законод!$C$26,0,(IF(AND(L122&gt;=Законод!$H$26,L122&lt;=Законод!$H$27),L122-Законод!$G$27,IF(L122&gt;=Законод!$I$26,Законод!$H$28,0)))),0)))</f>
        <v>0</v>
      </c>
      <c r="M127" s="945"/>
      <c r="N127" s="940" t="s">
        <v>346</v>
      </c>
      <c r="O127" s="940"/>
      <c r="P127" s="940"/>
      <c r="Q127" s="940"/>
      <c r="R127" s="940"/>
      <c r="S127" s="196">
        <f ca="1">IF($B$118="Лікар загальної практики - сімейний лікар",IF(S122&lt;Законод!$C$22,0,(IF(AND(S122&gt;=Законод!$H$22,S122&lt;=Законод!$H$23),S122-Законод!$G$23,IF('01_Доходи'!S122&gt;=Законод!$I$22,Законод!$H$24,0)))),IF($B$118="Лікар-педіатр",IF(S122&lt;Законод!$C$18,0,(IF(AND(S122&gt;=Законод!$H$18,S122&lt;=Законод!$H$19),S122-Законод!$G$19,IF('01_Доходи'!S122&gt;=Законод!$I$18,Законод!$H$20,0)))),IF($B$118="Лікар-терапевт",IF(S122&lt;Законод!$C$26,0,(IF(AND(S122&gt;=Законод!$H$26,S122&lt;=Законод!$H$27),S122-Законод!$G$27,IF(S122&gt;=Законод!$I$26,Законод!$H$28,0)))),0)))</f>
        <v>0</v>
      </c>
      <c r="T127" s="945"/>
      <c r="U127" s="940" t="s">
        <v>346</v>
      </c>
      <c r="V127" s="940"/>
      <c r="W127" s="940"/>
      <c r="X127" s="940"/>
      <c r="Y127" s="940"/>
      <c r="Z127" s="196">
        <f ca="1">IF($B$118="Лікар загальної практики - сімейний лікар",IF(Z122&lt;Законод!$C$22,0,(IF(AND(Z122&gt;=Законод!$H$22,Z122&lt;=Законод!$H$23),Z122-Законод!$G$23,IF('01_Доходи'!Z122&gt;=Законод!$I$22,Законод!$H$24,0)))),IF($B$118="Лікар-педіатр",IF(Z122&lt;Законод!$C$18,0,(IF(AND(Z122&gt;=Законод!$H$18,Z122&lt;=Законод!$H$19),Z122-Законод!$G$19,IF('01_Доходи'!Z122&gt;=Законод!$I$18,Законод!$H$20,0)))),IF($B$118="Лікар-терапевт",IF(Z122&lt;Законод!$C$26,0,(IF(AND(Z122&gt;=Законод!$H$26,Z122&lt;=Законод!$H$27),Z122-Законод!$G$27,IF(Z122&gt;=Законод!$I$26,Законод!$H$28,0)))),0)))</f>
        <v>0</v>
      </c>
      <c r="AA127" s="945"/>
      <c r="AB127" s="940" t="s">
        <v>346</v>
      </c>
      <c r="AC127" s="940"/>
      <c r="AD127" s="940"/>
      <c r="AE127" s="940"/>
      <c r="AF127" s="940"/>
      <c r="AG127" s="196">
        <f ca="1">IF($B$118="Лікар загальної практики - сімейний лікар",IF(AG122&lt;Законод!$C$22,0,(IF(AND(AG122&gt;=Законод!$H$22,AG122&lt;=Законод!$H$23),AG122-Законод!$G$23,IF('01_Доходи'!AG122&gt;=Законод!$I$22,Законод!$H$24,0)))),IF($B$118="Лікар-педіатр",IF(AG122&lt;Законод!$C$18,0,(IF(AND(AG122&gt;=Законод!$H$18,AG122&lt;=Законод!$H$19),AG122-Законод!$G$19,IF('01_Доходи'!AG122&gt;=Законод!$I$18,Законод!$H$20,0)))),IF($B$118="Лікар-терапевт",IF(AG122&lt;Законод!$C$26,0,(IF(AND(AG122&gt;=Законод!$H$26,AG122&lt;=Законод!$H$27),AG122-Законод!$G$27,IF(AG122&gt;=Законод!$I$26,Законод!$H$28,0)))),0)))</f>
        <v>0</v>
      </c>
      <c r="AH127" s="945"/>
      <c r="AI127" s="201"/>
      <c r="AJ127" s="933"/>
      <c r="AK127" s="927"/>
      <c r="AL127" s="927"/>
      <c r="AM127" s="899"/>
      <c r="AN127" s="210">
        <f ca="1">IF(B118="Лікар загальної практики - сімейний лікар",L127*Законод!$C$9/4*Законод!$H$16,IF(B118="Лікар-педіатр",L127*Законод!$C$9/4*Законод!$H$16,IF(B118="Лікар-терапевт",L127*Законод!$C$9/4*Законод!$H$16,0)))</f>
        <v>0</v>
      </c>
      <c r="AO127" s="210">
        <f ca="1">IF(B118="Лікар загальної практики - сімейний лікар",S127*Законод!$C$9/4*Законод!$H$16,IF(B118="Лікар-педіатр",S127*Законод!$C$9/4*Законод!$H$16,IF(B118="Лікар-терапевт",S127*Законод!$C$9/4*Законод!$H$16,0)))</f>
        <v>0</v>
      </c>
      <c r="AP127" s="210">
        <f ca="1">IF(B118="Лікар загальної практики - сімейний лікар",Z127*Законод!$C$9/4*Законод!$H$16,IF(B118="Лікар-педіатр",Z127*Законод!$C$9/4*Законод!$H$16,IF(B118="Лікар-терапевт",Z127*Законод!$C$9/4*Законод!$H$16,0)))</f>
        <v>0</v>
      </c>
      <c r="AQ127" s="210">
        <f ca="1">IF(B118="Лікар загальної практики - сімейний лікар",AG127*Законод!$C$9/4*Законод!$H$16,IF(B118="Лікар-педіатр",AG127*Законод!$C$9/4*Законод!$H$16,IF(B118="Лікар-терапевт",AG127*Законод!$C$9/4*Законод!$H$16,0)))</f>
        <v>0</v>
      </c>
      <c r="AR127" s="211">
        <f t="shared" si="8"/>
        <v>0</v>
      </c>
    </row>
    <row r="128" spans="1:44" s="50" customFormat="1" ht="31.9" customHeight="1">
      <c r="A128" s="197"/>
      <c r="B128" s="941"/>
      <c r="C128" s="942"/>
      <c r="D128" s="943"/>
      <c r="E128" s="943"/>
      <c r="F128" s="238" t="str">
        <f ca="1">IF(B118="Лікар-педіатр",Законод!$I$17,IF(B118="Лікар загальної практики - сімейний лікар",Законод!$I$21,IF(B118="Лікар-терапевт",Законод!$I$25,"х")))</f>
        <v>понад ліміт (2521-2700)</v>
      </c>
      <c r="G128" s="940" t="s">
        <v>346</v>
      </c>
      <c r="H128" s="940"/>
      <c r="I128" s="940"/>
      <c r="J128" s="940"/>
      <c r="K128" s="940"/>
      <c r="L128" s="196">
        <f ca="1">IF($B$118="Лікар загальної практики - сімейний лікар",IF(L122&lt;Законод!$C$22,0,(IF(AND(L122&gt;=Законод!$I$22,L122&lt;=Законод!$I$23),L122-Законод!$H$23,IF('01_Доходи'!L122&gt;=Законод!$I$22,Законод!$I$24,0)))),IF($B$118="Лікар-педіатр",IF(L122&lt;Законод!$C$18,0,(IF(AND(L122&gt;=Законод!$I$18,L122&lt;=Законод!$I$19),L122-Законод!$H$19,IF('01_Доходи'!L122&gt;=Законод!$I$18,Законод!$H$20,0)))),IF($B$118="Лікар-терапевт",IF(L122&lt;Законод!$C$26,0,(IF(AND(L122&gt;=Законод!$I$26,L122&lt;=Законод!$I$27),L122-Законод!$H$27,IF('01_Доходи'!L122&gt;=Законод!$I$26,Законод!$H$28,0)))),0)))</f>
        <v>0</v>
      </c>
      <c r="M128" s="945"/>
      <c r="N128" s="940" t="s">
        <v>346</v>
      </c>
      <c r="O128" s="940"/>
      <c r="P128" s="940"/>
      <c r="Q128" s="940"/>
      <c r="R128" s="940"/>
      <c r="S128" s="196">
        <f ca="1">IF($B$118="Лікар загальної практики - сімейний лікар",IF(S122&lt;Законод!$C$22,0,(IF(AND(S122&gt;=Законод!$I$22,S122&lt;=Законод!$I$23),S122-Законод!$H$23,IF('01_Доходи'!S122&gt;=Законод!$I$22,Законод!$I$24,0)))),IF($B$118="Лікар-педіатр",IF(S122&lt;Законод!$C$18,0,(IF(AND(S122&gt;=Законод!$I$18,S122&lt;=Законод!$I$19),S122-Законод!$H$19,IF('01_Доходи'!S122&gt;=Законод!$I$18,Законод!$H$20,0)))),IF($B$118="Лікар-терапевт",IF(S122&lt;Законод!$C$26,0,(IF(AND(S122&gt;=Законод!$I$26,S122&lt;=Законод!$I$27),S122-Законод!$H$27,IF('01_Доходи'!S122&gt;=Законод!$I$26,Законод!$H$28,0)))),0)))</f>
        <v>0</v>
      </c>
      <c r="T128" s="945"/>
      <c r="U128" s="940" t="s">
        <v>346</v>
      </c>
      <c r="V128" s="940"/>
      <c r="W128" s="940"/>
      <c r="X128" s="940"/>
      <c r="Y128" s="940"/>
      <c r="Z128" s="196">
        <f ca="1">IF($B$118="Лікар загальної практики - сімейний лікар",IF(Z122&lt;Законод!$C$22,0,(IF(AND(Z122&gt;=Законод!$I$22,Z122&lt;=Законод!$I$23),Z122-Законод!$H$23,IF('01_Доходи'!Z122&gt;=Законод!$I$22,Законод!$I$24,0)))),IF($B$118="Лікар-педіатр",IF(Z122&lt;Законод!$C$18,0,(IF(AND(Z122&gt;=Законод!$I$18,Z122&lt;=Законод!$I$19),Z122-Законод!$H$19,IF('01_Доходи'!Z122&gt;=Законод!$I$18,Законод!$H$20,0)))),IF($B$118="Лікар-терапевт",IF(Z122&lt;Законод!$C$26,0,(IF(AND(Z122&gt;=Законод!$I$26,Z122&lt;=Законод!$I$27),Z122-Законод!$H$27,IF('01_Доходи'!Z122&gt;=Законод!$I$26,Законод!$H$28,0)))),0)))</f>
        <v>0</v>
      </c>
      <c r="AA128" s="945"/>
      <c r="AB128" s="940" t="s">
        <v>346</v>
      </c>
      <c r="AC128" s="940"/>
      <c r="AD128" s="940"/>
      <c r="AE128" s="940"/>
      <c r="AF128" s="940"/>
      <c r="AG128" s="196">
        <f ca="1">IF($B$118="Лікар загальної практики - сімейний лікар",IF(AG122&lt;Законод!$C$22,0,(IF(AND(AG122&gt;=Законод!$I$22,AG122&lt;=Законод!$I$23),AG122-Законод!$H$23,IF('01_Доходи'!AG122&gt;=Законод!$I$22,Законод!$I$24,0)))),IF($B$118="Лікар-педіатр",IF(AG122&lt;Законод!$C$18,0,(IF(AND(AG122&gt;=Законод!$I$18,AG122&lt;=Законод!$I$19),AG122-Законод!$H$19,IF('01_Доходи'!AG122&gt;=Законод!$I$18,Законод!$H$20,0)))),IF($B$118="Лікар-терапевт",IF(AG122&lt;Законод!$C$26,0,(IF(AND(AG122&gt;=Законод!$I$26,AG122&lt;=Законод!$I$27),AG122-Законод!$H$27,IF('01_Доходи'!AG122&gt;=Законод!$I$26,Законод!$H$28,0)))),0)))</f>
        <v>0</v>
      </c>
      <c r="AH128" s="945"/>
      <c r="AI128" s="201"/>
      <c r="AJ128" s="933"/>
      <c r="AK128" s="927"/>
      <c r="AL128" s="927"/>
      <c r="AM128" s="899"/>
      <c r="AN128" s="210">
        <f ca="1">IF(B118="Лікар загальної практики - сімейний лікар",L128*Законод!$C$9/4*Законод!$I$16,IF(B118="Лікар-педіатр",L128*Законод!$C$9/4*Законод!$I$16,IF(B118="Лікар-терапевт",L128*Законод!$C$9/4*Законод!$I$16,0)))</f>
        <v>0</v>
      </c>
      <c r="AO128" s="210">
        <f ca="1">IF(B118="Лікар загальної практики - сімейний лікар",S128*Законод!$C$9/4*Законод!$I$16,IF(B118="Лікар-педіатр",S128*Законод!$C$9/4*Законод!$I$16,IF(B118="Лікар-терапевт",S128*Законод!$C$9/4*Законод!$I$16,0)))</f>
        <v>0</v>
      </c>
      <c r="AP128" s="210">
        <f ca="1">IF(B118="Лікар загальної практики - сімейний лікар",Z128*Законод!$C$9/4*Законод!$I$16,IF(B118="Лікар-педіатр",Z128*Законод!$C$9/4*Законод!$I$16,IF(B118="Лікар-терапевт",Z128*Законод!$C$9/4*Законод!$I$16,0)))</f>
        <v>0</v>
      </c>
      <c r="AQ128" s="210">
        <f ca="1">IF(B118="Лікар загальної практики - сімейний лікар",AG128*Законод!$C$9/4*Законод!$I$16,IF(B118="Лікар-педіатр",AG128*Законод!$C$9/4*Законод!$I$16,IF(B118="Лікар-терапевт",AG128*Законод!$C$9/4*Законод!$I$16,0)))</f>
        <v>0</v>
      </c>
      <c r="AR128" s="211">
        <f t="shared" si="8"/>
        <v>0</v>
      </c>
    </row>
    <row r="129" spans="1:44" s="218" customFormat="1" ht="31.9" customHeight="1" thickBot="1">
      <c r="A129" s="213"/>
      <c r="B129" s="941"/>
      <c r="C129" s="942"/>
      <c r="D129" s="943"/>
      <c r="E129" s="943"/>
      <c r="F129" s="239" t="str">
        <f ca="1">IF(B118="Лікар-педіатр",Законод!$J$17,IF(B118="Лікар загальної практики - сімейний лікар",Законод!$J$21,IF(B118="Лікар-терапевт",Законод!$J$25,"х")))</f>
        <v>понад ліміт (&gt;=2701)</v>
      </c>
      <c r="G129" s="939" t="s">
        <v>346</v>
      </c>
      <c r="H129" s="939"/>
      <c r="I129" s="939"/>
      <c r="J129" s="939"/>
      <c r="K129" s="939"/>
      <c r="L129" s="196">
        <f ca="1">IF($B$118="Лікар загальної практики - сімейний лікар",IF(L122&gt;=Законод!$J$22,'01_Доходи'!L122-('01_Доходи'!L123+'01_Доходи'!L124+'01_Доходи'!L125+'01_Доходи'!L126+'01_Доходи'!L127+'01_Доходи'!L128),0),IF($B$118="Лікар-педіатр",IF(L122&gt;=Законод!$J$18,'01_Доходи'!L122-('01_Доходи'!L123+'01_Доходи'!L124+'01_Доходи'!L125+'01_Доходи'!L126+'01_Доходи'!L127+'01_Доходи'!L128),0),IF($B$118="Лікар-терапевт",IF('01_Доходи'!L122&gt;=Законод!$J$26,L122-Законод!$I$27,0),0)))</f>
        <v>0</v>
      </c>
      <c r="M129" s="945"/>
      <c r="N129" s="939" t="s">
        <v>346</v>
      </c>
      <c r="O129" s="939"/>
      <c r="P129" s="939"/>
      <c r="Q129" s="939"/>
      <c r="R129" s="939"/>
      <c r="S129" s="196">
        <f ca="1">IF($B$118="Лікар загальної практики - сімейний лікар",IF(S122&gt;=Законод!$J$22,'01_Доходи'!S122-('01_Доходи'!S123+'01_Доходи'!S124+'01_Доходи'!S125+'01_Доходи'!S126+'01_Доходи'!S127+'01_Доходи'!S128),0),IF($B$118="Лікар-педіатр",IF(S122&gt;=Законод!$J$18,'01_Доходи'!S122-('01_Доходи'!S123+'01_Доходи'!S124+'01_Доходи'!S125+'01_Доходи'!S126+'01_Доходи'!S127+'01_Доходи'!S128),0),IF($B$118="Лікар-терапевт",IF('01_Доходи'!S122&gt;=Законод!$J$26,S122-Законод!$I$27,0),0)))</f>
        <v>0</v>
      </c>
      <c r="T129" s="945"/>
      <c r="U129" s="939" t="s">
        <v>346</v>
      </c>
      <c r="V129" s="939"/>
      <c r="W129" s="939"/>
      <c r="X129" s="939"/>
      <c r="Y129" s="939"/>
      <c r="Z129" s="196">
        <f ca="1">IF($B$118="Лікар загальної практики - сімейний лікар",IF(Z122&gt;=Законод!$J$22,'01_Доходи'!Z122-('01_Доходи'!Z123+'01_Доходи'!Z124+'01_Доходи'!Z125+'01_Доходи'!Z126+'01_Доходи'!Z127+'01_Доходи'!Z128),0),IF($B$118="Лікар-педіатр",IF(Z122&gt;=Законод!$J$18,'01_Доходи'!Z122-('01_Доходи'!Z123+'01_Доходи'!Z124+'01_Доходи'!Z125+'01_Доходи'!Z126+'01_Доходи'!Z127+'01_Доходи'!Z128),0),IF($B$118="Лікар-терапевт",IF('01_Доходи'!Z122&gt;=Законод!$J$26,Z122-Законод!$I$27,0),0)))</f>
        <v>0</v>
      </c>
      <c r="AA129" s="945"/>
      <c r="AB129" s="939" t="s">
        <v>346</v>
      </c>
      <c r="AC129" s="939"/>
      <c r="AD129" s="939"/>
      <c r="AE129" s="939"/>
      <c r="AF129" s="939"/>
      <c r="AG129" s="196">
        <f ca="1">IF($B$118="Лікар загальної практики - сімейний лікар",IF(AG122&gt;=Законод!$J$22,'01_Доходи'!AG122-('01_Доходи'!AG123+'01_Доходи'!AG124+'01_Доходи'!AG125+'01_Доходи'!AG126+'01_Доходи'!AG127+'01_Доходи'!AG128),0),IF($B$118="Лікар-педіатр",IF(AG122&gt;=Законод!$J$18,'01_Доходи'!AG122-('01_Доходи'!AG123+'01_Доходи'!AG124+'01_Доходи'!AG125+'01_Доходи'!AG126+'01_Доходи'!AG127+'01_Доходи'!AG128),0),IF($B$118="Лікар-терапевт",IF('01_Доходи'!AG122&gt;=Законод!$J$26,AG122-Законод!$I$27,0),0)))</f>
        <v>0</v>
      </c>
      <c r="AH129" s="945"/>
      <c r="AI129" s="215"/>
      <c r="AJ129" s="934"/>
      <c r="AK129" s="928"/>
      <c r="AL129" s="928"/>
      <c r="AM129" s="900"/>
      <c r="AN129" s="216">
        <f ca="1">IF(B118="Лікар загальної практики - сімейний лікар",L129*Законод!$C$9/4*Законод!$J$16,IF(B118="Лікар-педіатр",L129*Законод!$C$9/4*Законод!$J$16,IF(B118="Лікар-терапевт",L129*Законод!$C$9/4*Законод!$J$16,0)))</f>
        <v>0</v>
      </c>
      <c r="AO129" s="216">
        <f ca="1">IF(B118="Лікар загальної практики - сімейний лікар",S129*Законод!$C$9/4*Законод!$J$16,IF(B118="Лікар-педіатр",S129*Законод!$C$9/4*Законод!$J$16,IF(B118="Лікар-терапевт",S129*Законод!$C$9/4*Законод!$J$16,0)))</f>
        <v>0</v>
      </c>
      <c r="AP129" s="216">
        <f ca="1">IF(B118="Лікар загальної практики - сімейний лікар",S129*Законод!$C$9/4*Законод!$J$16,IF(B118="Лікар-педіатр",S129*Законод!$C$9/4*Законод!$J$16,IF(B118="Лікар-терапевт",S129*Законод!$C$9/4*Законод!$J$16,0)))</f>
        <v>0</v>
      </c>
      <c r="AQ129" s="216">
        <f ca="1">IF(B118="Лікар загальної практики - сімейний лікар",AG129*Законод!$C$9/4*Законод!$J$16,IF(B118="Лікар-педіатр",AG129*Законод!$C$9/4*Законод!$J$16,IF(B118="Лікар-терапевт",AG129*Законод!$C$9/4*Законод!$J$16,0)))</f>
        <v>0</v>
      </c>
      <c r="AR129" s="217">
        <f t="shared" si="8"/>
        <v>0</v>
      </c>
    </row>
    <row r="130" spans="1:44" s="233" customFormat="1" ht="20.45" customHeight="1" thickBot="1">
      <c r="A130" s="219"/>
      <c r="B130" s="220"/>
      <c r="C130" s="221"/>
      <c r="D130" s="222"/>
      <c r="E130" s="222"/>
      <c r="F130" s="223"/>
      <c r="G130" s="224"/>
      <c r="H130" s="224"/>
      <c r="I130" s="224"/>
      <c r="J130" s="224"/>
      <c r="K130" s="224"/>
      <c r="L130" s="225"/>
      <c r="M130" s="226"/>
      <c r="N130" s="224"/>
      <c r="O130" s="224"/>
      <c r="P130" s="224"/>
      <c r="Q130" s="224"/>
      <c r="R130" s="224"/>
      <c r="S130" s="225"/>
      <c r="T130" s="226"/>
      <c r="U130" s="224"/>
      <c r="V130" s="224"/>
      <c r="W130" s="224"/>
      <c r="X130" s="224"/>
      <c r="Y130" s="224"/>
      <c r="Z130" s="227"/>
      <c r="AA130" s="226"/>
      <c r="AB130" s="224"/>
      <c r="AC130" s="224"/>
      <c r="AD130" s="224"/>
      <c r="AE130" s="224"/>
      <c r="AF130" s="224"/>
      <c r="AG130" s="227"/>
      <c r="AH130" s="226"/>
      <c r="AI130" s="228"/>
      <c r="AJ130" s="229"/>
      <c r="AK130" s="229"/>
      <c r="AL130" s="229"/>
      <c r="AM130" s="230"/>
      <c r="AN130" s="231"/>
      <c r="AO130" s="231"/>
      <c r="AP130" s="231"/>
      <c r="AQ130" s="231"/>
      <c r="AR130" s="232"/>
    </row>
    <row r="131" spans="1:44" s="191" customFormat="1" ht="30" customHeight="1">
      <c r="A131" s="194">
        <f>A118+1</f>
        <v>8</v>
      </c>
      <c r="B131" s="941" t="s">
        <v>235</v>
      </c>
      <c r="C131" s="942" t="s">
        <v>74</v>
      </c>
      <c r="D131" s="943"/>
      <c r="E131" s="943" t="str">
        <f>E118</f>
        <v>Рожищенська АЗПСМ №1</v>
      </c>
      <c r="F131" s="234" t="s">
        <v>582</v>
      </c>
      <c r="G131" s="196">
        <v>64</v>
      </c>
      <c r="H131" s="196">
        <v>202</v>
      </c>
      <c r="I131" s="196">
        <f>605+31</f>
        <v>636</v>
      </c>
      <c r="J131" s="196">
        <f>671+22</f>
        <v>693</v>
      </c>
      <c r="K131" s="196">
        <f>258+3</f>
        <v>261</v>
      </c>
      <c r="L131" s="558">
        <f>G131+H131+I131+J131+K131</f>
        <v>1856</v>
      </c>
      <c r="M131" s="945">
        <v>1</v>
      </c>
      <c r="N131" s="196">
        <v>64</v>
      </c>
      <c r="O131" s="196">
        <v>202</v>
      </c>
      <c r="P131" s="196">
        <f>605+31</f>
        <v>636</v>
      </c>
      <c r="Q131" s="196">
        <f>671+22</f>
        <v>693</v>
      </c>
      <c r="R131" s="196">
        <f>258+3</f>
        <v>261</v>
      </c>
      <c r="S131" s="558">
        <f>N131+O131+P131+Q131+R131</f>
        <v>1856</v>
      </c>
      <c r="T131" s="945">
        <v>1</v>
      </c>
      <c r="U131" s="196">
        <v>64</v>
      </c>
      <c r="V131" s="196">
        <v>202</v>
      </c>
      <c r="W131" s="196">
        <f>605+31</f>
        <v>636</v>
      </c>
      <c r="X131" s="196">
        <f>671+22</f>
        <v>693</v>
      </c>
      <c r="Y131" s="196">
        <f>258+3</f>
        <v>261</v>
      </c>
      <c r="Z131" s="558">
        <f>U131+V131+W131+X131+Y131</f>
        <v>1856</v>
      </c>
      <c r="AA131" s="945">
        <v>1</v>
      </c>
      <c r="AB131" s="196">
        <v>64</v>
      </c>
      <c r="AC131" s="196">
        <v>202</v>
      </c>
      <c r="AD131" s="196">
        <f>605+31</f>
        <v>636</v>
      </c>
      <c r="AE131" s="196">
        <f>671+22</f>
        <v>693</v>
      </c>
      <c r="AF131" s="196">
        <f>258+3</f>
        <v>261</v>
      </c>
      <c r="AG131" s="558">
        <f>AB131+AC131+AD131+AE131+AF131</f>
        <v>1856</v>
      </c>
      <c r="AH131" s="945">
        <v>1</v>
      </c>
      <c r="AI131" s="541">
        <f>A131</f>
        <v>8</v>
      </c>
      <c r="AJ131" s="932" t="str">
        <f>B131</f>
        <v>Лікар загальної практики - сімейний лікар</v>
      </c>
      <c r="AK131" s="926" t="str">
        <f>C131</f>
        <v>Гошко Людмила Іванівна</v>
      </c>
      <c r="AL131" s="926">
        <f>D131</f>
        <v>0</v>
      </c>
      <c r="AM131" s="901" t="s">
        <v>785</v>
      </c>
      <c r="AN131" s="923">
        <f>SUM(AN136:AN142)</f>
        <v>322845.77733033401</v>
      </c>
      <c r="AO131" s="923">
        <f>SUM(AO136:AO142)</f>
        <v>322845.77733033401</v>
      </c>
      <c r="AP131" s="923">
        <f>SUM(AP136:AP142)</f>
        <v>322845.77733033401</v>
      </c>
      <c r="AQ131" s="923">
        <f>SUM(AQ136:AQ142)</f>
        <v>322845.77733033401</v>
      </c>
      <c r="AR131" s="914">
        <f>SUM(AN131:AQ135)</f>
        <v>1291383.109321336</v>
      </c>
    </row>
    <row r="132" spans="1:44" s="50" customFormat="1" ht="28.15" customHeight="1">
      <c r="A132" s="197"/>
      <c r="B132" s="941"/>
      <c r="C132" s="942"/>
      <c r="D132" s="943"/>
      <c r="E132" s="943"/>
      <c r="F132" s="234" t="s">
        <v>583</v>
      </c>
      <c r="G132" s="196">
        <v>64</v>
      </c>
      <c r="H132" s="196">
        <v>202</v>
      </c>
      <c r="I132" s="196">
        <f>605+31</f>
        <v>636</v>
      </c>
      <c r="J132" s="196">
        <f>671+22</f>
        <v>693</v>
      </c>
      <c r="K132" s="196">
        <f>258+3</f>
        <v>261</v>
      </c>
      <c r="L132" s="558">
        <f>G132+H132+I132+J132+K132</f>
        <v>1856</v>
      </c>
      <c r="M132" s="945"/>
      <c r="N132" s="196">
        <v>64</v>
      </c>
      <c r="O132" s="196">
        <v>202</v>
      </c>
      <c r="P132" s="196">
        <f>605+31</f>
        <v>636</v>
      </c>
      <c r="Q132" s="196">
        <f>671+22</f>
        <v>693</v>
      </c>
      <c r="R132" s="196">
        <f>258+3</f>
        <v>261</v>
      </c>
      <c r="S132" s="558">
        <f>N132+O132+P132+Q132+R132</f>
        <v>1856</v>
      </c>
      <c r="T132" s="945"/>
      <c r="U132" s="196">
        <v>64</v>
      </c>
      <c r="V132" s="196">
        <v>202</v>
      </c>
      <c r="W132" s="196">
        <f>605+31</f>
        <v>636</v>
      </c>
      <c r="X132" s="196">
        <f>671+22</f>
        <v>693</v>
      </c>
      <c r="Y132" s="196">
        <f>258+3</f>
        <v>261</v>
      </c>
      <c r="Z132" s="558">
        <f>U132+V132+W132+X132+Y132</f>
        <v>1856</v>
      </c>
      <c r="AA132" s="945"/>
      <c r="AB132" s="196">
        <v>64</v>
      </c>
      <c r="AC132" s="196">
        <v>202</v>
      </c>
      <c r="AD132" s="196">
        <f>605+31</f>
        <v>636</v>
      </c>
      <c r="AE132" s="196">
        <f>671+22</f>
        <v>693</v>
      </c>
      <c r="AF132" s="196">
        <f>258+3</f>
        <v>261</v>
      </c>
      <c r="AG132" s="558">
        <f>AB132+AC132+AD132+AE132+AF132</f>
        <v>1856</v>
      </c>
      <c r="AH132" s="945"/>
      <c r="AI132" s="198"/>
      <c r="AJ132" s="933"/>
      <c r="AK132" s="927"/>
      <c r="AL132" s="927"/>
      <c r="AM132" s="902"/>
      <c r="AN132" s="924"/>
      <c r="AO132" s="924"/>
      <c r="AP132" s="924"/>
      <c r="AQ132" s="924"/>
      <c r="AR132" s="915"/>
    </row>
    <row r="133" spans="1:44" s="90" customFormat="1" ht="31.15" customHeight="1">
      <c r="A133" s="240"/>
      <c r="B133" s="941"/>
      <c r="C133" s="942"/>
      <c r="D133" s="943"/>
      <c r="E133" s="943"/>
      <c r="F133" s="241" t="s">
        <v>584</v>
      </c>
      <c r="G133" s="196">
        <v>64</v>
      </c>
      <c r="H133" s="196">
        <v>202</v>
      </c>
      <c r="I133" s="196">
        <f>605+31</f>
        <v>636</v>
      </c>
      <c r="J133" s="196">
        <f>671+22</f>
        <v>693</v>
      </c>
      <c r="K133" s="196">
        <f>258+3</f>
        <v>261</v>
      </c>
      <c r="L133" s="200">
        <f>SUM(G133:K133)</f>
        <v>1856</v>
      </c>
      <c r="M133" s="945"/>
      <c r="N133" s="196">
        <v>64</v>
      </c>
      <c r="O133" s="196">
        <v>202</v>
      </c>
      <c r="P133" s="196">
        <f>605+31</f>
        <v>636</v>
      </c>
      <c r="Q133" s="196">
        <f>671+22</f>
        <v>693</v>
      </c>
      <c r="R133" s="196">
        <f>258+3</f>
        <v>261</v>
      </c>
      <c r="S133" s="558">
        <f>N133+O133+P133+Q133+R133</f>
        <v>1856</v>
      </c>
      <c r="T133" s="945"/>
      <c r="U133" s="196">
        <v>64</v>
      </c>
      <c r="V133" s="196">
        <v>202</v>
      </c>
      <c r="W133" s="196">
        <f>605+31</f>
        <v>636</v>
      </c>
      <c r="X133" s="196">
        <f>671+22</f>
        <v>693</v>
      </c>
      <c r="Y133" s="196">
        <f>258+3</f>
        <v>261</v>
      </c>
      <c r="Z133" s="558">
        <f>U133+V133+W133+X133+Y133</f>
        <v>1856</v>
      </c>
      <c r="AA133" s="945"/>
      <c r="AB133" s="196">
        <v>64</v>
      </c>
      <c r="AC133" s="196">
        <v>202</v>
      </c>
      <c r="AD133" s="196">
        <f>605+31</f>
        <v>636</v>
      </c>
      <c r="AE133" s="196">
        <f>671+22</f>
        <v>693</v>
      </c>
      <c r="AF133" s="196">
        <f>258+3</f>
        <v>261</v>
      </c>
      <c r="AG133" s="558">
        <f>AB133+AC133+AD133+AE133+AF133</f>
        <v>1856</v>
      </c>
      <c r="AH133" s="945"/>
      <c r="AI133" s="242"/>
      <c r="AJ133" s="933"/>
      <c r="AK133" s="927"/>
      <c r="AL133" s="927"/>
      <c r="AM133" s="902"/>
      <c r="AN133" s="924"/>
      <c r="AO133" s="924"/>
      <c r="AP133" s="924"/>
      <c r="AQ133" s="924"/>
      <c r="AR133" s="915"/>
    </row>
    <row r="134" spans="1:44" s="50" customFormat="1" ht="31.9" customHeight="1" thickBot="1">
      <c r="A134" s="197"/>
      <c r="B134" s="941"/>
      <c r="C134" s="942"/>
      <c r="D134" s="943"/>
      <c r="E134" s="943"/>
      <c r="F134" s="236" t="s">
        <v>349</v>
      </c>
      <c r="G134" s="203">
        <f>IF($B$131="Лікар-педіатр",G133/L133,IF($B$131="Лікар-терапевт","х",IF($B$131="Лікар загальної практики - сімейний лікар",G133/L133,0)))</f>
        <v>3.4482758620689655E-2</v>
      </c>
      <c r="H134" s="203">
        <f>IF($B$131="Лікар-педіатр",H133/L133,IF($B$131="Лікар-терапевт","х",IF($B$131="Лікар загальної практики - сімейний лікар",H133/L133,0)))</f>
        <v>0.10883620689655173</v>
      </c>
      <c r="I134" s="203">
        <f>IF($B$131="Лікар-педіатр","x",IF($B$131="Лікар-терапевт",I133/L133,IF($B$131="Лікар загальної практики - сімейний лікар",I133/L133,0)))</f>
        <v>0.34267241379310343</v>
      </c>
      <c r="J134" s="203">
        <f>IF($B$131="Лікар-педіатр","x",IF($B$131="Лікар-терапевт",J133/L133,IF($B$131="Лікар загальної практики - сімейний лікар",J133/L133,0)))</f>
        <v>0.37338362068965519</v>
      </c>
      <c r="K134" s="203">
        <f>IF($B$131="Лікар-педіатр","x",IF($B$131="Лікар-терапевт",K133/L133,IF($B$131="Лікар загальної практики - сімейний лікар",K133/L133,0)))</f>
        <v>0.140625</v>
      </c>
      <c r="L134" s="203">
        <f>SUM(G134:K134)</f>
        <v>1</v>
      </c>
      <c r="M134" s="945"/>
      <c r="N134" s="203">
        <f>IF($B$131="Лікар-педіатр",N133/S133,IF($B$131="Лікар-терапевт","х",IF($B$131="Лікар загальної практики - сімейний лікар",N133/S133,0)))</f>
        <v>3.4482758620689655E-2</v>
      </c>
      <c r="O134" s="203">
        <f>IF($B$131="Лікар-педіатр",O133/S133,IF($B$131="Лікар-терапевт","х",IF($B$131="Лікар загальної практики - сімейний лікар",O133/S133,0)))</f>
        <v>0.10883620689655173</v>
      </c>
      <c r="P134" s="203">
        <f>IF($B$131="Лікар-педіатр","x",IF($B$131="Лікар-терапевт",P133/S133,IF($B$131="Лікар загальної практики - сімейний лікар",P133/S133,0)))</f>
        <v>0.34267241379310343</v>
      </c>
      <c r="Q134" s="203">
        <f>IF($B$131="Лікар-педіатр","x",IF($B$131="Лікар-терапевт",Q133/S133,IF($B$131="Лікар загальної практики - сімейний лікар",Q133/S133,0)))</f>
        <v>0.37338362068965519</v>
      </c>
      <c r="R134" s="203">
        <f>IF($B$131="Лікар-педіатр","x",IF($B$131="Лікар-терапевт",R133/S133,IF($B$131="Лікар загальної практики - сімейний лікар",R133/S133,0)))</f>
        <v>0.140625</v>
      </c>
      <c r="S134" s="203">
        <f>SUM(N134:R134)</f>
        <v>1</v>
      </c>
      <c r="T134" s="945"/>
      <c r="U134" s="203">
        <f>IF($B$131="Лікар-педіатр",U133/Z133,IF($B$131="Лікар-терапевт","х",IF($B$131="Лікар загальної практики - сімейний лікар",U133/Z133,0)))</f>
        <v>3.4482758620689655E-2</v>
      </c>
      <c r="V134" s="203">
        <f>IF($B$131="Лікар-педіатр",V133/Z133,IF($B$131="Лікар-терапевт","х",IF($B$131="Лікар загальної практики - сімейний лікар",V133/Z133,0)))</f>
        <v>0.10883620689655173</v>
      </c>
      <c r="W134" s="203">
        <f>IF($B$131="Лікар-педіатр","x",IF($B$131="Лікар-терапевт",W133/Z133,IF($B$131="Лікар загальної практики - сімейний лікар",W133/Z133,0)))</f>
        <v>0.34267241379310343</v>
      </c>
      <c r="X134" s="203">
        <f>IF($B$131="Лікар-педіатр","x",IF($B$131="Лікар-терапевт",X133/Z133,IF($B$131="Лікар загальної практики - сімейний лікар",X133/Z133,0)))</f>
        <v>0.37338362068965519</v>
      </c>
      <c r="Y134" s="203">
        <f>IF($B$131="Лікар-педіатр","x",IF($B$131="Лікар-терапевт",Y133/Z133,IF($B$131="Лікар загальної практики - сімейний лікар",Y133/Z133,0)))</f>
        <v>0.140625</v>
      </c>
      <c r="Z134" s="203">
        <f>SUM(U134:Y134)</f>
        <v>1</v>
      </c>
      <c r="AA134" s="945"/>
      <c r="AB134" s="203">
        <f>IF($B$131="Лікар-педіатр",AB133/AG133,IF($B$131="Лікар-терапевт","х",IF($B$131="Лікар загальної практики - сімейний лікар",AB133/AG133,0)))</f>
        <v>3.4482758620689655E-2</v>
      </c>
      <c r="AC134" s="203">
        <f>IF($B$131="Лікар-педіатр",AC133/AG133,IF($B$131="Лікар-терапевт","х",IF($B$131="Лікар загальної практики - сімейний лікар",AC133/AG133,0)))</f>
        <v>0.10883620689655173</v>
      </c>
      <c r="AD134" s="203">
        <f>IF($B$131="Лікар-педіатр","x",IF($B$131="Лікар-терапевт",AD133/AG133,IF($B$131="Лікар загальної практики - сімейний лікар",AD133/AG133,0)))</f>
        <v>0.34267241379310343</v>
      </c>
      <c r="AE134" s="203">
        <f>IF($B$131="Лікар-педіатр","x",IF($B$131="Лікар-терапевт",AE133/AG133,IF($B$131="Лікар загальної практики - сімейний лікар",AE133/AG133,0)))</f>
        <v>0.37338362068965519</v>
      </c>
      <c r="AF134" s="203">
        <f>IF($B$131="Лікар-педіатр","x",IF($B$131="Лікар-терапевт",AF133/AG133,IF($B$131="Лікар загальної практики - сімейний лікар",AF133/AG133,0)))</f>
        <v>0.140625</v>
      </c>
      <c r="AG134" s="203">
        <f>SUM(AB134:AF134)</f>
        <v>1</v>
      </c>
      <c r="AH134" s="945"/>
      <c r="AI134" s="201"/>
      <c r="AJ134" s="933"/>
      <c r="AK134" s="927"/>
      <c r="AL134" s="927"/>
      <c r="AM134" s="902"/>
      <c r="AN134" s="924"/>
      <c r="AO134" s="924"/>
      <c r="AP134" s="924"/>
      <c r="AQ134" s="924"/>
      <c r="AR134" s="915"/>
    </row>
    <row r="135" spans="1:44" s="50" customFormat="1" ht="45" customHeight="1" thickBot="1">
      <c r="A135" s="197"/>
      <c r="B135" s="941"/>
      <c r="C135" s="942"/>
      <c r="D135" s="943"/>
      <c r="E135" s="944"/>
      <c r="F135" s="204" t="s">
        <v>585</v>
      </c>
      <c r="G135" s="205">
        <f>IF($B$131="Лікар загальної практики - сімейний лікар",AVERAGE(G131:G133),IF($B$131="Лікар-педіатр",AVERAGE(G131:G133),IF($B$131="Лікар-терапевт","х",0)))</f>
        <v>64</v>
      </c>
      <c r="H135" s="205">
        <f>IF($B$131="Лікар загальної практики - сімейний лікар",AVERAGE(H131:H133),IF($B$131="Лікар-педіатр",AVERAGE(H131:H133),IF($B$131="Лікар-терапевт","х",0)))</f>
        <v>202</v>
      </c>
      <c r="I135" s="205">
        <f>IF($B$131="Лікар загальної практики - сімейний лікар",AVERAGE(I131:I133),IF($B$131="Лікар-педіатр","x",IF($B$131="Лікар-терапевт",AVERAGE(I131:I133),0)))</f>
        <v>636</v>
      </c>
      <c r="J135" s="205">
        <f>IF($B$131="Лікар загальної практики - сімейний лікар",AVERAGE(J131:J133),IF($B$131="Лікар-педіатр","x",IF($B$131="Лікар-терапевт",AVERAGE(J131:J133),0)))</f>
        <v>693</v>
      </c>
      <c r="K135" s="205">
        <f>IF($B$131="Лікар загальної практики - сімейний лікар",AVERAGE(K131:K133),IF($B$131="Лікар-педіатр","x",IF($B$131="Лікар-терапевт",AVERAGE(K131:K133),0)))</f>
        <v>261</v>
      </c>
      <c r="L135" s="206">
        <f>SUM(G135:K135)</f>
        <v>1856</v>
      </c>
      <c r="M135" s="946"/>
      <c r="N135" s="205">
        <f>IF($B$131="Лікар загальної практики - сімейний лікар",AVERAGE(N131:N133),IF($B$131="Лікар-педіатр",AVERAGE(N131:N133),IF($B$131="Лікар-терапевт","х",0)))</f>
        <v>64</v>
      </c>
      <c r="O135" s="205">
        <f>IF($B$131="Лікар загальної практики - сімейний лікар",AVERAGE(O131:O133),IF($B$131="Лікар-педіатр",AVERAGE(O131:O133),IF($B$131="Лікар-терапевт","х",0)))</f>
        <v>202</v>
      </c>
      <c r="P135" s="205">
        <f>IF($B$131="Лікар загальної практики - сімейний лікар",AVERAGE(P131:P133),IF($B$131="Лікар-педіатр","x",IF($B$131="Лікар-терапевт",AVERAGE(P131:P133),0)))</f>
        <v>636</v>
      </c>
      <c r="Q135" s="205">
        <f>IF($B$131="Лікар загальної практики - сімейний лікар",AVERAGE(Q131:Q133),IF($B$131="Лікар-педіатр","x",IF($B$131="Лікар-терапевт",AVERAGE(Q131:Q133),0)))</f>
        <v>693</v>
      </c>
      <c r="R135" s="205">
        <f>IF($B$131="Лікар загальної практики - сімейний лікар",AVERAGE(R131:R133),IF($B$131="Лікар-педіатр","x",IF($B$131="Лікар-терапевт",AVERAGE(R131:R133),0)))</f>
        <v>261</v>
      </c>
      <c r="S135" s="206">
        <f>SUM(N135:R135)</f>
        <v>1856</v>
      </c>
      <c r="T135" s="946"/>
      <c r="U135" s="205">
        <f>IF($B$131="Лікар загальної практики - сімейний лікар",AVERAGE(U131:U133),IF($B$131="Лікар-педіатр",AVERAGE(U131:U133),IF($B$131="Лікар-терапевт","х",0)))</f>
        <v>64</v>
      </c>
      <c r="V135" s="205">
        <f>IF($B$131="Лікар загальної практики - сімейний лікар",AVERAGE(V131:V133),IF($B$131="Лікар-педіатр",AVERAGE(V131:V133),IF($B$131="Лікар-терапевт","х",0)))</f>
        <v>202</v>
      </c>
      <c r="W135" s="205">
        <f>IF($B$131="Лікар загальної практики - сімейний лікар",AVERAGE(W131:W133),IF($B$131="Лікар-педіатр","x",IF($B$131="Лікар-терапевт",AVERAGE(W131:W133),0)))</f>
        <v>636</v>
      </c>
      <c r="X135" s="205">
        <f>IF($B$131="Лікар загальної практики - сімейний лікар",AVERAGE(X131:X133),IF($B$131="Лікар-педіатр","x",IF($B$131="Лікар-терапевт",AVERAGE(X131:X133),0)))</f>
        <v>693</v>
      </c>
      <c r="Y135" s="205">
        <f>IF($B$131="Лікар загальної практики - сімейний лікар",AVERAGE(Y131:Y133),IF($B$131="Лікар-педіатр","x",IF($B$131="Лікар-терапевт",AVERAGE(Y131:Y133),0)))</f>
        <v>261</v>
      </c>
      <c r="Z135" s="206">
        <f>SUM(U135:Y135)</f>
        <v>1856</v>
      </c>
      <c r="AA135" s="946"/>
      <c r="AB135" s="205">
        <f>IF($B$131="Лікар загальної практики - сімейний лікар",AVERAGE(AB131:AB133),IF($B$131="Лікар-педіатр",AVERAGE(AB131:AB133),IF($B$131="Лікар-терапевт","х",0)))</f>
        <v>64</v>
      </c>
      <c r="AC135" s="205">
        <f>IF($B$131="Лікар загальної практики - сімейний лікар",AVERAGE(AC131:AC133),IF($B$131="Лікар-педіатр",AVERAGE(AC131:AC133),IF($B$131="Лікар-терапевт","х",0)))</f>
        <v>202</v>
      </c>
      <c r="AD135" s="205">
        <f>IF($B$131="Лікар загальної практики - сімейний лікар",AVERAGE(AD131:AD133),IF($B$131="Лікар-педіатр","x",IF($B$131="Лікар-терапевт",AVERAGE(AD131:AD133),0)))</f>
        <v>636</v>
      </c>
      <c r="AE135" s="205">
        <f>IF($B$131="Лікар загальної практики - сімейний лікар",AVERAGE(AE131:AE133),IF($B$131="Лікар-педіатр","x",IF($B$131="Лікар-терапевт",AVERAGE(AE131:AE133),0)))</f>
        <v>693</v>
      </c>
      <c r="AF135" s="205">
        <f>IF($B$131="Лікар загальної практики - сімейний лікар",AVERAGE(AF131:AF133),IF($B$131="Лікар-педіатр","x",IF($B$131="Лікар-терапевт",AVERAGE(AF131:AF133),0)))</f>
        <v>261</v>
      </c>
      <c r="AG135" s="206">
        <f>SUM(AB135:AF135)</f>
        <v>1856</v>
      </c>
      <c r="AH135" s="947"/>
      <c r="AI135" s="201"/>
      <c r="AJ135" s="933"/>
      <c r="AK135" s="927"/>
      <c r="AL135" s="927"/>
      <c r="AM135" s="903"/>
      <c r="AN135" s="925"/>
      <c r="AO135" s="925"/>
      <c r="AP135" s="925"/>
      <c r="AQ135" s="925"/>
      <c r="AR135" s="916"/>
    </row>
    <row r="136" spans="1:44" s="50" customFormat="1" ht="40.5">
      <c r="A136" s="197"/>
      <c r="B136" s="941"/>
      <c r="C136" s="942"/>
      <c r="D136" s="943"/>
      <c r="E136" s="943"/>
      <c r="F136" s="237" t="str">
        <f ca="1">IF(B131="Лікар-педіатр",Законод!$C$17,IF(B131="Лікар загальної практики - сімейний лікар",Законод!$C$21,IF(B131="Лікар-терапевт",Законод!$C$25,"х")))</f>
        <v>ліміт (до 1800)</v>
      </c>
      <c r="G136" s="208">
        <f ca="1">IF($B$131="Лікар загальної практики - сімейний лікар",IF(L135&lt;=Законод!$C$22,G135,Законод!$C$22*'01_Доходи'!G134),IF($B$131="Лікар-педіатр",IF(L135&lt;=Законод!$C$18,G135,Законод!$C$18*'01_Доходи'!G134),IF($B$131="Лікар-терапевт","x",0)))</f>
        <v>62.068965517241381</v>
      </c>
      <c r="H136" s="208">
        <f ca="1">IF($B$131="Лікар загальної практики - сімейний лікар",IF(L135&lt;=Законод!$C$22,H135,Законод!$C$22*'01_Доходи'!H134),IF($B$131="Лікар-педіатр",IF(L135&lt;=Законод!$C$18,H135,Законод!$C$18*'01_Доходи'!H134),IF($B$131="Лікар-терапевт","x",0)))</f>
        <v>195.90517241379311</v>
      </c>
      <c r="I136" s="208">
        <f ca="1">IF($B$131="Лікар загальної практики - сімейний лікар",IF(L135&lt;=Законод!$C$22,I135,Законод!$C$22*'01_Доходи'!I134),IF($B$131="Лікар-педіатр","x",IF($B$131="Лікар-терапевт",IF(L135&lt;=Законод!$C$26,I135,Законод!$C$26*'01_Доходи'!I134),0)))</f>
        <v>616.81034482758616</v>
      </c>
      <c r="J136" s="208">
        <f ca="1">IF($B$131="Лікар загальної практики - сімейний лікар",IF(L135&lt;=Законод!$C$22,J135,Законод!$C$22*'01_Доходи'!J134),IF($B$131="Лікар-педіатр","x",IF($B$131="Лікар-терапевт",IF(L135&lt;=Законод!$C$26,J135,Законод!$C$26*'01_Доходи'!J134),0)))</f>
        <v>672.0905172413793</v>
      </c>
      <c r="K136" s="208">
        <f ca="1">IF($B$131="Лікар загальної практики - сімейний лікар",IF(L135&lt;=Законод!$C$22,K135,Законод!$C$22*'01_Доходи'!K134),IF($B$131="Лікар-педіатр","x",IF($B$131="Лікар-терапевт",IF(L135&lt;=Законод!$C$26,K135,Законод!$C$26*'01_Доходи'!K134),0)))</f>
        <v>253.125</v>
      </c>
      <c r="L136" s="209">
        <f ca="1">SUM(G136:K136)</f>
        <v>1800</v>
      </c>
      <c r="M136" s="945"/>
      <c r="N136" s="208">
        <f ca="1">IF($B$131="Лікар загальної практики - сімейний лікар",IF(S135&lt;=Законод!$C$22,N135,Законод!$C$22*'01_Доходи'!N134),IF($B$131="Лікар-педіатр",IF(S135&lt;=Законод!$C$18,N135,Законод!$C$18*'01_Доходи'!N134),IF($B$131="Лікар-терапевт","x",0)))</f>
        <v>62.068965517241381</v>
      </c>
      <c r="O136" s="208">
        <f ca="1">IF($B$131="Лікар загальної практики - сімейний лікар",IF(S135&lt;=Законод!$C$22,O135,Законод!$C$22*'01_Доходи'!O134),IF($B$131="Лікар-педіатр",IF(S135&lt;=Законод!$C$18,O135,Законод!$C$18*'01_Доходи'!O134),IF($B$131="Лікар-терапевт","x",0)))</f>
        <v>195.90517241379311</v>
      </c>
      <c r="P136" s="208">
        <f ca="1">IF($B$131="Лікар загальної практики - сімейний лікар",IF(S135&lt;=Законод!$C$22,P135,Законод!$C$22*'01_Доходи'!P134),IF($B$131="Лікар-педіатр","x",IF($B$131="Лікар-терапевт",IF(S135&lt;=Законод!$C$26,P135,Законод!$C$26*'01_Доходи'!P134),0)))</f>
        <v>616.81034482758616</v>
      </c>
      <c r="Q136" s="208">
        <f ca="1">IF($B$131="Лікар загальної практики - сімейний лікар",IF(S135&lt;=Законод!$C$22,Q135,Законод!$C$22*'01_Доходи'!Q134),IF($B$131="Лікар-педіатр","x",IF($B$131="Лікар-терапевт",IF(S135&lt;=Законод!$C$26,Q135,Законод!$C$26*'01_Доходи'!Q134),0)))</f>
        <v>672.0905172413793</v>
      </c>
      <c r="R136" s="208">
        <f ca="1">IF($B$131="Лікар загальної практики - сімейний лікар",IF(S135&lt;=Законод!$C$22,R135,Законод!$C$22*'01_Доходи'!R134),IF($B$131="Лікар-педіатр","x",IF($B$131="Лікар-терапевт",IF(S135&lt;=Законод!$C$26,R135,Законод!$C$26*'01_Доходи'!R134),0)))</f>
        <v>253.125</v>
      </c>
      <c r="S136" s="209">
        <f ca="1">SUM(N136:R136)</f>
        <v>1800</v>
      </c>
      <c r="T136" s="945"/>
      <c r="U136" s="208">
        <f ca="1">IF($B$131="Лікар загальної практики - сімейний лікар",IF(Z135&lt;=Законод!$C$22,U135,Законод!$C$22*'01_Доходи'!U134),IF($B$131="Лікар-педіатр",IF(Z135&lt;=Законод!$C$18,U135,Законод!$C$18*'01_Доходи'!U134),IF($B$131="Лікар-терапевт","x",0)))</f>
        <v>62.068965517241381</v>
      </c>
      <c r="V136" s="208">
        <f ca="1">IF($B$131="Лікар загальної практики - сімейний лікар",IF(Z135&lt;=Законод!$C$22,V135,Законод!$C$22*'01_Доходи'!V134),IF($B$131="Лікар-педіатр",IF(Z135&lt;=Законод!$C$18,V135,Законод!$C$18*'01_Доходи'!V134),IF($B$131="Лікар-терапевт","x",0)))</f>
        <v>195.90517241379311</v>
      </c>
      <c r="W136" s="208">
        <f ca="1">IF($B$131="Лікар загальної практики - сімейний лікар",IF(Z135&lt;=Законод!$C$22,W135,Законод!$C$22*'01_Доходи'!W134),IF($B$131="Лікар-педіатр","x",IF($B$131="Лікар-терапевт",IF(Z135&lt;=Законод!$C$26,W135,Законод!$C$26*'01_Доходи'!W134),0)))</f>
        <v>616.81034482758616</v>
      </c>
      <c r="X136" s="208">
        <f ca="1">IF($B$131="Лікар загальної практики - сімейний лікар",IF(Z135&lt;=Законод!$C$22,X135,Законод!$C$22*'01_Доходи'!X134),IF($B$131="Лікар-педіатр","x",IF($B$131="Лікар-терапевт",IF(Z135&lt;=Законод!$C$26,X135,Законод!$C$26*'01_Доходи'!X134),0)))</f>
        <v>672.0905172413793</v>
      </c>
      <c r="Y136" s="208">
        <f ca="1">IF($B$131="Лікар загальної практики - сімейний лікар",IF(Z135&lt;=Законод!$C$22,Y135,Законод!$C$22*'01_Доходи'!Y134),IF($B$131="Лікар-педіатр","x",IF($B$131="Лікар-терапевт",IF(Z135&lt;=Законод!$C$26,Y135,Законод!$C$26*'01_Доходи'!Y134),0)))</f>
        <v>253.125</v>
      </c>
      <c r="Z136" s="209">
        <f ca="1">SUM(U136:Y136)</f>
        <v>1800</v>
      </c>
      <c r="AA136" s="945"/>
      <c r="AB136" s="208">
        <f ca="1">IF($B$131="Лікар загальної практики - сімейний лікар",IF(AG135&lt;=Законод!$C$22,AB135,Законод!$C$22*'01_Доходи'!AB134),IF($B$131="Лікар-педіатр",IF(AG135&lt;=Законод!$C$18,AB135,Законод!$C$18*'01_Доходи'!AB134),IF($B$131="Лікар-терапевт","x",0)))</f>
        <v>62.068965517241381</v>
      </c>
      <c r="AC136" s="208">
        <f ca="1">IF($B$131="Лікар загальної практики - сімейний лікар",IF(AG135&lt;=Законод!$C$22,AC135,Законод!$C$22*'01_Доходи'!AC134),IF($B$131="Лікар-педіатр",IF(AG135&lt;=Законод!$C$18,AC135,Законод!$C$18*'01_Доходи'!AC134),IF($B$131="Лікар-терапевт","x",0)))</f>
        <v>195.90517241379311</v>
      </c>
      <c r="AD136" s="208">
        <f ca="1">IF($B$131="Лікар загальної практики - сімейний лікар",IF(AG135&lt;=Законод!$C$22,AD135,Законод!$C$22*'01_Доходи'!AD134),IF($B$131="Лікар-педіатр","x",IF($B$131="Лікар-терапевт",IF(AG135&lt;=Законод!$C$26,AD135,Законод!$C$26*'01_Доходи'!AD134),0)))</f>
        <v>616.81034482758616</v>
      </c>
      <c r="AE136" s="208">
        <f ca="1">IF($B$131="Лікар загальної практики - сімейний лікар",IF(AG135&lt;=Законод!$C$22,AE135,Законод!$C$22*'01_Доходи'!AE134),IF($B$131="Лікар-педіатр","x",IF($B$131="Лікар-терапевт",IF(AG135&lt;=Законод!$C$26,AE135,Законод!$C$26*'01_Доходи'!AE134),0)))</f>
        <v>672.0905172413793</v>
      </c>
      <c r="AF136" s="208">
        <f ca="1">IF($B$131="Лікар загальної практики - сімейний лікар",IF(AG135&lt;=Законод!$C$22,AF135,Законод!$C$22*'01_Доходи'!AF134),IF($B$131="Лікар-педіатр","x",IF($B$131="Лікар-терапевт",IF(AG135&lt;=Законод!$C$26,AF135,Законод!$C$26*'01_Доходи'!AF134),0)))</f>
        <v>253.125</v>
      </c>
      <c r="AG136" s="209">
        <f ca="1">SUM(AB136:AF136)</f>
        <v>1800</v>
      </c>
      <c r="AH136" s="945"/>
      <c r="AI136" s="201"/>
      <c r="AJ136" s="933"/>
      <c r="AK136" s="927"/>
      <c r="AL136" s="927"/>
      <c r="AM136" s="348" t="s">
        <v>374</v>
      </c>
      <c r="AN136" s="210">
        <f ca="1">IF(B131="Лікар загальної практики - сімейний лікар",G136*Законод!$C$11+'01_Доходи'!H136*Законод!$D$11+'01_Доходи'!I136*Законод!$E$11+'01_Доходи'!J136*Законод!$F$11+'01_Доходи'!K136*Законод!$G$11,IF(B131="Лікар-педіатр",G136*Законод!$C$11+'01_Доходи'!H136*Законод!$D$11,IF(B131="Лікар-терапевт",'01_Доходи'!I136*Законод!$E$11+'01_Доходи'!J136*Законод!$F$11+'01_Доходи'!K136*Законод!$G$11,0)))</f>
        <v>316061.70773033402</v>
      </c>
      <c r="AO136" s="210">
        <f ca="1">IF(B131="Лікар загальної практики - сімейний лікар",N136*Законод!$C$11+'01_Доходи'!O136*Законод!$D$11+'01_Доходи'!P136*Законод!$E$11+'01_Доходи'!Q136*Законод!$F$11+'01_Доходи'!R136*Законод!$G$11,IF(B131="Лікар-педіатр",N136*Законод!$C$11+'01_Доходи'!O136*Законод!$D$11,IF(B131="Лікар-терапевт",'01_Доходи'!P136*Законод!$E$11+'01_Доходи'!Q136*Законод!$F$11+'01_Доходи'!R136*Законод!$G$11,0)))</f>
        <v>316061.70773033402</v>
      </c>
      <c r="AP136" s="210">
        <f ca="1">IF(B131="Лікар загальної практики - сімейний лікар",U136*Законод!$C$11+'01_Доходи'!V136*Законод!$D$11+'01_Доходи'!W136*Законод!$E$11+'01_Доходи'!X136*Законод!$F$11+'01_Доходи'!Y136*Законод!$G$11,IF(B131="Лікар-педіатр",U136*Законод!$C$11+'01_Доходи'!V136*Законод!$D$11,IF(B131="Лікар-терапевт",'01_Доходи'!W136*Законод!$E$11+'01_Доходи'!X136*Законод!$F$11+'01_Доходи'!Y136*Законод!$G$11,0)))</f>
        <v>316061.70773033402</v>
      </c>
      <c r="AQ136" s="210">
        <f ca="1">IF(B131="Лікар загальної практики - сімейний лікар",AB136*Законод!$C$11+'01_Доходи'!AC136*Законод!$D$11+'01_Доходи'!AD136*Законод!$E$11+'01_Доходи'!AE136*Законод!$F$11+'01_Доходи'!AF136*Законод!$G$11,IF(B131="Лікар-педіатр",AB136*Законод!$C$11+'01_Доходи'!AC136*Законод!$D$11,IF(B131="Лікар-терапевт",'01_Доходи'!AD136*Законод!$E$11+'01_Доходи'!AE136*Законод!$F$11+'01_Доходи'!AF136*Законод!$G$11,0)))</f>
        <v>316061.70773033402</v>
      </c>
      <c r="AR136" s="211">
        <f t="shared" ref="AR136:AR142" si="9">SUM(AN136:AQ136)</f>
        <v>1264246.8309213361</v>
      </c>
    </row>
    <row r="137" spans="1:44" s="50" customFormat="1" ht="31.9" customHeight="1">
      <c r="A137" s="197"/>
      <c r="B137" s="941"/>
      <c r="C137" s="942"/>
      <c r="D137" s="943"/>
      <c r="E137" s="943"/>
      <c r="F137" s="238" t="str">
        <f ca="1">IF(B131="Лікар-педіатр",Законод!$E$17,IF(B131="Лікар загальної практики - сімейний лікар",Законод!$E$21,IF(B131="Лікар-терапевт",Законод!$E$25,"х")))</f>
        <v>понад ліміт (1801-1980)</v>
      </c>
      <c r="G137" s="940" t="s">
        <v>346</v>
      </c>
      <c r="H137" s="940"/>
      <c r="I137" s="940"/>
      <c r="J137" s="940"/>
      <c r="K137" s="940"/>
      <c r="L137" s="196">
        <f ca="1">IF($B$131="Лікар загальної практики - сімейний лікар",IF(L135&lt;Законод!$C$22,0,(IF(AND(L135&gt;=Законод!$E$22,L135&lt;=Законод!$E$23),L135-Законод!$C$22,IF('01_Доходи'!L135&gt;=Законод!$F$22,Законод!$E$24,0)))),IF($B$131="Лікар-педіатр",IF(L135&lt;Законод!$C$18,0,(IF(AND(L135&gt;=Законод!$E$18,L135&lt;=Законод!$E$19),L135-Законод!$C$18,IF('01_Доходи'!L135&gt;=Законод!$F$18,Законод!$E$20,0)))),IF($B$131="Лікар-терапевт",IF(L135&lt;Законод!$C$26,0,(IF(AND(L135&gt;=Законод!$E$26,L135&lt;=Законод!$E$27),L135-Законод!$C$26,IF('01_Доходи'!L135&gt;=Законод!$F$26,Законод!$E$28,0)))),0)))</f>
        <v>56</v>
      </c>
      <c r="M137" s="945"/>
      <c r="N137" s="940" t="s">
        <v>346</v>
      </c>
      <c r="O137" s="940"/>
      <c r="P137" s="940"/>
      <c r="Q137" s="940"/>
      <c r="R137" s="940"/>
      <c r="S137" s="196">
        <f ca="1">IF($B$131="Лікар загальної практики - сімейний лікар",IF(S135&lt;Законод!$C$22,0,(IF(AND(S135&gt;=Законод!$E$22,S135&lt;=Законод!$E$23),S135-Законод!$C$22,IF('01_Доходи'!S135&gt;=Законод!$F$22,Законод!$E$24,0)))),IF($B$131="Лікар-педіатр",IF(S135&lt;Законод!$C$18,0,(IF(AND(S135&gt;=Законод!$E$18,S135&lt;=Законод!$E$19),S135-Законод!$C$18,IF('01_Доходи'!S135&gt;=Законод!$F$18,Законод!$E$20,0)))),IF($B$131="Лікар-терапевт",IF(S135&lt;Законод!$C$26,0,(IF(AND(S135&gt;=Законод!$E$26,S135&lt;=Законод!$E$27),S135-Законод!$C$26,IF('01_Доходи'!S135&gt;=Законод!$F$26,Законод!$E$28,0)))),0)))</f>
        <v>56</v>
      </c>
      <c r="T137" s="945"/>
      <c r="U137" s="940" t="s">
        <v>346</v>
      </c>
      <c r="V137" s="940"/>
      <c r="W137" s="940"/>
      <c r="X137" s="940"/>
      <c r="Y137" s="940"/>
      <c r="Z137" s="196">
        <f ca="1">IF($B$131="Лікар загальної практики - сімейний лікар",IF(Z135&lt;Законод!$C$22,0,(IF(AND(Z135&gt;=Законод!$E$22,Z135&lt;=Законод!$E$23),Z135-Законод!$C$22,IF('01_Доходи'!Z135&gt;=Законод!$F$22,Законод!$E$24,0)))),IF($B$131="Лікар-педіатр",IF(Z135&lt;Законод!$C$18,0,(IF(AND(Z135&gt;=Законод!$E$18,Z135&lt;=Законод!$E$19),Z135-Законод!$C$18,IF('01_Доходи'!Z135&gt;=Законод!$F$18,Законод!$E$20,0)))),IF($B$131="Лікар-терапевт",IF(Z135&lt;Законод!$C$26,0,(IF(AND(Z135&gt;=Законод!$E$26,Z135&lt;=Законод!$E$27),Z135-Законод!$C$26,IF('01_Доходи'!Z135&gt;=Законод!$F$26,Законод!$E$28,0)))),0)))</f>
        <v>56</v>
      </c>
      <c r="AA137" s="945"/>
      <c r="AB137" s="940" t="s">
        <v>346</v>
      </c>
      <c r="AC137" s="940"/>
      <c r="AD137" s="940"/>
      <c r="AE137" s="940"/>
      <c r="AF137" s="940"/>
      <c r="AG137" s="196">
        <f ca="1">IF($B$131="Лікар загальної практики - сімейний лікар",IF(AG135&lt;Законод!$C$22,0,(IF(AND(AG135&gt;=Законод!$E$22,AG135&lt;=Законод!$E$23),AG135-Законод!$C$22,IF('01_Доходи'!AG135&gt;=Законод!$F$22,Законод!$E$24,0)))),IF($B$131="Лікар-педіатр",IF(AG135&lt;Законод!$C$18,0,(IF(AND(AG135&gt;=Законод!$E$18,AG135&lt;=Законод!$E$19),AG135-Законод!$C$18,IF('01_Доходи'!AG135&gt;=Законод!$F$18,Законод!$E$20,0)))),IF($B$131="Лікар-терапевт",IF(AG135&lt;Законод!$C$26,0,(IF(AND(AG135&gt;=Законод!$E$26,AG135&lt;=Законод!$E$27),AG135-Законод!$C$26,IF('01_Доходи'!AG135&gt;=Законод!$F$26,Законод!$E$28,0)))),0)))</f>
        <v>56</v>
      </c>
      <c r="AH137" s="945"/>
      <c r="AI137" s="201"/>
      <c r="AJ137" s="933"/>
      <c r="AK137" s="927"/>
      <c r="AL137" s="927"/>
      <c r="AM137" s="898" t="s">
        <v>375</v>
      </c>
      <c r="AN137" s="210">
        <f ca="1">IF(B131="Лікар загальної практики - сімейний лікар",L137*Законод!$C$9/4*Законод!$E$16,IF(B131="Лікар-педіатр",L137*Законод!$C$9/4*Законод!$E$16,IF(B131="Лікар-терапевт",L137*Законод!$C$9/4*Законод!$E$16,0)))</f>
        <v>6784.0695999999998</v>
      </c>
      <c r="AO137" s="210">
        <f ca="1">IF(B131="Лікар загальної практики - сімейний лікар",S137*Законод!$C$9/4*Законод!$E$16,IF(B131="Лікар-педіатр",S137*Законод!$C$9/4*Законод!$E$16,IF(B131="Лікар-терапевт",S137*Законод!$C$9/4*Законод!$E$16,0)))</f>
        <v>6784.0695999999998</v>
      </c>
      <c r="AP137" s="210">
        <f ca="1">IF(B131="Лікар загальної практики - сімейний лікар",Z137*Законод!$C$9/4*Законод!$E$16,IF(B131="Лікар-педіатр",Z137*Законод!$C$9/4*Законод!$E$16,IF(B131="Лікар-терапевт",Z137*Законод!$C$9/4*Законод!$E$16,0)))</f>
        <v>6784.0695999999998</v>
      </c>
      <c r="AQ137" s="210">
        <f ca="1">IF(B131="Лікар загальної практики - сімейний лікар",AG137*Законод!$C$9/4*Законод!$E$16,IF(B131="Лікар-педіатр",AG137*Законод!$C$9/4*Законод!$E$16,IF(B131="Лікар-терапевт",AG137*Законод!$C$9/4*Законод!$E$16,0)))</f>
        <v>6784.0695999999998</v>
      </c>
      <c r="AR137" s="211">
        <f t="shared" si="9"/>
        <v>27136.278399999999</v>
      </c>
    </row>
    <row r="138" spans="1:44" s="50" customFormat="1" ht="31.9" customHeight="1">
      <c r="A138" s="197"/>
      <c r="B138" s="941"/>
      <c r="C138" s="942"/>
      <c r="D138" s="943"/>
      <c r="E138" s="943"/>
      <c r="F138" s="238" t="str">
        <f ca="1">IF(B131="Лікар-педіатр",Законод!$F$17,IF(B131="Лікар загальної практики - сімейний лікар",Законод!$F$21,IF(B131="Лікар-терапевт",Законод!$F$25,"х")))</f>
        <v>понад ліміт (1981-2160)</v>
      </c>
      <c r="G138" s="940" t="s">
        <v>346</v>
      </c>
      <c r="H138" s="940"/>
      <c r="I138" s="940"/>
      <c r="J138" s="940"/>
      <c r="K138" s="940"/>
      <c r="L138" s="196">
        <f ca="1">IF($B$131="Лікар загальної практики - сімейний лікар",IF(L135&lt;Законод!$C$22,0,(IF(AND(L135&gt;=Законод!$F$22,L135&lt;=Законод!$F$23),L135-Законод!$E$23,IF('01_Доходи'!L135&gt;=Законод!$G$22,Законод!$F$24,0)))),IF($B$131="Лікар-педіатр",IF(L135&lt;Законод!$C$18,0,(IF(AND(L135&gt;=Законод!$F$18,L135&lt;=Законод!$F$19),L135-Законод!$E$19,IF('01_Доходи'!L135&gt;=Законод!$G$18,Законод!$F$20,0)))),IF($B$131="Лікар-терапевт",IF(L135&lt;Законод!$C$26,0,(IF(AND(L135&gt;=Законод!$F$26,L135&lt;=Законод!$F$27),L135-Законод!$E$27,IF('01_Доходи'!L135&gt;=Законод!$G$26,Законод!$F$28,0)))),0)))</f>
        <v>0</v>
      </c>
      <c r="M138" s="945"/>
      <c r="N138" s="940" t="s">
        <v>346</v>
      </c>
      <c r="O138" s="940"/>
      <c r="P138" s="940"/>
      <c r="Q138" s="940"/>
      <c r="R138" s="940"/>
      <c r="S138" s="196">
        <f ca="1">IF($B$131="Лікар загальної практики - сімейний лікар",IF(S135&lt;Законод!$C$22,0,(IF(AND(S135&gt;=Законод!$F$22,S135&lt;=Законод!$F$23),S135-Законод!$E$23,IF('01_Доходи'!S135&gt;=Законод!$G$22,Законод!$F$24,0)))),IF($B$131="Лікар-педіатр",IF(S135&lt;Законод!$C$18,0,(IF(AND(S135&gt;=Законод!$F$18,S135&lt;=Законод!$F$19),S135-Законод!$E$19,IF('01_Доходи'!S135&gt;=Законод!$G$18,Законод!$F$20,0)))),IF($B$131="Лікар-терапевт",IF(S135&lt;Законод!$C$26,0,(IF(AND(S135&gt;=Законод!$F$26,S135&lt;=Законод!$F$27),S135-Законод!$E$27,IF('01_Доходи'!S135&gt;=Законод!$G$26,Законод!$F$28,0)))),0)))</f>
        <v>0</v>
      </c>
      <c r="T138" s="945"/>
      <c r="U138" s="940" t="s">
        <v>346</v>
      </c>
      <c r="V138" s="940"/>
      <c r="W138" s="940"/>
      <c r="X138" s="940"/>
      <c r="Y138" s="940"/>
      <c r="Z138" s="196">
        <f ca="1">IF($B$131="Лікар загальної практики - сімейний лікар",IF(Z135&lt;Законод!$C$22,0,(IF(AND(Z135&gt;=Законод!$F$22,Z135&lt;=Законод!$F$23),Z135-Законод!$E$23,IF('01_Доходи'!Z135&gt;=Законод!$G$22,Законод!$F$24,0)))),IF($B$131="Лікар-педіатр",IF(Z135&lt;Законод!$C$18,0,(IF(AND(Z135&gt;=Законод!$F$18,Z135&lt;=Законод!$F$19),Z135-Законод!$E$19,IF('01_Доходи'!Z135&gt;=Законод!$G$18,Законод!$F$20,0)))),IF($B$131="Лікар-терапевт",IF(Z135&lt;Законод!$C$26,0,(IF(AND(Z135&gt;=Законод!$F$26,Z135&lt;=Законод!$F$27),Z135-Законод!$E$27,IF('01_Доходи'!Z135&gt;=Законод!$G$26,Законод!$F$28,0)))),0)))</f>
        <v>0</v>
      </c>
      <c r="AA138" s="945"/>
      <c r="AB138" s="940" t="s">
        <v>346</v>
      </c>
      <c r="AC138" s="940"/>
      <c r="AD138" s="940"/>
      <c r="AE138" s="940"/>
      <c r="AF138" s="940"/>
      <c r="AG138" s="196">
        <f ca="1">IF($B$131="Лікар загальної практики - сімейний лікар",IF(AG135&lt;Законод!$C$22,0,(IF(AND(AG135&gt;=Законод!$F$22,AG135&lt;=Законод!$F$23),AG135-Законод!$E$23,IF('01_Доходи'!AG135&gt;=Законод!$G$22,Законод!$F$24,0)))),IF($B$131="Лікар-педіатр",IF(AG135&lt;Законод!$C$18,0,(IF(AND(AG135&gt;=Законод!$F$18,AG135&lt;=Законод!$F$19),AG135-Законод!$E$19,IF('01_Доходи'!AG135&gt;=Законод!$G$18,Законод!$F$20,0)))),IF($B$131="Лікар-терапевт",IF(AG135&lt;Законод!$C$26,0,(IF(AND(AG135&gt;=Законод!$F$26,AG135&lt;=Законод!$F$27),AG135-Законод!$E$27,IF('01_Доходи'!AG135&gt;=Законод!$G$26,Законод!$F$28,0)))),0)))</f>
        <v>0</v>
      </c>
      <c r="AH138" s="945"/>
      <c r="AI138" s="201"/>
      <c r="AJ138" s="933"/>
      <c r="AK138" s="927"/>
      <c r="AL138" s="927"/>
      <c r="AM138" s="899"/>
      <c r="AN138" s="210">
        <f ca="1">IF(B131="Лікар загальної практики - сімейний лікар",L138*Законод!$C$9/4*Законод!$F$16,IF(B131="Лікар-педіатр",L138*Законод!$C$9/4*Законод!$F$16,IF(B131="Лікар-терапевт",L138*Законод!$C$9/4*Законод!$F$16,0)))</f>
        <v>0</v>
      </c>
      <c r="AO138" s="210">
        <f ca="1">IF(B131="Лікар загальної практики - сімейний лікар",S138*Законод!$C$9/4*Законод!$F$16,IF(B131="Лікар-педіатр",S138*Законод!$C$9/4*Законод!$F$16,IF(B131="Лікар-терапевт",S138*Законод!$C$9/4*Законод!$F$16,0)))</f>
        <v>0</v>
      </c>
      <c r="AP138" s="210">
        <f ca="1">IF(B131="Лікар загальної практики - сімейний лікар",Z138*Законод!$C$9/4*Законод!$F$16,IF(B131="Лікар-педіатр",Z138*Законод!$C$9/4*Законод!$F$16,IF(B131="Лікар-терапевт",Z138*Законод!$C$9/4*Законод!$F$16,0)))</f>
        <v>0</v>
      </c>
      <c r="AQ138" s="210">
        <f ca="1">IF(B131="Лікар загальної практики - сімейний лікар",AG138*Законод!$C$9/4*Законод!$F$16,IF(B131="Лікар-педіатр",AG138*Законод!$C$9/4*Законод!$F$16,IF(B131="Лікар-терапевт",AG138*Законод!$C$9/4*Законод!$F$16,0)))</f>
        <v>0</v>
      </c>
      <c r="AR138" s="211">
        <f t="shared" si="9"/>
        <v>0</v>
      </c>
    </row>
    <row r="139" spans="1:44" s="50" customFormat="1" ht="31.9" customHeight="1">
      <c r="A139" s="197"/>
      <c r="B139" s="941"/>
      <c r="C139" s="942"/>
      <c r="D139" s="943"/>
      <c r="E139" s="943"/>
      <c r="F139" s="238" t="str">
        <f ca="1">IF(B131="Лікар-педіатр",Законод!$G$17,IF(B131="Лікар загальної практики - сімейний лікар",Законод!$G$21,IF(B131="Лікар-терапевт",Законод!$G$25,"х")))</f>
        <v>понад ліміт (2161-2340)</v>
      </c>
      <c r="G139" s="940" t="s">
        <v>346</v>
      </c>
      <c r="H139" s="940"/>
      <c r="I139" s="940"/>
      <c r="J139" s="940"/>
      <c r="K139" s="940"/>
      <c r="L139" s="196">
        <f ca="1">IF($B$131="Лікар загальної практики - сімейний лікар",IF(L135&lt;Законод!$C$22,0,(IF(AND(L135&gt;=Законод!$G$22,L135&lt;=Законод!$G$23),L135-Законод!$F$23,IF('01_Доходи'!L135&gt;=Законод!$H$22,Законод!$G$24,0)))),IF($B$131="Лікар-педіатр",IF(L135&lt;Законод!$C$18,0,(IF(AND(L135&gt;=Законод!$G$18,L135&lt;=Законод!$G$19),L135-Законод!$F$19,IF('01_Доходи'!L135&gt;=Законод!$H$18,Законод!$G$20,0)))),IF($B$131="Лікар-терапевт",IF(L135&lt;Законод!$C$26,0,(IF(AND(L135&gt;=Законод!$G$26,L135&lt;=Законод!$G$27),L135-Законод!$F$27,IF('01_Доходи'!L135&gt;=Законод!$H$26,Законод!$G$28,0)))),0)))</f>
        <v>0</v>
      </c>
      <c r="M139" s="945"/>
      <c r="N139" s="940" t="s">
        <v>346</v>
      </c>
      <c r="O139" s="940"/>
      <c r="P139" s="940"/>
      <c r="Q139" s="940"/>
      <c r="R139" s="940"/>
      <c r="S139" s="196">
        <f ca="1">IF($B$131="Лікар загальної практики - сімейний лікар",IF(S135&lt;Законод!$C$22,0,(IF(AND(S135&gt;=Законод!$G$22,S135&lt;=Законод!$G$23),S135-Законод!$F$23,IF('01_Доходи'!S135&gt;=Законод!$H$22,Законод!$G$24,0)))),IF($B$131="Лікар-педіатр",IF(S135&lt;Законод!$C$18,0,(IF(AND(S135&gt;=Законод!$G$18,S135&lt;=Законод!$G$19),S135-Законод!$F$19,IF('01_Доходи'!S135&gt;=Законод!$H$18,Законод!$G$20,0)))),IF($B$131="Лікар-терапевт",IF(S135&lt;Законод!$C$26,0,(IF(AND(S135&gt;=Законод!$G$26,S135&lt;=Законод!$G$27),S135-Законод!$F$27,IF('01_Доходи'!S135&gt;=Законод!$H$26,Законод!$G$28,0)))),0)))</f>
        <v>0</v>
      </c>
      <c r="T139" s="945"/>
      <c r="U139" s="940" t="s">
        <v>346</v>
      </c>
      <c r="V139" s="940"/>
      <c r="W139" s="940"/>
      <c r="X139" s="940"/>
      <c r="Y139" s="940"/>
      <c r="Z139" s="196">
        <f ca="1">IF($B$131="Лікар загальної практики - сімейний лікар",IF(Z135&lt;Законод!$C$22,0,(IF(AND(Z135&gt;=Законод!$G$22,Z135&lt;=Законод!$G$23),Z135-Законод!$F$23,IF('01_Доходи'!Z135&gt;=Законод!$H$22,Законод!$G$24,0)))),IF($B$131="Лікар-педіатр",IF(Z135&lt;Законод!$C$18,0,(IF(AND(Z135&gt;=Законод!$G$18,Z135&lt;=Законод!$G$19),Z135-Законод!$F$19,IF('01_Доходи'!Z135&gt;=Законод!$H$18,Законод!$G$20,0)))),IF($B$131="Лікар-терапевт",IF(Z135&lt;Законод!$C$26,0,(IF(AND(Z135&gt;=Законод!$G$26,Z135&lt;=Законод!$G$27),Z135-Законод!$F$27,IF('01_Доходи'!Z135&gt;=Законод!$H$26,Законод!$G$28,0)))),0)))</f>
        <v>0</v>
      </c>
      <c r="AA139" s="945"/>
      <c r="AB139" s="940" t="s">
        <v>346</v>
      </c>
      <c r="AC139" s="940"/>
      <c r="AD139" s="940"/>
      <c r="AE139" s="940"/>
      <c r="AF139" s="940"/>
      <c r="AG139" s="196">
        <f ca="1">IF($B$131="Лікар загальної практики - сімейний лікар",IF(AG135&lt;Законод!$C$22,0,(IF(AND(AG135&gt;=Законод!$G$22,AG135&lt;=Законод!$G$23),AG135-Законод!$F$23,IF('01_Доходи'!AG135&gt;=Законод!$H$22,Законод!$G$24,0)))),IF($B$131="Лікар-педіатр",IF(AG135&lt;Законод!$C$18,0,(IF(AND(AG135&gt;=Законод!$G$18,AG135&lt;=Законод!$G$19),AG135-Законод!$F$19,IF('01_Доходи'!AG135&gt;=Законод!$H$18,Законод!$G$20,0)))),IF($B$131="Лікар-терапевт",IF(AG135&lt;Законод!$C$26,0,(IF(AND(AG135&gt;=Законод!$G$26,AG135&lt;=Законод!$G$27),AG135-Законод!$F$27,IF('01_Доходи'!AG135&gt;=Законод!$H$26,Законод!$G$28,0)))),0)))</f>
        <v>0</v>
      </c>
      <c r="AH139" s="945"/>
      <c r="AI139" s="201"/>
      <c r="AJ139" s="933"/>
      <c r="AK139" s="927"/>
      <c r="AL139" s="927"/>
      <c r="AM139" s="899"/>
      <c r="AN139" s="210">
        <f ca="1">IF(B131="Лікар загальної практики - сімейний лікар",L139*Законод!$C$9/4*Законод!$G$16,IF(B131="Лікар-педіатр",L139*Законод!$C$9/4*Законод!$G$16,IF(B131="Лікар-терапевт",L139*Законод!$C$9/4*Законод!$G$16,0)))</f>
        <v>0</v>
      </c>
      <c r="AO139" s="210">
        <f ca="1">IF(B131="Лікар загальної практики - сімейний лікар",S139*Законод!$C$9/4*Законод!$G$16,IF(B131="Лікар-педіатр",S139*Законод!$C$9/4*Законод!$G$16,IF(B131="Лікар-терапевт",S139*Законод!$C$9/4*Законод!$G$16,0)))</f>
        <v>0</v>
      </c>
      <c r="AP139" s="210">
        <f ca="1">IF(B131="Лікар загальної практики - сімейний лікар",Z139*Законод!$C$9/4*Законод!$G$16,IF(B131="Лікар-педіатр",Z139*Законод!$C$9/4*Законод!$G$16,IF(B131="Лікар-терапевт",Z139*Законод!$C$9/4*Законод!$G$16,0)))</f>
        <v>0</v>
      </c>
      <c r="AQ139" s="210">
        <f ca="1">IF(B131="Лікар загальної практики - сімейний лікар",AG139*Законод!$C$9/4*Законод!$G$16,IF(B131="Лікар-педіатр",AG139*Законод!$C$9/4*Законод!$G$16,IF(B131="Лікар-терапевт",AG139*Законод!$C$9/4*Законод!$G$16,0)))</f>
        <v>0</v>
      </c>
      <c r="AR139" s="211">
        <f t="shared" si="9"/>
        <v>0</v>
      </c>
    </row>
    <row r="140" spans="1:44" s="50" customFormat="1" ht="31.9" customHeight="1">
      <c r="A140" s="197"/>
      <c r="B140" s="941"/>
      <c r="C140" s="942"/>
      <c r="D140" s="943"/>
      <c r="E140" s="943"/>
      <c r="F140" s="238" t="str">
        <f ca="1">IF(B131="Лікар-педіатр",Законод!$H$17,IF(B131="Лікар загальної практики - сімейний лікар",Законод!$H$21,IF(B131="Лікар-терапевт",Законод!$H$25,"х")))</f>
        <v>понад ліміт (2341-2520)</v>
      </c>
      <c r="G140" s="940" t="s">
        <v>346</v>
      </c>
      <c r="H140" s="940"/>
      <c r="I140" s="940"/>
      <c r="J140" s="940"/>
      <c r="K140" s="940"/>
      <c r="L140" s="196">
        <f ca="1">IF($B$131="Лікар загальної практики - сімейний лікар",IF(L135&lt;Законод!$C$22,0,(IF(AND(L135&gt;=Законод!$H$22,L135&lt;=Законод!$H$23),L135-Законод!$G$23,IF('01_Доходи'!L135&gt;=Законод!$I$22,Законод!$H$24,0)))),IF($B$131="Лікар-педіатр",IF(L135&lt;Законод!$C$18,0,(IF(AND(L135&gt;=Законод!$H$18,L135&lt;=Законод!$H$19),L135-Законод!$G$19,IF('01_Доходи'!L135&gt;=Законод!$I$18,Законод!$H$20,0)))),IF($B$131="Лікар-терапевт",IF(L135&lt;Законод!$C$26,0,(IF(AND(L135&gt;=Законод!$H$26,L135&lt;=Законод!$H$27),L135-Законод!$G$27,IF(L135&gt;=Законод!$I$26,Законод!$H$28,0)))),0)))</f>
        <v>0</v>
      </c>
      <c r="M140" s="945"/>
      <c r="N140" s="940" t="s">
        <v>346</v>
      </c>
      <c r="O140" s="940"/>
      <c r="P140" s="940"/>
      <c r="Q140" s="940"/>
      <c r="R140" s="940"/>
      <c r="S140" s="196">
        <f ca="1">IF($B$131="Лікар загальної практики - сімейний лікар",IF(S135&lt;Законод!$C$22,0,(IF(AND(S135&gt;=Законод!$H$22,S135&lt;=Законод!$H$23),S135-Законод!$G$23,IF('01_Доходи'!S135&gt;=Законод!$I$22,Законод!$H$24,0)))),IF($B$131="Лікар-педіатр",IF(S135&lt;Законод!$C$18,0,(IF(AND(S135&gt;=Законод!$H$18,S135&lt;=Законод!$H$19),S135-Законод!$G$19,IF('01_Доходи'!S135&gt;=Законод!$I$18,Законод!$H$20,0)))),IF($B$131="Лікар-терапевт",IF(S135&lt;Законод!$C$26,0,(IF(AND(S135&gt;=Законод!$H$26,S135&lt;=Законод!$H$27),S135-Законод!$G$27,IF(S135&gt;=Законод!$I$26,Законод!$H$28,0)))),0)))</f>
        <v>0</v>
      </c>
      <c r="T140" s="945"/>
      <c r="U140" s="940" t="s">
        <v>346</v>
      </c>
      <c r="V140" s="940"/>
      <c r="W140" s="940"/>
      <c r="X140" s="940"/>
      <c r="Y140" s="940"/>
      <c r="Z140" s="196">
        <f ca="1">IF($B$131="Лікар загальної практики - сімейний лікар",IF(Z135&lt;Законод!$C$22,0,(IF(AND(Z135&gt;=Законод!$H$22,Z135&lt;=Законод!$H$23),Z135-Законод!$G$23,IF('01_Доходи'!Z135&gt;=Законод!$I$22,Законод!$H$24,0)))),IF($B$131="Лікар-педіатр",IF(Z135&lt;Законод!$C$18,0,(IF(AND(Z135&gt;=Законод!$H$18,Z135&lt;=Законод!$H$19),Z135-Законод!$G$19,IF('01_Доходи'!Z135&gt;=Законод!$I$18,Законод!$H$20,0)))),IF($B$131="Лікар-терапевт",IF(Z135&lt;Законод!$C$26,0,(IF(AND(Z135&gt;=Законод!$H$26,Z135&lt;=Законод!$H$27),Z135-Законод!$G$27,IF(Z135&gt;=Законод!$I$26,Законод!$H$28,0)))),0)))</f>
        <v>0</v>
      </c>
      <c r="AA140" s="945"/>
      <c r="AB140" s="940" t="s">
        <v>346</v>
      </c>
      <c r="AC140" s="940"/>
      <c r="AD140" s="940"/>
      <c r="AE140" s="940"/>
      <c r="AF140" s="940"/>
      <c r="AG140" s="196">
        <f ca="1">IF($B$131="Лікар загальної практики - сімейний лікар",IF(AG135&lt;Законод!$C$22,0,(IF(AND(AG135&gt;=Законод!$H$22,AG135&lt;=Законод!$H$23),AG135-Законод!$G$23,IF('01_Доходи'!AG135&gt;=Законод!$I$22,Законод!$H$24,0)))),IF($B$131="Лікар-педіатр",IF(AG135&lt;Законод!$C$18,0,(IF(AND(AG135&gt;=Законод!$H$18,AG135&lt;=Законод!$H$19),AG135-Законод!$G$19,IF('01_Доходи'!AG135&gt;=Законод!$I$18,Законод!$H$20,0)))),IF($B$131="Лікар-терапевт",IF(AG135&lt;Законод!$C$26,0,(IF(AND(AG135&gt;=Законод!$H$26,AG135&lt;=Законод!$H$27),AG135-Законод!$G$27,IF(AG135&gt;=Законод!$I$26,Законод!$H$28,0)))),0)))</f>
        <v>0</v>
      </c>
      <c r="AH140" s="945"/>
      <c r="AI140" s="201"/>
      <c r="AJ140" s="933"/>
      <c r="AK140" s="927"/>
      <c r="AL140" s="927"/>
      <c r="AM140" s="899"/>
      <c r="AN140" s="210">
        <f ca="1">IF(B131="Лікар загальної практики - сімейний лікар",L140*Законод!$C$9/4*Законод!$H$16,IF(B131="Лікар-педіатр",L140*Законод!$C$9/4*Законод!$H$16,IF(B131="Лікар-терапевт",L140*Законод!$C$9/4*Законод!$H$16,0)))</f>
        <v>0</v>
      </c>
      <c r="AO140" s="210">
        <f ca="1">IF(B131="Лікар загальної практики - сімейний лікар",S140*Законод!$C$9/4*Законод!$H$16,IF(B131="Лікар-педіатр",S140*Законод!$C$9/4*Законод!$H$16,IF(B131="Лікар-терапевт",S140*Законод!$C$9/4*Законод!$H$16,0)))</f>
        <v>0</v>
      </c>
      <c r="AP140" s="210">
        <f ca="1">IF(B131="Лікар загальної практики - сімейний лікар",Z140*Законод!$C$9/4*Законод!$H$16,IF(B131="Лікар-педіатр",Z140*Законод!$C$9/4*Законод!$H$16,IF(B131="Лікар-терапевт",Z140*Законод!$C$9/4*Законод!$H$16,0)))</f>
        <v>0</v>
      </c>
      <c r="AQ140" s="210">
        <f ca="1">IF(B131="Лікар загальної практики - сімейний лікар",AG140*Законод!$C$9/4*Законод!$H$16,IF(B131="Лікар-педіатр",AG140*Законод!$C$9/4*Законод!$H$16,IF(B131="Лікар-терапевт",AG140*Законод!$C$9/4*Законод!$H$16,0)))</f>
        <v>0</v>
      </c>
      <c r="AR140" s="211">
        <f t="shared" si="9"/>
        <v>0</v>
      </c>
    </row>
    <row r="141" spans="1:44" s="50" customFormat="1" ht="31.9" customHeight="1">
      <c r="A141" s="197"/>
      <c r="B141" s="941"/>
      <c r="C141" s="942"/>
      <c r="D141" s="943"/>
      <c r="E141" s="943"/>
      <c r="F141" s="238" t="str">
        <f ca="1">IF(B131="Лікар-педіатр",Законод!$I$17,IF(B131="Лікар загальної практики - сімейний лікар",Законод!$I$21,IF(B131="Лікар-терапевт",Законод!$I$25,"х")))</f>
        <v>понад ліміт (2521-2700)</v>
      </c>
      <c r="G141" s="940" t="s">
        <v>346</v>
      </c>
      <c r="H141" s="940"/>
      <c r="I141" s="940"/>
      <c r="J141" s="940"/>
      <c r="K141" s="940"/>
      <c r="L141" s="196">
        <f ca="1">IF($B$131="Лікар загальної практики - сімейний лікар",IF(L135&lt;Законод!$C$22,0,(IF(AND(L135&gt;=Законод!$I$22,L135&lt;=Законод!$I$23),L135-Законод!$H$23,IF('01_Доходи'!L135&gt;=Законод!$I$22,Законод!$I$24,0)))),IF($B$131="Лікар-педіатр",IF(L135&lt;Законод!$C$18,0,(IF(AND(L135&gt;=Законод!$I$18,L135&lt;=Законод!$I$19),L135-Законод!$H$19,IF('01_Доходи'!L135&gt;=Законод!$I$18,Законод!$H$20,0)))),IF($B$131="Лікар-терапевт",IF(L135&lt;Законод!$C$26,0,(IF(AND(L135&gt;=Законод!$I$26,L135&lt;=Законод!$I$27),L135-Законод!$H$27,IF('01_Доходи'!L135&gt;=Законод!$I$26,Законод!$H$28,0)))),0)))</f>
        <v>0</v>
      </c>
      <c r="M141" s="945"/>
      <c r="N141" s="940" t="s">
        <v>346</v>
      </c>
      <c r="O141" s="940"/>
      <c r="P141" s="940"/>
      <c r="Q141" s="940"/>
      <c r="R141" s="940"/>
      <c r="S141" s="196">
        <f ca="1">IF($B$131="Лікар загальної практики - сімейний лікар",IF(S135&lt;Законод!$C$22,0,(IF(AND(S135&gt;=Законод!$I$22,S135&lt;=Законод!$I$23),S135-Законод!$H$23,IF('01_Доходи'!S135&gt;=Законод!$I$22,Законод!$I$24,0)))),IF($B$131="Лікар-педіатр",IF(S135&lt;Законод!$C$18,0,(IF(AND(S135&gt;=Законод!$I$18,S135&lt;=Законод!$I$19),S135-Законод!$H$19,IF('01_Доходи'!S135&gt;=Законод!$I$18,Законод!$H$20,0)))),IF($B$131="Лікар-терапевт",IF(S135&lt;Законод!$C$26,0,(IF(AND(S135&gt;=Законод!$I$26,S135&lt;=Законод!$I$27),S135-Законод!$H$27,IF('01_Доходи'!S135&gt;=Законод!$I$26,Законод!$H$28,0)))),0)))</f>
        <v>0</v>
      </c>
      <c r="T141" s="945"/>
      <c r="U141" s="940" t="s">
        <v>346</v>
      </c>
      <c r="V141" s="940"/>
      <c r="W141" s="940"/>
      <c r="X141" s="940"/>
      <c r="Y141" s="940"/>
      <c r="Z141" s="196">
        <f ca="1">IF($B$131="Лікар загальної практики - сімейний лікар",IF(Z135&lt;Законод!$C$22,0,(IF(AND(Z135&gt;=Законод!$I$22,Z135&lt;=Законод!$I$23),Z135-Законод!$H$23,IF('01_Доходи'!Z135&gt;=Законод!$I$22,Законод!$I$24,0)))),IF($B$131="Лікар-педіатр",IF(Z135&lt;Законод!$C$18,0,(IF(AND(Z135&gt;=Законод!$I$18,Z135&lt;=Законод!$I$19),Z135-Законод!$H$19,IF('01_Доходи'!Z135&gt;=Законод!$I$18,Законод!$H$20,0)))),IF($B$131="Лікар-терапевт",IF(Z135&lt;Законод!$C$26,0,(IF(AND(Z135&gt;=Законод!$I$26,Z135&lt;=Законод!$I$27),Z135-Законод!$H$27,IF('01_Доходи'!Z135&gt;=Законод!$I$26,Законод!$H$28,0)))),0)))</f>
        <v>0</v>
      </c>
      <c r="AA141" s="945"/>
      <c r="AB141" s="940" t="s">
        <v>346</v>
      </c>
      <c r="AC141" s="940"/>
      <c r="AD141" s="940"/>
      <c r="AE141" s="940"/>
      <c r="AF141" s="940"/>
      <c r="AG141" s="196">
        <f ca="1">IF($B$131="Лікар загальної практики - сімейний лікар",IF(AG135&lt;Законод!$C$22,0,(IF(AND(AG135&gt;=Законод!$I$22,AG135&lt;=Законод!$I$23),AG135-Законод!$H$23,IF('01_Доходи'!AG135&gt;=Законод!$I$22,Законод!$I$24,0)))),IF($B$131="Лікар-педіатр",IF(AG135&lt;Законод!$C$18,0,(IF(AND(AG135&gt;=Законод!$I$18,AG135&lt;=Законод!$I$19),AG135-Законод!$H$19,IF('01_Доходи'!AG135&gt;=Законод!$I$18,Законод!$H$20,0)))),IF($B$131="Лікар-терапевт",IF(AG135&lt;Законод!$C$26,0,(IF(AND(AG135&gt;=Законод!$I$26,AG135&lt;=Законод!$I$27),AG135-Законод!$H$27,IF('01_Доходи'!AG135&gt;=Законод!$I$26,Законод!$H$28,0)))),0)))</f>
        <v>0</v>
      </c>
      <c r="AH141" s="945"/>
      <c r="AI141" s="201"/>
      <c r="AJ141" s="933"/>
      <c r="AK141" s="927"/>
      <c r="AL141" s="927"/>
      <c r="AM141" s="899"/>
      <c r="AN141" s="210">
        <f ca="1">IF(B131="Лікар загальної практики - сімейний лікар",L141*Законод!$C$9/4*Законод!$I$16,IF(B131="Лікар-педіатр",L141*Законод!$C$9/4*Законод!$I$16,IF(B131="Лікар-терапевт",L141*Законод!$C$9/4*Законод!$I$16,0)))</f>
        <v>0</v>
      </c>
      <c r="AO141" s="210">
        <f ca="1">IF(B131="Лікар загальної практики - сімейний лікар",S141*Законод!$C$9/4*Законод!$I$16,IF(B131="Лікар-педіатр",S141*Законод!$C$9/4*Законод!$I$16,IF(B131="Лікар-терапевт",S141*Законод!$C$9/4*Законод!$I$16,0)))</f>
        <v>0</v>
      </c>
      <c r="AP141" s="210">
        <f ca="1">IF(B131="Лікар загальної практики - сімейний лікар",Z141*Законод!$C$9/4*Законод!$I$16,IF(B131="Лікар-педіатр",Z141*Законод!$C$9/4*Законод!$I$16,IF(B131="Лікар-терапевт",Z141*Законод!$C$9/4*Законод!$I$16,0)))</f>
        <v>0</v>
      </c>
      <c r="AQ141" s="210">
        <f ca="1">IF(B131="Лікар загальної практики - сімейний лікар",AG141*Законод!$C$9/4*Законод!$I$16,IF(B131="Лікар-педіатр",AG141*Законод!$C$9/4*Законод!$I$16,IF(B131="Лікар-терапевт",AG141*Законод!$C$9/4*Законод!$I$16,0)))</f>
        <v>0</v>
      </c>
      <c r="AR141" s="211">
        <f t="shared" si="9"/>
        <v>0</v>
      </c>
    </row>
    <row r="142" spans="1:44" s="218" customFormat="1" ht="31.9" customHeight="1" thickBot="1">
      <c r="A142" s="213"/>
      <c r="B142" s="941"/>
      <c r="C142" s="942"/>
      <c r="D142" s="943"/>
      <c r="E142" s="943"/>
      <c r="F142" s="239" t="str">
        <f ca="1">IF(B131="Лікар-педіатр",Законод!$J$17,IF(B131="Лікар загальної практики - сімейний лікар",Законод!$J$21,IF(B131="Лікар-терапевт",Законод!$J$25,"х")))</f>
        <v>понад ліміт (&gt;=2701)</v>
      </c>
      <c r="G142" s="939" t="s">
        <v>346</v>
      </c>
      <c r="H142" s="939"/>
      <c r="I142" s="939"/>
      <c r="J142" s="939"/>
      <c r="K142" s="939"/>
      <c r="L142" s="196">
        <f ca="1">IF($B$131="Лікар загальної практики - сімейний лікар",IF(L135&gt;=Законод!$J$22,'01_Доходи'!L135-('01_Доходи'!L136+'01_Доходи'!L137+'01_Доходи'!L138+'01_Доходи'!L139+'01_Доходи'!L140+'01_Доходи'!L141),0),IF($B$131="Лікар-педіатр",IF(L135&gt;=Законод!$J$18,'01_Доходи'!L135-('01_Доходи'!L136+'01_Доходи'!L137+'01_Доходи'!L138+'01_Доходи'!L139+'01_Доходи'!L140+'01_Доходи'!L141),0),IF($B$131="Лікар-терапевт",IF('01_Доходи'!L135&gt;=Законод!$J$26,L135-Законод!$I$27,0),0)))</f>
        <v>0</v>
      </c>
      <c r="M142" s="945"/>
      <c r="N142" s="939" t="s">
        <v>346</v>
      </c>
      <c r="O142" s="939"/>
      <c r="P142" s="939"/>
      <c r="Q142" s="939"/>
      <c r="R142" s="939"/>
      <c r="S142" s="196">
        <f ca="1">IF($B$131="Лікар загальної практики - сімейний лікар",IF(S135&gt;=Законод!$J$22,'01_Доходи'!S135-('01_Доходи'!S136+'01_Доходи'!S137+'01_Доходи'!S138+'01_Доходи'!S139+'01_Доходи'!S140+'01_Доходи'!S141),0),IF($B$131="Лікар-педіатр",IF(S135&gt;=Законод!$J$18,'01_Доходи'!S135-('01_Доходи'!S136+'01_Доходи'!S137+'01_Доходи'!S138+'01_Доходи'!S139+'01_Доходи'!S140+'01_Доходи'!S141),0),IF($B$131="Лікар-терапевт",IF('01_Доходи'!S135&gt;=Законод!$J$26,S135-Законод!$I$27,0),0)))</f>
        <v>0</v>
      </c>
      <c r="T142" s="945"/>
      <c r="U142" s="939" t="s">
        <v>346</v>
      </c>
      <c r="V142" s="939"/>
      <c r="W142" s="939"/>
      <c r="X142" s="939"/>
      <c r="Y142" s="939"/>
      <c r="Z142" s="196">
        <f ca="1">IF($B$131="Лікар загальної практики - сімейний лікар",IF(Z135&gt;=Законод!$J$22,'01_Доходи'!Z135-('01_Доходи'!Z136+'01_Доходи'!Z137+'01_Доходи'!Z138+'01_Доходи'!Z139+'01_Доходи'!Z140+'01_Доходи'!Z141),0),IF($B$131="Лікар-педіатр",IF(Z135&gt;=Законод!$J$18,'01_Доходи'!Z135-('01_Доходи'!Z136+'01_Доходи'!Z137+'01_Доходи'!Z138+'01_Доходи'!Z139+'01_Доходи'!Z140+'01_Доходи'!Z141),0),IF($B$131="Лікар-терапевт",IF('01_Доходи'!Z135&gt;=Законод!$J$26,Z135-Законод!$I$27,0),0)))</f>
        <v>0</v>
      </c>
      <c r="AA142" s="945"/>
      <c r="AB142" s="939" t="s">
        <v>346</v>
      </c>
      <c r="AC142" s="939"/>
      <c r="AD142" s="939"/>
      <c r="AE142" s="939"/>
      <c r="AF142" s="939"/>
      <c r="AG142" s="196">
        <f ca="1">IF($B$131="Лікар загальної практики - сімейний лікар",IF(AG135&gt;=Законод!$J$22,'01_Доходи'!AG135-('01_Доходи'!AG136+'01_Доходи'!AG137+'01_Доходи'!AG138+'01_Доходи'!AG139+'01_Доходи'!AG140+'01_Доходи'!AG141),0),IF($B$131="Лікар-педіатр",IF(AG135&gt;=Законод!$J$18,'01_Доходи'!AG135-('01_Доходи'!AG136+'01_Доходи'!AG137+'01_Доходи'!AG138+'01_Доходи'!AG139+'01_Доходи'!AG140+'01_Доходи'!AG141),0),IF($B$131="Лікар-терапевт",IF('01_Доходи'!AG135&gt;=Законод!$J$26,AG135-Законод!$I$27,0),0)))</f>
        <v>0</v>
      </c>
      <c r="AH142" s="945"/>
      <c r="AI142" s="215"/>
      <c r="AJ142" s="934"/>
      <c r="AK142" s="928"/>
      <c r="AL142" s="928"/>
      <c r="AM142" s="900"/>
      <c r="AN142" s="216">
        <f ca="1">IF(B131="Лікар загальної практики - сімейний лікар",L142*Законод!$C$9/4*Законод!$J$16,IF(B131="Лікар-педіатр",L142*Законод!$C$9/4*Законод!$J$16,IF(B131="Лікар-терапевт",L142*Законод!$C$9/4*Законод!$J$16,0)))</f>
        <v>0</v>
      </c>
      <c r="AO142" s="216">
        <f ca="1">IF(B131="Лікар загальної практики - сімейний лікар",S142*Законод!$C$9/4*Законод!$J$16,IF(B131="Лікар-педіатр",S142*Законод!$C$9/4*Законод!$J$16,IF(B131="Лікар-терапевт",S142*Законод!$C$9/4*Законод!$J$16,0)))</f>
        <v>0</v>
      </c>
      <c r="AP142" s="216">
        <f ca="1">IF(B131="Лікар загальної практики - сімейний лікар",S142*Законод!$C$9/4*Законод!$J$16,IF(B131="Лікар-педіатр",S142*Законод!$C$9/4*Законод!$J$16,IF(B131="Лікар-терапевт",S142*Законод!$C$9/4*Законод!$J$16,0)))</f>
        <v>0</v>
      </c>
      <c r="AQ142" s="216">
        <f ca="1">IF(B131="Лікар загальної практики - сімейний лікар",AG142*Законод!$C$9/4*Законод!$J$16,IF(B131="Лікар-педіатр",AG142*Законод!$C$9/4*Законод!$J$16,IF(B131="Лікар-терапевт",AG142*Законод!$C$9/4*Законод!$J$16,0)))</f>
        <v>0</v>
      </c>
      <c r="AR142" s="217">
        <f t="shared" si="9"/>
        <v>0</v>
      </c>
    </row>
    <row r="143" spans="1:44" s="233" customFormat="1" ht="18" customHeight="1" thickBot="1">
      <c r="A143" s="219"/>
      <c r="B143" s="220"/>
      <c r="C143" s="221"/>
      <c r="D143" s="222"/>
      <c r="E143" s="222"/>
      <c r="F143" s="223"/>
      <c r="G143" s="224"/>
      <c r="H143" s="224"/>
      <c r="I143" s="224"/>
      <c r="J143" s="224"/>
      <c r="K143" s="224"/>
      <c r="L143" s="225"/>
      <c r="M143" s="226"/>
      <c r="N143" s="224"/>
      <c r="O143" s="224"/>
      <c r="P143" s="224"/>
      <c r="Q143" s="224"/>
      <c r="R143" s="224"/>
      <c r="S143" s="225"/>
      <c r="T143" s="226"/>
      <c r="U143" s="224"/>
      <c r="V143" s="224"/>
      <c r="W143" s="224"/>
      <c r="X143" s="224"/>
      <c r="Y143" s="224"/>
      <c r="Z143" s="227"/>
      <c r="AA143" s="226"/>
      <c r="AB143" s="224"/>
      <c r="AC143" s="224"/>
      <c r="AD143" s="224"/>
      <c r="AE143" s="224"/>
      <c r="AF143" s="224"/>
      <c r="AG143" s="227"/>
      <c r="AH143" s="226"/>
      <c r="AI143" s="228"/>
      <c r="AJ143" s="229"/>
      <c r="AK143" s="229"/>
      <c r="AL143" s="229"/>
      <c r="AM143" s="230"/>
      <c r="AN143" s="231"/>
      <c r="AO143" s="231"/>
      <c r="AP143" s="231"/>
      <c r="AQ143" s="231"/>
      <c r="AR143" s="232"/>
    </row>
    <row r="144" spans="1:44" s="191" customFormat="1" ht="30" customHeight="1">
      <c r="A144" s="194">
        <f>A131+1</f>
        <v>9</v>
      </c>
      <c r="B144" s="941" t="s">
        <v>235</v>
      </c>
      <c r="C144" s="942" t="s">
        <v>75</v>
      </c>
      <c r="D144" s="943"/>
      <c r="E144" s="943" t="str">
        <f>E131</f>
        <v>Рожищенська АЗПСМ №1</v>
      </c>
      <c r="F144" s="234" t="s">
        <v>582</v>
      </c>
      <c r="G144" s="196">
        <f>14+1</f>
        <v>15</v>
      </c>
      <c r="H144" s="196">
        <f>206+16</f>
        <v>222</v>
      </c>
      <c r="I144" s="196">
        <f>504+126</f>
        <v>630</v>
      </c>
      <c r="J144" s="196">
        <f>759+91</f>
        <v>850</v>
      </c>
      <c r="K144" s="196">
        <f>317+33</f>
        <v>350</v>
      </c>
      <c r="L144" s="558">
        <f>G144+H144+I144+J144+K144</f>
        <v>2067</v>
      </c>
      <c r="M144" s="945">
        <v>1</v>
      </c>
      <c r="N144" s="196">
        <f>14+1</f>
        <v>15</v>
      </c>
      <c r="O144" s="196">
        <f>206+16</f>
        <v>222</v>
      </c>
      <c r="P144" s="196">
        <f>504+126</f>
        <v>630</v>
      </c>
      <c r="Q144" s="196">
        <f>759+91</f>
        <v>850</v>
      </c>
      <c r="R144" s="196">
        <f>317+33</f>
        <v>350</v>
      </c>
      <c r="S144" s="558">
        <f>N144+O144+P144+Q144+R144</f>
        <v>2067</v>
      </c>
      <c r="T144" s="945">
        <v>1</v>
      </c>
      <c r="U144" s="196">
        <f>14+1</f>
        <v>15</v>
      </c>
      <c r="V144" s="196">
        <f>206+16</f>
        <v>222</v>
      </c>
      <c r="W144" s="196">
        <f>504+126</f>
        <v>630</v>
      </c>
      <c r="X144" s="196">
        <f>759+91</f>
        <v>850</v>
      </c>
      <c r="Y144" s="196">
        <f>317+33</f>
        <v>350</v>
      </c>
      <c r="Z144" s="558">
        <f>U144+V144+W144+X144+Y144</f>
        <v>2067</v>
      </c>
      <c r="AA144" s="945">
        <v>1</v>
      </c>
      <c r="AB144" s="196">
        <f>14+1</f>
        <v>15</v>
      </c>
      <c r="AC144" s="196">
        <f>206+16</f>
        <v>222</v>
      </c>
      <c r="AD144" s="196">
        <f>504+126</f>
        <v>630</v>
      </c>
      <c r="AE144" s="196">
        <f>759+91</f>
        <v>850</v>
      </c>
      <c r="AF144" s="196">
        <f>317+33</f>
        <v>350</v>
      </c>
      <c r="AG144" s="558">
        <f>AB144+AC144+AD144+AE144+AF144</f>
        <v>2067</v>
      </c>
      <c r="AH144" s="945">
        <v>1</v>
      </c>
      <c r="AI144" s="541">
        <f>A144</f>
        <v>9</v>
      </c>
      <c r="AJ144" s="932" t="str">
        <f>B144</f>
        <v>Лікар загальної практики - сімейний лікар</v>
      </c>
      <c r="AK144" s="926" t="str">
        <f>C144</f>
        <v>Кметюк Орест Михайлович</v>
      </c>
      <c r="AL144" s="926">
        <f>D144</f>
        <v>0</v>
      </c>
      <c r="AM144" s="901" t="s">
        <v>785</v>
      </c>
      <c r="AN144" s="923">
        <f>SUM(AN149:AN155)</f>
        <v>336013.27144642599</v>
      </c>
      <c r="AO144" s="923">
        <f>SUM(AO149:AO155)</f>
        <v>336013.27144642599</v>
      </c>
      <c r="AP144" s="923">
        <f>SUM(AP149:AP155)</f>
        <v>336013.27144642599</v>
      </c>
      <c r="AQ144" s="923">
        <f>SUM(AQ149:AQ155)</f>
        <v>336013.27144642599</v>
      </c>
      <c r="AR144" s="914">
        <f>SUM(AN144:AQ148)</f>
        <v>1344053.085785704</v>
      </c>
    </row>
    <row r="145" spans="1:44" s="50" customFormat="1" ht="28.15" customHeight="1">
      <c r="A145" s="197"/>
      <c r="B145" s="941"/>
      <c r="C145" s="942"/>
      <c r="D145" s="943"/>
      <c r="E145" s="943"/>
      <c r="F145" s="234" t="s">
        <v>583</v>
      </c>
      <c r="G145" s="196">
        <f>14+1</f>
        <v>15</v>
      </c>
      <c r="H145" s="196">
        <f>206+16</f>
        <v>222</v>
      </c>
      <c r="I145" s="196">
        <f>504+126</f>
        <v>630</v>
      </c>
      <c r="J145" s="196">
        <f>759+91</f>
        <v>850</v>
      </c>
      <c r="K145" s="196">
        <f>317+33</f>
        <v>350</v>
      </c>
      <c r="L145" s="558">
        <f>G145+H145+I145+J145+K145</f>
        <v>2067</v>
      </c>
      <c r="M145" s="945"/>
      <c r="N145" s="196">
        <f>14+1</f>
        <v>15</v>
      </c>
      <c r="O145" s="196">
        <f>206+16</f>
        <v>222</v>
      </c>
      <c r="P145" s="196">
        <f>504+126</f>
        <v>630</v>
      </c>
      <c r="Q145" s="196">
        <f>759+91</f>
        <v>850</v>
      </c>
      <c r="R145" s="196">
        <f>317+33</f>
        <v>350</v>
      </c>
      <c r="S145" s="558">
        <f>N145+O145+P145+Q145+R145</f>
        <v>2067</v>
      </c>
      <c r="T145" s="945"/>
      <c r="U145" s="196">
        <f>14+1</f>
        <v>15</v>
      </c>
      <c r="V145" s="196">
        <f>206+16</f>
        <v>222</v>
      </c>
      <c r="W145" s="196">
        <f>504+126</f>
        <v>630</v>
      </c>
      <c r="X145" s="196">
        <f>759+91</f>
        <v>850</v>
      </c>
      <c r="Y145" s="196">
        <f>317+33</f>
        <v>350</v>
      </c>
      <c r="Z145" s="558">
        <f>U145+V145+W145+X145+Y145</f>
        <v>2067</v>
      </c>
      <c r="AA145" s="945"/>
      <c r="AB145" s="196">
        <f>14+1</f>
        <v>15</v>
      </c>
      <c r="AC145" s="196">
        <f>206+16</f>
        <v>222</v>
      </c>
      <c r="AD145" s="196">
        <f>504+126</f>
        <v>630</v>
      </c>
      <c r="AE145" s="196">
        <f>759+91</f>
        <v>850</v>
      </c>
      <c r="AF145" s="196">
        <f>317+33</f>
        <v>350</v>
      </c>
      <c r="AG145" s="558">
        <f>AB145+AC145+AD145+AE145+AF145</f>
        <v>2067</v>
      </c>
      <c r="AH145" s="945"/>
      <c r="AI145" s="198"/>
      <c r="AJ145" s="933"/>
      <c r="AK145" s="927"/>
      <c r="AL145" s="927"/>
      <c r="AM145" s="902"/>
      <c r="AN145" s="924"/>
      <c r="AO145" s="924"/>
      <c r="AP145" s="924"/>
      <c r="AQ145" s="924"/>
      <c r="AR145" s="915"/>
    </row>
    <row r="146" spans="1:44" s="90" customFormat="1" ht="31.15" customHeight="1">
      <c r="A146" s="240"/>
      <c r="B146" s="941"/>
      <c r="C146" s="942"/>
      <c r="D146" s="943"/>
      <c r="E146" s="943"/>
      <c r="F146" s="241" t="s">
        <v>584</v>
      </c>
      <c r="G146" s="196">
        <f>14+1</f>
        <v>15</v>
      </c>
      <c r="H146" s="196">
        <f>206+16</f>
        <v>222</v>
      </c>
      <c r="I146" s="196">
        <f>504+126</f>
        <v>630</v>
      </c>
      <c r="J146" s="196">
        <f>759+91</f>
        <v>850</v>
      </c>
      <c r="K146" s="196">
        <f>317+33</f>
        <v>350</v>
      </c>
      <c r="L146" s="558">
        <f>G146+H146+I146+J146+K146</f>
        <v>2067</v>
      </c>
      <c r="M146" s="945"/>
      <c r="N146" s="196">
        <f>14+1</f>
        <v>15</v>
      </c>
      <c r="O146" s="196">
        <f>206+16</f>
        <v>222</v>
      </c>
      <c r="P146" s="196">
        <f>504+126</f>
        <v>630</v>
      </c>
      <c r="Q146" s="196">
        <f>759+91</f>
        <v>850</v>
      </c>
      <c r="R146" s="196">
        <f>317+33</f>
        <v>350</v>
      </c>
      <c r="S146" s="558">
        <f>N146+O146+P146+Q146+R146</f>
        <v>2067</v>
      </c>
      <c r="T146" s="945"/>
      <c r="U146" s="196">
        <f>14+1</f>
        <v>15</v>
      </c>
      <c r="V146" s="196">
        <f>206+16</f>
        <v>222</v>
      </c>
      <c r="W146" s="196">
        <f>504+126</f>
        <v>630</v>
      </c>
      <c r="X146" s="196">
        <f>759+91</f>
        <v>850</v>
      </c>
      <c r="Y146" s="196">
        <f>317+33</f>
        <v>350</v>
      </c>
      <c r="Z146" s="558">
        <f>U146+V146+W146+X146+Y146</f>
        <v>2067</v>
      </c>
      <c r="AA146" s="945"/>
      <c r="AB146" s="196">
        <f>14+1</f>
        <v>15</v>
      </c>
      <c r="AC146" s="196">
        <f>206+16</f>
        <v>222</v>
      </c>
      <c r="AD146" s="196">
        <f>504+126</f>
        <v>630</v>
      </c>
      <c r="AE146" s="196">
        <f>759+91</f>
        <v>850</v>
      </c>
      <c r="AF146" s="196">
        <f>317+33</f>
        <v>350</v>
      </c>
      <c r="AG146" s="558">
        <f>AB146+AC146+AD146+AE146+AF146</f>
        <v>2067</v>
      </c>
      <c r="AH146" s="945"/>
      <c r="AI146" s="242"/>
      <c r="AJ146" s="933"/>
      <c r="AK146" s="927"/>
      <c r="AL146" s="927"/>
      <c r="AM146" s="902"/>
      <c r="AN146" s="924"/>
      <c r="AO146" s="924"/>
      <c r="AP146" s="924"/>
      <c r="AQ146" s="924"/>
      <c r="AR146" s="915"/>
    </row>
    <row r="147" spans="1:44" s="50" customFormat="1" ht="31.9" customHeight="1" thickBot="1">
      <c r="A147" s="197"/>
      <c r="B147" s="941"/>
      <c r="C147" s="942"/>
      <c r="D147" s="943"/>
      <c r="E147" s="943"/>
      <c r="F147" s="236" t="s">
        <v>349</v>
      </c>
      <c r="G147" s="203">
        <f>IF($B$144="Лікар-педіатр",G146/L146,IF($B$144="Лікар-терапевт","х",IF($B$144="Лікар загальної практики - сімейний лікар",G146/L146,0)))</f>
        <v>7.2568940493468797E-3</v>
      </c>
      <c r="H147" s="203">
        <f>IF($B$144="Лікар-педіатр",H146/L146,IF($B$144="Лікар-терапевт","х",IF($B$144="Лікар загальної практики - сімейний лікар",H146/L146,0)))</f>
        <v>0.10740203193033382</v>
      </c>
      <c r="I147" s="203">
        <f>IF($B$144="Лікар-педіатр","x",IF($B$144="Лікар-терапевт",I146/L146,IF($B$144="Лікар загальної практики - сімейний лікар",I146/L146,0)))</f>
        <v>0.30478955007256892</v>
      </c>
      <c r="J147" s="203">
        <f>IF($B$144="Лікар-педіатр","x",IF($B$144="Лікар-терапевт",J146/L146,IF($B$144="Лікар загальної практики - сімейний лікар",J146/L146,0)))</f>
        <v>0.41122399612965649</v>
      </c>
      <c r="K147" s="203">
        <f>IF($B$144="Лікар-педіатр","x",IF($B$144="Лікар-терапевт",K146/L146,IF($B$144="Лікар загальної практики - сімейний лікар",K146/L146,0)))</f>
        <v>0.16932752781809385</v>
      </c>
      <c r="L147" s="203">
        <f>SUM(G147:K147)</f>
        <v>1</v>
      </c>
      <c r="M147" s="945"/>
      <c r="N147" s="203">
        <f>IF($B$144="Лікар-педіатр",N146/S146,IF($B$144="Лікар-терапевт","х",IF($B$144="Лікар загальної практики - сімейний лікар",N146/S146,0)))</f>
        <v>7.2568940493468797E-3</v>
      </c>
      <c r="O147" s="203">
        <f>IF($B$144="Лікар-педіатр",O146/S146,IF($B$144="Лікар-терапевт","х",IF($B$144="Лікар загальної практики - сімейний лікар",O146/S146,0)))</f>
        <v>0.10740203193033382</v>
      </c>
      <c r="P147" s="203">
        <f>IF($B$144="Лікар-педіатр","x",IF($B$144="Лікар-терапевт",P146/S146,IF($B$144="Лікар загальної практики - сімейний лікар",P146/S146,0)))</f>
        <v>0.30478955007256892</v>
      </c>
      <c r="Q147" s="203">
        <f>IF($B$144="Лікар-педіатр","x",IF($B$144="Лікар-терапевт",Q146/S146,IF($B$144="Лікар загальної практики - сімейний лікар",Q146/S146,0)))</f>
        <v>0.41122399612965649</v>
      </c>
      <c r="R147" s="203">
        <f>IF($B$144="Лікар-педіатр","x",IF($B$144="Лікар-терапевт",R146/S146,IF($B$144="Лікар загальної практики - сімейний лікар",R146/S146,0)))</f>
        <v>0.16932752781809385</v>
      </c>
      <c r="S147" s="203">
        <f>SUM(N147:R147)</f>
        <v>1</v>
      </c>
      <c r="T147" s="945"/>
      <c r="U147" s="203">
        <f>IF($B$144="Лікар-педіатр",U146/Z146,IF($B$144="Лікар-терапевт","х",IF($B$144="Лікар загальної практики - сімейний лікар",U146/Z146,0)))</f>
        <v>7.2568940493468797E-3</v>
      </c>
      <c r="V147" s="203">
        <f>IF($B$144="Лікар-педіатр",V146/Z146,IF($B$144="Лікар-терапевт","х",IF($B$144="Лікар загальної практики - сімейний лікар",V146/Z146,0)))</f>
        <v>0.10740203193033382</v>
      </c>
      <c r="W147" s="203">
        <f>IF($B$144="Лікар-педіатр","x",IF($B$144="Лікар-терапевт",W146/Z146,IF($B$144="Лікар загальної практики - сімейний лікар",W146/Z146,0)))</f>
        <v>0.30478955007256892</v>
      </c>
      <c r="X147" s="203">
        <f>IF($B$144="Лікар-педіатр","x",IF($B$144="Лікар-терапевт",X146/Z146,IF($B$144="Лікар загальної практики - сімейний лікар",X146/Z146,0)))</f>
        <v>0.41122399612965649</v>
      </c>
      <c r="Y147" s="203">
        <f>IF($B$144="Лікар-педіатр","x",IF($B$144="Лікар-терапевт",Y146/Z146,IF($B$144="Лікар загальної практики - сімейний лікар",Y146/Z146,0)))</f>
        <v>0.16932752781809385</v>
      </c>
      <c r="Z147" s="203">
        <f>SUM(U147:Y147)</f>
        <v>1</v>
      </c>
      <c r="AA147" s="945"/>
      <c r="AB147" s="203">
        <f>IF($B$144="Лікар-педіатр",AB146/AG146,IF($B$144="Лікар-терапевт","х",IF($B$144="Лікар загальної практики - сімейний лікар",AB146/AG146,0)))</f>
        <v>7.2568940493468797E-3</v>
      </c>
      <c r="AC147" s="203">
        <f>IF($B$144="Лікар-педіатр",AC146/AG146,IF($B$144="Лікар-терапевт","х",IF($B$144="Лікар загальної практики - сімейний лікар",AC146/AG146,0)))</f>
        <v>0.10740203193033382</v>
      </c>
      <c r="AD147" s="203">
        <f>IF($B$144="Лікар-педіатр","x",IF($B$144="Лікар-терапевт",AD146/AG146,IF($B$144="Лікар загальної практики - сімейний лікар",AD146/AG146,0)))</f>
        <v>0.30478955007256892</v>
      </c>
      <c r="AE147" s="203">
        <f>IF($B$144="Лікар-педіатр","x",IF($B$144="Лікар-терапевт",AE146/AG146,IF($B$144="Лікар загальної практики - сімейний лікар",AE146/AG146,0)))</f>
        <v>0.41122399612965649</v>
      </c>
      <c r="AF147" s="203">
        <f>IF($B$144="Лікар-педіатр","x",IF($B$144="Лікар-терапевт",AF146/AG146,IF($B$144="Лікар загальної практики - сімейний лікар",AF146/AG146,0)))</f>
        <v>0.16932752781809385</v>
      </c>
      <c r="AG147" s="203">
        <f>SUM(AB147:AF147)</f>
        <v>1</v>
      </c>
      <c r="AH147" s="945"/>
      <c r="AI147" s="201"/>
      <c r="AJ147" s="933"/>
      <c r="AK147" s="927"/>
      <c r="AL147" s="927"/>
      <c r="AM147" s="902"/>
      <c r="AN147" s="924"/>
      <c r="AO147" s="924"/>
      <c r="AP147" s="924"/>
      <c r="AQ147" s="924"/>
      <c r="AR147" s="915"/>
    </row>
    <row r="148" spans="1:44" s="50" customFormat="1" ht="45" customHeight="1" thickBot="1">
      <c r="A148" s="197"/>
      <c r="B148" s="941"/>
      <c r="C148" s="942"/>
      <c r="D148" s="943"/>
      <c r="E148" s="944"/>
      <c r="F148" s="204" t="s">
        <v>585</v>
      </c>
      <c r="G148" s="205">
        <f>IF($B$144="Лікар загальної практики - сімейний лікар",AVERAGE(G144:G146),IF($B$144="Лікар-педіатр",AVERAGE(G144:G146),IF($B$144="Лікар-терапевт","х",0)))</f>
        <v>15</v>
      </c>
      <c r="H148" s="205">
        <f>IF($B$144="Лікар загальної практики - сімейний лікар",AVERAGE(H144:H146),IF($B$144="Лікар-педіатр",AVERAGE(H144:H146),IF($B$144="Лікар-терапевт","х",0)))</f>
        <v>222</v>
      </c>
      <c r="I148" s="205">
        <f>IF($B$144="Лікар загальної практики - сімейний лікар",AVERAGE(I144:I146),IF($B$144="Лікар-педіатр","x",IF($B$144="Лікар-терапевт",AVERAGE(I144:I146),0)))</f>
        <v>630</v>
      </c>
      <c r="J148" s="205">
        <f>IF($B$144="Лікар загальної практики - сімейний лікар",AVERAGE(J144:J146),IF($B$144="Лікар-педіатр","x",IF($B$144="Лікар-терапевт",AVERAGE(J144:J146),0)))</f>
        <v>850</v>
      </c>
      <c r="K148" s="205">
        <f>IF($B$144="Лікар загальної практики - сімейний лікар",AVERAGE(K144:K146),IF($B$144="Лікар-педіатр","x",IF($B$144="Лікар-терапевт",AVERAGE(K144:K146),0)))</f>
        <v>350</v>
      </c>
      <c r="L148" s="206">
        <f>SUM(G148:K148)</f>
        <v>2067</v>
      </c>
      <c r="M148" s="946"/>
      <c r="N148" s="205">
        <f>IF($B$144="Лікар загальної практики - сімейний лікар",AVERAGE(N144:N146),IF($B$144="Лікар-педіатр",AVERAGE(N144:N146),IF($B$144="Лікар-терапевт","х",0)))</f>
        <v>15</v>
      </c>
      <c r="O148" s="205">
        <f>IF($B$144="Лікар загальної практики - сімейний лікар",AVERAGE(O144:O146),IF($B$144="Лікар-педіатр",AVERAGE(O144:O146),IF($B$144="Лікар-терапевт","х",0)))</f>
        <v>222</v>
      </c>
      <c r="P148" s="205">
        <f>IF($B$144="Лікар загальної практики - сімейний лікар",AVERAGE(P144:P146),IF($B$144="Лікар-педіатр","x",IF($B$144="Лікар-терапевт",AVERAGE(P144:P146),0)))</f>
        <v>630</v>
      </c>
      <c r="Q148" s="205">
        <f>IF($B$144="Лікар загальної практики - сімейний лікар",AVERAGE(Q144:Q146),IF($B$144="Лікар-педіатр","x",IF($B$144="Лікар-терапевт",AVERAGE(Q144:Q146),0)))</f>
        <v>850</v>
      </c>
      <c r="R148" s="205">
        <f>IF($B$144="Лікар загальної практики - сімейний лікар",AVERAGE(R144:R146),IF($B$144="Лікар-педіатр","x",IF($B$144="Лікар-терапевт",AVERAGE(R144:R146),0)))</f>
        <v>350</v>
      </c>
      <c r="S148" s="206">
        <f>SUM(N148:R148)</f>
        <v>2067</v>
      </c>
      <c r="T148" s="946"/>
      <c r="U148" s="205">
        <f>IF($B$144="Лікар загальної практики - сімейний лікар",AVERAGE(U144:U146),IF($B$144="Лікар-педіатр",AVERAGE(U144:U146),IF($B$144="Лікар-терапевт","х",0)))</f>
        <v>15</v>
      </c>
      <c r="V148" s="205">
        <f>IF($B$144="Лікар загальної практики - сімейний лікар",AVERAGE(V144:V146),IF($B$144="Лікар-педіатр",AVERAGE(V144:V146),IF($B$144="Лікар-терапевт","х",0)))</f>
        <v>222</v>
      </c>
      <c r="W148" s="205">
        <f>IF($B$144="Лікар загальної практики - сімейний лікар",AVERAGE(W144:W146),IF($B$144="Лікар-педіатр","x",IF($B$144="Лікар-терапевт",AVERAGE(W144:W146),0)))</f>
        <v>630</v>
      </c>
      <c r="X148" s="205">
        <f>IF($B$144="Лікар загальної практики - сімейний лікар",AVERAGE(X144:X146),IF($B$144="Лікар-педіатр","x",IF($B$144="Лікар-терапевт",AVERAGE(X144:X146),0)))</f>
        <v>850</v>
      </c>
      <c r="Y148" s="205">
        <f>IF($B$144="Лікар загальної практики - сімейний лікар",AVERAGE(Y144:Y146),IF($B$144="Лікар-педіатр","x",IF($B$144="Лікар-терапевт",AVERAGE(Y144:Y146),0)))</f>
        <v>350</v>
      </c>
      <c r="Z148" s="206">
        <f>SUM(U148:Y148)</f>
        <v>2067</v>
      </c>
      <c r="AA148" s="946"/>
      <c r="AB148" s="205">
        <f>IF($B$144="Лікар загальної практики - сімейний лікар",AVERAGE(AB144:AB146),IF($B$144="Лікар-педіатр",AVERAGE(AB144:AB146),IF($B$144="Лікар-терапевт","х",0)))</f>
        <v>15</v>
      </c>
      <c r="AC148" s="205">
        <f>IF($B$144="Лікар загальної практики - сімейний лікар",AVERAGE(AC144:AC146),IF($B$144="Лікар-педіатр",AVERAGE(AC144:AC146),IF($B$144="Лікар-терапевт","х",0)))</f>
        <v>222</v>
      </c>
      <c r="AD148" s="205">
        <f>IF($B$144="Лікар загальної практики - сімейний лікар",AVERAGE(AD144:AD146),IF($B$144="Лікар-педіатр","x",IF($B$144="Лікар-терапевт",AVERAGE(AD144:AD146),0)))</f>
        <v>630</v>
      </c>
      <c r="AE148" s="205">
        <f>IF($B$144="Лікар загальної практики - сімейний лікар",AVERAGE(AE144:AE146),IF($B$144="Лікар-педіатр","x",IF($B$144="Лікар-терапевт",AVERAGE(AE144:AE146),0)))</f>
        <v>850</v>
      </c>
      <c r="AF148" s="205">
        <f>IF($B$144="Лікар загальної практики - сімейний лікар",AVERAGE(AF144:AF146),IF($B$144="Лікар-педіатр","x",IF($B$144="Лікар-терапевт",AVERAGE(AF144:AF146),0)))</f>
        <v>350</v>
      </c>
      <c r="AG148" s="206">
        <f>SUM(AB148:AF148)</f>
        <v>2067</v>
      </c>
      <c r="AH148" s="947"/>
      <c r="AI148" s="201"/>
      <c r="AJ148" s="933"/>
      <c r="AK148" s="927"/>
      <c r="AL148" s="927"/>
      <c r="AM148" s="903"/>
      <c r="AN148" s="925"/>
      <c r="AO148" s="925"/>
      <c r="AP148" s="925"/>
      <c r="AQ148" s="925"/>
      <c r="AR148" s="916"/>
    </row>
    <row r="149" spans="1:44" s="50" customFormat="1" ht="40.5">
      <c r="A149" s="197"/>
      <c r="B149" s="941"/>
      <c r="C149" s="942"/>
      <c r="D149" s="943"/>
      <c r="E149" s="943"/>
      <c r="F149" s="237" t="str">
        <f ca="1">IF(B144="Лікар-педіатр",Законод!$C$17,IF(B144="Лікар загальної практики - сімейний лікар",Законод!$C$21,IF(B144="Лікар-терапевт",Законод!$C$25,"х")))</f>
        <v>ліміт (до 1800)</v>
      </c>
      <c r="G149" s="208">
        <f ca="1">IF($B$144="Лікар загальної практики - сімейний лікар",IF(L148&lt;=Законод!$C$22,G148,Законод!$C$22*'01_Доходи'!G147),IF($B$144="Лікар-педіатр",IF(L148&lt;=Законод!$C$18,G148,Законод!$C$18*'01_Доходи'!G147),IF($B$144="Лікар-терапевт","x",0)))</f>
        <v>13.062409288824384</v>
      </c>
      <c r="H149" s="208">
        <f ca="1">IF($B$144="Лікар загальної практики - сімейний лікар",IF(L148&lt;=Законод!$C$22,H148,Законод!$C$22*'01_Доходи'!H147),IF($B$144="Лікар-педіатр",IF(L148&lt;=Законод!$C$18,H148,Законод!$C$18*'01_Доходи'!H147),IF($B$144="Лікар-терапевт","x",0)))</f>
        <v>193.32365747460088</v>
      </c>
      <c r="I149" s="208">
        <f ca="1">IF($B$144="Лікар загальної практики - сімейний лікар",IF(L148&lt;=Законод!$C$22,I148,Законод!$C$22*'01_Доходи'!I147),IF($B$144="Лікар-педіатр","x",IF($B$144="Лікар-терапевт",IF(L148&lt;=Законод!$C$26,I148,Законод!$C$26*'01_Доходи'!I147),0)))</f>
        <v>548.62119013062409</v>
      </c>
      <c r="J149" s="208">
        <f ca="1">IF($B$144="Лікар загальної практики - сімейний лікар",IF(L148&lt;=Законод!$C$22,J148,Законод!$C$22*'01_Доходи'!J147),IF($B$144="Лікар-педіатр","x",IF($B$144="Лікар-терапевт",IF(L148&lt;=Законод!$C$26,J148,Законод!$C$26*'01_Доходи'!J147),0)))</f>
        <v>740.20319303338169</v>
      </c>
      <c r="K149" s="208">
        <f ca="1">IF($B$144="Лікар загальної практики - сімейний лікар",IF(L148&lt;=Законод!$C$22,K148,Законод!$C$22*'01_Доходи'!K147),IF($B$144="Лікар-педіатр","x",IF($B$144="Лікар-терапевт",IF(L148&lt;=Законод!$C$26,K148,Законод!$C$26*'01_Доходи'!K147),0)))</f>
        <v>304.78955007256894</v>
      </c>
      <c r="L149" s="209">
        <f ca="1">SUM(G149:K149)</f>
        <v>1800</v>
      </c>
      <c r="M149" s="945"/>
      <c r="N149" s="208">
        <f ca="1">IF($B$144="Лікар загальної практики - сімейний лікар",IF(S148&lt;=Законод!$C$22,N148,Законод!$C$22*'01_Доходи'!N147),IF($B$144="Лікар-педіатр",IF(S148&lt;=Законод!$C$18,N148,Законод!$C$18*'01_Доходи'!N147),IF($B$144="Лікар-терапевт","x",0)))</f>
        <v>13.062409288824384</v>
      </c>
      <c r="O149" s="208">
        <f ca="1">IF($B$144="Лікар загальної практики - сімейний лікар",IF(S148&lt;=Законод!$C$22,O148,Законод!$C$22*'01_Доходи'!O147),IF($B$144="Лікар-педіатр",IF(S148&lt;=Законод!$C$18,O148,Законод!$C$18*'01_Доходи'!O147),IF($B$144="Лікар-терапевт","x",0)))</f>
        <v>193.32365747460088</v>
      </c>
      <c r="P149" s="208">
        <f ca="1">IF($B$144="Лікар загальної практики - сімейний лікар",IF(S148&lt;=Законод!$C$22,P148,Законод!$C$22*'01_Доходи'!P147),IF($B$144="Лікар-педіатр","x",IF($B$144="Лікар-терапевт",IF(S148&lt;=Законод!$C$26,P148,Законод!$C$26*'01_Доходи'!P147),0)))</f>
        <v>548.62119013062409</v>
      </c>
      <c r="Q149" s="208">
        <f ca="1">IF($B$144="Лікар загальної практики - сімейний лікар",IF(S148&lt;=Законод!$C$22,Q148,Законод!$C$22*'01_Доходи'!Q147),IF($B$144="Лікар-педіатр","x",IF($B$144="Лікар-терапевт",IF(S148&lt;=Законод!$C$26,Q148,Законод!$C$26*'01_Доходи'!Q147),0)))</f>
        <v>740.20319303338169</v>
      </c>
      <c r="R149" s="208">
        <f ca="1">IF($B$144="Лікар загальної практики - сімейний лікар",IF(S148&lt;=Законод!$C$22,R148,Законод!$C$22*'01_Доходи'!R147),IF($B$144="Лікар-педіатр","x",IF($B$144="Лікар-терапевт",IF(S148&lt;=Законод!$C$26,R148,Законод!$C$26*'01_Доходи'!R147),0)))</f>
        <v>304.78955007256894</v>
      </c>
      <c r="S149" s="209">
        <f ca="1">SUM(N149:R149)</f>
        <v>1800</v>
      </c>
      <c r="T149" s="945"/>
      <c r="U149" s="208">
        <f ca="1">IF($B$144="Лікар загальної практики - сімейний лікар",IF(Z148&lt;=Законод!$C$22,U148,Законод!$C$22*'01_Доходи'!U147),IF($B$144="Лікар-педіатр",IF(Z148&lt;=Законод!$C$18,U148,Законод!$C$18*'01_Доходи'!U147),IF($B$144="Лікар-терапевт","x",0)))</f>
        <v>13.062409288824384</v>
      </c>
      <c r="V149" s="208">
        <f ca="1">IF($B$144="Лікар загальної практики - сімейний лікар",IF(Z148&lt;=Законод!$C$22,V148,Законод!$C$22*'01_Доходи'!V147),IF($B$144="Лікар-педіатр",IF(Z148&lt;=Законод!$C$18,V148,Законод!$C$18*'01_Доходи'!V147),IF($B$144="Лікар-терапевт","x",0)))</f>
        <v>193.32365747460088</v>
      </c>
      <c r="W149" s="208">
        <f ca="1">IF($B$144="Лікар загальної практики - сімейний лікар",IF(Z148&lt;=Законод!$C$22,W148,Законод!$C$22*'01_Доходи'!W147),IF($B$144="Лікар-педіатр","x",IF($B$144="Лікар-терапевт",IF(Z148&lt;=Законод!$C$26,W148,Законод!$C$26*'01_Доходи'!W147),0)))</f>
        <v>548.62119013062409</v>
      </c>
      <c r="X149" s="208">
        <f ca="1">IF($B$144="Лікар загальної практики - сімейний лікар",IF(Z148&lt;=Законод!$C$22,X148,Законод!$C$22*'01_Доходи'!X147),IF($B$144="Лікар-педіатр","x",IF($B$144="Лікар-терапевт",IF(Z148&lt;=Законод!$C$26,X148,Законод!$C$26*'01_Доходи'!X147),0)))</f>
        <v>740.20319303338169</v>
      </c>
      <c r="Y149" s="208">
        <f ca="1">IF($B$144="Лікар загальної практики - сімейний лікар",IF(Z148&lt;=Законод!$C$22,Y148,Законод!$C$22*'01_Доходи'!Y147),IF($B$144="Лікар-педіатр","x",IF($B$144="Лікар-терапевт",IF(Z148&lt;=Законод!$C$26,Y148,Законод!$C$26*'01_Доходи'!Y147),0)))</f>
        <v>304.78955007256894</v>
      </c>
      <c r="Z149" s="209">
        <f ca="1">SUM(U149:Y149)</f>
        <v>1800</v>
      </c>
      <c r="AA149" s="945"/>
      <c r="AB149" s="208">
        <f ca="1">IF($B$144="Лікар загальної практики - сімейний лікар",IF(AG148&lt;=Законод!$C$22,AB148,Законод!$C$22*'01_Доходи'!AB147),IF($B$144="Лікар-педіатр",IF(AG148&lt;=Законод!$C$18,AB148,Законод!$C$18*'01_Доходи'!AB147),IF($B$144="Лікар-терапевт","x",0)))</f>
        <v>13.062409288824384</v>
      </c>
      <c r="AC149" s="208">
        <f ca="1">IF($B$144="Лікар загальної практики - сімейний лікар",IF(AG148&lt;=Законод!$C$22,AC148,Законод!$C$22*'01_Доходи'!AC147),IF($B$144="Лікар-педіатр",IF(AG148&lt;=Законод!$C$18,AC148,Законод!$C$18*'01_Доходи'!AC147),IF($B$144="Лікар-терапевт","x",0)))</f>
        <v>193.32365747460088</v>
      </c>
      <c r="AD149" s="208">
        <f ca="1">IF($B$144="Лікар загальної практики - сімейний лікар",IF(AG148&lt;=Законод!$C$22,AD148,Законод!$C$22*'01_Доходи'!AD147),IF($B$144="Лікар-педіатр","x",IF($B$144="Лікар-терапевт",IF(AG148&lt;=Законод!$C$26,AD148,Законод!$C$26*'01_Доходи'!AD147),0)))</f>
        <v>548.62119013062409</v>
      </c>
      <c r="AE149" s="208">
        <f ca="1">IF($B$144="Лікар загальної практики - сімейний лікар",IF(AG148&lt;=Законод!$C$22,AE148,Законод!$C$22*'01_Доходи'!AE147),IF($B$144="Лікар-педіатр","x",IF($B$144="Лікар-терапевт",IF(AG148&lt;=Законод!$C$26,AE148,Законод!$C$26*'01_Доходи'!AE147),0)))</f>
        <v>740.20319303338169</v>
      </c>
      <c r="AF149" s="208">
        <f ca="1">IF($B$144="Лікар загальної практики - сімейний лікар",IF(AG148&lt;=Законод!$C$22,AF148,Законод!$C$22*'01_Доходи'!AF147),IF($B$144="Лікар-педіатр","x",IF($B$144="Лікар-терапевт",IF(AG148&lt;=Законод!$C$26,AF148,Законод!$C$26*'01_Доходи'!AF147),0)))</f>
        <v>304.78955007256894</v>
      </c>
      <c r="AG149" s="209">
        <f ca="1">SUM(AB149:AF149)</f>
        <v>1800</v>
      </c>
      <c r="AH149" s="945"/>
      <c r="AI149" s="201"/>
      <c r="AJ149" s="933"/>
      <c r="AK149" s="927"/>
      <c r="AL149" s="927"/>
      <c r="AM149" s="348" t="s">
        <v>374</v>
      </c>
      <c r="AN149" s="210">
        <f ca="1">IF(B144="Лікар загальної практики - сімейний лікар",G149*Законод!$C$11+'01_Доходи'!H149*Законод!$D$11+'01_Доходи'!I149*Законод!$E$11+'01_Доходи'!J149*Законод!$F$11+'01_Доходи'!K149*Законод!$G$11,IF(B144="Лікар-педіатр",G149*Законод!$C$11+'01_Доходи'!H149*Законод!$D$11,IF(B144="Лікар-терапевт",'01_Доходи'!I149*Законод!$E$11+'01_Доходи'!J149*Законод!$F$11+'01_Доходи'!K149*Законод!$G$11,0)))</f>
        <v>305772.28215892601</v>
      </c>
      <c r="AO149" s="210">
        <f ca="1">IF(B144="Лікар загальної практики - сімейний лікар",N149*Законод!$C$11+'01_Доходи'!O149*Законод!$D$11+'01_Доходи'!P149*Законод!$E$11+'01_Доходи'!Q149*Законод!$F$11+'01_Доходи'!R149*Законод!$G$11,IF(B144="Лікар-педіатр",N149*Законод!$C$11+'01_Доходи'!O149*Законод!$D$11,IF(B144="Лікар-терапевт",'01_Доходи'!P149*Законод!$E$11+'01_Доходи'!Q149*Законод!$F$11+'01_Доходи'!R149*Законод!$G$11,0)))</f>
        <v>305772.28215892601</v>
      </c>
      <c r="AP149" s="210">
        <f ca="1">IF(B144="Лікар загальної практики - сімейний лікар",U149*Законод!$C$11+'01_Доходи'!V149*Законод!$D$11+'01_Доходи'!W149*Законод!$E$11+'01_Доходи'!X149*Законод!$F$11+'01_Доходи'!Y149*Законод!$G$11,IF(B144="Лікар-педіатр",U149*Законод!$C$11+'01_Доходи'!V149*Законод!$D$11,IF(B144="Лікар-терапевт",'01_Доходи'!W149*Законод!$E$11+'01_Доходи'!X149*Законод!$F$11+'01_Доходи'!Y149*Законод!$G$11,0)))</f>
        <v>305772.28215892601</v>
      </c>
      <c r="AQ149" s="210">
        <f ca="1">IF(B144="Лікар загальної практики - сімейний лікар",AB149*Законод!$C$11+'01_Доходи'!AC149*Законод!$D$11+'01_Доходи'!AD149*Законод!$E$11+'01_Доходи'!AE149*Законод!$F$11+'01_Доходи'!AF149*Законод!$G$11,IF(B144="Лікар-педіатр",AB149*Законод!$C$11+'01_Доходи'!AC149*Законод!$D$11,IF(B144="Лікар-терапевт",'01_Доходи'!AD149*Законод!$E$11+'01_Доходи'!AE149*Законод!$F$11+'01_Доходи'!AF149*Законод!$G$11,0)))</f>
        <v>305772.28215892601</v>
      </c>
      <c r="AR149" s="211">
        <f t="shared" ref="AR149:AR155" si="10">SUM(AN149:AQ149)</f>
        <v>1223089.1286357041</v>
      </c>
    </row>
    <row r="150" spans="1:44" s="50" customFormat="1" ht="31.9" customHeight="1">
      <c r="A150" s="197"/>
      <c r="B150" s="941"/>
      <c r="C150" s="942"/>
      <c r="D150" s="943"/>
      <c r="E150" s="943"/>
      <c r="F150" s="238" t="str">
        <f ca="1">IF(B144="Лікар-педіатр",Законод!$E$17,IF(B144="Лікар загальної практики - сімейний лікар",Законод!$E$21,IF(B144="Лікар-терапевт",Законод!$E$25,"х")))</f>
        <v>понад ліміт (1801-1980)</v>
      </c>
      <c r="G150" s="940" t="s">
        <v>346</v>
      </c>
      <c r="H150" s="940"/>
      <c r="I150" s="940"/>
      <c r="J150" s="940"/>
      <c r="K150" s="940"/>
      <c r="L150" s="196">
        <f ca="1">IF($B$144="Лікар загальної практики - сімейний лікар",IF(L148&lt;Законод!$C$22,0,(IF(AND(L148&gt;=Законод!$E$22,L148&lt;=Законод!$E$23),L148-Законод!$C$22,IF('01_Доходи'!L148&gt;=Законод!$F$22,Законод!$E$24,0)))),IF($B$144="Лікар-педіатр",IF(L148&lt;Законод!$C$18,0,(IF(AND(L148&gt;=Законод!$E$18,L148&lt;=Законод!$E$19),L148-Законод!$C$18,IF('01_Доходи'!L148&gt;=Законод!$F$18,Законод!$E$20,0)))),IF($B$144="Лікар-терапевт",IF(L148&lt;Законод!$C$26,0,(IF(AND(L148&gt;=Законод!$E$26,L148&lt;=Законод!$E$27),L148-Законод!$C$26,IF('01_Доходи'!L148&gt;=Законод!$F$26,Законод!$E$28,0)))),0)))</f>
        <v>180.00000000000023</v>
      </c>
      <c r="M150" s="945"/>
      <c r="N150" s="940" t="s">
        <v>346</v>
      </c>
      <c r="O150" s="940"/>
      <c r="P150" s="940"/>
      <c r="Q150" s="940"/>
      <c r="R150" s="940"/>
      <c r="S150" s="196">
        <f ca="1">IF($B$144="Лікар загальної практики - сімейний лікар",IF(S148&lt;Законод!$C$22,0,(IF(AND(S148&gt;=Законод!$E$22,S148&lt;=Законод!$E$23),S148-Законод!$C$22,IF('01_Доходи'!S148&gt;=Законод!$F$22,Законод!$E$24,0)))),IF($B$144="Лікар-педіатр",IF(S148&lt;Законод!$C$18,0,(IF(AND(S148&gt;=Законод!$E$18,S148&lt;=Законод!$E$19),S148-Законод!$C$18,IF('01_Доходи'!S148&gt;=Законод!$F$18,Законод!$E$20,0)))),IF($B$144="Лікар-терапевт",IF(S148&lt;Законод!$C$26,0,(IF(AND(S148&gt;=Законод!$E$26,S148&lt;=Законод!$E$27),S148-Законод!$C$26,IF('01_Доходи'!S148&gt;=Законод!$F$26,Законод!$E$28,0)))),0)))</f>
        <v>180.00000000000023</v>
      </c>
      <c r="T150" s="945"/>
      <c r="U150" s="940" t="s">
        <v>346</v>
      </c>
      <c r="V150" s="940"/>
      <c r="W150" s="940"/>
      <c r="X150" s="940"/>
      <c r="Y150" s="940"/>
      <c r="Z150" s="196">
        <f ca="1">IF($B$144="Лікар загальної практики - сімейний лікар",IF(Z148&lt;Законод!$C$22,0,(IF(AND(Z148&gt;=Законод!$E$22,Z148&lt;=Законод!$E$23),Z148-Законод!$C$22,IF('01_Доходи'!Z148&gt;=Законод!$F$22,Законод!$E$24,0)))),IF($B$144="Лікар-педіатр",IF(Z148&lt;Законод!$C$18,0,(IF(AND(Z148&gt;=Законод!$E$18,Z148&lt;=Законод!$E$19),Z148-Законод!$C$18,IF('01_Доходи'!Z148&gt;=Законод!$F$18,Законод!$E$20,0)))),IF($B$144="Лікар-терапевт",IF(Z148&lt;Законод!$C$26,0,(IF(AND(Z148&gt;=Законод!$E$26,Z148&lt;=Законод!$E$27),Z148-Законод!$C$26,IF('01_Доходи'!Z148&gt;=Законод!$F$26,Законод!$E$28,0)))),0)))</f>
        <v>180.00000000000023</v>
      </c>
      <c r="AA150" s="945"/>
      <c r="AB150" s="940" t="s">
        <v>346</v>
      </c>
      <c r="AC150" s="940"/>
      <c r="AD150" s="940"/>
      <c r="AE150" s="940"/>
      <c r="AF150" s="940"/>
      <c r="AG150" s="196">
        <f ca="1">IF($B$144="Лікар загальної практики - сімейний лікар",IF(AG148&lt;Законод!$C$22,0,(IF(AND(AG148&gt;=Законод!$E$22,AG148&lt;=Законод!$E$23),AG148-Законод!$C$22,IF('01_Доходи'!AG148&gt;=Законод!$F$22,Законод!$E$24,0)))),IF($B$144="Лікар-педіатр",IF(AG148&lt;Законод!$C$18,0,(IF(AND(AG148&gt;=Законод!$E$18,AG148&lt;=Законод!$E$19),AG148-Законод!$C$18,IF('01_Доходи'!AG148&gt;=Законод!$F$18,Законод!$E$20,0)))),IF($B$144="Лікар-терапевт",IF(AG148&lt;Законод!$C$26,0,(IF(AND(AG148&gt;=Законод!$E$26,AG148&lt;=Законод!$E$27),AG148-Законод!$C$26,IF('01_Доходи'!AG148&gt;=Законод!$F$26,Законод!$E$28,0)))),0)))</f>
        <v>180.00000000000023</v>
      </c>
      <c r="AH150" s="945"/>
      <c r="AI150" s="201"/>
      <c r="AJ150" s="933"/>
      <c r="AK150" s="927"/>
      <c r="AL150" s="927"/>
      <c r="AM150" s="898" t="s">
        <v>375</v>
      </c>
      <c r="AN150" s="210">
        <f ca="1">IF(B144="Лікар загальної практики - сімейний лікар",L150*Законод!$C$9/4*Законод!$E$16,IF(B144="Лікар-педіатр",L150*Законод!$C$9/4*Законод!$E$16,IF(B144="Лікар-терапевт",L150*Законод!$C$9/4*Законод!$E$16,0)))</f>
        <v>21805.938000000027</v>
      </c>
      <c r="AO150" s="210">
        <f ca="1">IF(B144="Лікар загальної практики - сімейний лікар",S150*Законод!$C$9/4*Законод!$E$16,IF(B144="Лікар-педіатр",S150*Законод!$C$9/4*Законод!$E$16,IF(B144="Лікар-терапевт",S150*Законод!$C$9/4*Законод!$E$16,0)))</f>
        <v>21805.938000000027</v>
      </c>
      <c r="AP150" s="210">
        <f ca="1">IF(B144="Лікар загальної практики - сімейний лікар",Z150*Законод!$C$9/4*Законод!$E$16,IF(B144="Лікар-педіатр",Z150*Законод!$C$9/4*Законод!$E$16,IF(B144="Лікар-терапевт",Z150*Законод!$C$9/4*Законод!$E$16,0)))</f>
        <v>21805.938000000027</v>
      </c>
      <c r="AQ150" s="210">
        <f ca="1">IF(B144="Лікар загальної практики - сімейний лікар",AG150*Законод!$C$9/4*Законод!$E$16,IF(B144="Лікар-педіатр",AG150*Законод!$C$9/4*Законод!$E$16,IF(B144="Лікар-терапевт",AG150*Законод!$C$9/4*Законод!$E$16,0)))</f>
        <v>21805.938000000027</v>
      </c>
      <c r="AR150" s="211">
        <f t="shared" si="10"/>
        <v>87223.75200000011</v>
      </c>
    </row>
    <row r="151" spans="1:44" s="50" customFormat="1" ht="31.9" customHeight="1">
      <c r="A151" s="197"/>
      <c r="B151" s="941"/>
      <c r="C151" s="942"/>
      <c r="D151" s="943"/>
      <c r="E151" s="943"/>
      <c r="F151" s="238" t="str">
        <f ca="1">IF(B144="Лікар-педіатр",Законод!$F$17,IF(B144="Лікар загальної практики - сімейний лікар",Законод!$F$21,IF(B144="Лікар-терапевт",Законод!$F$25,"х")))</f>
        <v>понад ліміт (1981-2160)</v>
      </c>
      <c r="G151" s="940" t="s">
        <v>346</v>
      </c>
      <c r="H151" s="940"/>
      <c r="I151" s="940"/>
      <c r="J151" s="940"/>
      <c r="K151" s="940"/>
      <c r="L151" s="196">
        <f ca="1">IF($B$144="Лікар загальної практики - сімейний лікар",IF(L148&lt;Законод!$C$22,0,(IF(AND(L148&gt;=Законод!$F$22,L148&lt;=Законод!$F$23),L148-Законод!$E$23,IF('01_Доходи'!L148&gt;=Законод!$G$22,Законод!$F$24,0)))),IF($B$144="Лікар-педіатр",IF(L148&lt;Законод!$C$18,0,(IF(AND(L148&gt;=Законод!$F$18,L148&lt;=Законод!$F$19),L148-Законод!$E$19,IF('01_Доходи'!L148&gt;=Законод!$G$18,Законод!$F$20,0)))),IF($B$144="Лікар-терапевт",IF(L148&lt;Законод!$C$26,0,(IF(AND(L148&gt;=Законод!$F$26,L148&lt;=Законод!$F$27),L148-Законод!$E$27,IF('01_Доходи'!L148&gt;=Законод!$G$26,Законод!$F$28,0)))),0)))</f>
        <v>86.999999999999773</v>
      </c>
      <c r="M151" s="945"/>
      <c r="N151" s="940" t="s">
        <v>346</v>
      </c>
      <c r="O151" s="940"/>
      <c r="P151" s="940"/>
      <c r="Q151" s="940"/>
      <c r="R151" s="940"/>
      <c r="S151" s="196">
        <f ca="1">IF($B$144="Лікар загальної практики - сімейний лікар",IF(S148&lt;Законод!$C$22,0,(IF(AND(S148&gt;=Законод!$F$22,S148&lt;=Законод!$F$23),S148-Законод!$E$23,IF('01_Доходи'!S148&gt;=Законод!$G$22,Законод!$F$24,0)))),IF($B$144="Лікар-педіатр",IF(S148&lt;Законод!$C$18,0,(IF(AND(S148&gt;=Законод!$F$18,S148&lt;=Законод!$F$19),S148-Законод!$E$19,IF('01_Доходи'!S148&gt;=Законод!$G$18,Законод!$F$20,0)))),IF($B$144="Лікар-терапевт",IF(S148&lt;Законод!$C$26,0,(IF(AND(S148&gt;=Законод!$F$26,S148&lt;=Законод!$F$27),S148-Законод!$E$27,IF('01_Доходи'!S148&gt;=Законод!$G$26,Законод!$F$28,0)))),0)))</f>
        <v>86.999999999999773</v>
      </c>
      <c r="T151" s="945"/>
      <c r="U151" s="940" t="s">
        <v>346</v>
      </c>
      <c r="V151" s="940"/>
      <c r="W151" s="940"/>
      <c r="X151" s="940"/>
      <c r="Y151" s="940"/>
      <c r="Z151" s="196">
        <f ca="1">IF($B$144="Лікар загальної практики - сімейний лікар",IF(Z148&lt;Законод!$C$22,0,(IF(AND(Z148&gt;=Законод!$F$22,Z148&lt;=Законод!$F$23),Z148-Законод!$E$23,IF('01_Доходи'!Z148&gt;=Законод!$G$22,Законод!$F$24,0)))),IF($B$144="Лікар-педіатр",IF(Z148&lt;Законод!$C$18,0,(IF(AND(Z148&gt;=Законод!$F$18,Z148&lt;=Законод!$F$19),Z148-Законод!$E$19,IF('01_Доходи'!Z148&gt;=Законод!$G$18,Законод!$F$20,0)))),IF($B$144="Лікар-терапевт",IF(Z148&lt;Законод!$C$26,0,(IF(AND(Z148&gt;=Законод!$F$26,Z148&lt;=Законод!$F$27),Z148-Законод!$E$27,IF('01_Доходи'!Z148&gt;=Законод!$G$26,Законод!$F$28,0)))),0)))</f>
        <v>86.999999999999773</v>
      </c>
      <c r="AA151" s="945"/>
      <c r="AB151" s="940" t="s">
        <v>346</v>
      </c>
      <c r="AC151" s="940"/>
      <c r="AD151" s="940"/>
      <c r="AE151" s="940"/>
      <c r="AF151" s="940"/>
      <c r="AG151" s="196">
        <f ca="1">IF($B$144="Лікар загальної практики - сімейний лікар",IF(AG148&lt;Законод!$C$22,0,(IF(AND(AG148&gt;=Законод!$F$22,AG148&lt;=Законод!$F$23),AG148-Законод!$E$23,IF('01_Доходи'!AG148&gt;=Законод!$G$22,Законод!$F$24,0)))),IF($B$144="Лікар-педіатр",IF(AG148&lt;Законод!$C$18,0,(IF(AND(AG148&gt;=Законод!$F$18,AG148&lt;=Законод!$F$19),AG148-Законод!$E$19,IF('01_Доходи'!AG148&gt;=Законод!$G$18,Законод!$F$20,0)))),IF($B$144="Лікар-терапевт",IF(AG148&lt;Законод!$C$26,0,(IF(AND(AG148&gt;=Законод!$F$26,AG148&lt;=Законод!$F$27),AG148-Законод!$E$27,IF('01_Доходи'!AG148&gt;=Законод!$G$26,Законод!$F$28,0)))),0)))</f>
        <v>86.999999999999773</v>
      </c>
      <c r="AH151" s="945"/>
      <c r="AI151" s="201"/>
      <c r="AJ151" s="933"/>
      <c r="AK151" s="927"/>
      <c r="AL151" s="927"/>
      <c r="AM151" s="899"/>
      <c r="AN151" s="210">
        <f ca="1">IF(B144="Лікар загальної практики - сімейний лікар",L151*Законод!$C$9/4*Законод!$F$16,IF(B144="Лікар-педіатр",L151*Законод!$C$9/4*Законод!$F$16,IF(B144="Лікар-терапевт",L151*Законод!$C$9/4*Законод!$F$16,0)))</f>
        <v>8435.0512874999768</v>
      </c>
      <c r="AO151" s="210">
        <f ca="1">IF(B144="Лікар загальної практики - сімейний лікар",S151*Законод!$C$9/4*Законод!$F$16,IF(B144="Лікар-педіатр",S151*Законод!$C$9/4*Законод!$F$16,IF(B144="Лікар-терапевт",S151*Законод!$C$9/4*Законод!$F$16,0)))</f>
        <v>8435.0512874999768</v>
      </c>
      <c r="AP151" s="210">
        <f ca="1">IF(B144="Лікар загальної практики - сімейний лікар",Z151*Законод!$C$9/4*Законод!$F$16,IF(B144="Лікар-педіатр",Z151*Законод!$C$9/4*Законод!$F$16,IF(B144="Лікар-терапевт",Z151*Законод!$C$9/4*Законод!$F$16,0)))</f>
        <v>8435.0512874999768</v>
      </c>
      <c r="AQ151" s="210">
        <f ca="1">IF(B144="Лікар загальної практики - сімейний лікар",AG151*Законод!$C$9/4*Законод!$F$16,IF(B144="Лікар-педіатр",AG151*Законод!$C$9/4*Законод!$F$16,IF(B144="Лікар-терапевт",AG151*Законод!$C$9/4*Законод!$F$16,0)))</f>
        <v>8435.0512874999768</v>
      </c>
      <c r="AR151" s="211">
        <f t="shared" si="10"/>
        <v>33740.205149999907</v>
      </c>
    </row>
    <row r="152" spans="1:44" s="50" customFormat="1" ht="31.9" customHeight="1">
      <c r="A152" s="197"/>
      <c r="B152" s="941"/>
      <c r="C152" s="942"/>
      <c r="D152" s="943"/>
      <c r="E152" s="943"/>
      <c r="F152" s="238" t="str">
        <f ca="1">IF(B144="Лікар-педіатр",Законод!$G$17,IF(B144="Лікар загальної практики - сімейний лікар",Законод!$G$21,IF(B144="Лікар-терапевт",Законод!$G$25,"х")))</f>
        <v>понад ліміт (2161-2340)</v>
      </c>
      <c r="G152" s="940" t="s">
        <v>346</v>
      </c>
      <c r="H152" s="940"/>
      <c r="I152" s="940"/>
      <c r="J152" s="940"/>
      <c r="K152" s="940"/>
      <c r="L152" s="196">
        <f ca="1">IF($B$144="Лікар загальної практики - сімейний лікар",IF(L148&lt;Законод!$C$22,0,(IF(AND(L148&gt;=Законод!$G$22,L148&lt;=Законод!$G$23),L148-Законод!$F$23,IF('01_Доходи'!L148&gt;=Законод!$H$22,Законод!$G$24,0)))),IF($B$144="Лікар-педіатр",IF(L148&lt;Законод!$C$18,0,(IF(AND(L148&gt;=Законод!$G$18,L148&lt;=Законод!$G$19),L148-Законод!$F$19,IF('01_Доходи'!L148&gt;=Законод!$H$18,Законод!$G$20,0)))),IF($B$144="Лікар-терапевт",IF(L148&lt;Законод!$C$26,0,(IF(AND(L148&gt;=Законод!$G$26,L148&lt;=Законод!$G$27),L148-Законод!$F$27,IF('01_Доходи'!L148&gt;=Законод!$H$26,Законод!$G$28,0)))),0)))</f>
        <v>0</v>
      </c>
      <c r="M152" s="945"/>
      <c r="N152" s="940" t="s">
        <v>346</v>
      </c>
      <c r="O152" s="940"/>
      <c r="P152" s="940"/>
      <c r="Q152" s="940"/>
      <c r="R152" s="940"/>
      <c r="S152" s="196">
        <f ca="1">IF($B$144="Лікар загальної практики - сімейний лікар",IF(S148&lt;Законод!$C$22,0,(IF(AND(S148&gt;=Законод!$G$22,S148&lt;=Законод!$G$23),S148-Законод!$F$23,IF('01_Доходи'!S148&gt;=Законод!$H$22,Законод!$G$24,0)))),IF($B$144="Лікар-педіатр",IF(S148&lt;Законод!$C$18,0,(IF(AND(S148&gt;=Законод!$G$18,S148&lt;=Законод!$G$19),S148-Законод!$F$19,IF('01_Доходи'!S148&gt;=Законод!$H$18,Законод!$G$20,0)))),IF($B$144="Лікар-терапевт",IF(S148&lt;Законод!$C$26,0,(IF(AND(S148&gt;=Законод!$G$26,S148&lt;=Законод!$G$27),S148-Законод!$F$27,IF('01_Доходи'!S148&gt;=Законод!$H$26,Законод!$G$28,0)))),0)))</f>
        <v>0</v>
      </c>
      <c r="T152" s="945"/>
      <c r="U152" s="940" t="s">
        <v>346</v>
      </c>
      <c r="V152" s="940"/>
      <c r="W152" s="940"/>
      <c r="X152" s="940"/>
      <c r="Y152" s="940"/>
      <c r="Z152" s="196">
        <f ca="1">IF($B$144="Лікар загальної практики - сімейний лікар",IF(Z148&lt;Законод!$C$22,0,(IF(AND(Z148&gt;=Законод!$G$22,Z148&lt;=Законод!$G$23),Z148-Законод!$F$23,IF('01_Доходи'!Z148&gt;=Законод!$H$22,Законод!$G$24,0)))),IF($B$144="Лікар-педіатр",IF(Z148&lt;Законод!$C$18,0,(IF(AND(Z148&gt;=Законод!$G$18,Z148&lt;=Законод!$G$19),Z148-Законод!$F$19,IF('01_Доходи'!Z148&gt;=Законод!$H$18,Законод!$G$20,0)))),IF($B$144="Лікар-терапевт",IF(Z148&lt;Законод!$C$26,0,(IF(AND(Z148&gt;=Законод!$G$26,Z148&lt;=Законод!$G$27),Z148-Законод!$F$27,IF('01_Доходи'!Z148&gt;=Законод!$H$26,Законод!$G$28,0)))),0)))</f>
        <v>0</v>
      </c>
      <c r="AA152" s="945"/>
      <c r="AB152" s="940" t="s">
        <v>346</v>
      </c>
      <c r="AC152" s="940"/>
      <c r="AD152" s="940"/>
      <c r="AE152" s="940"/>
      <c r="AF152" s="940"/>
      <c r="AG152" s="196">
        <f ca="1">IF($B$144="Лікар загальної практики - сімейний лікар",IF(AG148&lt;Законод!$C$22,0,(IF(AND(AG148&gt;=Законод!$G$22,AG148&lt;=Законод!$G$23),AG148-Законод!$F$23,IF('01_Доходи'!AG148&gt;=Законод!$H$22,Законод!$G$24,0)))),IF($B$144="Лікар-педіатр",IF(AG148&lt;Законод!$C$18,0,(IF(AND(AG148&gt;=Законод!$G$18,AG148&lt;=Законод!$G$19),AG148-Законод!$F$19,IF('01_Доходи'!AG148&gt;=Законод!$H$18,Законод!$G$20,0)))),IF($B$144="Лікар-терапевт",IF(AG148&lt;Законод!$C$26,0,(IF(AND(AG148&gt;=Законод!$G$26,AG148&lt;=Законод!$G$27),AG148-Законод!$F$27,IF('01_Доходи'!AG148&gt;=Законод!$H$26,Законод!$G$28,0)))),0)))</f>
        <v>0</v>
      </c>
      <c r="AH152" s="945"/>
      <c r="AI152" s="201"/>
      <c r="AJ152" s="933"/>
      <c r="AK152" s="927"/>
      <c r="AL152" s="927"/>
      <c r="AM152" s="899"/>
      <c r="AN152" s="210">
        <f ca="1">IF(B144="Лікар загальної практики - сімейний лікар",L152*Законод!$C$9/4*Законод!$G$16,IF(B144="Лікар-педіатр",L152*Законод!$C$9/4*Законод!$G$16,IF(B144="Лікар-терапевт",L152*Законод!$C$9/4*Законод!$G$16,0)))</f>
        <v>0</v>
      </c>
      <c r="AO152" s="210">
        <f ca="1">IF(B144="Лікар загальної практики - сімейний лікар",S152*Законод!$C$9/4*Законод!$G$16,IF(B144="Лікар-педіатр",S152*Законод!$C$9/4*Законод!$G$16,IF(B144="Лікар-терапевт",S152*Законод!$C$9/4*Законод!$G$16,0)))</f>
        <v>0</v>
      </c>
      <c r="AP152" s="210">
        <f ca="1">IF(B144="Лікар загальної практики - сімейний лікар",Z152*Законод!$C$9/4*Законод!$G$16,IF(B144="Лікар-педіатр",Z152*Законод!$C$9/4*Законод!$G$16,IF(B144="Лікар-терапевт",Z152*Законод!$C$9/4*Законод!$G$16,0)))</f>
        <v>0</v>
      </c>
      <c r="AQ152" s="210">
        <f ca="1">IF(B144="Лікар загальної практики - сімейний лікар",AG152*Законод!$C$9/4*Законод!$G$16,IF(B144="Лікар-педіатр",AG152*Законод!$C$9/4*Законод!$G$16,IF(B144="Лікар-терапевт",AG152*Законод!$C$9/4*Законод!$G$16,0)))</f>
        <v>0</v>
      </c>
      <c r="AR152" s="211">
        <f t="shared" si="10"/>
        <v>0</v>
      </c>
    </row>
    <row r="153" spans="1:44" s="50" customFormat="1" ht="31.9" customHeight="1">
      <c r="A153" s="197"/>
      <c r="B153" s="941"/>
      <c r="C153" s="942"/>
      <c r="D153" s="943"/>
      <c r="E153" s="943"/>
      <c r="F153" s="238" t="str">
        <f ca="1">IF(B144="Лікар-педіатр",Законод!$H$17,IF(B144="Лікар загальної практики - сімейний лікар",Законод!$H$21,IF(B144="Лікар-терапевт",Законод!$H$25,"х")))</f>
        <v>понад ліміт (2341-2520)</v>
      </c>
      <c r="G153" s="940" t="s">
        <v>346</v>
      </c>
      <c r="H153" s="940"/>
      <c r="I153" s="940"/>
      <c r="J153" s="940"/>
      <c r="K153" s="940"/>
      <c r="L153" s="196">
        <f ca="1">IF($B$144="Лікар загальної практики - сімейний лікар",IF(L148&lt;Законод!$C$22,0,(IF(AND(L148&gt;=Законод!$H$22,L148&lt;=Законод!$H$23),L148-Законод!$G$23,IF('01_Доходи'!L148&gt;=Законод!$I$22,Законод!$H$24,0)))),IF($B$144="Лікар-педіатр",IF(L148&lt;Законод!$C$18,0,(IF(AND(L148&gt;=Законод!$H$18,L148&lt;=Законод!$H$19),L148-Законод!$G$19,IF('01_Доходи'!L148&gt;=Законод!$I$18,Законод!$H$20,0)))),IF($B$144="Лікар-терапевт",IF(L148&lt;Законод!$C$26,0,(IF(AND(L148&gt;=Законод!$H$26,L148&lt;=Законод!$H$27),L148-Законод!$G$27,IF(L148&gt;=Законод!$I$26,Законод!$H$28,0)))),0)))</f>
        <v>0</v>
      </c>
      <c r="M153" s="945"/>
      <c r="N153" s="940" t="s">
        <v>346</v>
      </c>
      <c r="O153" s="940"/>
      <c r="P153" s="940"/>
      <c r="Q153" s="940"/>
      <c r="R153" s="940"/>
      <c r="S153" s="196">
        <f ca="1">IF($B$144="Лікар загальної практики - сімейний лікар",IF(S148&lt;Законод!$C$22,0,(IF(AND(S148&gt;=Законод!$H$22,S148&lt;=Законод!$H$23),S148-Законод!$G$23,IF('01_Доходи'!S148&gt;=Законод!$I$22,Законод!$H$24,0)))),IF($B$144="Лікар-педіатр",IF(S148&lt;Законод!$C$18,0,(IF(AND(S148&gt;=Законод!$H$18,S148&lt;=Законод!$H$19),S148-Законод!$G$19,IF('01_Доходи'!S148&gt;=Законод!$I$18,Законод!$H$20,0)))),IF($B$144="Лікар-терапевт",IF(S148&lt;Законод!$C$26,0,(IF(AND(S148&gt;=Законод!$H$26,S148&lt;=Законод!$H$27),S148-Законод!$G$27,IF(S148&gt;=Законод!$I$26,Законод!$H$28,0)))),0)))</f>
        <v>0</v>
      </c>
      <c r="T153" s="945"/>
      <c r="U153" s="940" t="s">
        <v>346</v>
      </c>
      <c r="V153" s="940"/>
      <c r="W153" s="940"/>
      <c r="X153" s="940"/>
      <c r="Y153" s="940"/>
      <c r="Z153" s="196">
        <f ca="1">IF($B$144="Лікар загальної практики - сімейний лікар",IF(Z148&lt;Законод!$C$22,0,(IF(AND(Z148&gt;=Законод!$H$22,Z148&lt;=Законод!$H$23),Z148-Законод!$G$23,IF('01_Доходи'!Z148&gt;=Законод!$I$22,Законод!$H$24,0)))),IF($B$144="Лікар-педіатр",IF(Z148&lt;Законод!$C$18,0,(IF(AND(Z148&gt;=Законод!$H$18,Z148&lt;=Законод!$H$19),Z148-Законод!$G$19,IF('01_Доходи'!Z148&gt;=Законод!$I$18,Законод!$H$20,0)))),IF($B$144="Лікар-терапевт",IF(Z148&lt;Законод!$C$26,0,(IF(AND(Z148&gt;=Законод!$H$26,Z148&lt;=Законод!$H$27),Z148-Законод!$G$27,IF(Z148&gt;=Законод!$I$26,Законод!$H$28,0)))),0)))</f>
        <v>0</v>
      </c>
      <c r="AA153" s="945"/>
      <c r="AB153" s="940" t="s">
        <v>346</v>
      </c>
      <c r="AC153" s="940"/>
      <c r="AD153" s="940"/>
      <c r="AE153" s="940"/>
      <c r="AF153" s="940"/>
      <c r="AG153" s="196">
        <f ca="1">IF($B$144="Лікар загальної практики - сімейний лікар",IF(AG148&lt;Законод!$C$22,0,(IF(AND(AG148&gt;=Законод!$H$22,AG148&lt;=Законод!$H$23),AG148-Законод!$G$23,IF('01_Доходи'!AG148&gt;=Законод!$I$22,Законод!$H$24,0)))),IF($B$144="Лікар-педіатр",IF(AG148&lt;Законод!$C$18,0,(IF(AND(AG148&gt;=Законод!$H$18,AG148&lt;=Законод!$H$19),AG148-Законод!$G$19,IF('01_Доходи'!AG148&gt;=Законод!$I$18,Законод!$H$20,0)))),IF($B$144="Лікар-терапевт",IF(AG148&lt;Законод!$C$26,0,(IF(AND(AG148&gt;=Законод!$H$26,AG148&lt;=Законод!$H$27),AG148-Законод!$G$27,IF(AG148&gt;=Законод!$I$26,Законод!$H$28,0)))),0)))</f>
        <v>0</v>
      </c>
      <c r="AH153" s="945"/>
      <c r="AI153" s="201"/>
      <c r="AJ153" s="933"/>
      <c r="AK153" s="927"/>
      <c r="AL153" s="927"/>
      <c r="AM153" s="899"/>
      <c r="AN153" s="210">
        <f ca="1">IF(B144="Лікар загальної практики - сімейний лікар",L153*Законод!$C$9/4*Законод!$H$16,IF(B144="Лікар-педіатр",L153*Законод!$C$9/4*Законод!$H$16,IF(B144="Лікар-терапевт",L153*Законод!$C$9/4*Законод!$H$16,0)))</f>
        <v>0</v>
      </c>
      <c r="AO153" s="210">
        <f ca="1">IF(B144="Лікар загальної практики - сімейний лікар",S153*Законод!$C$9/4*Законод!$H$16,IF(B144="Лікар-педіатр",S153*Законод!$C$9/4*Законод!$H$16,IF(B144="Лікар-терапевт",S153*Законод!$C$9/4*Законод!$H$16,0)))</f>
        <v>0</v>
      </c>
      <c r="AP153" s="210">
        <f ca="1">IF(B144="Лікар загальної практики - сімейний лікар",Z153*Законод!$C$9/4*Законод!$H$16,IF(B144="Лікар-педіатр",Z153*Законод!$C$9/4*Законод!$H$16,IF(B144="Лікар-терапевт",Z153*Законод!$C$9/4*Законод!$H$16,0)))</f>
        <v>0</v>
      </c>
      <c r="AQ153" s="210">
        <f ca="1">IF(B144="Лікар загальної практики - сімейний лікар",AG153*Законод!$C$9/4*Законод!$H$16,IF(B144="Лікар-педіатр",AG153*Законод!$C$9/4*Законод!$H$16,IF(B144="Лікар-терапевт",AG153*Законод!$C$9/4*Законод!$H$16,0)))</f>
        <v>0</v>
      </c>
      <c r="AR153" s="211">
        <f t="shared" si="10"/>
        <v>0</v>
      </c>
    </row>
    <row r="154" spans="1:44" s="50" customFormat="1" ht="31.9" customHeight="1">
      <c r="A154" s="197"/>
      <c r="B154" s="941"/>
      <c r="C154" s="942"/>
      <c r="D154" s="943"/>
      <c r="E154" s="943"/>
      <c r="F154" s="238" t="str">
        <f ca="1">IF(B144="Лікар-педіатр",Законод!$I$17,IF(B144="Лікар загальної практики - сімейний лікар",Законод!$I$21,IF(B144="Лікар-терапевт",Законод!$I$25,"х")))</f>
        <v>понад ліміт (2521-2700)</v>
      </c>
      <c r="G154" s="940" t="s">
        <v>346</v>
      </c>
      <c r="H154" s="940"/>
      <c r="I154" s="940"/>
      <c r="J154" s="940"/>
      <c r="K154" s="940"/>
      <c r="L154" s="196">
        <f ca="1">IF($B$144="Лікар загальної практики - сімейний лікар",IF(L148&lt;Законод!$C$22,0,(IF(AND(L148&gt;=Законод!$I$22,L148&lt;=Законод!$I$23),L148-Законод!$H$23,IF('01_Доходи'!L148&gt;=Законод!$I$22,Законод!$I$24,0)))),IF($B$144="Лікар-педіатр",IF(L148&lt;Законод!$C$18,0,(IF(AND(L148&gt;=Законод!$I$18,L148&lt;=Законод!$I$19),L148-Законод!$H$19,IF('01_Доходи'!L148&gt;=Законод!$I$18,Законод!$H$20,0)))),IF($B$144="Лікар-терапевт",IF(L148&lt;Законод!$C$26,0,(IF(AND(L148&gt;=Законод!$I$26,L148&lt;=Законод!$I$27),L148-Законод!$H$27,IF('01_Доходи'!L148&gt;=Законод!$I$26,Законод!$H$28,0)))),0)))</f>
        <v>0</v>
      </c>
      <c r="M154" s="945"/>
      <c r="N154" s="940" t="s">
        <v>346</v>
      </c>
      <c r="O154" s="940"/>
      <c r="P154" s="940"/>
      <c r="Q154" s="940"/>
      <c r="R154" s="940"/>
      <c r="S154" s="196">
        <f ca="1">IF($B$144="Лікар загальної практики - сімейний лікар",IF(S148&lt;Законод!$C$22,0,(IF(AND(S148&gt;=Законод!$I$22,S148&lt;=Законод!$I$23),S148-Законод!$H$23,IF('01_Доходи'!S148&gt;=Законод!$I$22,Законод!$I$24,0)))),IF($B$144="Лікар-педіатр",IF(S148&lt;Законод!$C$18,0,(IF(AND(S148&gt;=Законод!$I$18,S148&lt;=Законод!$I$19),S148-Законод!$H$19,IF('01_Доходи'!S148&gt;=Законод!$I$18,Законод!$H$20,0)))),IF($B$144="Лікар-терапевт",IF(S148&lt;Законод!$C$26,0,(IF(AND(S148&gt;=Законод!$I$26,S148&lt;=Законод!$I$27),S148-Законод!$H$27,IF('01_Доходи'!S148&gt;=Законод!$I$26,Законод!$H$28,0)))),0)))</f>
        <v>0</v>
      </c>
      <c r="T154" s="945"/>
      <c r="U154" s="940" t="s">
        <v>346</v>
      </c>
      <c r="V154" s="940"/>
      <c r="W154" s="940"/>
      <c r="X154" s="940"/>
      <c r="Y154" s="940"/>
      <c r="Z154" s="196">
        <f ca="1">IF($B$144="Лікар загальної практики - сімейний лікар",IF(Z148&lt;Законод!$C$22,0,(IF(AND(Z148&gt;=Законод!$I$22,Z148&lt;=Законод!$I$23),Z148-Законод!$H$23,IF('01_Доходи'!Z148&gt;=Законод!$I$22,Законод!$I$24,0)))),IF($B$144="Лікар-педіатр",IF(Z148&lt;Законод!$C$18,0,(IF(AND(Z148&gt;=Законод!$I$18,Z148&lt;=Законод!$I$19),Z148-Законод!$H$19,IF('01_Доходи'!Z148&gt;=Законод!$I$18,Законод!$H$20,0)))),IF($B$144="Лікар-терапевт",IF(Z148&lt;Законод!$C$26,0,(IF(AND(Z148&gt;=Законод!$I$26,Z148&lt;=Законод!$I$27),Z148-Законод!$H$27,IF('01_Доходи'!Z148&gt;=Законод!$I$26,Законод!$H$28,0)))),0)))</f>
        <v>0</v>
      </c>
      <c r="AA154" s="945"/>
      <c r="AB154" s="940" t="s">
        <v>346</v>
      </c>
      <c r="AC154" s="940"/>
      <c r="AD154" s="940"/>
      <c r="AE154" s="940"/>
      <c r="AF154" s="940"/>
      <c r="AG154" s="196">
        <f ca="1">IF($B$144="Лікар загальної практики - сімейний лікар",IF(AG148&lt;Законод!$C$22,0,(IF(AND(AG148&gt;=Законод!$I$22,AG148&lt;=Законод!$I$23),AG148-Законод!$H$23,IF('01_Доходи'!AG148&gt;=Законод!$I$22,Законод!$I$24,0)))),IF($B$144="Лікар-педіатр",IF(AG148&lt;Законод!$C$18,0,(IF(AND(AG148&gt;=Законод!$I$18,AG148&lt;=Законод!$I$19),AG148-Законод!$H$19,IF('01_Доходи'!AG148&gt;=Законод!$I$18,Законод!$H$20,0)))),IF($B$144="Лікар-терапевт",IF(AG148&lt;Законод!$C$26,0,(IF(AND(AG148&gt;=Законод!$I$26,AG148&lt;=Законод!$I$27),AG148-Законод!$H$27,IF('01_Доходи'!AG148&gt;=Законод!$I$26,Законод!$H$28,0)))),0)))</f>
        <v>0</v>
      </c>
      <c r="AH154" s="945"/>
      <c r="AI154" s="201"/>
      <c r="AJ154" s="933"/>
      <c r="AK154" s="927"/>
      <c r="AL154" s="927"/>
      <c r="AM154" s="899"/>
      <c r="AN154" s="210">
        <f ca="1">IF(B144="Лікар загальної практики - сімейний лікар",L154*Законод!$C$9/4*Законод!$I$16,IF(B144="Лікар-педіатр",L154*Законод!$C$9/4*Законод!$I$16,IF(B144="Лікар-терапевт",L154*Законод!$C$9/4*Законод!$I$16,0)))</f>
        <v>0</v>
      </c>
      <c r="AO154" s="210">
        <f ca="1">IF(B144="Лікар загальної практики - сімейний лікар",S154*Законод!$C$9/4*Законод!$I$16,IF(B144="Лікар-педіатр",S154*Законод!$C$9/4*Законод!$I$16,IF(B144="Лікар-терапевт",S154*Законод!$C$9/4*Законод!$I$16,0)))</f>
        <v>0</v>
      </c>
      <c r="AP154" s="210">
        <f ca="1">IF(B144="Лікар загальної практики - сімейний лікар",Z154*Законод!$C$9/4*Законод!$I$16,IF(B144="Лікар-педіатр",Z154*Законод!$C$9/4*Законод!$I$16,IF(B144="Лікар-терапевт",Z154*Законод!$C$9/4*Законод!$I$16,0)))</f>
        <v>0</v>
      </c>
      <c r="AQ154" s="210">
        <f ca="1">IF(B144="Лікар загальної практики - сімейний лікар",AG154*Законод!$C$9/4*Законод!$I$16,IF(B144="Лікар-педіатр",AG154*Законод!$C$9/4*Законод!$I$16,IF(B144="Лікар-терапевт",AG154*Законод!$C$9/4*Законод!$I$16,0)))</f>
        <v>0</v>
      </c>
      <c r="AR154" s="211">
        <f t="shared" si="10"/>
        <v>0</v>
      </c>
    </row>
    <row r="155" spans="1:44" s="218" customFormat="1" ht="31.9" customHeight="1" thickBot="1">
      <c r="A155" s="213"/>
      <c r="B155" s="941"/>
      <c r="C155" s="942"/>
      <c r="D155" s="943"/>
      <c r="E155" s="943"/>
      <c r="F155" s="239" t="str">
        <f ca="1">IF(B144="Лікар-педіатр",Законод!$J$17,IF(B144="Лікар загальної практики - сімейний лікар",Законод!$J$21,IF(B144="Лікар-терапевт",Законод!$J$25,"х")))</f>
        <v>понад ліміт (&gt;=2701)</v>
      </c>
      <c r="G155" s="939" t="s">
        <v>346</v>
      </c>
      <c r="H155" s="939"/>
      <c r="I155" s="939"/>
      <c r="J155" s="939"/>
      <c r="K155" s="939"/>
      <c r="L155" s="196">
        <f ca="1">IF($B$144="Лікар загальної практики - сімейний лікар",IF(L148&gt;=Законод!$J$22,'01_Доходи'!L148-('01_Доходи'!L149+'01_Доходи'!L150+'01_Доходи'!L151+'01_Доходи'!L152+'01_Доходи'!L153+'01_Доходи'!L154),0),IF($B$144="Лікар-педіатр",IF(L148&gt;=Законод!$J$18,'01_Доходи'!L148-('01_Доходи'!L149+'01_Доходи'!L150+'01_Доходи'!L151+'01_Доходи'!L152+'01_Доходи'!L153+'01_Доходи'!L154),0),IF($B$144="Лікар-терапевт",IF('01_Доходи'!L148&gt;=Законод!$J$26,L148-Законод!$I$27,0),0)))</f>
        <v>0</v>
      </c>
      <c r="M155" s="945"/>
      <c r="N155" s="939" t="s">
        <v>346</v>
      </c>
      <c r="O155" s="939"/>
      <c r="P155" s="939"/>
      <c r="Q155" s="939"/>
      <c r="R155" s="939"/>
      <c r="S155" s="196">
        <f ca="1">IF($B$144="Лікар загальної практики - сімейний лікар",IF(S148&gt;=Законод!$J$22,'01_Доходи'!S148-('01_Доходи'!S149+'01_Доходи'!S150+'01_Доходи'!S151+'01_Доходи'!S152+'01_Доходи'!S153+'01_Доходи'!S154),0),IF($B$144="Лікар-педіатр",IF(S148&gt;=Законод!$J$18,'01_Доходи'!S148-('01_Доходи'!S149+'01_Доходи'!S150+'01_Доходи'!S151+'01_Доходи'!S152+'01_Доходи'!S153+'01_Доходи'!S154),0),IF($B$144="Лікар-терапевт",IF('01_Доходи'!S148&gt;=Законод!$J$26,S148-Законод!$I$27,0),0)))</f>
        <v>0</v>
      </c>
      <c r="T155" s="945"/>
      <c r="U155" s="939" t="s">
        <v>346</v>
      </c>
      <c r="V155" s="939"/>
      <c r="W155" s="939"/>
      <c r="X155" s="939"/>
      <c r="Y155" s="939"/>
      <c r="Z155" s="196">
        <f ca="1">IF($B$144="Лікар загальної практики - сімейний лікар",IF(Z148&gt;=Законод!$J$22,'01_Доходи'!Z148-('01_Доходи'!Z149+'01_Доходи'!Z150+'01_Доходи'!Z151+'01_Доходи'!Z152+'01_Доходи'!Z153+'01_Доходи'!Z154),0),IF($B$144="Лікар-педіатр",IF(Z148&gt;=Законод!$J$18,'01_Доходи'!Z148-('01_Доходи'!Z149+'01_Доходи'!Z150+'01_Доходи'!Z151+'01_Доходи'!Z152+'01_Доходи'!Z153+'01_Доходи'!Z154),0),IF($B$144="Лікар-терапевт",IF('01_Доходи'!Z148&gt;=Законод!$J$26,Z148-Законод!$I$27,0),0)))</f>
        <v>0</v>
      </c>
      <c r="AA155" s="945"/>
      <c r="AB155" s="939" t="s">
        <v>346</v>
      </c>
      <c r="AC155" s="939"/>
      <c r="AD155" s="939"/>
      <c r="AE155" s="939"/>
      <c r="AF155" s="939"/>
      <c r="AG155" s="196">
        <f ca="1">IF($B$144="Лікар загальної практики - сімейний лікар",IF(AG148&gt;=Законод!$J$22,'01_Доходи'!AG148-('01_Доходи'!AG149+'01_Доходи'!AG150+'01_Доходи'!AG151+'01_Доходи'!AG152+'01_Доходи'!AG153+'01_Доходи'!AG154),0),IF($B$144="Лікар-педіатр",IF(AG148&gt;=Законод!$J$18,'01_Доходи'!AG148-('01_Доходи'!AG149+'01_Доходи'!AG150+'01_Доходи'!AG151+'01_Доходи'!AG152+'01_Доходи'!AG153+'01_Доходи'!AG154),0),IF($B$144="Лікар-терапевт",IF('01_Доходи'!AG148&gt;=Законод!$J$26,AG148-Законод!$I$27,0),0)))</f>
        <v>0</v>
      </c>
      <c r="AH155" s="945"/>
      <c r="AI155" s="215"/>
      <c r="AJ155" s="934"/>
      <c r="AK155" s="928"/>
      <c r="AL155" s="928"/>
      <c r="AM155" s="900"/>
      <c r="AN155" s="216">
        <f ca="1">IF(B144="Лікар загальної практики - сімейний лікар",L155*Законод!$C$9/4*Законод!$J$16,IF(B144="Лікар-педіатр",L155*Законод!$C$9/4*Законод!$J$16,IF(B144="Лікар-терапевт",L155*Законод!$C$9/4*Законод!$J$16,0)))</f>
        <v>0</v>
      </c>
      <c r="AO155" s="216">
        <f ca="1">IF(B144="Лікар загальної практики - сімейний лікар",S155*Законод!$C$9/4*Законод!$J$16,IF(B144="Лікар-педіатр",S155*Законод!$C$9/4*Законод!$J$16,IF(B144="Лікар-терапевт",S155*Законод!$C$9/4*Законод!$J$16,0)))</f>
        <v>0</v>
      </c>
      <c r="AP155" s="216">
        <f ca="1">IF(B144="Лікар загальної практики - сімейний лікар",S155*Законод!$C$9/4*Законод!$J$16,IF(B144="Лікар-педіатр",S155*Законод!$C$9/4*Законод!$J$16,IF(B144="Лікар-терапевт",S155*Законод!$C$9/4*Законод!$J$16,0)))</f>
        <v>0</v>
      </c>
      <c r="AQ155" s="216">
        <f ca="1">IF(B144="Лікар загальної практики - сімейний лікар",AG155*Законод!$C$9/4*Законод!$J$16,IF(B144="Лікар-педіатр",AG155*Законод!$C$9/4*Законод!$J$16,IF(B144="Лікар-терапевт",AG155*Законод!$C$9/4*Законод!$J$16,0)))</f>
        <v>0</v>
      </c>
      <c r="AR155" s="217">
        <f t="shared" si="10"/>
        <v>0</v>
      </c>
    </row>
    <row r="156" spans="1:44" s="233" customFormat="1" ht="19.149999999999999" customHeight="1" thickBot="1">
      <c r="A156" s="219"/>
      <c r="B156" s="220"/>
      <c r="C156" s="221"/>
      <c r="D156" s="222"/>
      <c r="E156" s="222"/>
      <c r="F156" s="223"/>
      <c r="G156" s="224"/>
      <c r="H156" s="224"/>
      <c r="I156" s="224"/>
      <c r="J156" s="224"/>
      <c r="K156" s="224"/>
      <c r="L156" s="225"/>
      <c r="M156" s="226"/>
      <c r="N156" s="224"/>
      <c r="O156" s="224"/>
      <c r="P156" s="224"/>
      <c r="Q156" s="224"/>
      <c r="R156" s="224"/>
      <c r="S156" s="225"/>
      <c r="T156" s="226"/>
      <c r="U156" s="224"/>
      <c r="V156" s="224"/>
      <c r="W156" s="224"/>
      <c r="X156" s="224"/>
      <c r="Y156" s="224"/>
      <c r="Z156" s="227"/>
      <c r="AA156" s="226"/>
      <c r="AB156" s="224"/>
      <c r="AC156" s="224"/>
      <c r="AD156" s="224"/>
      <c r="AE156" s="224"/>
      <c r="AF156" s="224"/>
      <c r="AG156" s="227"/>
      <c r="AH156" s="226"/>
      <c r="AI156" s="228"/>
      <c r="AJ156" s="229"/>
      <c r="AK156" s="229"/>
      <c r="AL156" s="229"/>
      <c r="AM156" s="230"/>
      <c r="AN156" s="231"/>
      <c r="AO156" s="231"/>
      <c r="AP156" s="231"/>
      <c r="AQ156" s="231"/>
      <c r="AR156" s="232"/>
    </row>
    <row r="157" spans="1:44" s="191" customFormat="1" ht="30" customHeight="1">
      <c r="A157" s="194">
        <f>A144+1</f>
        <v>10</v>
      </c>
      <c r="B157" s="941" t="s">
        <v>235</v>
      </c>
      <c r="C157" s="942" t="s">
        <v>76</v>
      </c>
      <c r="D157" s="943"/>
      <c r="E157" s="943" t="s">
        <v>77</v>
      </c>
      <c r="F157" s="234" t="s">
        <v>582</v>
      </c>
      <c r="G157" s="196">
        <v>39</v>
      </c>
      <c r="H157" s="196">
        <v>95</v>
      </c>
      <c r="I157" s="196">
        <v>166</v>
      </c>
      <c r="J157" s="196">
        <v>283</v>
      </c>
      <c r="K157" s="196">
        <v>198</v>
      </c>
      <c r="L157" s="558">
        <f>G157+H157+I157+J157+K157</f>
        <v>781</v>
      </c>
      <c r="M157" s="945">
        <v>1</v>
      </c>
      <c r="N157" s="196">
        <v>39</v>
      </c>
      <c r="O157" s="196">
        <v>95</v>
      </c>
      <c r="P157" s="196">
        <v>166</v>
      </c>
      <c r="Q157" s="196">
        <v>283</v>
      </c>
      <c r="R157" s="196">
        <v>198</v>
      </c>
      <c r="S157" s="558">
        <f>N157+O157+P157+Q157+R157</f>
        <v>781</v>
      </c>
      <c r="T157" s="945">
        <v>1</v>
      </c>
      <c r="U157" s="196">
        <v>39</v>
      </c>
      <c r="V157" s="196">
        <v>95</v>
      </c>
      <c r="W157" s="196">
        <v>166</v>
      </c>
      <c r="X157" s="196">
        <v>283</v>
      </c>
      <c r="Y157" s="196">
        <v>198</v>
      </c>
      <c r="Z157" s="558">
        <f>U157+V157+W157+X157+Y157</f>
        <v>781</v>
      </c>
      <c r="AA157" s="945">
        <v>1</v>
      </c>
      <c r="AB157" s="196">
        <v>39</v>
      </c>
      <c r="AC157" s="196">
        <v>95</v>
      </c>
      <c r="AD157" s="196">
        <v>166</v>
      </c>
      <c r="AE157" s="196">
        <v>283</v>
      </c>
      <c r="AF157" s="196">
        <v>198</v>
      </c>
      <c r="AG157" s="558">
        <f>AB157+AC157+AD157+AE157+AF157</f>
        <v>781</v>
      </c>
      <c r="AH157" s="945">
        <v>1</v>
      </c>
      <c r="AI157" s="541">
        <f>A157</f>
        <v>10</v>
      </c>
      <c r="AJ157" s="932" t="str">
        <f>B157</f>
        <v>Лікар загальної практики - сімейний лікар</v>
      </c>
      <c r="AK157" s="926" t="str">
        <f>C157</f>
        <v>Критюк Володимир Романович</v>
      </c>
      <c r="AL157" s="926">
        <f>D157</f>
        <v>0</v>
      </c>
      <c r="AM157" s="901" t="s">
        <v>785</v>
      </c>
      <c r="AN157" s="923">
        <f>SUM(AN162:AN168)</f>
        <v>153452.60214999999</v>
      </c>
      <c r="AO157" s="923">
        <f>SUM(AO162:AO168)</f>
        <v>153452.60214999999</v>
      </c>
      <c r="AP157" s="923">
        <f>SUM(AP162:AP168)</f>
        <v>153452.60214999999</v>
      </c>
      <c r="AQ157" s="923">
        <f>SUM(AQ162:AQ168)</f>
        <v>153452.60214999999</v>
      </c>
      <c r="AR157" s="914">
        <f>SUM(AN157:AQ161)</f>
        <v>613810.40859999997</v>
      </c>
    </row>
    <row r="158" spans="1:44" s="50" customFormat="1" ht="28.15" customHeight="1">
      <c r="A158" s="197"/>
      <c r="B158" s="941"/>
      <c r="C158" s="942"/>
      <c r="D158" s="943"/>
      <c r="E158" s="943"/>
      <c r="F158" s="234" t="s">
        <v>583</v>
      </c>
      <c r="G158" s="196">
        <v>39</v>
      </c>
      <c r="H158" s="196">
        <v>95</v>
      </c>
      <c r="I158" s="196">
        <v>166</v>
      </c>
      <c r="J158" s="196">
        <v>283</v>
      </c>
      <c r="K158" s="196">
        <v>198</v>
      </c>
      <c r="L158" s="558">
        <f>G158+H158+I158+J158+K158</f>
        <v>781</v>
      </c>
      <c r="M158" s="945"/>
      <c r="N158" s="196">
        <v>39</v>
      </c>
      <c r="O158" s="196">
        <v>95</v>
      </c>
      <c r="P158" s="196">
        <v>166</v>
      </c>
      <c r="Q158" s="196">
        <v>283</v>
      </c>
      <c r="R158" s="196">
        <v>198</v>
      </c>
      <c r="S158" s="558">
        <f>N158+O158+P158+Q158+R158</f>
        <v>781</v>
      </c>
      <c r="T158" s="945"/>
      <c r="U158" s="196">
        <v>39</v>
      </c>
      <c r="V158" s="196">
        <v>95</v>
      </c>
      <c r="W158" s="196">
        <v>166</v>
      </c>
      <c r="X158" s="196">
        <v>283</v>
      </c>
      <c r="Y158" s="196">
        <v>198</v>
      </c>
      <c r="Z158" s="558">
        <f>U158+V158+W158+X158+Y158</f>
        <v>781</v>
      </c>
      <c r="AA158" s="945"/>
      <c r="AB158" s="196">
        <v>39</v>
      </c>
      <c r="AC158" s="196">
        <v>95</v>
      </c>
      <c r="AD158" s="196">
        <v>166</v>
      </c>
      <c r="AE158" s="196">
        <v>283</v>
      </c>
      <c r="AF158" s="196">
        <v>198</v>
      </c>
      <c r="AG158" s="558">
        <f>AB158+AC158+AD158+AE158+AF158</f>
        <v>781</v>
      </c>
      <c r="AH158" s="945"/>
      <c r="AI158" s="198"/>
      <c r="AJ158" s="933"/>
      <c r="AK158" s="927"/>
      <c r="AL158" s="927"/>
      <c r="AM158" s="902"/>
      <c r="AN158" s="924"/>
      <c r="AO158" s="924"/>
      <c r="AP158" s="924"/>
      <c r="AQ158" s="924"/>
      <c r="AR158" s="915"/>
    </row>
    <row r="159" spans="1:44" s="90" customFormat="1" ht="31.15" customHeight="1">
      <c r="A159" s="240"/>
      <c r="B159" s="941"/>
      <c r="C159" s="942"/>
      <c r="D159" s="943"/>
      <c r="E159" s="943"/>
      <c r="F159" s="241" t="s">
        <v>584</v>
      </c>
      <c r="G159" s="196">
        <v>39</v>
      </c>
      <c r="H159" s="196">
        <v>95</v>
      </c>
      <c r="I159" s="196">
        <v>166</v>
      </c>
      <c r="J159" s="196">
        <v>283</v>
      </c>
      <c r="K159" s="196">
        <v>198</v>
      </c>
      <c r="L159" s="558">
        <f>G159+H159+I159+J159+K159</f>
        <v>781</v>
      </c>
      <c r="M159" s="945"/>
      <c r="N159" s="196">
        <v>39</v>
      </c>
      <c r="O159" s="196">
        <v>95</v>
      </c>
      <c r="P159" s="196">
        <v>166</v>
      </c>
      <c r="Q159" s="196">
        <v>283</v>
      </c>
      <c r="R159" s="196">
        <v>198</v>
      </c>
      <c r="S159" s="558">
        <f>N159+O159+P159+Q159+R159</f>
        <v>781</v>
      </c>
      <c r="T159" s="945"/>
      <c r="U159" s="196">
        <v>39</v>
      </c>
      <c r="V159" s="196">
        <v>95</v>
      </c>
      <c r="W159" s="196">
        <v>166</v>
      </c>
      <c r="X159" s="196">
        <v>283</v>
      </c>
      <c r="Y159" s="196">
        <v>198</v>
      </c>
      <c r="Z159" s="558">
        <f>U159+V159+W159+X159+Y159</f>
        <v>781</v>
      </c>
      <c r="AA159" s="945"/>
      <c r="AB159" s="196">
        <v>39</v>
      </c>
      <c r="AC159" s="196">
        <v>95</v>
      </c>
      <c r="AD159" s="196">
        <v>166</v>
      </c>
      <c r="AE159" s="196">
        <v>283</v>
      </c>
      <c r="AF159" s="196">
        <v>198</v>
      </c>
      <c r="AG159" s="558">
        <f>AB159+AC159+AD159+AE159+AF159</f>
        <v>781</v>
      </c>
      <c r="AH159" s="945"/>
      <c r="AI159" s="242"/>
      <c r="AJ159" s="933"/>
      <c r="AK159" s="927"/>
      <c r="AL159" s="927"/>
      <c r="AM159" s="902"/>
      <c r="AN159" s="924"/>
      <c r="AO159" s="924"/>
      <c r="AP159" s="924"/>
      <c r="AQ159" s="924"/>
      <c r="AR159" s="915"/>
    </row>
    <row r="160" spans="1:44" s="50" customFormat="1" ht="31.9" customHeight="1" thickBot="1">
      <c r="A160" s="197"/>
      <c r="B160" s="941"/>
      <c r="C160" s="942"/>
      <c r="D160" s="943"/>
      <c r="E160" s="943"/>
      <c r="F160" s="236" t="s">
        <v>349</v>
      </c>
      <c r="G160" s="203">
        <f>IF($B$157="Лікар-педіатр",G159/L159,IF($B$157="Лікар-терапевт","х",IF($B$157="Лікар загальної практики - сімейний лікар",G159/L159,0)))</f>
        <v>4.9935979513444299E-2</v>
      </c>
      <c r="H160" s="203">
        <f>IF($B$157="Лікар-педіатр",H159/L159,IF($B$157="Лікар-терапевт","х",IF($B$157="Лікар загальної практики - сімейний лікар",H159/L159,0)))</f>
        <v>0.12163892445582586</v>
      </c>
      <c r="I160" s="203">
        <f>IF($B$157="Лікар-педіатр","x",IF($B$157="Лікар-терапевт",I159/L159,IF($B$157="Лікар загальної практики - сімейний лікар",I159/L159,0)))</f>
        <v>0.21254801536491677</v>
      </c>
      <c r="J160" s="203">
        <f>IF($B$157="Лікар-педіатр","x",IF($B$157="Лікар-терапевт",J159/L159,IF($B$157="Лікар загальної практики - сімейний лікар",J159/L159,0)))</f>
        <v>0.36235595390524966</v>
      </c>
      <c r="K160" s="203">
        <f>IF($B$157="Лікар-педіатр","x",IF($B$157="Лікар-терапевт",K159/L159,IF($B$157="Лікар загальної практики - сімейний лікар",K159/L159,0)))</f>
        <v>0.25352112676056338</v>
      </c>
      <c r="L160" s="203">
        <f>SUM(G160:K160)</f>
        <v>1</v>
      </c>
      <c r="M160" s="945"/>
      <c r="N160" s="203">
        <f>IF($B$157="Лікар-педіатр",N159/S159,IF($B$157="Лікар-терапевт","х",IF($B$157="Лікар загальної практики - сімейний лікар",N159/S159,0)))</f>
        <v>4.9935979513444299E-2</v>
      </c>
      <c r="O160" s="203">
        <f>IF($B$157="Лікар-педіатр",O159/S159,IF($B$157="Лікар-терапевт","х",IF($B$157="Лікар загальної практики - сімейний лікар",O159/S159,0)))</f>
        <v>0.12163892445582586</v>
      </c>
      <c r="P160" s="203">
        <f>IF($B$157="Лікар-педіатр","x",IF($B$157="Лікар-терапевт",P159/S159,IF($B$157="Лікар загальної практики - сімейний лікар",P159/S159,0)))</f>
        <v>0.21254801536491677</v>
      </c>
      <c r="Q160" s="203">
        <f>IF($B$157="Лікар-педіатр","x",IF($B$157="Лікар-терапевт",Q159/S159,IF($B$157="Лікар загальної практики - сімейний лікар",Q159/S159,0)))</f>
        <v>0.36235595390524966</v>
      </c>
      <c r="R160" s="203">
        <f>IF($B$157="Лікар-педіатр","x",IF($B$157="Лікар-терапевт",R159/S159,IF($B$157="Лікар загальної практики - сімейний лікар",R159/S159,0)))</f>
        <v>0.25352112676056338</v>
      </c>
      <c r="S160" s="203">
        <f>SUM(N160:R160)</f>
        <v>1</v>
      </c>
      <c r="T160" s="945"/>
      <c r="U160" s="203">
        <f>IF($B$157="Лікар-педіатр",U159/Z159,IF($B$157="Лікар-терапевт","х",IF($B$157="Лікар загальної практики - сімейний лікар",U159/Z159,0)))</f>
        <v>4.9935979513444299E-2</v>
      </c>
      <c r="V160" s="203">
        <f>IF($B$157="Лікар-педіатр",V159/Z159,IF($B$157="Лікар-терапевт","х",IF($B$157="Лікар загальної практики - сімейний лікар",V159/Z159,0)))</f>
        <v>0.12163892445582586</v>
      </c>
      <c r="W160" s="203">
        <f>IF($B$157="Лікар-педіатр","x",IF($B$157="Лікар-терапевт",W159/Z159,IF($B$157="Лікар загальної практики - сімейний лікар",W159/Z159,0)))</f>
        <v>0.21254801536491677</v>
      </c>
      <c r="X160" s="203">
        <f>IF($B$157="Лікар-педіатр","x",IF($B$157="Лікар-терапевт",X159/Z159,IF($B$157="Лікар загальної практики - сімейний лікар",X159/Z159,0)))</f>
        <v>0.36235595390524966</v>
      </c>
      <c r="Y160" s="203">
        <f>IF($B$157="Лікар-педіатр","x",IF($B$157="Лікар-терапевт",Y159/Z159,IF($B$157="Лікар загальної практики - сімейний лікар",Y159/Z159,0)))</f>
        <v>0.25352112676056338</v>
      </c>
      <c r="Z160" s="203">
        <f>SUM(U160:Y160)</f>
        <v>1</v>
      </c>
      <c r="AA160" s="945"/>
      <c r="AB160" s="203">
        <f>IF($B$157="Лікар-педіатр",AB159/AG159,IF($B$157="Лікар-терапевт","х",IF($B$157="Лікар загальної практики - сімейний лікар",AB159/AG159,0)))</f>
        <v>4.9935979513444299E-2</v>
      </c>
      <c r="AC160" s="203">
        <f>IF($B$157="Лікар-педіатр",AC159/AG159,IF($B$157="Лікар-терапевт","х",IF($B$157="Лікар загальної практики - сімейний лікар",AC159/AG159,0)))</f>
        <v>0.12163892445582586</v>
      </c>
      <c r="AD160" s="203">
        <f>IF($B$157="Лікар-педіатр","x",IF($B$157="Лікар-терапевт",AD159/AG159,IF($B$157="Лікар загальної практики - сімейний лікар",AD159/AG159,0)))</f>
        <v>0.21254801536491677</v>
      </c>
      <c r="AE160" s="203">
        <f>IF($B$157="Лікар-педіатр","x",IF($B$157="Лікар-терапевт",AE159/AG159,IF($B$157="Лікар загальної практики - сімейний лікар",AE159/AG159,0)))</f>
        <v>0.36235595390524966</v>
      </c>
      <c r="AF160" s="203">
        <f>IF($B$157="Лікар-педіатр","x",IF($B$157="Лікар-терапевт",AF159/AG159,IF($B$157="Лікар загальної практики - сімейний лікар",AF159/AG159,0)))</f>
        <v>0.25352112676056338</v>
      </c>
      <c r="AG160" s="203">
        <f>SUM(AB160:AF160)</f>
        <v>1</v>
      </c>
      <c r="AH160" s="945"/>
      <c r="AI160" s="201"/>
      <c r="AJ160" s="933"/>
      <c r="AK160" s="927"/>
      <c r="AL160" s="927"/>
      <c r="AM160" s="902"/>
      <c r="AN160" s="924"/>
      <c r="AO160" s="924"/>
      <c r="AP160" s="924"/>
      <c r="AQ160" s="924"/>
      <c r="AR160" s="915"/>
    </row>
    <row r="161" spans="1:44" s="50" customFormat="1" ht="45" customHeight="1" thickBot="1">
      <c r="A161" s="197"/>
      <c r="B161" s="941"/>
      <c r="C161" s="942"/>
      <c r="D161" s="943"/>
      <c r="E161" s="944"/>
      <c r="F161" s="204" t="s">
        <v>585</v>
      </c>
      <c r="G161" s="205">
        <f>IF($B$157="Лікар загальної практики - сімейний лікар",AVERAGE(G157:G159),IF($B$157="Лікар-педіатр",AVERAGE(G157:G159),IF($B$157="Лікар-терапевт","х",0)))</f>
        <v>39</v>
      </c>
      <c r="H161" s="205">
        <f>IF($B$157="Лікар загальної практики - сімейний лікар",AVERAGE(H157:H159),IF($B$157="Лікар-педіатр",AVERAGE(H157:H159),IF($B$157="Лікар-терапевт","х",0)))</f>
        <v>95</v>
      </c>
      <c r="I161" s="205">
        <f>IF($B$157="Лікар загальної практики - сімейний лікар",AVERAGE(I157:I159),IF($B$157="Лікар-педіатр","x",IF($B$157="Лікар-терапевт",AVERAGE(I157:I159),0)))</f>
        <v>166</v>
      </c>
      <c r="J161" s="205">
        <f>IF($B$157="Лікар загальної практики - сімейний лікар",AVERAGE(J157:J159),IF($B$157="Лікар-педіатр","x",IF($B$157="Лікар-терапевт",AVERAGE(J157:J159),0)))</f>
        <v>283</v>
      </c>
      <c r="K161" s="205">
        <f>IF($B$157="Лікар загальної практики - сімейний лікар",AVERAGE(K157:K159),IF($B$157="Лікар-педіатр","x",IF($B$157="Лікар-терапевт",AVERAGE(K157:K159),0)))</f>
        <v>198</v>
      </c>
      <c r="L161" s="206">
        <f>SUM(G161:K161)</f>
        <v>781</v>
      </c>
      <c r="M161" s="946"/>
      <c r="N161" s="205">
        <f>IF($B$157="Лікар загальної практики - сімейний лікар",AVERAGE(N157:N159),IF($B$157="Лікар-педіатр",AVERAGE(N157:N159),IF($B$157="Лікар-терапевт","х",0)))</f>
        <v>39</v>
      </c>
      <c r="O161" s="205">
        <f>IF($B$157="Лікар загальної практики - сімейний лікар",AVERAGE(O157:O159),IF($B$157="Лікар-педіатр",AVERAGE(O157:O159),IF($B$157="Лікар-терапевт","х",0)))</f>
        <v>95</v>
      </c>
      <c r="P161" s="205">
        <f>IF($B$157="Лікар загальної практики - сімейний лікар",AVERAGE(P157:P159),IF($B$157="Лікар-педіатр","x",IF($B$157="Лікар-терапевт",AVERAGE(P157:P159),0)))</f>
        <v>166</v>
      </c>
      <c r="Q161" s="205">
        <f>IF($B$157="Лікар загальної практики - сімейний лікар",AVERAGE(Q157:Q159),IF($B$157="Лікар-педіатр","x",IF($B$157="Лікар-терапевт",AVERAGE(Q157:Q159),0)))</f>
        <v>283</v>
      </c>
      <c r="R161" s="205">
        <f>IF($B$157="Лікар загальної практики - сімейний лікар",AVERAGE(R157:R159),IF($B$157="Лікар-педіатр","x",IF($B$157="Лікар-терапевт",AVERAGE(R157:R159),0)))</f>
        <v>198</v>
      </c>
      <c r="S161" s="206">
        <f>SUM(N161:R161)</f>
        <v>781</v>
      </c>
      <c r="T161" s="946"/>
      <c r="U161" s="205">
        <f>IF($B$157="Лікар загальної практики - сімейний лікар",AVERAGE(U157:U159),IF($B$157="Лікар-педіатр",AVERAGE(U157:U159),IF($B$157="Лікар-терапевт","х",0)))</f>
        <v>39</v>
      </c>
      <c r="V161" s="205">
        <f>IF($B$157="Лікар загальної практики - сімейний лікар",AVERAGE(V157:V159),IF($B$157="Лікар-педіатр",AVERAGE(V157:V159),IF($B$157="Лікар-терапевт","х",0)))</f>
        <v>95</v>
      </c>
      <c r="W161" s="205">
        <f>IF($B$157="Лікар загальної практики - сімейний лікар",AVERAGE(W157:W159),IF($B$157="Лікар-педіатр","x",IF($B$157="Лікар-терапевт",AVERAGE(W157:W159),0)))</f>
        <v>166</v>
      </c>
      <c r="X161" s="205">
        <f>IF($B$157="Лікар загальної практики - сімейний лікар",AVERAGE(X157:X159),IF($B$157="Лікар-педіатр","x",IF($B$157="Лікар-терапевт",AVERAGE(X157:X159),0)))</f>
        <v>283</v>
      </c>
      <c r="Y161" s="205">
        <f>IF($B$157="Лікар загальної практики - сімейний лікар",AVERAGE(Y157:Y159),IF($B$157="Лікар-педіатр","x",IF($B$157="Лікар-терапевт",AVERAGE(Y157:Y159),0)))</f>
        <v>198</v>
      </c>
      <c r="Z161" s="206">
        <f>SUM(U161:Y161)</f>
        <v>781</v>
      </c>
      <c r="AA161" s="946"/>
      <c r="AB161" s="205">
        <f>IF($B$157="Лікар загальної практики - сімейний лікар",AVERAGE(AB157:AB159),IF($B$157="Лікар-педіатр",AVERAGE(AB157:AB159),IF($B$157="Лікар-терапевт","х",0)))</f>
        <v>39</v>
      </c>
      <c r="AC161" s="205">
        <f>IF($B$157="Лікар загальної практики - сімейний лікар",AVERAGE(AC157:AC159),IF($B$157="Лікар-педіатр",AVERAGE(AC157:AC159),IF($B$157="Лікар-терапевт","х",0)))</f>
        <v>95</v>
      </c>
      <c r="AD161" s="205">
        <f>IF($B$157="Лікар загальної практики - сімейний лікар",AVERAGE(AD157:AD159),IF($B$157="Лікар-педіатр","x",IF($B$157="Лікар-терапевт",AVERAGE(AD157:AD159),0)))</f>
        <v>166</v>
      </c>
      <c r="AE161" s="205">
        <f>IF($B$157="Лікар загальної практики - сімейний лікар",AVERAGE(AE157:AE159),IF($B$157="Лікар-педіатр","x",IF($B$157="Лікар-терапевт",AVERAGE(AE157:AE159),0)))</f>
        <v>283</v>
      </c>
      <c r="AF161" s="205">
        <f>IF($B$157="Лікар загальної практики - сімейний лікар",AVERAGE(AF157:AF159),IF($B$157="Лікар-педіатр","x",IF($B$157="Лікар-терапевт",AVERAGE(AF157:AF159),0)))</f>
        <v>198</v>
      </c>
      <c r="AG161" s="206">
        <f>SUM(AB161:AF161)</f>
        <v>781</v>
      </c>
      <c r="AH161" s="947"/>
      <c r="AI161" s="201"/>
      <c r="AJ161" s="933"/>
      <c r="AK161" s="927"/>
      <c r="AL161" s="927"/>
      <c r="AM161" s="903"/>
      <c r="AN161" s="925"/>
      <c r="AO161" s="925"/>
      <c r="AP161" s="925"/>
      <c r="AQ161" s="925"/>
      <c r="AR161" s="916"/>
    </row>
    <row r="162" spans="1:44" s="50" customFormat="1" ht="40.5">
      <c r="A162" s="197"/>
      <c r="B162" s="941"/>
      <c r="C162" s="942"/>
      <c r="D162" s="943"/>
      <c r="E162" s="943"/>
      <c r="F162" s="237" t="str">
        <f ca="1">IF(B157="Лікар-педіатр",Законод!$C$17,IF(B157="Лікар загальної практики - сімейний лікар",Законод!$C$21,IF(B157="Лікар-терапевт",Законод!$C$25,"х")))</f>
        <v>ліміт (до 1800)</v>
      </c>
      <c r="G162" s="208">
        <f ca="1">IF($B$157="Лікар загальної практики - сімейний лікар",IF(L161&lt;=Законод!$C$22,G161,Законод!$C$22*'01_Доходи'!G160),IF($B$157="Лікар-педіатр",IF(L161&lt;=Законод!$C$18,G161,Законод!$C$18*'01_Доходи'!G160),IF($B$157="Лікар-терапевт","x",0)))</f>
        <v>39</v>
      </c>
      <c r="H162" s="208">
        <f ca="1">IF($B$157="Лікар загальної практики - сімейний лікар",IF(L161&lt;=Законод!$C$22,H161,Законод!$C$22*'01_Доходи'!H160),IF($B$157="Лікар-педіатр",IF(L161&lt;=Законод!$C$18,H161,Законод!$C$18*'01_Доходи'!H160),IF($B$157="Лікар-терапевт","x",0)))</f>
        <v>95</v>
      </c>
      <c r="I162" s="208">
        <f ca="1">IF($B$157="Лікар загальної практики - сімейний лікар",IF(L161&lt;=Законод!$C$22,I161,Законод!$C$22*'01_Доходи'!I160),IF($B$157="Лікар-педіатр","x",IF($B$157="Лікар-терапевт",IF(L161&lt;=Законод!$C$26,I161,Законод!$C$26*'01_Доходи'!I160),0)))</f>
        <v>166</v>
      </c>
      <c r="J162" s="208">
        <f ca="1">IF($B$157="Лікар загальної практики - сімейний лікар",IF(L161&lt;=Законод!$C$22,J161,Законод!$C$22*'01_Доходи'!J160),IF($B$157="Лікар-педіатр","x",IF($B$157="Лікар-терапевт",IF(L161&lt;=Законод!$C$26,J161,Законод!$C$26*'01_Доходи'!J160),0)))</f>
        <v>283</v>
      </c>
      <c r="K162" s="208">
        <f ca="1">IF($B$157="Лікар загальної практики - сімейний лікар",IF(L161&lt;=Законод!$C$22,K161,Законод!$C$22*'01_Доходи'!K160),IF($B$157="Лікар-педіатр","x",IF($B$157="Лікар-терапевт",IF(L161&lt;=Законод!$C$26,K161,Законод!$C$26*'01_Доходи'!K160),0)))</f>
        <v>198</v>
      </c>
      <c r="L162" s="209">
        <f ca="1">SUM(G162:K162)</f>
        <v>781</v>
      </c>
      <c r="M162" s="945"/>
      <c r="N162" s="208">
        <f ca="1">IF($B$157="Лікар загальної практики - сімейний лікар",IF(S161&lt;=Законод!$C$22,N161,Законод!$C$22*'01_Доходи'!N160),IF($B$157="Лікар-педіатр",IF(S161&lt;=Законод!$C$18,N161,Законод!$C$18*'01_Доходи'!N160),IF($B$157="Лікар-терапевт","x",0)))</f>
        <v>39</v>
      </c>
      <c r="O162" s="208">
        <f ca="1">IF($B$157="Лікар загальної практики - сімейний лікар",IF(S161&lt;=Законод!$C$22,O161,Законод!$C$22*'01_Доходи'!O160),IF($B$157="Лікар-педіатр",IF(S161&lt;=Законод!$C$18,O161,Законод!$C$18*'01_Доходи'!O160),IF($B$157="Лікар-терапевт","x",0)))</f>
        <v>95</v>
      </c>
      <c r="P162" s="208">
        <f ca="1">IF($B$157="Лікар загальної практики - сімейний лікар",IF(S161&lt;=Законод!$C$22,P161,Законод!$C$22*'01_Доходи'!P160),IF($B$157="Лікар-педіатр","x",IF($B$157="Лікар-терапевт",IF(S161&lt;=Законод!$C$26,P161,Законод!$C$26*'01_Доходи'!P160),0)))</f>
        <v>166</v>
      </c>
      <c r="Q162" s="208">
        <f ca="1">IF($B$157="Лікар загальної практики - сімейний лікар",IF(S161&lt;=Законод!$C$22,Q161,Законод!$C$22*'01_Доходи'!Q160),IF($B$157="Лікар-педіатр","x",IF($B$157="Лікар-терапевт",IF(S161&lt;=Законод!$C$26,Q161,Законод!$C$26*'01_Доходи'!Q160),0)))</f>
        <v>283</v>
      </c>
      <c r="R162" s="208">
        <f ca="1">IF($B$157="Лікар загальної практики - сімейний лікар",IF(S161&lt;=Законод!$C$22,R161,Законод!$C$22*'01_Доходи'!R160),IF($B$157="Лікар-педіатр","x",IF($B$157="Лікар-терапевт",IF(S161&lt;=Законод!$C$26,R161,Законод!$C$26*'01_Доходи'!R160),0)))</f>
        <v>198</v>
      </c>
      <c r="S162" s="209">
        <f ca="1">SUM(N162:R162)</f>
        <v>781</v>
      </c>
      <c r="T162" s="945"/>
      <c r="U162" s="208">
        <f ca="1">IF($B$157="Лікар загальної практики - сімейний лікар",IF(Z161&lt;=Законод!$C$22,U161,Законод!$C$22*'01_Доходи'!U160),IF($B$157="Лікар-педіатр",IF(Z161&lt;=Законод!$C$18,U161,Законод!$C$18*'01_Доходи'!U160),IF($B$157="Лікар-терапевт","x",0)))</f>
        <v>39</v>
      </c>
      <c r="V162" s="208">
        <f ca="1">IF($B$157="Лікар загальної практики - сімейний лікар",IF(Z161&lt;=Законод!$C$22,V161,Законод!$C$22*'01_Доходи'!V160),IF($B$157="Лікар-педіатр",IF(Z161&lt;=Законод!$C$18,V161,Законод!$C$18*'01_Доходи'!V160),IF($B$157="Лікар-терапевт","x",0)))</f>
        <v>95</v>
      </c>
      <c r="W162" s="208">
        <f ca="1">IF($B$157="Лікар загальної практики - сімейний лікар",IF(Z161&lt;=Законод!$C$22,W161,Законод!$C$22*'01_Доходи'!W160),IF($B$157="Лікар-педіатр","x",IF($B$157="Лікар-терапевт",IF(Z161&lt;=Законод!$C$26,W161,Законод!$C$26*'01_Доходи'!W160),0)))</f>
        <v>166</v>
      </c>
      <c r="X162" s="208">
        <f ca="1">IF($B$157="Лікар загальної практики - сімейний лікар",IF(Z161&lt;=Законод!$C$22,X161,Законод!$C$22*'01_Доходи'!X160),IF($B$157="Лікар-педіатр","x",IF($B$157="Лікар-терапевт",IF(Z161&lt;=Законод!$C$26,X161,Законод!$C$26*'01_Доходи'!X160),0)))</f>
        <v>283</v>
      </c>
      <c r="Y162" s="208">
        <f ca="1">IF($B$157="Лікар загальної практики - сімейний лікар",IF(Z161&lt;=Законод!$C$22,Y161,Законод!$C$22*'01_Доходи'!Y160),IF($B$157="Лікар-педіатр","x",IF($B$157="Лікар-терапевт",IF(Z161&lt;=Законод!$C$26,Y161,Законод!$C$26*'01_Доходи'!Y160),0)))</f>
        <v>198</v>
      </c>
      <c r="Z162" s="209">
        <f ca="1">SUM(U162:Y162)</f>
        <v>781</v>
      </c>
      <c r="AA162" s="945"/>
      <c r="AB162" s="208">
        <f ca="1">IF($B$157="Лікар загальної практики - сімейний лікар",IF(AG161&lt;=Законод!$C$22,AB161,Законод!$C$22*'01_Доходи'!AB160),IF($B$157="Лікар-педіатр",IF(AG161&lt;=Законод!$C$18,AB161,Законод!$C$18*'01_Доходи'!AB160),IF($B$157="Лікар-терапевт","x",0)))</f>
        <v>39</v>
      </c>
      <c r="AC162" s="208">
        <f ca="1">IF($B$157="Лікар загальної практики - сімейний лікар",IF(AG161&lt;=Законод!$C$22,AC161,Законод!$C$22*'01_Доходи'!AC160),IF($B$157="Лікар-педіатр",IF(AG161&lt;=Законод!$C$18,AC161,Законод!$C$18*'01_Доходи'!AC160),IF($B$157="Лікар-терапевт","x",0)))</f>
        <v>95</v>
      </c>
      <c r="AD162" s="208">
        <f ca="1">IF($B$157="Лікар загальної практики - сімейний лікар",IF(AG161&lt;=Законод!$C$22,AD161,Законод!$C$22*'01_Доходи'!AD160),IF($B$157="Лікар-педіатр","x",IF($B$157="Лікар-терапевт",IF(AG161&lt;=Законод!$C$26,AD161,Законод!$C$26*'01_Доходи'!AD160),0)))</f>
        <v>166</v>
      </c>
      <c r="AE162" s="208">
        <f ca="1">IF($B$157="Лікар загальної практики - сімейний лікар",IF(AG161&lt;=Законод!$C$22,AE161,Законод!$C$22*'01_Доходи'!AE160),IF($B$157="Лікар-педіатр","x",IF($B$157="Лікар-терапевт",IF(AG161&lt;=Законод!$C$26,AE161,Законод!$C$26*'01_Доходи'!AE160),0)))</f>
        <v>283</v>
      </c>
      <c r="AF162" s="208">
        <f ca="1">IF($B$157="Лікар загальної практики - сімейний лікар",IF(AG161&lt;=Законод!$C$22,AF161,Законод!$C$22*'01_Доходи'!AF160),IF($B$157="Лікар-педіатр","x",IF($B$157="Лікар-терапевт",IF(AG161&lt;=Законод!$C$26,AF161,Законод!$C$26*'01_Доходи'!AF160),0)))</f>
        <v>198</v>
      </c>
      <c r="AG162" s="209">
        <f ca="1">SUM(AB162:AF162)</f>
        <v>781</v>
      </c>
      <c r="AH162" s="945"/>
      <c r="AI162" s="201"/>
      <c r="AJ162" s="933"/>
      <c r="AK162" s="927"/>
      <c r="AL162" s="927"/>
      <c r="AM162" s="348" t="s">
        <v>374</v>
      </c>
      <c r="AN162" s="210">
        <f ca="1">IF(B157="Лікар загальної практики - сімейний лікар",G162*Законод!$C$11+'01_Доходи'!H162*Законод!$D$11+'01_Доходи'!I162*Законод!$E$11+'01_Доходи'!J162*Законод!$F$11+'01_Доходи'!K162*Законод!$G$11,IF(B157="Лікар-педіатр",G162*Законод!$C$11+'01_Доходи'!H162*Законод!$D$11,IF(B157="Лікар-терапевт",'01_Доходи'!I162*Законод!$E$11+'01_Доходи'!J162*Законод!$F$11+'01_Доходи'!K162*Законод!$G$11,0)))</f>
        <v>153452.60214999999</v>
      </c>
      <c r="AO162" s="210">
        <f ca="1">IF(B157="Лікар загальної практики - сімейний лікар",N162*Законод!$C$11+'01_Доходи'!O162*Законод!$D$11+'01_Доходи'!P162*Законод!$E$11+'01_Доходи'!Q162*Законод!$F$11+'01_Доходи'!R162*Законод!$G$11,IF(B157="Лікар-педіатр",N162*Законод!$C$11+'01_Доходи'!O162*Законод!$D$11,IF(B157="Лікар-терапевт",'01_Доходи'!P162*Законод!$E$11+'01_Доходи'!Q162*Законод!$F$11+'01_Доходи'!R162*Законод!$G$11,0)))</f>
        <v>153452.60214999999</v>
      </c>
      <c r="AP162" s="210">
        <f ca="1">IF(B157="Лікар загальної практики - сімейний лікар",U162*Законод!$C$11+'01_Доходи'!V162*Законод!$D$11+'01_Доходи'!W162*Законод!$E$11+'01_Доходи'!X162*Законод!$F$11+'01_Доходи'!Y162*Законод!$G$11,IF(B157="Лікар-педіатр",U162*Законод!$C$11+'01_Доходи'!V162*Законод!$D$11,IF(B157="Лікар-терапевт",'01_Доходи'!W162*Законод!$E$11+'01_Доходи'!X162*Законод!$F$11+'01_Доходи'!Y162*Законод!$G$11,0)))</f>
        <v>153452.60214999999</v>
      </c>
      <c r="AQ162" s="210">
        <f ca="1">IF(B157="Лікар загальної практики - сімейний лікар",AB162*Законод!$C$11+'01_Доходи'!AC162*Законод!$D$11+'01_Доходи'!AD162*Законод!$E$11+'01_Доходи'!AE162*Законод!$F$11+'01_Доходи'!AF162*Законод!$G$11,IF(B157="Лікар-педіатр",AB162*Законод!$C$11+'01_Доходи'!AC162*Законод!$D$11,IF(B157="Лікар-терапевт",'01_Доходи'!AD162*Законод!$E$11+'01_Доходи'!AE162*Законод!$F$11+'01_Доходи'!AF162*Законод!$G$11,0)))</f>
        <v>153452.60214999999</v>
      </c>
      <c r="AR162" s="211">
        <f t="shared" ref="AR162:AR168" si="11">SUM(AN162:AQ162)</f>
        <v>613810.40859999997</v>
      </c>
    </row>
    <row r="163" spans="1:44" s="50" customFormat="1" ht="31.9" customHeight="1">
      <c r="A163" s="197"/>
      <c r="B163" s="941"/>
      <c r="C163" s="942"/>
      <c r="D163" s="943"/>
      <c r="E163" s="943"/>
      <c r="F163" s="238" t="str">
        <f ca="1">IF(B157="Лікар-педіатр",Законод!$E$17,IF(B157="Лікар загальної практики - сімейний лікар",Законод!$E$21,IF(B157="Лікар-терапевт",Законод!$E$25,"х")))</f>
        <v>понад ліміт (1801-1980)</v>
      </c>
      <c r="G163" s="940" t="s">
        <v>346</v>
      </c>
      <c r="H163" s="940"/>
      <c r="I163" s="940"/>
      <c r="J163" s="940"/>
      <c r="K163" s="940"/>
      <c r="L163" s="196">
        <f ca="1">IF($B$157="Лікар загальної практики - сімейний лікар",IF(L161&lt;Законод!$C$22,0,(IF(AND(L161&gt;=Законод!$E$22,L161&lt;=Законод!$E$23),L161-Законод!$C$22,IF('01_Доходи'!L161&gt;=Законод!$F$22,Законод!$E$24,0)))),IF($B$157="Лікар-педіатр",IF(L161&lt;Законод!$C$18,0,(IF(AND(L161&gt;=Законод!$E$18,L161&lt;=Законод!$E$19),L161-Законод!$C$18,IF('01_Доходи'!L161&gt;=Законод!$F$18,Законод!$E$20,0)))),IF($B$157="Лікар-терапевт",IF(L161&lt;Законод!$C$26,0,(IF(AND(L161&gt;=Законод!$E$26,L161&lt;=Законод!$E$27),L161-Законод!$C$26,IF('01_Доходи'!L161&gt;=Законод!$F$26,Законод!$E$28,0)))),0)))</f>
        <v>0</v>
      </c>
      <c r="M163" s="945"/>
      <c r="N163" s="940" t="s">
        <v>346</v>
      </c>
      <c r="O163" s="940"/>
      <c r="P163" s="940"/>
      <c r="Q163" s="940"/>
      <c r="R163" s="940"/>
      <c r="S163" s="196">
        <f ca="1">IF($B$157="Лікар загальної практики - сімейний лікар",IF(S161&lt;Законод!$C$22,0,(IF(AND(S161&gt;=Законод!$E$22,S161&lt;=Законод!$E$23),S161-Законод!$C$22,IF('01_Доходи'!S161&gt;=Законод!$F$22,Законод!$E$24,0)))),IF($B$157="Лікар-педіатр",IF(S161&lt;Законод!$C$18,0,(IF(AND(S161&gt;=Законод!$E$18,S161&lt;=Законод!$E$19),S161-Законод!$C$18,IF('01_Доходи'!S161&gt;=Законод!$F$18,Законод!$E$20,0)))),IF($B$157="Лікар-терапевт",IF(S161&lt;Законод!$C$26,0,(IF(AND(S161&gt;=Законод!$E$26,S161&lt;=Законод!$E$27),S161-Законод!$C$26,IF('01_Доходи'!S161&gt;=Законод!$F$26,Законод!$E$28,0)))),0)))</f>
        <v>0</v>
      </c>
      <c r="T163" s="945"/>
      <c r="U163" s="940" t="s">
        <v>346</v>
      </c>
      <c r="V163" s="940"/>
      <c r="W163" s="940"/>
      <c r="X163" s="940"/>
      <c r="Y163" s="940"/>
      <c r="Z163" s="196">
        <f ca="1">IF($B$157="Лікар загальної практики - сімейний лікар",IF(Z161&lt;Законод!$C$22,0,(IF(AND(Z161&gt;=Законод!$E$22,Z161&lt;=Законод!$E$23),Z161-Законод!$C$22,IF('01_Доходи'!Z161&gt;=Законод!$F$22,Законод!$E$24,0)))),IF($B$157="Лікар-педіатр",IF(Z161&lt;Законод!$C$18,0,(IF(AND(Z161&gt;=Законод!$E$18,Z161&lt;=Законод!$E$19),Z161-Законод!$C$18,IF('01_Доходи'!Z161&gt;=Законод!$F$18,Законод!$E$20,0)))),IF($B$157="Лікар-терапевт",IF(Z161&lt;Законод!$C$26,0,(IF(AND(Z161&gt;=Законод!$E$26,Z161&lt;=Законод!$E$27),Z161-Законод!$C$26,IF('01_Доходи'!Z161&gt;=Законод!$F$26,Законод!$E$28,0)))),0)))</f>
        <v>0</v>
      </c>
      <c r="AA163" s="945"/>
      <c r="AB163" s="940" t="s">
        <v>346</v>
      </c>
      <c r="AC163" s="940"/>
      <c r="AD163" s="940"/>
      <c r="AE163" s="940"/>
      <c r="AF163" s="940"/>
      <c r="AG163" s="196">
        <f ca="1">IF($B$157="Лікар загальної практики - сімейний лікар",IF(AG161&lt;Законод!$C$22,0,(IF(AND(AG161&gt;=Законод!$E$22,AG161&lt;=Законод!$E$23),AG161-Законод!$C$22,IF('01_Доходи'!AG161&gt;=Законод!$F$22,Законод!$E$24,0)))),IF($B$157="Лікар-педіатр",IF(AG161&lt;Законод!$C$18,0,(IF(AND(AG161&gt;=Законод!$E$18,AG161&lt;=Законод!$E$19),AG161-Законод!$C$18,IF('01_Доходи'!AG161&gt;=Законод!$F$18,Законод!$E$20,0)))),IF($B$157="Лікар-терапевт",IF(AG161&lt;Законод!$C$26,0,(IF(AND(AG161&gt;=Законод!$E$26,AG161&lt;=Законод!$E$27),AG161-Законод!$C$26,IF('01_Доходи'!AG161&gt;=Законод!$F$26,Законод!$E$28,0)))),0)))</f>
        <v>0</v>
      </c>
      <c r="AH163" s="945"/>
      <c r="AI163" s="201"/>
      <c r="AJ163" s="933"/>
      <c r="AK163" s="927"/>
      <c r="AL163" s="927"/>
      <c r="AM163" s="898" t="s">
        <v>375</v>
      </c>
      <c r="AN163" s="210">
        <f ca="1">IF(B157="Лікар загальної практики - сімейний лікар",L163*Законод!$C$9/4*Законод!$E$16,IF(B157="Лікар-педіатр",L163*Законод!$C$9/4*Законод!$E$16,IF(B157="Лікар-терапевт",L163*Законод!$C$9/4*Законод!$E$16,0)))</f>
        <v>0</v>
      </c>
      <c r="AO163" s="210">
        <f ca="1">IF(B157="Лікар загальної практики - сімейний лікар",S163*Законод!$C$9/4*Законод!$E$16,IF(B157="Лікар-педіатр",S163*Законод!$C$9/4*Законод!$E$16,IF(B157="Лікар-терапевт",S163*Законод!$C$9/4*Законод!$E$16,0)))</f>
        <v>0</v>
      </c>
      <c r="AP163" s="210">
        <f ca="1">IF(B157="Лікар загальної практики - сімейний лікар",Z163*Законод!$C$9/4*Законод!$E$16,IF(B157="Лікар-педіатр",Z163*Законод!$C$9/4*Законод!$E$16,IF(B157="Лікар-терапевт",Z163*Законод!$C$9/4*Законод!$E$16,0)))</f>
        <v>0</v>
      </c>
      <c r="AQ163" s="210">
        <f ca="1">IF(B157="Лікар загальної практики - сімейний лікар",AG163*Законод!$C$9/4*Законод!$E$16,IF(B157="Лікар-педіатр",AG163*Законод!$C$9/4*Законод!$E$16,IF(B157="Лікар-терапевт",AG163*Законод!$C$9/4*Законод!$E$16,0)))</f>
        <v>0</v>
      </c>
      <c r="AR163" s="211">
        <f t="shared" si="11"/>
        <v>0</v>
      </c>
    </row>
    <row r="164" spans="1:44" s="50" customFormat="1" ht="31.9" customHeight="1">
      <c r="A164" s="197"/>
      <c r="B164" s="941"/>
      <c r="C164" s="942"/>
      <c r="D164" s="943"/>
      <c r="E164" s="943"/>
      <c r="F164" s="238" t="str">
        <f ca="1">IF(B157="Лікар-педіатр",Законод!$F$17,IF(B157="Лікар загальної практики - сімейний лікар",Законод!$F$21,IF(B157="Лікар-терапевт",Законод!$F$25,"х")))</f>
        <v>понад ліміт (1981-2160)</v>
      </c>
      <c r="G164" s="940" t="s">
        <v>346</v>
      </c>
      <c r="H164" s="940"/>
      <c r="I164" s="940"/>
      <c r="J164" s="940"/>
      <c r="K164" s="940"/>
      <c r="L164" s="196">
        <f ca="1">IF($B$157="Лікар загальної практики - сімейний лікар",IF(L161&lt;Законод!$C$22,0,(IF(AND(L161&gt;=Законод!$F$22,L161&lt;=Законод!$F$23),L161-Законод!$E$23,IF('01_Доходи'!L161&gt;=Законод!$G$22,Законод!$F$24,0)))),IF($B$157="Лікар-педіатр",IF(L161&lt;Законод!$C$18,0,(IF(AND(L161&gt;=Законод!$F$18,L161&lt;=Законод!$F$19),L161-Законод!$E$19,IF('01_Доходи'!L161&gt;=Законод!$G$18,Законод!$F$20,0)))),IF($B$157="Лікар-терапевт",IF(L161&lt;Законод!$C$26,0,(IF(AND(L161&gt;=Законод!$F$26,L161&lt;=Законод!$F$27),L161-Законод!$E$27,IF('01_Доходи'!L161&gt;=Законод!$G$26,Законод!$F$28,0)))),0)))</f>
        <v>0</v>
      </c>
      <c r="M164" s="945"/>
      <c r="N164" s="940" t="s">
        <v>346</v>
      </c>
      <c r="O164" s="940"/>
      <c r="P164" s="940"/>
      <c r="Q164" s="940"/>
      <c r="R164" s="940"/>
      <c r="S164" s="196">
        <f ca="1">IF($B$157="Лікар загальної практики - сімейний лікар",IF(S161&lt;Законод!$C$22,0,(IF(AND(S161&gt;=Законод!$F$22,S161&lt;=Законод!$F$23),S161-Законод!$E$23,IF('01_Доходи'!S161&gt;=Законод!$G$22,Законод!$F$24,0)))),IF($B$157="Лікар-педіатр",IF(S161&lt;Законод!$C$18,0,(IF(AND(S161&gt;=Законод!$F$18,S161&lt;=Законод!$F$19),S161-Законод!$E$19,IF('01_Доходи'!S161&gt;=Законод!$G$18,Законод!$F$20,0)))),IF($B$157="Лікар-терапевт",IF(S161&lt;Законод!$C$26,0,(IF(AND(S161&gt;=Законод!$F$26,S161&lt;=Законод!$F$27),S161-Законод!$E$27,IF('01_Доходи'!S161&gt;=Законод!$G$26,Законод!$F$28,0)))),0)))</f>
        <v>0</v>
      </c>
      <c r="T164" s="945"/>
      <c r="U164" s="940" t="s">
        <v>346</v>
      </c>
      <c r="V164" s="940"/>
      <c r="W164" s="940"/>
      <c r="X164" s="940"/>
      <c r="Y164" s="940"/>
      <c r="Z164" s="196">
        <f ca="1">IF($B$157="Лікар загальної практики - сімейний лікар",IF(Z161&lt;Законод!$C$22,0,(IF(AND(Z161&gt;=Законод!$F$22,Z161&lt;=Законод!$F$23),Z161-Законод!$E$23,IF('01_Доходи'!Z161&gt;=Законод!$G$22,Законод!$F$24,0)))),IF($B$157="Лікар-педіатр",IF(Z161&lt;Законод!$C$18,0,(IF(AND(Z161&gt;=Законод!$F$18,Z161&lt;=Законод!$F$19),Z161-Законод!$E$19,IF('01_Доходи'!Z161&gt;=Законод!$G$18,Законод!$F$20,0)))),IF($B$157="Лікар-терапевт",IF(Z161&lt;Законод!$C$26,0,(IF(AND(Z161&gt;=Законод!$F$26,Z161&lt;=Законод!$F$27),Z161-Законод!$E$27,IF('01_Доходи'!Z161&gt;=Законод!$G$26,Законод!$F$28,0)))),0)))</f>
        <v>0</v>
      </c>
      <c r="AA164" s="945"/>
      <c r="AB164" s="940" t="s">
        <v>346</v>
      </c>
      <c r="AC164" s="940"/>
      <c r="AD164" s="940"/>
      <c r="AE164" s="940"/>
      <c r="AF164" s="940"/>
      <c r="AG164" s="196">
        <f ca="1">IF($B$157="Лікар загальної практики - сімейний лікар",IF(AG161&lt;Законод!$C$22,0,(IF(AND(AG161&gt;=Законод!$F$22,AG161&lt;=Законод!$F$23),AG161-Законод!$E$23,IF('01_Доходи'!AG161&gt;=Законод!$G$22,Законод!$F$24,0)))),IF($B$157="Лікар-педіатр",IF(AG161&lt;Законод!$C$18,0,(IF(AND(AG161&gt;=Законод!$F$18,AG161&lt;=Законод!$F$19),AG161-Законод!$E$19,IF('01_Доходи'!AG161&gt;=Законод!$G$18,Законод!$F$20,0)))),IF($B$157="Лікар-терапевт",IF(AG161&lt;Законод!$C$26,0,(IF(AND(AG161&gt;=Законод!$F$26,AG161&lt;=Законод!$F$27),AG161-Законод!$E$27,IF('01_Доходи'!AG161&gt;=Законод!$G$26,Законод!$F$28,0)))),0)))</f>
        <v>0</v>
      </c>
      <c r="AH164" s="945"/>
      <c r="AI164" s="201"/>
      <c r="AJ164" s="933"/>
      <c r="AK164" s="927"/>
      <c r="AL164" s="927"/>
      <c r="AM164" s="899"/>
      <c r="AN164" s="210">
        <f ca="1">IF(B157="Лікар загальної практики - сімейний лікар",L164*Законод!$C$9/4*Законод!$F$16,IF(B157="Лікар-педіатр",L164*Законод!$C$9/4*Законод!$F$16,IF(B157="Лікар-терапевт",L164*Законод!$C$9/4*Законод!$F$16,0)))</f>
        <v>0</v>
      </c>
      <c r="AO164" s="210">
        <f ca="1">IF(B157="Лікар загальної практики - сімейний лікар",S164*Законод!$C$9/4*Законод!$F$16,IF(B157="Лікар-педіатр",S164*Законод!$C$9/4*Законод!$F$16,IF(B157="Лікар-терапевт",S164*Законод!$C$9/4*Законод!$F$16,0)))</f>
        <v>0</v>
      </c>
      <c r="AP164" s="210">
        <f ca="1">IF(B157="Лікар загальної практики - сімейний лікар",Z164*Законод!$C$9/4*Законод!$F$16,IF(B157="Лікар-педіатр",Z164*Законод!$C$9/4*Законод!$F$16,IF(B157="Лікар-терапевт",Z164*Законод!$C$9/4*Законод!$F$16,0)))</f>
        <v>0</v>
      </c>
      <c r="AQ164" s="210">
        <f ca="1">IF(B157="Лікар загальної практики - сімейний лікар",AG164*Законод!$C$9/4*Законод!$F$16,IF(B157="Лікар-педіатр",AG164*Законод!$C$9/4*Законод!$F$16,IF(B157="Лікар-терапевт",AG164*Законод!$C$9/4*Законод!$F$16,0)))</f>
        <v>0</v>
      </c>
      <c r="AR164" s="211">
        <f t="shared" si="11"/>
        <v>0</v>
      </c>
    </row>
    <row r="165" spans="1:44" s="50" customFormat="1" ht="31.9" customHeight="1">
      <c r="A165" s="197"/>
      <c r="B165" s="941"/>
      <c r="C165" s="942"/>
      <c r="D165" s="943"/>
      <c r="E165" s="943"/>
      <c r="F165" s="238" t="str">
        <f ca="1">IF(B157="Лікар-педіатр",Законод!$G$17,IF(B157="Лікар загальної практики - сімейний лікар",Законод!$G$21,IF(B157="Лікар-терапевт",Законод!$G$25,"х")))</f>
        <v>понад ліміт (2161-2340)</v>
      </c>
      <c r="G165" s="940" t="s">
        <v>346</v>
      </c>
      <c r="H165" s="940"/>
      <c r="I165" s="940"/>
      <c r="J165" s="940"/>
      <c r="K165" s="940"/>
      <c r="L165" s="196">
        <f ca="1">IF($B$157="Лікар загальної практики - сімейний лікар",IF(L161&lt;Законод!$C$22,0,(IF(AND(L161&gt;=Законод!$G$22,L161&lt;=Законод!$G$23),L161-Законод!$F$23,IF('01_Доходи'!L161&gt;=Законод!$H$22,Законод!$G$24,0)))),IF($B$157="Лікар-педіатр",IF(L161&lt;Законод!$C$18,0,(IF(AND(L161&gt;=Законод!$G$18,L161&lt;=Законод!$G$19),L161-Законод!$F$19,IF('01_Доходи'!L161&gt;=Законод!$H$18,Законод!$G$20,0)))),IF($B$157="Лікар-терапевт",IF(L161&lt;Законод!$C$26,0,(IF(AND(L161&gt;=Законод!$G$26,L161&lt;=Законод!$G$27),L161-Законод!$F$27,IF('01_Доходи'!L161&gt;=Законод!$H$26,Законод!$G$28,0)))),0)))</f>
        <v>0</v>
      </c>
      <c r="M165" s="945"/>
      <c r="N165" s="940" t="s">
        <v>346</v>
      </c>
      <c r="O165" s="940"/>
      <c r="P165" s="940"/>
      <c r="Q165" s="940"/>
      <c r="R165" s="940"/>
      <c r="S165" s="196">
        <f ca="1">IF($B$157="Лікар загальної практики - сімейний лікар",IF(S161&lt;Законод!$C$22,0,(IF(AND(S161&gt;=Законод!$G$22,S161&lt;=Законод!$G$23),S161-Законод!$F$23,IF('01_Доходи'!S161&gt;=Законод!$H$22,Законод!$G$24,0)))),IF($B$157="Лікар-педіатр",IF(S161&lt;Законод!$C$18,0,(IF(AND(S161&gt;=Законод!$G$18,S161&lt;=Законод!$G$19),S161-Законод!$F$19,IF('01_Доходи'!S161&gt;=Законод!$H$18,Законод!$G$20,0)))),IF($B$157="Лікар-терапевт",IF(S161&lt;Законод!$C$26,0,(IF(AND(S161&gt;=Законод!$G$26,S161&lt;=Законод!$G$27),S161-Законод!$F$27,IF('01_Доходи'!S161&gt;=Законод!$H$26,Законод!$G$28,0)))),0)))</f>
        <v>0</v>
      </c>
      <c r="T165" s="945"/>
      <c r="U165" s="940" t="s">
        <v>346</v>
      </c>
      <c r="V165" s="940"/>
      <c r="W165" s="940"/>
      <c r="X165" s="940"/>
      <c r="Y165" s="940"/>
      <c r="Z165" s="196">
        <f ca="1">IF($B$157="Лікар загальної практики - сімейний лікар",IF(Z161&lt;Законод!$C$22,0,(IF(AND(Z161&gt;=Законод!$G$22,Z161&lt;=Законод!$G$23),Z161-Законод!$F$23,IF('01_Доходи'!Z161&gt;=Законод!$H$22,Законод!$G$24,0)))),IF($B$157="Лікар-педіатр",IF(Z161&lt;Законод!$C$18,0,(IF(AND(Z161&gt;=Законод!$G$18,Z161&lt;=Законод!$G$19),Z161-Законод!$F$19,IF('01_Доходи'!Z161&gt;=Законод!$H$18,Законод!$G$20,0)))),IF($B$157="Лікар-терапевт",IF(Z161&lt;Законод!$C$26,0,(IF(AND(Z161&gt;=Законод!$G$26,Z161&lt;=Законод!$G$27),Z161-Законод!$F$27,IF('01_Доходи'!Z161&gt;=Законод!$H$26,Законод!$G$28,0)))),0)))</f>
        <v>0</v>
      </c>
      <c r="AA165" s="945"/>
      <c r="AB165" s="940" t="s">
        <v>346</v>
      </c>
      <c r="AC165" s="940"/>
      <c r="AD165" s="940"/>
      <c r="AE165" s="940"/>
      <c r="AF165" s="940"/>
      <c r="AG165" s="196">
        <f ca="1">IF($B$157="Лікар загальної практики - сімейний лікар",IF(AG161&lt;Законод!$C$22,0,(IF(AND(AG161&gt;=Законод!$G$22,AG161&lt;=Законод!$G$23),AG161-Законод!$F$23,IF('01_Доходи'!AG161&gt;=Законод!$H$22,Законод!$G$24,0)))),IF($B$157="Лікар-педіатр",IF(AG161&lt;Законод!$C$18,0,(IF(AND(AG161&gt;=Законод!$G$18,AG161&lt;=Законод!$G$19),AG161-Законод!$F$19,IF('01_Доходи'!AG161&gt;=Законод!$H$18,Законод!$G$20,0)))),IF($B$157="Лікар-терапевт",IF(AG161&lt;Законод!$C$26,0,(IF(AND(AG161&gt;=Законод!$G$26,AG161&lt;=Законод!$G$27),AG161-Законод!$F$27,IF('01_Доходи'!AG161&gt;=Законод!$H$26,Законод!$G$28,0)))),0)))</f>
        <v>0</v>
      </c>
      <c r="AH165" s="945"/>
      <c r="AI165" s="201"/>
      <c r="AJ165" s="933"/>
      <c r="AK165" s="927"/>
      <c r="AL165" s="927"/>
      <c r="AM165" s="899"/>
      <c r="AN165" s="210">
        <f ca="1">IF(B157="Лікар загальної практики - сімейний лікар",L165*Законод!$C$9/4*Законод!$G$16,IF(B157="Лікар-педіатр",L165*Законод!$C$9/4*Законод!$G$16,IF(B157="Лікар-терапевт",L165*Законод!$C$9/4*Законод!$G$16,0)))</f>
        <v>0</v>
      </c>
      <c r="AO165" s="210">
        <f ca="1">IF(B157="Лікар загальної практики - сімейний лікар",S165*Законод!$C$9/4*Законод!$G$16,IF(B157="Лікар-педіатр",S165*Законод!$C$9/4*Законод!$G$16,IF(B157="Лікар-терапевт",S165*Законод!$C$9/4*Законод!$G$16,0)))</f>
        <v>0</v>
      </c>
      <c r="AP165" s="210">
        <f ca="1">IF(B157="Лікар загальної практики - сімейний лікар",Z165*Законод!$C$9/4*Законод!$G$16,IF(B157="Лікар-педіатр",Z165*Законод!$C$9/4*Законод!$G$16,IF(B157="Лікар-терапевт",Z165*Законод!$C$9/4*Законод!$G$16,0)))</f>
        <v>0</v>
      </c>
      <c r="AQ165" s="210">
        <f ca="1">IF(B157="Лікар загальної практики - сімейний лікар",AG165*Законод!$C$9/4*Законод!$G$16,IF(B157="Лікар-педіатр",AG165*Законод!$C$9/4*Законод!$G$16,IF(B157="Лікар-терапевт",AG165*Законод!$C$9/4*Законод!$G$16,0)))</f>
        <v>0</v>
      </c>
      <c r="AR165" s="211">
        <f t="shared" si="11"/>
        <v>0</v>
      </c>
    </row>
    <row r="166" spans="1:44" s="50" customFormat="1" ht="31.9" customHeight="1">
      <c r="A166" s="197"/>
      <c r="B166" s="941"/>
      <c r="C166" s="942"/>
      <c r="D166" s="943"/>
      <c r="E166" s="943"/>
      <c r="F166" s="238" t="str">
        <f ca="1">IF(B157="Лікар-педіатр",Законод!$H$17,IF(B157="Лікар загальної практики - сімейний лікар",Законод!$H$21,IF(B157="Лікар-терапевт",Законод!$H$25,"х")))</f>
        <v>понад ліміт (2341-2520)</v>
      </c>
      <c r="G166" s="940" t="s">
        <v>346</v>
      </c>
      <c r="H166" s="940"/>
      <c r="I166" s="940"/>
      <c r="J166" s="940"/>
      <c r="K166" s="940"/>
      <c r="L166" s="196">
        <f ca="1">IF($B$157="Лікар загальної практики - сімейний лікар",IF(L161&lt;Законод!$C$22,0,(IF(AND(L161&gt;=Законод!$H$22,L161&lt;=Законод!$H$23),L161-Законод!$G$23,IF('01_Доходи'!L161&gt;=Законод!$I$22,Законод!$H$24,0)))),IF($B$157="Лікар-педіатр",IF(L161&lt;Законод!$C$18,0,(IF(AND(L161&gt;=Законод!$H$18,L161&lt;=Законод!$H$19),L161-Законод!$G$19,IF('01_Доходи'!L161&gt;=Законод!$I$18,Законод!$H$20,0)))),IF($B$157="Лікар-терапевт",IF(L161&lt;Законод!$C$26,0,(IF(AND(L161&gt;=Законод!$H$26,L161&lt;=Законод!$H$27),L161-Законод!$G$27,IF(L161&gt;=Законод!$I$26,Законод!$H$28,0)))),0)))</f>
        <v>0</v>
      </c>
      <c r="M166" s="945"/>
      <c r="N166" s="940" t="s">
        <v>346</v>
      </c>
      <c r="O166" s="940"/>
      <c r="P166" s="940"/>
      <c r="Q166" s="940"/>
      <c r="R166" s="940"/>
      <c r="S166" s="196">
        <f ca="1">IF($B$157="Лікар загальної практики - сімейний лікар",IF(S161&lt;Законод!$C$22,0,(IF(AND(S161&gt;=Законод!$H$22,S161&lt;=Законод!$H$23),S161-Законод!$G$23,IF('01_Доходи'!S161&gt;=Законод!$I$22,Законод!$H$24,0)))),IF($B$157="Лікар-педіатр",IF(S161&lt;Законод!$C$18,0,(IF(AND(S161&gt;=Законод!$H$18,S161&lt;=Законод!$H$19),S161-Законод!$G$19,IF('01_Доходи'!S161&gt;=Законод!$I$18,Законод!$H$20,0)))),IF($B$157="Лікар-терапевт",IF(S161&lt;Законод!$C$26,0,(IF(AND(S161&gt;=Законод!$H$26,S161&lt;=Законод!$H$27),S161-Законод!$G$27,IF(S161&gt;=Законод!$I$26,Законод!$H$28,0)))),0)))</f>
        <v>0</v>
      </c>
      <c r="T166" s="945"/>
      <c r="U166" s="940" t="s">
        <v>346</v>
      </c>
      <c r="V166" s="940"/>
      <c r="W166" s="940"/>
      <c r="X166" s="940"/>
      <c r="Y166" s="940"/>
      <c r="Z166" s="196">
        <f ca="1">IF($B$157="Лікар загальної практики - сімейний лікар",IF(Z161&lt;Законод!$C$22,0,(IF(AND(Z161&gt;=Законод!$H$22,Z161&lt;=Законод!$H$23),Z161-Законод!$G$23,IF('01_Доходи'!Z161&gt;=Законод!$I$22,Законод!$H$24,0)))),IF($B$157="Лікар-педіатр",IF(Z161&lt;Законод!$C$18,0,(IF(AND(Z161&gt;=Законод!$H$18,Z161&lt;=Законод!$H$19),Z161-Законод!$G$19,IF('01_Доходи'!Z161&gt;=Законод!$I$18,Законод!$H$20,0)))),IF($B$157="Лікар-терапевт",IF(Z161&lt;Законод!$C$26,0,(IF(AND(Z161&gt;=Законод!$H$26,Z161&lt;=Законод!$H$27),Z161-Законод!$G$27,IF(Z161&gt;=Законод!$I$26,Законод!$H$28,0)))),0)))</f>
        <v>0</v>
      </c>
      <c r="AA166" s="945"/>
      <c r="AB166" s="940" t="s">
        <v>346</v>
      </c>
      <c r="AC166" s="940"/>
      <c r="AD166" s="940"/>
      <c r="AE166" s="940"/>
      <c r="AF166" s="940"/>
      <c r="AG166" s="196">
        <f ca="1">IF($B$157="Лікар загальної практики - сімейний лікар",IF(AG161&lt;Законод!$C$22,0,(IF(AND(AG161&gt;=Законод!$H$22,AG161&lt;=Законод!$H$23),AG161-Законод!$G$23,IF('01_Доходи'!AG161&gt;=Законод!$I$22,Законод!$H$24,0)))),IF($B$157="Лікар-педіатр",IF(AG161&lt;Законод!$C$18,0,(IF(AND(AG161&gt;=Законод!$H$18,AG161&lt;=Законод!$H$19),AG161-Законод!$G$19,IF('01_Доходи'!AG161&gt;=Законод!$I$18,Законод!$H$20,0)))),IF($B$157="Лікар-терапевт",IF(AG161&lt;Законод!$C$26,0,(IF(AND(AG161&gt;=Законод!$H$26,AG161&lt;=Законод!$H$27),AG161-Законод!$G$27,IF(AG161&gt;=Законод!$I$26,Законод!$H$28,0)))),0)))</f>
        <v>0</v>
      </c>
      <c r="AH166" s="945"/>
      <c r="AI166" s="201"/>
      <c r="AJ166" s="933"/>
      <c r="AK166" s="927"/>
      <c r="AL166" s="927"/>
      <c r="AM166" s="899"/>
      <c r="AN166" s="210">
        <f ca="1">IF(B157="Лікар загальної практики - сімейний лікар",L166*Законод!$C$9/4*Законод!$H$16,IF(B157="Лікар-педіатр",L166*Законод!$C$9/4*Законод!$H$16,IF(B157="Лікар-терапевт",L166*Законод!$C$9/4*Законод!$H$16,0)))</f>
        <v>0</v>
      </c>
      <c r="AO166" s="210">
        <f ca="1">IF(B157="Лікар загальної практики - сімейний лікар",S166*Законод!$C$9/4*Законод!$H$16,IF(B157="Лікар-педіатр",S166*Законод!$C$9/4*Законод!$H$16,IF(B157="Лікар-терапевт",S166*Законод!$C$9/4*Законод!$H$16,0)))</f>
        <v>0</v>
      </c>
      <c r="AP166" s="210">
        <f ca="1">IF(B157="Лікар загальної практики - сімейний лікар",Z166*Законод!$C$9/4*Законод!$H$16,IF(B157="Лікар-педіатр",Z166*Законод!$C$9/4*Законод!$H$16,IF(B157="Лікар-терапевт",Z166*Законод!$C$9/4*Законод!$H$16,0)))</f>
        <v>0</v>
      </c>
      <c r="AQ166" s="210">
        <f ca="1">IF(B157="Лікар загальної практики - сімейний лікар",AG166*Законод!$C$9/4*Законод!$H$16,IF(B157="Лікар-педіатр",AG166*Законод!$C$9/4*Законод!$H$16,IF(B157="Лікар-терапевт",AG166*Законод!$C$9/4*Законод!$H$16,0)))</f>
        <v>0</v>
      </c>
      <c r="AR166" s="211">
        <f t="shared" si="11"/>
        <v>0</v>
      </c>
    </row>
    <row r="167" spans="1:44" s="50" customFormat="1" ht="31.9" customHeight="1">
      <c r="A167" s="197"/>
      <c r="B167" s="941"/>
      <c r="C167" s="942"/>
      <c r="D167" s="943"/>
      <c r="E167" s="943"/>
      <c r="F167" s="238" t="str">
        <f ca="1">IF(B157="Лікар-педіатр",Законод!$I$17,IF(B157="Лікар загальної практики - сімейний лікар",Законод!$I$21,IF(B157="Лікар-терапевт",Законод!$I$25,"х")))</f>
        <v>понад ліміт (2521-2700)</v>
      </c>
      <c r="G167" s="940" t="s">
        <v>346</v>
      </c>
      <c r="H167" s="940"/>
      <c r="I167" s="940"/>
      <c r="J167" s="940"/>
      <c r="K167" s="940"/>
      <c r="L167" s="196">
        <f ca="1">IF($B$157="Лікар загальної практики - сімейний лікар",IF(L161&lt;Законод!$C$22,0,(IF(AND(L161&gt;=Законод!$I$22,L161&lt;=Законод!$I$23),L161-Законод!$H$23,IF('01_Доходи'!L161&gt;=Законод!$I$22,Законод!$I$24,0)))),IF($B$157="Лікар-педіатр",IF(L161&lt;Законод!$C$18,0,(IF(AND(L161&gt;=Законод!$I$18,L161&lt;=Законод!$I$19),L161-Законод!$H$19,IF('01_Доходи'!L161&gt;=Законод!$I$18,Законод!$H$20,0)))),IF($B$157="Лікар-терапевт",IF(L161&lt;Законод!$C$26,0,(IF(AND(L161&gt;=Законод!$I$26,L161&lt;=Законод!$I$27),L161-Законод!$H$27,IF('01_Доходи'!L161&gt;=Законод!$I$26,Законод!$H$28,0)))),0)))</f>
        <v>0</v>
      </c>
      <c r="M167" s="945"/>
      <c r="N167" s="940" t="s">
        <v>346</v>
      </c>
      <c r="O167" s="940"/>
      <c r="P167" s="940"/>
      <c r="Q167" s="940"/>
      <c r="R167" s="940"/>
      <c r="S167" s="196">
        <f ca="1">IF($B$157="Лікар загальної практики - сімейний лікар",IF(S161&lt;Законод!$C$22,0,(IF(AND(S161&gt;=Законод!$I$22,S161&lt;=Законод!$I$23),S161-Законод!$H$23,IF('01_Доходи'!S161&gt;=Законод!$I$22,Законод!$I$24,0)))),IF($B$157="Лікар-педіатр",IF(S161&lt;Законод!$C$18,0,(IF(AND(S161&gt;=Законод!$I$18,S161&lt;=Законод!$I$19),S161-Законод!$H$19,IF('01_Доходи'!S161&gt;=Законод!$I$18,Законод!$H$20,0)))),IF($B$157="Лікар-терапевт",IF(S161&lt;Законод!$C$26,0,(IF(AND(S161&gt;=Законод!$I$26,S161&lt;=Законод!$I$27),S161-Законод!$H$27,IF('01_Доходи'!S161&gt;=Законод!$I$26,Законод!$H$28,0)))),0)))</f>
        <v>0</v>
      </c>
      <c r="T167" s="945"/>
      <c r="U167" s="940" t="s">
        <v>346</v>
      </c>
      <c r="V167" s="940"/>
      <c r="W167" s="940"/>
      <c r="X167" s="940"/>
      <c r="Y167" s="940"/>
      <c r="Z167" s="196">
        <f ca="1">IF($B$157="Лікар загальної практики - сімейний лікар",IF(Z161&lt;Законод!$C$22,0,(IF(AND(Z161&gt;=Законод!$I$22,Z161&lt;=Законод!$I$23),Z161-Законод!$H$23,IF('01_Доходи'!Z161&gt;=Законод!$I$22,Законод!$I$24,0)))),IF($B$157="Лікар-педіатр",IF(Z161&lt;Законод!$C$18,0,(IF(AND(Z161&gt;=Законод!$I$18,Z161&lt;=Законод!$I$19),Z161-Законод!$H$19,IF('01_Доходи'!Z161&gt;=Законод!$I$18,Законод!$H$20,0)))),IF($B$157="Лікар-терапевт",IF(Z161&lt;Законод!$C$26,0,(IF(AND(Z161&gt;=Законод!$I$26,Z161&lt;=Законод!$I$27),Z161-Законод!$H$27,IF('01_Доходи'!Z161&gt;=Законод!$I$26,Законод!$H$28,0)))),0)))</f>
        <v>0</v>
      </c>
      <c r="AA167" s="945"/>
      <c r="AB167" s="940" t="s">
        <v>346</v>
      </c>
      <c r="AC167" s="940"/>
      <c r="AD167" s="940"/>
      <c r="AE167" s="940"/>
      <c r="AF167" s="940"/>
      <c r="AG167" s="196">
        <f ca="1">IF($B$157="Лікар загальної практики - сімейний лікар",IF(AG161&lt;Законод!$C$22,0,(IF(AND(AG161&gt;=Законод!$I$22,AG161&lt;=Законод!$I$23),AG161-Законод!$H$23,IF('01_Доходи'!AG161&gt;=Законод!$I$22,Законод!$I$24,0)))),IF($B$157="Лікар-педіатр",IF(AG161&lt;Законод!$C$18,0,(IF(AND(AG161&gt;=Законод!$I$18,AG161&lt;=Законод!$I$19),AG161-Законод!$H$19,IF('01_Доходи'!AG161&gt;=Законод!$I$18,Законод!$H$20,0)))),IF($B$157="Лікар-терапевт",IF(AG161&lt;Законод!$C$26,0,(IF(AND(AG161&gt;=Законод!$I$26,AG161&lt;=Законод!$I$27),AG161-Законод!$H$27,IF('01_Доходи'!AG161&gt;=Законод!$I$26,Законод!$H$28,0)))),0)))</f>
        <v>0</v>
      </c>
      <c r="AH167" s="945"/>
      <c r="AI167" s="201"/>
      <c r="AJ167" s="933"/>
      <c r="AK167" s="927"/>
      <c r="AL167" s="927"/>
      <c r="AM167" s="899"/>
      <c r="AN167" s="210">
        <f ca="1">IF(B157="Лікар загальної практики - сімейний лікар",L167*Законод!$C$9/4*Законод!$I$16,IF(B157="Лікар-педіатр",L167*Законод!$C$9/4*Законод!$I$16,IF(B157="Лікар-терапевт",L167*Законод!$C$9/4*Законод!$I$16,0)))</f>
        <v>0</v>
      </c>
      <c r="AO167" s="210">
        <f ca="1">IF(B157="Лікар загальної практики - сімейний лікар",S167*Законод!$C$9/4*Законод!$I$16,IF(B157="Лікар-педіатр",S167*Законод!$C$9/4*Законод!$I$16,IF(B157="Лікар-терапевт",S167*Законод!$C$9/4*Законод!$I$16,0)))</f>
        <v>0</v>
      </c>
      <c r="AP167" s="210">
        <f ca="1">IF(B157="Лікар загальної практики - сімейний лікар",Z167*Законод!$C$9/4*Законод!$I$16,IF(B157="Лікар-педіатр",Z167*Законод!$C$9/4*Законод!$I$16,IF(B157="Лікар-терапевт",Z167*Законод!$C$9/4*Законод!$I$16,0)))</f>
        <v>0</v>
      </c>
      <c r="AQ167" s="210">
        <f ca="1">IF(B157="Лікар загальної практики - сімейний лікар",AG167*Законод!$C$9/4*Законод!$I$16,IF(B157="Лікар-педіатр",AG167*Законод!$C$9/4*Законод!$I$16,IF(B157="Лікар-терапевт",AG167*Законод!$C$9/4*Законод!$I$16,0)))</f>
        <v>0</v>
      </c>
      <c r="AR167" s="211">
        <f t="shared" si="11"/>
        <v>0</v>
      </c>
    </row>
    <row r="168" spans="1:44" s="218" customFormat="1" ht="31.9" customHeight="1" thickBot="1">
      <c r="A168" s="213"/>
      <c r="B168" s="941"/>
      <c r="C168" s="942"/>
      <c r="D168" s="943"/>
      <c r="E168" s="943"/>
      <c r="F168" s="239" t="str">
        <f ca="1">IF(B157="Лікар-педіатр",Законод!$J$17,IF(B157="Лікар загальної практики - сімейний лікар",Законод!$J$21,IF(B157="Лікар-терапевт",Законод!$J$25,"х")))</f>
        <v>понад ліміт (&gt;=2701)</v>
      </c>
      <c r="G168" s="939" t="s">
        <v>346</v>
      </c>
      <c r="H168" s="939"/>
      <c r="I168" s="939"/>
      <c r="J168" s="939"/>
      <c r="K168" s="939"/>
      <c r="L168" s="196">
        <f ca="1">IF($B$157="Лікар загальної практики - сімейний лікар",IF(L161&gt;=Законод!$J$22,'01_Доходи'!L161-('01_Доходи'!L162+'01_Доходи'!L163+'01_Доходи'!L164+'01_Доходи'!L165+'01_Доходи'!L166+'01_Доходи'!L167),0),IF($B$157="Лікар-педіатр",IF(L161&gt;=Законод!$J$18,'01_Доходи'!L161-('01_Доходи'!L162+'01_Доходи'!L163+'01_Доходи'!L164+'01_Доходи'!L165+'01_Доходи'!L166+'01_Доходи'!L167),0),IF($B$157="Лікар-терапевт",IF('01_Доходи'!L161&gt;=Законод!$J$26,L161-Законод!$I$27,0),0)))</f>
        <v>0</v>
      </c>
      <c r="M168" s="945"/>
      <c r="N168" s="939" t="s">
        <v>346</v>
      </c>
      <c r="O168" s="939"/>
      <c r="P168" s="939"/>
      <c r="Q168" s="939"/>
      <c r="R168" s="939"/>
      <c r="S168" s="196">
        <f ca="1">IF($B$157="Лікар загальної практики - сімейний лікар",IF(S161&gt;=Законод!$J$22,'01_Доходи'!S161-('01_Доходи'!S162+'01_Доходи'!S163+'01_Доходи'!S164+'01_Доходи'!S165+'01_Доходи'!S166+'01_Доходи'!S167),0),IF($B$157="Лікар-педіатр",IF(S161&gt;=Законод!$J$18,'01_Доходи'!S161-('01_Доходи'!S162+'01_Доходи'!S163+'01_Доходи'!S164+'01_Доходи'!S165+'01_Доходи'!S166+'01_Доходи'!S167),0),IF($B$157="Лікар-терапевт",IF('01_Доходи'!S161&gt;=Законод!$J$26,S161-Законод!$I$27,0),0)))</f>
        <v>0</v>
      </c>
      <c r="T168" s="945"/>
      <c r="U168" s="939" t="s">
        <v>346</v>
      </c>
      <c r="V168" s="939"/>
      <c r="W168" s="939"/>
      <c r="X168" s="939"/>
      <c r="Y168" s="939"/>
      <c r="Z168" s="196">
        <f ca="1">IF($B$157="Лікар загальної практики - сімейний лікар",IF(Z161&gt;=Законод!$J$22,'01_Доходи'!Z161-('01_Доходи'!Z162+'01_Доходи'!Z163+'01_Доходи'!Z164+'01_Доходи'!Z165+'01_Доходи'!Z166+'01_Доходи'!Z167),0),IF($B$157="Лікар-педіатр",IF(Z161&gt;=Законод!$J$18,'01_Доходи'!Z161-('01_Доходи'!Z162+'01_Доходи'!Z163+'01_Доходи'!Z164+'01_Доходи'!Z165+'01_Доходи'!Z166+'01_Доходи'!Z167),0),IF($B$157="Лікар-терапевт",IF('01_Доходи'!Z161&gt;=Законод!$J$26,Z161-Законод!$I$27,0),0)))</f>
        <v>0</v>
      </c>
      <c r="AA168" s="945"/>
      <c r="AB168" s="939" t="s">
        <v>346</v>
      </c>
      <c r="AC168" s="939"/>
      <c r="AD168" s="939"/>
      <c r="AE168" s="939"/>
      <c r="AF168" s="939"/>
      <c r="AG168" s="196">
        <f ca="1">IF($B$157="Лікар загальної практики - сімейний лікар",IF(AG161&gt;=Законод!$J$22,'01_Доходи'!AG161-('01_Доходи'!AG162+'01_Доходи'!AG163+'01_Доходи'!AG164+'01_Доходи'!AG165+'01_Доходи'!AG166+'01_Доходи'!AG167),0),IF($B$157="Лікар-педіатр",IF(AG161&gt;=Законод!$J$18,'01_Доходи'!AG161-('01_Доходи'!AG162+'01_Доходи'!AG163+'01_Доходи'!AG164+'01_Доходи'!AG165+'01_Доходи'!AG166+'01_Доходи'!AG167),0),IF($B$157="Лікар-терапевт",IF('01_Доходи'!AG161&gt;=Законод!$J$26,AG161-Законод!$I$27,0),0)))</f>
        <v>0</v>
      </c>
      <c r="AH168" s="945"/>
      <c r="AI168" s="215"/>
      <c r="AJ168" s="934"/>
      <c r="AK168" s="928"/>
      <c r="AL168" s="928"/>
      <c r="AM168" s="900"/>
      <c r="AN168" s="216">
        <f ca="1">IF(B157="Лікар загальної практики - сімейний лікар",L168*Законод!$C$9/4*Законод!$J$16,IF(B157="Лікар-педіатр",L168*Законод!$C$9/4*Законод!$J$16,IF(B157="Лікар-терапевт",L168*Законод!$C$9/4*Законод!$J$16,0)))</f>
        <v>0</v>
      </c>
      <c r="AO168" s="216">
        <f ca="1">IF(B157="Лікар загальної практики - сімейний лікар",S168*Законод!$C$9/4*Законод!$J$16,IF(B157="Лікар-педіатр",S168*Законод!$C$9/4*Законод!$J$16,IF(B157="Лікар-терапевт",S168*Законод!$C$9/4*Законод!$J$16,0)))</f>
        <v>0</v>
      </c>
      <c r="AP168" s="216">
        <f ca="1">IF(B157="Лікар загальної практики - сімейний лікар",S168*Законод!$C$9/4*Законод!$J$16,IF(B157="Лікар-педіатр",S168*Законод!$C$9/4*Законод!$J$16,IF(B157="Лікар-терапевт",S168*Законод!$C$9/4*Законод!$J$16,0)))</f>
        <v>0</v>
      </c>
      <c r="AQ168" s="216">
        <f ca="1">IF(B157="Лікар загальної практики - сімейний лікар",AG168*Законод!$C$9/4*Законод!$J$16,IF(B157="Лікар-педіатр",AG168*Законод!$C$9/4*Законод!$J$16,IF(B157="Лікар-терапевт",AG168*Законод!$C$9/4*Законод!$J$16,0)))</f>
        <v>0</v>
      </c>
      <c r="AR168" s="217">
        <f t="shared" si="11"/>
        <v>0</v>
      </c>
    </row>
    <row r="169" spans="1:44" s="247" customFormat="1" ht="19.899999999999999" customHeight="1" thickBot="1">
      <c r="A169" s="243"/>
      <c r="B169" s="244"/>
      <c r="C169" s="244"/>
      <c r="D169" s="244"/>
      <c r="E169" s="244"/>
      <c r="F169" s="245"/>
      <c r="G169" s="246"/>
      <c r="H169" s="246"/>
      <c r="L169" s="248"/>
      <c r="S169" s="248"/>
      <c r="Z169" s="248"/>
      <c r="AG169" s="248"/>
      <c r="AM169" s="249"/>
      <c r="AR169" s="250"/>
    </row>
    <row r="170" spans="1:44" s="191" customFormat="1" ht="30" customHeight="1">
      <c r="A170" s="194">
        <f>A157+1</f>
        <v>11</v>
      </c>
      <c r="B170" s="941" t="s">
        <v>235</v>
      </c>
      <c r="C170" s="942" t="s">
        <v>78</v>
      </c>
      <c r="D170" s="943"/>
      <c r="E170" s="943" t="str">
        <f>E157</f>
        <v>Доросинівська АЗПСМ</v>
      </c>
      <c r="F170" s="234" t="s">
        <v>582</v>
      </c>
      <c r="G170" s="196">
        <v>53</v>
      </c>
      <c r="H170" s="196">
        <v>227</v>
      </c>
      <c r="I170" s="196">
        <v>295</v>
      </c>
      <c r="J170" s="196">
        <v>371</v>
      </c>
      <c r="K170" s="196">
        <v>210</v>
      </c>
      <c r="L170" s="558">
        <f t="shared" ref="L170:L175" si="12">SUM(G170:K170)</f>
        <v>1156</v>
      </c>
      <c r="M170" s="945">
        <v>1</v>
      </c>
      <c r="N170" s="196">
        <v>53</v>
      </c>
      <c r="O170" s="196">
        <v>227</v>
      </c>
      <c r="P170" s="196">
        <v>295</v>
      </c>
      <c r="Q170" s="196">
        <v>371</v>
      </c>
      <c r="R170" s="196">
        <v>210</v>
      </c>
      <c r="S170" s="558">
        <v>1190</v>
      </c>
      <c r="T170" s="945">
        <v>1</v>
      </c>
      <c r="U170" s="196">
        <v>53</v>
      </c>
      <c r="V170" s="196">
        <v>227</v>
      </c>
      <c r="W170" s="196">
        <v>295</v>
      </c>
      <c r="X170" s="196">
        <v>371</v>
      </c>
      <c r="Y170" s="196">
        <v>210</v>
      </c>
      <c r="Z170" s="558">
        <v>1190</v>
      </c>
      <c r="AA170" s="945">
        <v>1</v>
      </c>
      <c r="AB170" s="196">
        <v>53</v>
      </c>
      <c r="AC170" s="196">
        <v>227</v>
      </c>
      <c r="AD170" s="196">
        <v>295</v>
      </c>
      <c r="AE170" s="196">
        <v>371</v>
      </c>
      <c r="AF170" s="196">
        <v>210</v>
      </c>
      <c r="AG170" s="558">
        <v>1190</v>
      </c>
      <c r="AH170" s="945">
        <v>1</v>
      </c>
      <c r="AI170" s="541">
        <f>A170</f>
        <v>11</v>
      </c>
      <c r="AJ170" s="932" t="str">
        <f>B170</f>
        <v>Лікар загальної практики - сімейний лікар</v>
      </c>
      <c r="AK170" s="926" t="str">
        <f>C170</f>
        <v>Критюк Світлана Валентинівна</v>
      </c>
      <c r="AL170" s="926">
        <f>D170</f>
        <v>0</v>
      </c>
      <c r="AM170" s="901" t="s">
        <v>785</v>
      </c>
      <c r="AN170" s="923">
        <f>SUM(AN175:AN181)</f>
        <v>226764.842225</v>
      </c>
      <c r="AO170" s="923">
        <f>SUM(AO175:AO181)</f>
        <v>226764.842225</v>
      </c>
      <c r="AP170" s="923">
        <f>SUM(AP175:AP181)</f>
        <v>226764.842225</v>
      </c>
      <c r="AQ170" s="923">
        <f>SUM(AQ175:AQ181)</f>
        <v>226764.842225</v>
      </c>
      <c r="AR170" s="914">
        <f>SUM(AN170:AQ174)</f>
        <v>907059.3689</v>
      </c>
    </row>
    <row r="171" spans="1:44" s="50" customFormat="1" ht="28.15" customHeight="1">
      <c r="A171" s="197"/>
      <c r="B171" s="941"/>
      <c r="C171" s="942"/>
      <c r="D171" s="943"/>
      <c r="E171" s="943"/>
      <c r="F171" s="234" t="s">
        <v>583</v>
      </c>
      <c r="G171" s="196">
        <v>53</v>
      </c>
      <c r="H171" s="196">
        <v>227</v>
      </c>
      <c r="I171" s="196">
        <v>295</v>
      </c>
      <c r="J171" s="196">
        <v>371</v>
      </c>
      <c r="K171" s="196">
        <v>210</v>
      </c>
      <c r="L171" s="558">
        <f t="shared" si="12"/>
        <v>1156</v>
      </c>
      <c r="M171" s="945"/>
      <c r="N171" s="196">
        <v>53</v>
      </c>
      <c r="O171" s="196">
        <v>227</v>
      </c>
      <c r="P171" s="196">
        <v>295</v>
      </c>
      <c r="Q171" s="196">
        <v>371</v>
      </c>
      <c r="R171" s="196">
        <v>210</v>
      </c>
      <c r="S171" s="558">
        <v>1190</v>
      </c>
      <c r="T171" s="945"/>
      <c r="U171" s="196">
        <v>53</v>
      </c>
      <c r="V171" s="196">
        <v>227</v>
      </c>
      <c r="W171" s="196">
        <v>295</v>
      </c>
      <c r="X171" s="196">
        <v>371</v>
      </c>
      <c r="Y171" s="196">
        <v>210</v>
      </c>
      <c r="Z171" s="558">
        <v>1190</v>
      </c>
      <c r="AA171" s="945"/>
      <c r="AB171" s="196">
        <v>53</v>
      </c>
      <c r="AC171" s="196">
        <v>227</v>
      </c>
      <c r="AD171" s="196">
        <v>295</v>
      </c>
      <c r="AE171" s="196">
        <v>371</v>
      </c>
      <c r="AF171" s="196">
        <v>210</v>
      </c>
      <c r="AG171" s="558">
        <v>1190</v>
      </c>
      <c r="AH171" s="945"/>
      <c r="AI171" s="198"/>
      <c r="AJ171" s="933"/>
      <c r="AK171" s="927"/>
      <c r="AL171" s="927"/>
      <c r="AM171" s="902"/>
      <c r="AN171" s="924"/>
      <c r="AO171" s="924"/>
      <c r="AP171" s="924"/>
      <c r="AQ171" s="924"/>
      <c r="AR171" s="915"/>
    </row>
    <row r="172" spans="1:44" s="90" customFormat="1" ht="31.15" customHeight="1">
      <c r="A172" s="240"/>
      <c r="B172" s="941"/>
      <c r="C172" s="942"/>
      <c r="D172" s="943"/>
      <c r="E172" s="943"/>
      <c r="F172" s="241" t="s">
        <v>584</v>
      </c>
      <c r="G172" s="196">
        <v>53</v>
      </c>
      <c r="H172" s="196">
        <v>227</v>
      </c>
      <c r="I172" s="196">
        <v>295</v>
      </c>
      <c r="J172" s="196">
        <v>371</v>
      </c>
      <c r="K172" s="196">
        <v>210</v>
      </c>
      <c r="L172" s="200">
        <f t="shared" si="12"/>
        <v>1156</v>
      </c>
      <c r="M172" s="945"/>
      <c r="N172" s="196">
        <v>53</v>
      </c>
      <c r="O172" s="196">
        <v>227</v>
      </c>
      <c r="P172" s="196">
        <v>295</v>
      </c>
      <c r="Q172" s="196">
        <v>371</v>
      </c>
      <c r="R172" s="196">
        <v>210</v>
      </c>
      <c r="S172" s="200">
        <f>SUM(N172:R172)</f>
        <v>1156</v>
      </c>
      <c r="T172" s="945"/>
      <c r="U172" s="196">
        <v>53</v>
      </c>
      <c r="V172" s="196">
        <v>227</v>
      </c>
      <c r="W172" s="196">
        <v>295</v>
      </c>
      <c r="X172" s="196">
        <v>371</v>
      </c>
      <c r="Y172" s="196">
        <v>210</v>
      </c>
      <c r="Z172" s="200">
        <f>SUM(U172:Y172)</f>
        <v>1156</v>
      </c>
      <c r="AA172" s="945"/>
      <c r="AB172" s="196">
        <v>53</v>
      </c>
      <c r="AC172" s="196">
        <v>227</v>
      </c>
      <c r="AD172" s="196">
        <v>295</v>
      </c>
      <c r="AE172" s="196">
        <v>371</v>
      </c>
      <c r="AF172" s="196">
        <v>210</v>
      </c>
      <c r="AG172" s="200">
        <f>SUM(AB172:AF172)</f>
        <v>1156</v>
      </c>
      <c r="AH172" s="945"/>
      <c r="AI172" s="242"/>
      <c r="AJ172" s="933"/>
      <c r="AK172" s="927"/>
      <c r="AL172" s="927"/>
      <c r="AM172" s="902"/>
      <c r="AN172" s="924"/>
      <c r="AO172" s="924"/>
      <c r="AP172" s="924"/>
      <c r="AQ172" s="924"/>
      <c r="AR172" s="915"/>
    </row>
    <row r="173" spans="1:44" s="50" customFormat="1" ht="31.9" customHeight="1" thickBot="1">
      <c r="A173" s="197"/>
      <c r="B173" s="941"/>
      <c r="C173" s="942"/>
      <c r="D173" s="943"/>
      <c r="E173" s="943"/>
      <c r="F173" s="236" t="s">
        <v>349</v>
      </c>
      <c r="G173" s="203">
        <f>IF($B$170="Лікар-педіатр",G172/L172,IF($B$170="Лікар-терапевт","х",IF($B$170="Лікар загальної практики - сімейний лікар",G172/L172,0)))</f>
        <v>4.5847750865051905E-2</v>
      </c>
      <c r="H173" s="203">
        <f>IF($B$170="Лікар-педіатр",H172/L172,IF($B$170="Лікар-терапевт","х",IF($B$170="Лікар загальної практики - сімейний лікар",H172/L172,0)))</f>
        <v>0.19636678200692043</v>
      </c>
      <c r="I173" s="203">
        <f>IF($B$170="Лікар-педіатр","x",IF($B$170="Лікар-терапевт",I172/L172,IF($B$170="Лікар загальної практики - сімейний лікар",I172/L172,0)))</f>
        <v>0.25519031141868515</v>
      </c>
      <c r="J173" s="203">
        <f>IF($B$170="Лікар-педіатр","x",IF($B$170="Лікар-терапевт",J172/L172,IF($B$170="Лікар загальної практики - сімейний лікар",J172/L172,0)))</f>
        <v>0.3209342560553633</v>
      </c>
      <c r="K173" s="203">
        <f>IF($B$170="Лікар-педіатр","x",IF($B$170="Лікар-терапевт",K172/L172,IF($B$170="Лікар загальної практики - сімейний лікар",K172/L172,0)))</f>
        <v>0.18166089965397925</v>
      </c>
      <c r="L173" s="203">
        <f t="shared" si="12"/>
        <v>1</v>
      </c>
      <c r="M173" s="945"/>
      <c r="N173" s="203">
        <f>IF($B$170="Лікар-педіатр",N172/S172,IF($B$170="Лікар-терапевт","х",IF($B$170="Лікар загальної практики - сімейний лікар",N172/S172,0)))</f>
        <v>4.5847750865051905E-2</v>
      </c>
      <c r="O173" s="203">
        <f>IF($B$170="Лікар-педіатр",O172/S172,IF($B$170="Лікар-терапевт","х",IF($B$170="Лікар загальної практики - сімейний лікар",O172/S172,0)))</f>
        <v>0.19636678200692043</v>
      </c>
      <c r="P173" s="203">
        <f>IF($B$170="Лікар-педіатр","x",IF($B$170="Лікар-терапевт",P172/S172,IF($B$170="Лікар загальної практики - сімейний лікар",P172/S172,0)))</f>
        <v>0.25519031141868515</v>
      </c>
      <c r="Q173" s="203">
        <f>IF($B$170="Лікар-педіатр","x",IF($B$170="Лікар-терапевт",Q172/S172,IF($B$170="Лікар загальної практики - сімейний лікар",Q172/S172,0)))</f>
        <v>0.3209342560553633</v>
      </c>
      <c r="R173" s="203">
        <f>IF($B$170="Лікар-педіатр","x",IF($B$170="Лікар-терапевт",R172/S172,IF($B$170="Лікар загальної практики - сімейний лікар",R172/S172,0)))</f>
        <v>0.18166089965397925</v>
      </c>
      <c r="S173" s="203">
        <f>SUM(N173:R173)</f>
        <v>1</v>
      </c>
      <c r="T173" s="945"/>
      <c r="U173" s="203">
        <f>IF($B$170="Лікар-педіатр",U172/Z172,IF($B$170="Лікар-терапевт","х",IF($B$170="Лікар загальної практики - сімейний лікар",U172/Z172,0)))</f>
        <v>4.5847750865051905E-2</v>
      </c>
      <c r="V173" s="203">
        <f>IF($B$170="Лікар-педіатр",V172/Z172,IF($B$170="Лікар-терапевт","х",IF($B$170="Лікар загальної практики - сімейний лікар",V172/Z172,0)))</f>
        <v>0.19636678200692043</v>
      </c>
      <c r="W173" s="203">
        <f>IF($B$170="Лікар-педіатр","x",IF($B$170="Лікар-терапевт",W172/Z172,IF($B$170="Лікар загальної практики - сімейний лікар",W172/Z172,0)))</f>
        <v>0.25519031141868515</v>
      </c>
      <c r="X173" s="203">
        <f>IF($B$170="Лікар-педіатр","x",IF($B$170="Лікар-терапевт",X172/Z172,IF($B$170="Лікар загальної практики - сімейний лікар",X172/Z172,0)))</f>
        <v>0.3209342560553633</v>
      </c>
      <c r="Y173" s="203">
        <f>IF($B$170="Лікар-педіатр","x",IF($B$170="Лікар-терапевт",Y172/Z172,IF($B$170="Лікар загальної практики - сімейний лікар",Y172/Z172,0)))</f>
        <v>0.18166089965397925</v>
      </c>
      <c r="Z173" s="203">
        <f>SUM(U173:Y173)</f>
        <v>1</v>
      </c>
      <c r="AA173" s="945"/>
      <c r="AB173" s="203">
        <f>IF($B$170="Лікар-педіатр",AB172/AG172,IF($B$170="Лікар-терапевт","х",IF($B$170="Лікар загальної практики - сімейний лікар",AB172/AG172,0)))</f>
        <v>4.5847750865051905E-2</v>
      </c>
      <c r="AC173" s="203">
        <f>IF($B$170="Лікар-педіатр",AC172/AG172,IF($B$170="Лікар-терапевт","х",IF($B$170="Лікар загальної практики - сімейний лікар",AC172/AG172,0)))</f>
        <v>0.19636678200692043</v>
      </c>
      <c r="AD173" s="203">
        <f>IF($B$170="Лікар-педіатр","x",IF($B$170="Лікар-терапевт",AD172/AG172,IF($B$170="Лікар загальної практики - сімейний лікар",AD172/AG172,0)))</f>
        <v>0.25519031141868515</v>
      </c>
      <c r="AE173" s="203">
        <f>IF($B$170="Лікар-педіатр","x",IF($B$170="Лікар-терапевт",AE172/AG172,IF($B$170="Лікар загальної практики - сімейний лікар",AE172/AG172,0)))</f>
        <v>0.3209342560553633</v>
      </c>
      <c r="AF173" s="203">
        <f>IF($B$170="Лікар-педіатр","x",IF($B$170="Лікар-терапевт",AF172/AG172,IF($B$170="Лікар загальної практики - сімейний лікар",AF172/AG172,0)))</f>
        <v>0.18166089965397925</v>
      </c>
      <c r="AG173" s="203">
        <f>SUM(AB173:AF173)</f>
        <v>1</v>
      </c>
      <c r="AH173" s="945"/>
      <c r="AI173" s="201"/>
      <c r="AJ173" s="933"/>
      <c r="AK173" s="927"/>
      <c r="AL173" s="927"/>
      <c r="AM173" s="902"/>
      <c r="AN173" s="924"/>
      <c r="AO173" s="924"/>
      <c r="AP173" s="924"/>
      <c r="AQ173" s="924"/>
      <c r="AR173" s="915"/>
    </row>
    <row r="174" spans="1:44" s="50" customFormat="1" ht="45" customHeight="1" thickBot="1">
      <c r="A174" s="197"/>
      <c r="B174" s="941"/>
      <c r="C174" s="942"/>
      <c r="D174" s="943"/>
      <c r="E174" s="944"/>
      <c r="F174" s="204" t="s">
        <v>585</v>
      </c>
      <c r="G174" s="205">
        <f>IF($B$170="Лікар загальної практики - сімейний лікар",AVERAGE(G170:G172),IF($B$170="Лікар-педіатр",AVERAGE(G170:G172),IF($B$170="Лікар-терапевт","х",0)))</f>
        <v>53</v>
      </c>
      <c r="H174" s="205">
        <f>IF($B$170="Лікар загальної практики - сімейний лікар",AVERAGE(H170:H172),IF($B$170="Лікар-педіатр",AVERAGE(H170:H172),IF($B$170="Лікар-терапевт","х",0)))</f>
        <v>227</v>
      </c>
      <c r="I174" s="205">
        <f>IF($B$170="Лікар загальної практики - сімейний лікар",AVERAGE(I170:I172),IF($B$170="Лікар-педіатр","x",IF($B$170="Лікар-терапевт",AVERAGE(I170:I172),0)))</f>
        <v>295</v>
      </c>
      <c r="J174" s="205">
        <f>IF($B$170="Лікар загальної практики - сімейний лікар",AVERAGE(J170:J172),IF($B$170="Лікар-педіатр","x",IF($B$170="Лікар-терапевт",AVERAGE(J170:J172),0)))</f>
        <v>371</v>
      </c>
      <c r="K174" s="205">
        <f>IF($B$170="Лікар загальної практики - сімейний лікар",AVERAGE(K170:K172),IF($B$170="Лікар-педіатр","x",IF($B$170="Лікар-терапевт",AVERAGE(K170:K172),0)))</f>
        <v>210</v>
      </c>
      <c r="L174" s="206">
        <f t="shared" si="12"/>
        <v>1156</v>
      </c>
      <c r="M174" s="946"/>
      <c r="N174" s="205">
        <f>IF($B$170="Лікар загальної практики - сімейний лікар",AVERAGE(N170:N172),IF($B$170="Лікар-педіатр",AVERAGE(N170:N172),IF($B$170="Лікар-терапевт","х",0)))</f>
        <v>53</v>
      </c>
      <c r="O174" s="205">
        <f>IF($B$170="Лікар загальної практики - сімейний лікар",AVERAGE(O170:O172),IF($B$170="Лікар-педіатр",AVERAGE(O170:O172),IF($B$170="Лікар-терапевт","х",0)))</f>
        <v>227</v>
      </c>
      <c r="P174" s="205">
        <f>IF($B$170="Лікар загальної практики - сімейний лікар",AVERAGE(P170:P172),IF($B$170="Лікар-педіатр","x",IF($B$170="Лікар-терапевт",AVERAGE(P170:P172),0)))</f>
        <v>295</v>
      </c>
      <c r="Q174" s="205">
        <f>IF($B$170="Лікар загальної практики - сімейний лікар",AVERAGE(Q170:Q172),IF($B$170="Лікар-педіатр","x",IF($B$170="Лікар-терапевт",AVERAGE(Q170:Q172),0)))</f>
        <v>371</v>
      </c>
      <c r="R174" s="205">
        <f>IF($B$170="Лікар загальної практики - сімейний лікар",AVERAGE(R170:R172),IF($B$170="Лікар-педіатр","x",IF($B$170="Лікар-терапевт",AVERAGE(R170:R172),0)))</f>
        <v>210</v>
      </c>
      <c r="S174" s="206">
        <f>SUM(N174:R174)</f>
        <v>1156</v>
      </c>
      <c r="T174" s="946"/>
      <c r="U174" s="205">
        <f>IF($B$170="Лікар загальної практики - сімейний лікар",AVERAGE(U170:U172),IF($B$170="Лікар-педіатр",AVERAGE(U170:U172),IF($B$170="Лікар-терапевт","х",0)))</f>
        <v>53</v>
      </c>
      <c r="V174" s="205">
        <f>IF($B$170="Лікар загальної практики - сімейний лікар",AVERAGE(V170:V172),IF($B$170="Лікар-педіатр",AVERAGE(V170:V172),IF($B$170="Лікар-терапевт","х",0)))</f>
        <v>227</v>
      </c>
      <c r="W174" s="205">
        <f>IF($B$170="Лікар загальної практики - сімейний лікар",AVERAGE(W170:W172),IF($B$170="Лікар-педіатр","x",IF($B$170="Лікар-терапевт",AVERAGE(W170:W172),0)))</f>
        <v>295</v>
      </c>
      <c r="X174" s="205">
        <f>IF($B$170="Лікар загальної практики - сімейний лікар",AVERAGE(X170:X172),IF($B$170="Лікар-педіатр","x",IF($B$170="Лікар-терапевт",AVERAGE(X170:X172),0)))</f>
        <v>371</v>
      </c>
      <c r="Y174" s="205">
        <f>IF($B$170="Лікар загальної практики - сімейний лікар",AVERAGE(Y170:Y172),IF($B$170="Лікар-педіатр","x",IF($B$170="Лікар-терапевт",AVERAGE(Y170:Y172),0)))</f>
        <v>210</v>
      </c>
      <c r="Z174" s="206">
        <f>SUM(U174:Y174)</f>
        <v>1156</v>
      </c>
      <c r="AA174" s="946"/>
      <c r="AB174" s="205">
        <f>IF($B$170="Лікар загальної практики - сімейний лікар",AVERAGE(AB170:AB172),IF($B$170="Лікар-педіатр",AVERAGE(AB170:AB172),IF($B$170="Лікар-терапевт","х",0)))</f>
        <v>53</v>
      </c>
      <c r="AC174" s="205">
        <f>IF($B$170="Лікар загальної практики - сімейний лікар",AVERAGE(AC170:AC172),IF($B$170="Лікар-педіатр",AVERAGE(AC170:AC172),IF($B$170="Лікар-терапевт","х",0)))</f>
        <v>227</v>
      </c>
      <c r="AD174" s="205">
        <f>IF($B$170="Лікар загальної практики - сімейний лікар",AVERAGE(AD170:AD172),IF($B$170="Лікар-педіатр","x",IF($B$170="Лікар-терапевт",AVERAGE(AD170:AD172),0)))</f>
        <v>295</v>
      </c>
      <c r="AE174" s="205">
        <f>IF($B$170="Лікар загальної практики - сімейний лікар",AVERAGE(AE170:AE172),IF($B$170="Лікар-педіатр","x",IF($B$170="Лікар-терапевт",AVERAGE(AE170:AE172),0)))</f>
        <v>371</v>
      </c>
      <c r="AF174" s="205">
        <f>IF($B$170="Лікар загальної практики - сімейний лікар",AVERAGE(AF170:AF172),IF($B$170="Лікар-педіатр","x",IF($B$170="Лікар-терапевт",AVERAGE(AF170:AF172),0)))</f>
        <v>210</v>
      </c>
      <c r="AG174" s="206">
        <f>SUM(AB174:AF174)</f>
        <v>1156</v>
      </c>
      <c r="AH174" s="947"/>
      <c r="AI174" s="201"/>
      <c r="AJ174" s="933"/>
      <c r="AK174" s="927"/>
      <c r="AL174" s="927"/>
      <c r="AM174" s="903"/>
      <c r="AN174" s="925"/>
      <c r="AO174" s="925"/>
      <c r="AP174" s="925"/>
      <c r="AQ174" s="925"/>
      <c r="AR174" s="916"/>
    </row>
    <row r="175" spans="1:44" s="50" customFormat="1" ht="40.5">
      <c r="A175" s="197"/>
      <c r="B175" s="941"/>
      <c r="C175" s="942"/>
      <c r="D175" s="943"/>
      <c r="E175" s="943"/>
      <c r="F175" s="237" t="str">
        <f ca="1">IF(B170="Лікар-педіатр",Законод!$C$17,IF(B170="Лікар загальної практики - сімейний лікар",Законод!$C$21,IF(B170="Лікар-терапевт",Законод!$C$25,"х")))</f>
        <v>ліміт (до 1800)</v>
      </c>
      <c r="G175" s="208">
        <f ca="1">IF($B$170="Лікар загальної практики - сімейний лікар",IF(L174&lt;=Законод!$C$22,G174,Законод!$C$22*'01_Доходи'!G173),IF($B$170="Лікар-педіатр",IF(L174&lt;=Законод!$C$18,G174,Законод!$C$18*'01_Доходи'!G173),IF($B$170="Лікар-терапевт","x",0)))</f>
        <v>53</v>
      </c>
      <c r="H175" s="208">
        <f ca="1">IF($B$170="Лікар загальної практики - сімейний лікар",IF(L174&lt;=Законод!$C$22,H174,Законод!$C$22*'01_Доходи'!H173),IF($B$170="Лікар-педіатр",IF(L174&lt;=Законод!$C$18,H174,Законод!$C$18*'01_Доходи'!H173),IF($B$170="Лікар-терапевт","x",0)))</f>
        <v>227</v>
      </c>
      <c r="I175" s="208">
        <f ca="1">IF($B$170="Лікар загальної практики - сімейний лікар",IF(L174&lt;=Законод!$C$22,I174,Законод!$C$22*'01_Доходи'!I173),IF($B$170="Лікар-педіатр","x",IF($B$170="Лікар-терапевт",IF(L174&lt;=Законод!$C$26,I174,Законод!$C$26*'01_Доходи'!I173),0)))</f>
        <v>295</v>
      </c>
      <c r="J175" s="208">
        <f ca="1">IF($B$170="Лікар загальної практики - сімейний лікар",IF(L174&lt;=Законод!$C$22,J174,Законод!$C$22*'01_Доходи'!J173),IF($B$170="Лікар-педіатр","x",IF($B$170="Лікар-терапевт",IF(L174&lt;=Законод!$C$26,J174,Законод!$C$26*'01_Доходи'!J173),0)))</f>
        <v>371</v>
      </c>
      <c r="K175" s="208">
        <f ca="1">IF($B$170="Лікар загальної практики - сімейний лікар",IF(L174&lt;=Законод!$C$22,K174,Законод!$C$22*'01_Доходи'!K173),IF($B$170="Лікар-педіатр","x",IF($B$170="Лікар-терапевт",IF(L174&lt;=Законод!$C$26,K174,Законод!$C$26*'01_Доходи'!K173),0)))</f>
        <v>210</v>
      </c>
      <c r="L175" s="209">
        <f t="shared" si="12"/>
        <v>1156</v>
      </c>
      <c r="M175" s="945"/>
      <c r="N175" s="208">
        <f ca="1">IF($B$170="Лікар загальної практики - сімейний лікар",IF(S174&lt;=Законод!$C$22,N174,Законод!$C$22*'01_Доходи'!N173),IF($B$170="Лікар-педіатр",IF(S174&lt;=Законод!$C$18,N174,Законод!$C$18*'01_Доходи'!N173),IF($B$170="Лікар-терапевт","x",0)))</f>
        <v>53</v>
      </c>
      <c r="O175" s="208">
        <f ca="1">IF($B$170="Лікар загальної практики - сімейний лікар",IF(S174&lt;=Законод!$C$22,O174,Законод!$C$22*'01_Доходи'!O173),IF($B$170="Лікар-педіатр",IF(S174&lt;=Законод!$C$18,O174,Законод!$C$18*'01_Доходи'!O173),IF($B$170="Лікар-терапевт","x",0)))</f>
        <v>227</v>
      </c>
      <c r="P175" s="208">
        <f ca="1">IF($B$170="Лікар загальної практики - сімейний лікар",IF(S174&lt;=Законод!$C$22,P174,Законод!$C$22*'01_Доходи'!P173),IF($B$170="Лікар-педіатр","x",IF($B$170="Лікар-терапевт",IF(S174&lt;=Законод!$C$26,P174,Законод!$C$26*'01_Доходи'!P173),0)))</f>
        <v>295</v>
      </c>
      <c r="Q175" s="208">
        <f ca="1">IF($B$170="Лікар загальної практики - сімейний лікар",IF(S174&lt;=Законод!$C$22,Q174,Законод!$C$22*'01_Доходи'!Q173),IF($B$170="Лікар-педіатр","x",IF($B$170="Лікар-терапевт",IF(S174&lt;=Законод!$C$26,Q174,Законод!$C$26*'01_Доходи'!Q173),0)))</f>
        <v>371</v>
      </c>
      <c r="R175" s="208">
        <f ca="1">IF($B$170="Лікар загальної практики - сімейний лікар",IF(S174&lt;=Законод!$C$22,R174,Законод!$C$22*'01_Доходи'!R173),IF($B$170="Лікар-педіатр","x",IF($B$170="Лікар-терапевт",IF(S174&lt;=Законод!$C$26,R174,Законод!$C$26*'01_Доходи'!R173),0)))</f>
        <v>210</v>
      </c>
      <c r="S175" s="209">
        <f ca="1">SUM(N175:R175)</f>
        <v>1156</v>
      </c>
      <c r="T175" s="945"/>
      <c r="U175" s="208">
        <f ca="1">IF($B$170="Лікар загальної практики - сімейний лікар",IF(Z174&lt;=Законод!$C$22,U174,Законод!$C$22*'01_Доходи'!U173),IF($B$170="Лікар-педіатр",IF(Z174&lt;=Законод!$C$18,U174,Законод!$C$18*'01_Доходи'!U173),IF($B$170="Лікар-терапевт","x",0)))</f>
        <v>53</v>
      </c>
      <c r="V175" s="208">
        <f ca="1">IF($B$170="Лікар загальної практики - сімейний лікар",IF(Z174&lt;=Законод!$C$22,V174,Законод!$C$22*'01_Доходи'!V173),IF($B$170="Лікар-педіатр",IF(Z174&lt;=Законод!$C$18,V174,Законод!$C$18*'01_Доходи'!V173),IF($B$170="Лікар-терапевт","x",0)))</f>
        <v>227</v>
      </c>
      <c r="W175" s="208">
        <f ca="1">IF($B$170="Лікар загальної практики - сімейний лікар",IF(Z174&lt;=Законод!$C$22,W174,Законод!$C$22*'01_Доходи'!W173),IF($B$170="Лікар-педіатр","x",IF($B$170="Лікар-терапевт",IF(Z174&lt;=Законод!$C$26,W174,Законод!$C$26*'01_Доходи'!W173),0)))</f>
        <v>295</v>
      </c>
      <c r="X175" s="208">
        <f ca="1">IF($B$170="Лікар загальної практики - сімейний лікар",IF(Z174&lt;=Законод!$C$22,X174,Законод!$C$22*'01_Доходи'!X173),IF($B$170="Лікар-педіатр","x",IF($B$170="Лікар-терапевт",IF(Z174&lt;=Законод!$C$26,X174,Законод!$C$26*'01_Доходи'!X173),0)))</f>
        <v>371</v>
      </c>
      <c r="Y175" s="208">
        <f ca="1">IF($B$170="Лікар загальної практики - сімейний лікар",IF(Z174&lt;=Законод!$C$22,Y174,Законод!$C$22*'01_Доходи'!Y173),IF($B$170="Лікар-педіатр","x",IF($B$170="Лікар-терапевт",IF(Z174&lt;=Законод!$C$26,Y174,Законод!$C$26*'01_Доходи'!Y173),0)))</f>
        <v>210</v>
      </c>
      <c r="Z175" s="209">
        <f ca="1">SUM(U175:Y175)</f>
        <v>1156</v>
      </c>
      <c r="AA175" s="945"/>
      <c r="AB175" s="208">
        <f ca="1">IF($B$170="Лікар загальної практики - сімейний лікар",IF(AG174&lt;=Законод!$C$22,AB174,Законод!$C$22*'01_Доходи'!AB173),IF($B$170="Лікар-педіатр",IF(AG174&lt;=Законод!$C$18,AB174,Законод!$C$18*'01_Доходи'!AB173),IF($B$170="Лікар-терапевт","x",0)))</f>
        <v>53</v>
      </c>
      <c r="AC175" s="208">
        <f ca="1">IF($B$170="Лікар загальної практики - сімейний лікар",IF(AG174&lt;=Законод!$C$22,AC174,Законод!$C$22*'01_Доходи'!AC173),IF($B$170="Лікар-педіатр",IF(AG174&lt;=Законод!$C$18,AC174,Законод!$C$18*'01_Доходи'!AC173),IF($B$170="Лікар-терапевт","x",0)))</f>
        <v>227</v>
      </c>
      <c r="AD175" s="208">
        <f ca="1">IF($B$170="Лікар загальної практики - сімейний лікар",IF(AG174&lt;=Законод!$C$22,AD174,Законод!$C$22*'01_Доходи'!AD173),IF($B$170="Лікар-педіатр","x",IF($B$170="Лікар-терапевт",IF(AG174&lt;=Законод!$C$26,AD174,Законод!$C$26*'01_Доходи'!AD173),0)))</f>
        <v>295</v>
      </c>
      <c r="AE175" s="208">
        <f ca="1">IF($B$170="Лікар загальної практики - сімейний лікар",IF(AG174&lt;=Законод!$C$22,AE174,Законод!$C$22*'01_Доходи'!AE173),IF($B$170="Лікар-педіатр","x",IF($B$170="Лікар-терапевт",IF(AG174&lt;=Законод!$C$26,AE174,Законод!$C$26*'01_Доходи'!AE173),0)))</f>
        <v>371</v>
      </c>
      <c r="AF175" s="208">
        <f ca="1">IF($B$170="Лікар загальної практики - сімейний лікар",IF(AG174&lt;=Законод!$C$22,AF174,Законод!$C$22*'01_Доходи'!AF173),IF($B$170="Лікар-педіатр","x",IF($B$170="Лікар-терапевт",IF(AG174&lt;=Законод!$C$26,AF174,Законод!$C$26*'01_Доходи'!AF173),0)))</f>
        <v>210</v>
      </c>
      <c r="AG175" s="209">
        <f ca="1">SUM(AB175:AF175)</f>
        <v>1156</v>
      </c>
      <c r="AH175" s="945"/>
      <c r="AI175" s="201"/>
      <c r="AJ175" s="933"/>
      <c r="AK175" s="927"/>
      <c r="AL175" s="927"/>
      <c r="AM175" s="348" t="s">
        <v>374</v>
      </c>
      <c r="AN175" s="210">
        <f ca="1">IF(B170="Лікар загальної практики - сімейний лікар",G175*Законод!$C$11+'01_Доходи'!H175*Законод!$D$11+'01_Доходи'!I175*Законод!$E$11+'01_Доходи'!J175*Законод!$F$11+'01_Доходи'!K175*Законод!$G$11,IF(B170="Лікар-педіатр",G175*Законод!$C$11+'01_Доходи'!H175*Законод!$D$11,IF(B170="Лікар-терапевт",'01_Доходи'!I175*Законод!$E$11+'01_Доходи'!J175*Законод!$F$11+'01_Доходи'!K175*Законод!$G$11,0)))</f>
        <v>226764.842225</v>
      </c>
      <c r="AO175" s="210">
        <f ca="1">IF(B170="Лікар загальної практики - сімейний лікар",N175*Законод!$C$11+'01_Доходи'!O175*Законод!$D$11+'01_Доходи'!P175*Законод!$E$11+'01_Доходи'!Q175*Законод!$F$11+'01_Доходи'!R175*Законод!$G$11,IF(B170="Лікар-педіатр",N175*Законод!$C$11+'01_Доходи'!O175*Законод!$D$11,IF(B170="Лікар-терапевт",'01_Доходи'!P175*Законод!$E$11+'01_Доходи'!Q175*Законод!$F$11+'01_Доходи'!R175*Законод!$G$11,0)))</f>
        <v>226764.842225</v>
      </c>
      <c r="AP175" s="210">
        <f ca="1">IF(B170="Лікар загальної практики - сімейний лікар",U175*Законод!$C$11+'01_Доходи'!V175*Законод!$D$11+'01_Доходи'!W175*Законод!$E$11+'01_Доходи'!X175*Законод!$F$11+'01_Доходи'!Y175*Законод!$G$11,IF(B170="Лікар-педіатр",U175*Законод!$C$11+'01_Доходи'!V175*Законод!$D$11,IF(B170="Лікар-терапевт",'01_Доходи'!W175*Законод!$E$11+'01_Доходи'!X175*Законод!$F$11+'01_Доходи'!Y175*Законод!$G$11,0)))</f>
        <v>226764.842225</v>
      </c>
      <c r="AQ175" s="210">
        <f ca="1">IF(B170="Лікар загальної практики - сімейний лікар",AB175*Законод!$C$11+'01_Доходи'!AC175*Законод!$D$11+'01_Доходи'!AD175*Законод!$E$11+'01_Доходи'!AE175*Законод!$F$11+'01_Доходи'!AF175*Законод!$G$11,IF(B170="Лікар-педіатр",AB175*Законод!$C$11+'01_Доходи'!AC175*Законод!$D$11,IF(B170="Лікар-терапевт",'01_Доходи'!AD175*Законод!$E$11+'01_Доходи'!AE175*Законод!$F$11+'01_Доходи'!AF175*Законод!$G$11,0)))</f>
        <v>226764.842225</v>
      </c>
      <c r="AR175" s="211">
        <f t="shared" ref="AR175:AR181" si="13">SUM(AN175:AQ175)</f>
        <v>907059.3689</v>
      </c>
    </row>
    <row r="176" spans="1:44" s="50" customFormat="1" ht="31.9" customHeight="1">
      <c r="A176" s="197"/>
      <c r="B176" s="941"/>
      <c r="C176" s="942"/>
      <c r="D176" s="943"/>
      <c r="E176" s="943"/>
      <c r="F176" s="238" t="str">
        <f ca="1">IF(B170="Лікар-педіатр",Законод!$E$17,IF(B170="Лікар загальної практики - сімейний лікар",Законод!$E$21,IF(B170="Лікар-терапевт",Законод!$E$25,"х")))</f>
        <v>понад ліміт (1801-1980)</v>
      </c>
      <c r="G176" s="940" t="s">
        <v>346</v>
      </c>
      <c r="H176" s="940"/>
      <c r="I176" s="940"/>
      <c r="J176" s="940"/>
      <c r="K176" s="940"/>
      <c r="L176" s="196">
        <f ca="1">IF($B$170="Лікар загальної практики - сімейний лікар",IF(L174&lt;Законод!$C$22,0,(IF(AND(L174&gt;=Законод!$E$22,L174&lt;=Законод!$E$23),L174-Законод!$C$22,IF('01_Доходи'!L174&gt;=Законод!$F$22,Законод!$E$24,0)))),IF($B$170="Лікар-педіатр",IF(L174&lt;Законод!$C$18,0,(IF(AND(L174&gt;=Законод!$E$18,L174&lt;=Законод!$E$19),L174-Законод!$C$18,IF('01_Доходи'!L174&gt;=Законод!$F$18,Законод!$E$20,0)))),IF($B$170="Лікар-терапевт",IF(L174&lt;Законод!$C$26,0,(IF(AND(L174&gt;=Законод!$E$26,L174&lt;=Законод!$E$27),L174-Законод!$C$26,IF('01_Доходи'!L174&gt;=Законод!$F$26,Законод!$E$28,0)))),0)))</f>
        <v>0</v>
      </c>
      <c r="M176" s="945"/>
      <c r="N176" s="940" t="s">
        <v>346</v>
      </c>
      <c r="O176" s="940"/>
      <c r="P176" s="940"/>
      <c r="Q176" s="940"/>
      <c r="R176" s="940"/>
      <c r="S176" s="196">
        <f ca="1">IF($B$170="Лікар загальної практики - сімейний лікар",IF(S174&lt;Законод!$C$22,0,(IF(AND(S174&gt;=Законод!$E$22,S174&lt;=Законод!$E$23),S174-Законод!$C$22,IF('01_Доходи'!S174&gt;=Законод!$F$22,Законод!$E$24,0)))),IF($B$170="Лікар-педіатр",IF(S174&lt;Законод!$C$18,0,(IF(AND(S174&gt;=Законод!$E$18,S174&lt;=Законод!$E$19),S174-Законод!$C$18,IF('01_Доходи'!S174&gt;=Законод!$F$18,Законод!$E$20,0)))),IF($B$170="Лікар-терапевт",IF(S174&lt;Законод!$C$26,0,(IF(AND(S174&gt;=Законод!$E$26,S174&lt;=Законод!$E$27),S174-Законод!$C$26,IF('01_Доходи'!S174&gt;=Законод!$F$26,Законод!$E$28,0)))),0)))</f>
        <v>0</v>
      </c>
      <c r="T176" s="945"/>
      <c r="U176" s="940" t="s">
        <v>346</v>
      </c>
      <c r="V176" s="940"/>
      <c r="W176" s="940"/>
      <c r="X176" s="940"/>
      <c r="Y176" s="940"/>
      <c r="Z176" s="196">
        <f ca="1">IF($B$170="Лікар загальної практики - сімейний лікар",IF(Z174&lt;Законод!$C$22,0,(IF(AND(Z174&gt;=Законод!$E$22,Z174&lt;=Законод!$E$23),Z174-Законод!$C$22,IF('01_Доходи'!Z174&gt;=Законод!$F$22,Законод!$E$24,0)))),IF($B$170="Лікар-педіатр",IF(Z174&lt;Законод!$C$18,0,(IF(AND(Z174&gt;=Законод!$E$18,Z174&lt;=Законод!$E$19),Z174-Законод!$C$18,IF('01_Доходи'!Z174&gt;=Законод!$F$18,Законод!$E$20,0)))),IF($B$170="Лікар-терапевт",IF(Z174&lt;Законод!$C$26,0,(IF(AND(Z174&gt;=Законод!$E$26,Z174&lt;=Законод!$E$27),Z174-Законод!$C$26,IF('01_Доходи'!Z174&gt;=Законод!$F$26,Законод!$E$28,0)))),0)))</f>
        <v>0</v>
      </c>
      <c r="AA176" s="945"/>
      <c r="AB176" s="940" t="s">
        <v>346</v>
      </c>
      <c r="AC176" s="940"/>
      <c r="AD176" s="940"/>
      <c r="AE176" s="940"/>
      <c r="AF176" s="940"/>
      <c r="AG176" s="196">
        <f ca="1">IF($B$170="Лікар загальної практики - сімейний лікар",IF(AG174&lt;Законод!$C$22,0,(IF(AND(AG174&gt;=Законод!$E$22,AG174&lt;=Законод!$E$23),AG174-Законод!$C$22,IF('01_Доходи'!AG174&gt;=Законод!$F$22,Законод!$E$24,0)))),IF($B$170="Лікар-педіатр",IF(AG174&lt;Законод!$C$18,0,(IF(AND(AG174&gt;=Законод!$E$18,AG174&lt;=Законод!$E$19),AG174-Законод!$C$18,IF('01_Доходи'!AG174&gt;=Законод!$F$18,Законод!$E$20,0)))),IF($B$170="Лікар-терапевт",IF(AG174&lt;Законод!$C$26,0,(IF(AND(AG174&gt;=Законод!$E$26,AG174&lt;=Законод!$E$27),AG174-Законод!$C$26,IF('01_Доходи'!AG174&gt;=Законод!$F$26,Законод!$E$28,0)))),0)))</f>
        <v>0</v>
      </c>
      <c r="AH176" s="945"/>
      <c r="AI176" s="201"/>
      <c r="AJ176" s="933"/>
      <c r="AK176" s="927"/>
      <c r="AL176" s="927"/>
      <c r="AM176" s="898" t="s">
        <v>375</v>
      </c>
      <c r="AN176" s="210">
        <f ca="1">IF(B170="Лікар загальної практики - сімейний лікар",L176*Законод!$C$9/4*Законод!$E$16,IF(B170="Лікар-педіатр",L176*Законод!$C$9/4*Законод!$E$16,IF(B170="Лікар-терапевт",L176*Законод!$C$9/4*Законод!$E$16,0)))</f>
        <v>0</v>
      </c>
      <c r="AO176" s="210">
        <f ca="1">IF(B170="Лікар загальної практики - сімейний лікар",S176*Законод!$C$9/4*Законод!$E$16,IF(B170="Лікар-педіатр",S176*Законод!$C$9/4*Законод!$E$16,IF(B170="Лікар-терапевт",S176*Законод!$C$9/4*Законод!$E$16,0)))</f>
        <v>0</v>
      </c>
      <c r="AP176" s="210">
        <f ca="1">IF(B170="Лікар загальної практики - сімейний лікар",Z176*Законод!$C$9/4*Законод!$E$16,IF(B170="Лікар-педіатр",Z176*Законод!$C$9/4*Законод!$E$16,IF(B170="Лікар-терапевт",Z176*Законод!$C$9/4*Законод!$E$16,0)))</f>
        <v>0</v>
      </c>
      <c r="AQ176" s="210">
        <f ca="1">IF(B170="Лікар загальної практики - сімейний лікар",AG176*Законод!$C$9/4*Законод!$E$16,IF(B170="Лікар-педіатр",AG176*Законод!$C$9/4*Законод!$E$16,IF(B170="Лікар-терапевт",AG176*Законод!$C$9/4*Законод!$E$16,0)))</f>
        <v>0</v>
      </c>
      <c r="AR176" s="211">
        <f t="shared" si="13"/>
        <v>0</v>
      </c>
    </row>
    <row r="177" spans="1:44" s="50" customFormat="1" ht="31.9" customHeight="1">
      <c r="A177" s="197"/>
      <c r="B177" s="941"/>
      <c r="C177" s="942"/>
      <c r="D177" s="943"/>
      <c r="E177" s="943"/>
      <c r="F177" s="238" t="str">
        <f ca="1">IF(B170="Лікар-педіатр",Законод!$F$17,IF(B170="Лікар загальної практики - сімейний лікар",Законод!$F$21,IF(B170="Лікар-терапевт",Законод!$F$25,"х")))</f>
        <v>понад ліміт (1981-2160)</v>
      </c>
      <c r="G177" s="940" t="s">
        <v>346</v>
      </c>
      <c r="H177" s="940"/>
      <c r="I177" s="940"/>
      <c r="J177" s="940"/>
      <c r="K177" s="940"/>
      <c r="L177" s="196">
        <f ca="1">IF($B$170="Лікар загальної практики - сімейний лікар",IF(L174&lt;Законод!$C$22,0,(IF(AND(L174&gt;=Законод!$F$22,L174&lt;=Законод!$F$23),L174-Законод!$E$23,IF('01_Доходи'!L174&gt;=Законод!$G$22,Законод!$F$24,0)))),IF($B$170="Лікар-педіатр",IF(L174&lt;Законод!$C$18,0,(IF(AND(L174&gt;=Законод!$F$18,L174&lt;=Законод!$F$19),L174-Законод!$E$19,IF('01_Доходи'!L174&gt;=Законод!$G$18,Законод!$F$20,0)))),IF($B$170="Лікар-терапевт",IF(L174&lt;Законод!$C$26,0,(IF(AND(L174&gt;=Законод!$F$26,L174&lt;=Законод!$F$27),L174-Законод!$E$27,IF('01_Доходи'!L174&gt;=Законод!$G$26,Законод!$F$28,0)))),0)))</f>
        <v>0</v>
      </c>
      <c r="M177" s="945"/>
      <c r="N177" s="940" t="s">
        <v>346</v>
      </c>
      <c r="O177" s="940"/>
      <c r="P177" s="940"/>
      <c r="Q177" s="940"/>
      <c r="R177" s="940"/>
      <c r="S177" s="196">
        <f ca="1">IF($B$170="Лікар загальної практики - сімейний лікар",IF(S174&lt;Законод!$C$22,0,(IF(AND(S174&gt;=Законод!$F$22,S174&lt;=Законод!$F$23),S174-Законод!$E$23,IF('01_Доходи'!S174&gt;=Законод!$G$22,Законод!$F$24,0)))),IF($B$170="Лікар-педіатр",IF(S174&lt;Законод!$C$18,0,(IF(AND(S174&gt;=Законод!$F$18,S174&lt;=Законод!$F$19),S174-Законод!$E$19,IF('01_Доходи'!S174&gt;=Законод!$G$18,Законод!$F$20,0)))),IF($B$170="Лікар-терапевт",IF(S174&lt;Законод!$C$26,0,(IF(AND(S174&gt;=Законод!$F$26,S174&lt;=Законод!$F$27),S174-Законод!$E$27,IF('01_Доходи'!S174&gt;=Законод!$G$26,Законод!$F$28,0)))),0)))</f>
        <v>0</v>
      </c>
      <c r="T177" s="945"/>
      <c r="U177" s="940" t="s">
        <v>346</v>
      </c>
      <c r="V177" s="940"/>
      <c r="W177" s="940"/>
      <c r="X177" s="940"/>
      <c r="Y177" s="940"/>
      <c r="Z177" s="196">
        <f ca="1">IF($B$170="Лікар загальної практики - сімейний лікар",IF(Z174&lt;Законод!$C$22,0,(IF(AND(Z174&gt;=Законод!$F$22,Z174&lt;=Законод!$F$23),Z174-Законод!$E$23,IF('01_Доходи'!Z174&gt;=Законод!$G$22,Законод!$F$24,0)))),IF($B$170="Лікар-педіатр",IF(Z174&lt;Законод!$C$18,0,(IF(AND(Z174&gt;=Законод!$F$18,Z174&lt;=Законод!$F$19),Z174-Законод!$E$19,IF('01_Доходи'!Z174&gt;=Законод!$G$18,Законод!$F$20,0)))),IF($B$170="Лікар-терапевт",IF(Z174&lt;Законод!$C$26,0,(IF(AND(Z174&gt;=Законод!$F$26,Z174&lt;=Законод!$F$27),Z174-Законод!$E$27,IF('01_Доходи'!Z174&gt;=Законод!$G$26,Законод!$F$28,0)))),0)))</f>
        <v>0</v>
      </c>
      <c r="AA177" s="945"/>
      <c r="AB177" s="940" t="s">
        <v>346</v>
      </c>
      <c r="AC177" s="940"/>
      <c r="AD177" s="940"/>
      <c r="AE177" s="940"/>
      <c r="AF177" s="940"/>
      <c r="AG177" s="196">
        <f ca="1">IF($B$170="Лікар загальної практики - сімейний лікар",IF(AG174&lt;Законод!$C$22,0,(IF(AND(AG174&gt;=Законод!$F$22,AG174&lt;=Законод!$F$23),AG174-Законод!$E$23,IF('01_Доходи'!AG174&gt;=Законод!$G$22,Законод!$F$24,0)))),IF($B$170="Лікар-педіатр",IF(AG174&lt;Законод!$C$18,0,(IF(AND(AG174&gt;=Законод!$F$18,AG174&lt;=Законод!$F$19),AG174-Законод!$E$19,IF('01_Доходи'!AG174&gt;=Законод!$G$18,Законод!$F$20,0)))),IF($B$170="Лікар-терапевт",IF(AG174&lt;Законод!$C$26,0,(IF(AND(AG174&gt;=Законод!$F$26,AG174&lt;=Законод!$F$27),AG174-Законод!$E$27,IF('01_Доходи'!AG174&gt;=Законод!$G$26,Законод!$F$28,0)))),0)))</f>
        <v>0</v>
      </c>
      <c r="AH177" s="945"/>
      <c r="AI177" s="201"/>
      <c r="AJ177" s="933"/>
      <c r="AK177" s="927"/>
      <c r="AL177" s="927"/>
      <c r="AM177" s="899"/>
      <c r="AN177" s="210">
        <f ca="1">IF(B170="Лікар загальної практики - сімейний лікар",L177*Законод!$C$9/4*Законод!$F$16,IF(B170="Лікар-педіатр",L177*Законод!$C$9/4*Законод!$F$16,IF(B170="Лікар-терапевт",L177*Законод!$C$9/4*Законод!$F$16,0)))</f>
        <v>0</v>
      </c>
      <c r="AO177" s="210">
        <f ca="1">IF(B170="Лікар загальної практики - сімейний лікар",S177*Законод!$C$9/4*Законод!$F$16,IF(B170="Лікар-педіатр",S177*Законод!$C$9/4*Законод!$F$16,IF(B170="Лікар-терапевт",S177*Законод!$C$9/4*Законод!$F$16,0)))</f>
        <v>0</v>
      </c>
      <c r="AP177" s="210">
        <f ca="1">IF(B170="Лікар загальної практики - сімейний лікар",Z177*Законод!$C$9/4*Законод!$F$16,IF(B170="Лікар-педіатр",Z177*Законод!$C$9/4*Законод!$F$16,IF(B170="Лікар-терапевт",Z177*Законод!$C$9/4*Законод!$F$16,0)))</f>
        <v>0</v>
      </c>
      <c r="AQ177" s="210">
        <f ca="1">IF(B170="Лікар загальної практики - сімейний лікар",AG177*Законод!$C$9/4*Законод!$F$16,IF(B170="Лікар-педіатр",AG177*Законод!$C$9/4*Законод!$F$16,IF(B170="Лікар-терапевт",AG177*Законод!$C$9/4*Законод!$F$16,0)))</f>
        <v>0</v>
      </c>
      <c r="AR177" s="211">
        <f t="shared" si="13"/>
        <v>0</v>
      </c>
    </row>
    <row r="178" spans="1:44" s="50" customFormat="1" ht="31.9" customHeight="1">
      <c r="A178" s="197"/>
      <c r="B178" s="941"/>
      <c r="C178" s="942"/>
      <c r="D178" s="943"/>
      <c r="E178" s="943"/>
      <c r="F178" s="238" t="str">
        <f ca="1">IF(B170="Лікар-педіатр",Законод!$G$17,IF(B170="Лікар загальної практики - сімейний лікар",Законод!$G$21,IF(B170="Лікар-терапевт",Законод!$G$25,"х")))</f>
        <v>понад ліміт (2161-2340)</v>
      </c>
      <c r="G178" s="940" t="s">
        <v>346</v>
      </c>
      <c r="H178" s="940"/>
      <c r="I178" s="940"/>
      <c r="J178" s="940"/>
      <c r="K178" s="940"/>
      <c r="L178" s="196">
        <f ca="1">IF($B$170="Лікар загальної практики - сімейний лікар",IF(L174&lt;Законод!$C$22,0,(IF(AND(L174&gt;=Законод!$G$22,L174&lt;=Законод!$G$23),L174-Законод!$F$23,IF('01_Доходи'!L174&gt;=Законод!$H$22,Законод!$G$24,0)))),IF($B$170="Лікар-педіатр",IF(L174&lt;Законод!$C$18,0,(IF(AND(L174&gt;=Законод!$G$18,L174&lt;=Законод!$G$19),L174-Законод!$F$19,IF('01_Доходи'!L174&gt;=Законод!$H$18,Законод!$G$20,0)))),IF($B$170="Лікар-терапевт",IF(L174&lt;Законод!$C$26,0,(IF(AND(L174&gt;=Законод!$G$26,L174&lt;=Законод!$G$27),L174-Законод!$F$27,IF('01_Доходи'!L174&gt;=Законод!$H$26,Законод!$G$28,0)))),0)))</f>
        <v>0</v>
      </c>
      <c r="M178" s="945"/>
      <c r="N178" s="940" t="s">
        <v>346</v>
      </c>
      <c r="O178" s="940"/>
      <c r="P178" s="940"/>
      <c r="Q178" s="940"/>
      <c r="R178" s="940"/>
      <c r="S178" s="196">
        <f ca="1">IF($B$170="Лікар загальної практики - сімейний лікар",IF(S174&lt;Законод!$C$22,0,(IF(AND(S174&gt;=Законод!$G$22,S174&lt;=Законод!$G$23),S174-Законод!$F$23,IF('01_Доходи'!S174&gt;=Законод!$H$22,Законод!$G$24,0)))),IF($B$170="Лікар-педіатр",IF(S174&lt;Законод!$C$18,0,(IF(AND(S174&gt;=Законод!$G$18,S174&lt;=Законод!$G$19),S174-Законод!$F$19,IF('01_Доходи'!S174&gt;=Законод!$H$18,Законод!$G$20,0)))),IF($B$170="Лікар-терапевт",IF(S174&lt;Законод!$C$26,0,(IF(AND(S174&gt;=Законод!$G$26,S174&lt;=Законод!$G$27),S174-Законод!$F$27,IF('01_Доходи'!S174&gt;=Законод!$H$26,Законод!$G$28,0)))),0)))</f>
        <v>0</v>
      </c>
      <c r="T178" s="945"/>
      <c r="U178" s="940" t="s">
        <v>346</v>
      </c>
      <c r="V178" s="940"/>
      <c r="W178" s="940"/>
      <c r="X178" s="940"/>
      <c r="Y178" s="940"/>
      <c r="Z178" s="196">
        <f ca="1">IF($B$170="Лікар загальної практики - сімейний лікар",IF(Z174&lt;Законод!$C$22,0,(IF(AND(Z174&gt;=Законод!$G$22,Z174&lt;=Законод!$G$23),Z174-Законод!$F$23,IF('01_Доходи'!Z174&gt;=Законод!$H$22,Законод!$G$24,0)))),IF($B$170="Лікар-педіатр",IF(Z174&lt;Законод!$C$18,0,(IF(AND(Z174&gt;=Законод!$G$18,Z174&lt;=Законод!$G$19),Z174-Законод!$F$19,IF('01_Доходи'!Z174&gt;=Законод!$H$18,Законод!$G$20,0)))),IF($B$170="Лікар-терапевт",IF(Z174&lt;Законод!$C$26,0,(IF(AND(Z174&gt;=Законод!$G$26,Z174&lt;=Законод!$G$27),Z174-Законод!$F$27,IF('01_Доходи'!Z174&gt;=Законод!$H$26,Законод!$G$28,0)))),0)))</f>
        <v>0</v>
      </c>
      <c r="AA178" s="945"/>
      <c r="AB178" s="940" t="s">
        <v>346</v>
      </c>
      <c r="AC178" s="940"/>
      <c r="AD178" s="940"/>
      <c r="AE178" s="940"/>
      <c r="AF178" s="940"/>
      <c r="AG178" s="196">
        <f ca="1">IF($B$170="Лікар загальної практики - сімейний лікар",IF(AG174&lt;Законод!$C$22,0,(IF(AND(AG174&gt;=Законод!$G$22,AG174&lt;=Законод!$G$23),AG174-Законод!$F$23,IF('01_Доходи'!AG174&gt;=Законод!$H$22,Законод!$G$24,0)))),IF($B$170="Лікар-педіатр",IF(AG174&lt;Законод!$C$18,0,(IF(AND(AG174&gt;=Законод!$G$18,AG174&lt;=Законод!$G$19),AG174-Законод!$F$19,IF('01_Доходи'!AG174&gt;=Законод!$H$18,Законод!$G$20,0)))),IF($B$170="Лікар-терапевт",IF(AG174&lt;Законод!$C$26,0,(IF(AND(AG174&gt;=Законод!$G$26,AG174&lt;=Законод!$G$27),AG174-Законод!$F$27,IF('01_Доходи'!AG174&gt;=Законод!$H$26,Законод!$G$28,0)))),0)))</f>
        <v>0</v>
      </c>
      <c r="AH178" s="945"/>
      <c r="AI178" s="201"/>
      <c r="AJ178" s="933"/>
      <c r="AK178" s="927"/>
      <c r="AL178" s="927"/>
      <c r="AM178" s="899"/>
      <c r="AN178" s="210">
        <f ca="1">IF(B170="Лікар загальної практики - сімейний лікар",L178*Законод!$C$9/4*Законод!$G$16,IF(B170="Лікар-педіатр",L178*Законод!$C$9/4*Законод!$G$16,IF(B170="Лікар-терапевт",L178*Законод!$C$9/4*Законод!$G$16,0)))</f>
        <v>0</v>
      </c>
      <c r="AO178" s="210">
        <f ca="1">IF(B170="Лікар загальної практики - сімейний лікар",S178*Законод!$C$9/4*Законод!$G$16,IF(B170="Лікар-педіатр",S178*Законод!$C$9/4*Законод!$G$16,IF(B170="Лікар-терапевт",S178*Законод!$C$9/4*Законод!$G$16,0)))</f>
        <v>0</v>
      </c>
      <c r="AP178" s="210">
        <f ca="1">IF(B170="Лікар загальної практики - сімейний лікар",Z178*Законод!$C$9/4*Законод!$G$16,IF(B170="Лікар-педіатр",Z178*Законод!$C$9/4*Законод!$G$16,IF(B170="Лікар-терапевт",Z178*Законод!$C$9/4*Законод!$G$16,0)))</f>
        <v>0</v>
      </c>
      <c r="AQ178" s="210">
        <f ca="1">IF(B170="Лікар загальної практики - сімейний лікар",AG178*Законод!$C$9/4*Законод!$G$16,IF(B170="Лікар-педіатр",AG178*Законод!$C$9/4*Законод!$G$16,IF(B170="Лікар-терапевт",AG178*Законод!$C$9/4*Законод!$G$16,0)))</f>
        <v>0</v>
      </c>
      <c r="AR178" s="211">
        <f t="shared" si="13"/>
        <v>0</v>
      </c>
    </row>
    <row r="179" spans="1:44" s="50" customFormat="1" ht="31.9" customHeight="1">
      <c r="A179" s="197"/>
      <c r="B179" s="941"/>
      <c r="C179" s="942"/>
      <c r="D179" s="943"/>
      <c r="E179" s="943"/>
      <c r="F179" s="238" t="str">
        <f ca="1">IF(B170="Лікар-педіатр",Законод!$H$17,IF(B170="Лікар загальної практики - сімейний лікар",Законод!$H$21,IF(B170="Лікар-терапевт",Законод!$H$25,"х")))</f>
        <v>понад ліміт (2341-2520)</v>
      </c>
      <c r="G179" s="940" t="s">
        <v>346</v>
      </c>
      <c r="H179" s="940"/>
      <c r="I179" s="940"/>
      <c r="J179" s="940"/>
      <c r="K179" s="940"/>
      <c r="L179" s="196">
        <f ca="1">IF($B$170="Лікар загальної практики - сімейний лікар",IF(L174&lt;Законод!$C$22,0,(IF(AND(L174&gt;=Законод!$H$22,L174&lt;=Законод!$H$23),L174-Законод!$G$23,IF('01_Доходи'!L174&gt;=Законод!$I$22,Законод!$H$24,0)))),IF($B$170="Лікар-педіатр",IF(L174&lt;Законод!$C$18,0,(IF(AND(L174&gt;=Законод!$H$18,L174&lt;=Законод!$H$19),L174-Законод!$G$19,IF('01_Доходи'!L174&gt;=Законод!$I$18,Законод!$H$20,0)))),IF($B$170="Лікар-терапевт",IF(L174&lt;Законод!$C$26,0,(IF(AND(L174&gt;=Законод!$H$26,L174&lt;=Законод!$H$27),L174-Законод!$G$27,IF(L174&gt;=Законод!$I$26,Законод!$H$28,0)))),0)))</f>
        <v>0</v>
      </c>
      <c r="M179" s="945"/>
      <c r="N179" s="940" t="s">
        <v>346</v>
      </c>
      <c r="O179" s="940"/>
      <c r="P179" s="940"/>
      <c r="Q179" s="940"/>
      <c r="R179" s="940"/>
      <c r="S179" s="196">
        <f ca="1">IF($B$170="Лікар загальної практики - сімейний лікар",IF(S174&lt;Законод!$C$22,0,(IF(AND(S174&gt;=Законод!$H$22,S174&lt;=Законод!$H$23),S174-Законод!$G$23,IF('01_Доходи'!S174&gt;=Законод!$I$22,Законод!$H$24,0)))),IF($B$170="Лікар-педіатр",IF(S174&lt;Законод!$C$18,0,(IF(AND(S174&gt;=Законод!$H$18,S174&lt;=Законод!$H$19),S174-Законод!$G$19,IF('01_Доходи'!S174&gt;=Законод!$I$18,Законод!$H$20,0)))),IF($B$170="Лікар-терапевт",IF(S174&lt;Законод!$C$26,0,(IF(AND(S174&gt;=Законод!$H$26,S174&lt;=Законод!$H$27),S174-Законод!$G$27,IF(S174&gt;=Законод!$I$26,Законод!$H$28,0)))),0)))</f>
        <v>0</v>
      </c>
      <c r="T179" s="945"/>
      <c r="U179" s="940" t="s">
        <v>346</v>
      </c>
      <c r="V179" s="940"/>
      <c r="W179" s="940"/>
      <c r="X179" s="940"/>
      <c r="Y179" s="940"/>
      <c r="Z179" s="196">
        <f ca="1">IF($B$170="Лікар загальної практики - сімейний лікар",IF(Z174&lt;Законод!$C$22,0,(IF(AND(Z174&gt;=Законод!$H$22,Z174&lt;=Законод!$H$23),Z174-Законод!$G$23,IF('01_Доходи'!Z174&gt;=Законод!$I$22,Законод!$H$24,0)))),IF($B$170="Лікар-педіатр",IF(Z174&lt;Законод!$C$18,0,(IF(AND(Z174&gt;=Законод!$H$18,Z174&lt;=Законод!$H$19),Z174-Законод!$G$19,IF('01_Доходи'!Z174&gt;=Законод!$I$18,Законод!$H$20,0)))),IF($B$170="Лікар-терапевт",IF(Z174&lt;Законод!$C$26,0,(IF(AND(Z174&gt;=Законод!$H$26,Z174&lt;=Законод!$H$27),Z174-Законод!$G$27,IF(Z174&gt;=Законод!$I$26,Законод!$H$28,0)))),0)))</f>
        <v>0</v>
      </c>
      <c r="AA179" s="945"/>
      <c r="AB179" s="940" t="s">
        <v>346</v>
      </c>
      <c r="AC179" s="940"/>
      <c r="AD179" s="940"/>
      <c r="AE179" s="940"/>
      <c r="AF179" s="940"/>
      <c r="AG179" s="196">
        <f ca="1">IF($B$170="Лікар загальної практики - сімейний лікар",IF(AG174&lt;Законод!$C$22,0,(IF(AND(AG174&gt;=Законод!$H$22,AG174&lt;=Законод!$H$23),AG174-Законод!$G$23,IF('01_Доходи'!AG174&gt;=Законод!$I$22,Законод!$H$24,0)))),IF($B$170="Лікар-педіатр",IF(AG174&lt;Законод!$C$18,0,(IF(AND(AG174&gt;=Законод!$H$18,AG174&lt;=Законод!$H$19),AG174-Законод!$G$19,IF('01_Доходи'!AG174&gt;=Законод!$I$18,Законод!$H$20,0)))),IF($B$170="Лікар-терапевт",IF(AG174&lt;Законод!$C$26,0,(IF(AND(AG174&gt;=Законод!$H$26,AG174&lt;=Законод!$H$27),AG174-Законод!$G$27,IF(AG174&gt;=Законод!$I$26,Законод!$H$28,0)))),0)))</f>
        <v>0</v>
      </c>
      <c r="AH179" s="945"/>
      <c r="AI179" s="201"/>
      <c r="AJ179" s="933"/>
      <c r="AK179" s="927"/>
      <c r="AL179" s="927"/>
      <c r="AM179" s="899"/>
      <c r="AN179" s="210">
        <f ca="1">IF(B170="Лікар загальної практики - сімейний лікар",L179*Законод!$C$9/4*Законод!$H$16,IF(B170="Лікар-педіатр",L179*Законод!$C$9/4*Законод!$H$16,IF(B170="Лікар-терапевт",L179*Законод!$C$9/4*Законод!$H$16,0)))</f>
        <v>0</v>
      </c>
      <c r="AO179" s="210">
        <f ca="1">IF(B170="Лікар загальної практики - сімейний лікар",S179*Законод!$C$9/4*Законод!$H$16,IF(B170="Лікар-педіатр",S179*Законод!$C$9/4*Законод!$H$16,IF(B170="Лікар-терапевт",S179*Законод!$C$9/4*Законод!$H$16,0)))</f>
        <v>0</v>
      </c>
      <c r="AP179" s="210">
        <f ca="1">IF(B170="Лікар загальної практики - сімейний лікар",Z179*Законод!$C$9/4*Законод!$H$16,IF(B170="Лікар-педіатр",Z179*Законод!$C$9/4*Законод!$H$16,IF(B170="Лікар-терапевт",Z179*Законод!$C$9/4*Законод!$H$16,0)))</f>
        <v>0</v>
      </c>
      <c r="AQ179" s="210">
        <f ca="1">IF(B170="Лікар загальної практики - сімейний лікар",AG179*Законод!$C$9/4*Законод!$H$16,IF(B170="Лікар-педіатр",AG179*Законод!$C$9/4*Законод!$H$16,IF(B170="Лікар-терапевт",AG179*Законод!$C$9/4*Законод!$H$16,0)))</f>
        <v>0</v>
      </c>
      <c r="AR179" s="211">
        <f t="shared" si="13"/>
        <v>0</v>
      </c>
    </row>
    <row r="180" spans="1:44" s="50" customFormat="1" ht="31.9" customHeight="1">
      <c r="A180" s="197"/>
      <c r="B180" s="941"/>
      <c r="C180" s="942"/>
      <c r="D180" s="943"/>
      <c r="E180" s="943"/>
      <c r="F180" s="238" t="str">
        <f ca="1">IF(B170="Лікар-педіатр",Законод!$I$17,IF(B170="Лікар загальної практики - сімейний лікар",Законод!$I$21,IF(B170="Лікар-терапевт",Законод!$I$25,"х")))</f>
        <v>понад ліміт (2521-2700)</v>
      </c>
      <c r="G180" s="940" t="s">
        <v>346</v>
      </c>
      <c r="H180" s="940"/>
      <c r="I180" s="940"/>
      <c r="J180" s="940"/>
      <c r="K180" s="940"/>
      <c r="L180" s="196">
        <f ca="1">IF($B$170="Лікар загальної практики - сімейний лікар",IF(L174&lt;Законод!$C$22,0,(IF(AND(L174&gt;=Законод!$I$22,L174&lt;=Законод!$I$23),L174-Законод!$H$23,IF('01_Доходи'!L174&gt;=Законод!$I$22,Законод!$I$24,0)))),IF($B$170="Лікар-педіатр",IF(L174&lt;Законод!$C$18,0,(IF(AND(L174&gt;=Законод!$I$18,L174&lt;=Законод!$I$19),L174-Законод!$H$19,IF('01_Доходи'!L174&gt;=Законод!$I$18,Законод!$H$20,0)))),IF($B$170="Лікар-терапевт",IF(L174&lt;Законод!$C$26,0,(IF(AND(L174&gt;=Законод!$I$26,L174&lt;=Законод!$I$27),L174-Законод!$H$27,IF('01_Доходи'!L174&gt;=Законод!$I$26,Законод!$H$28,0)))),0)))</f>
        <v>0</v>
      </c>
      <c r="M180" s="945"/>
      <c r="N180" s="940" t="s">
        <v>346</v>
      </c>
      <c r="O180" s="940"/>
      <c r="P180" s="940"/>
      <c r="Q180" s="940"/>
      <c r="R180" s="940"/>
      <c r="S180" s="196">
        <f ca="1">IF($B$170="Лікар загальної практики - сімейний лікар",IF(S174&lt;Законод!$C$22,0,(IF(AND(S174&gt;=Законод!$I$22,S174&lt;=Законод!$I$23),S174-Законод!$H$23,IF('01_Доходи'!S174&gt;=Законод!$I$22,Законод!$I$24,0)))),IF($B$170="Лікар-педіатр",IF(S174&lt;Законод!$C$18,0,(IF(AND(S174&gt;=Законод!$I$18,S174&lt;=Законод!$I$19),S174-Законод!$H$19,IF('01_Доходи'!S174&gt;=Законод!$I$18,Законод!$H$20,0)))),IF($B$170="Лікар-терапевт",IF(S174&lt;Законод!$C$26,0,(IF(AND(S174&gt;=Законод!$I$26,S174&lt;=Законод!$I$27),S174-Законод!$H$27,IF('01_Доходи'!S174&gt;=Законод!$I$26,Законод!$H$28,0)))),0)))</f>
        <v>0</v>
      </c>
      <c r="T180" s="945"/>
      <c r="U180" s="940" t="s">
        <v>346</v>
      </c>
      <c r="V180" s="940"/>
      <c r="W180" s="940"/>
      <c r="X180" s="940"/>
      <c r="Y180" s="940"/>
      <c r="Z180" s="196">
        <f ca="1">IF($B$170="Лікар загальної практики - сімейний лікар",IF(Z174&lt;Законод!$C$22,0,(IF(AND(Z174&gt;=Законод!$I$22,Z174&lt;=Законод!$I$23),Z174-Законод!$H$23,IF('01_Доходи'!Z174&gt;=Законод!$I$22,Законод!$I$24,0)))),IF($B$170="Лікар-педіатр",IF(Z174&lt;Законод!$C$18,0,(IF(AND(Z174&gt;=Законод!$I$18,Z174&lt;=Законод!$I$19),Z174-Законод!$H$19,IF('01_Доходи'!Z174&gt;=Законод!$I$18,Законод!$H$20,0)))),IF($B$170="Лікар-терапевт",IF(Z174&lt;Законод!$C$26,0,(IF(AND(Z174&gt;=Законод!$I$26,Z174&lt;=Законод!$I$27),Z174-Законод!$H$27,IF('01_Доходи'!Z174&gt;=Законод!$I$26,Законод!$H$28,0)))),0)))</f>
        <v>0</v>
      </c>
      <c r="AA180" s="945"/>
      <c r="AB180" s="940" t="s">
        <v>346</v>
      </c>
      <c r="AC180" s="940"/>
      <c r="AD180" s="940"/>
      <c r="AE180" s="940"/>
      <c r="AF180" s="940"/>
      <c r="AG180" s="196">
        <f ca="1">IF($B$170="Лікар загальної практики - сімейний лікар",IF(AG174&lt;Законод!$C$22,0,(IF(AND(AG174&gt;=Законод!$I$22,AG174&lt;=Законод!$I$23),AG174-Законод!$H$23,IF('01_Доходи'!AG174&gt;=Законод!$I$22,Законод!$I$24,0)))),IF($B$170="Лікар-педіатр",IF(AG174&lt;Законод!$C$18,0,(IF(AND(AG174&gt;=Законод!$I$18,AG174&lt;=Законод!$I$19),AG174-Законод!$H$19,IF('01_Доходи'!AG174&gt;=Законод!$I$18,Законод!$H$20,0)))),IF($B$170="Лікар-терапевт",IF(AG174&lt;Законод!$C$26,0,(IF(AND(AG174&gt;=Законод!$I$26,AG174&lt;=Законод!$I$27),AG174-Законод!$H$27,IF('01_Доходи'!AG174&gt;=Законод!$I$26,Законод!$H$28,0)))),0)))</f>
        <v>0</v>
      </c>
      <c r="AH180" s="945"/>
      <c r="AI180" s="201"/>
      <c r="AJ180" s="933"/>
      <c r="AK180" s="927"/>
      <c r="AL180" s="927"/>
      <c r="AM180" s="899"/>
      <c r="AN180" s="210">
        <f ca="1">IF(B170="Лікар загальної практики - сімейний лікар",L180*Законод!$C$9/4*Законод!$I$16,IF(B170="Лікар-педіатр",L180*Законод!$C$9/4*Законод!$I$16,IF(B170="Лікар-терапевт",L180*Законод!$C$9/4*Законод!$I$16,0)))</f>
        <v>0</v>
      </c>
      <c r="AO180" s="210">
        <f ca="1">IF(B170="Лікар загальної практики - сімейний лікар",S180*Законод!$C$9/4*Законод!$I$16,IF(B170="Лікар-педіатр",S180*Законод!$C$9/4*Законод!$I$16,IF(B170="Лікар-терапевт",S180*Законод!$C$9/4*Законод!$I$16,0)))</f>
        <v>0</v>
      </c>
      <c r="AP180" s="210">
        <f ca="1">IF(B170="Лікар загальної практики - сімейний лікар",Z180*Законод!$C$9/4*Законод!$I$16,IF(B170="Лікар-педіатр",Z180*Законод!$C$9/4*Законод!$I$16,IF(B170="Лікар-терапевт",Z180*Законод!$C$9/4*Законод!$I$16,0)))</f>
        <v>0</v>
      </c>
      <c r="AQ180" s="210">
        <f ca="1">IF(B170="Лікар загальної практики - сімейний лікар",AG180*Законод!$C$9/4*Законод!$I$16,IF(B170="Лікар-педіатр",AG180*Законод!$C$9/4*Законод!$I$16,IF(B170="Лікар-терапевт",AG180*Законод!$C$9/4*Законод!$I$16,0)))</f>
        <v>0</v>
      </c>
      <c r="AR180" s="211">
        <f t="shared" si="13"/>
        <v>0</v>
      </c>
    </row>
    <row r="181" spans="1:44" s="218" customFormat="1" ht="31.9" customHeight="1" thickBot="1">
      <c r="A181" s="213"/>
      <c r="B181" s="941"/>
      <c r="C181" s="942"/>
      <c r="D181" s="943"/>
      <c r="E181" s="943"/>
      <c r="F181" s="239" t="str">
        <f ca="1">IF(B170="Лікар-педіатр",Законод!$J$17,IF(B170="Лікар загальної практики - сімейний лікар",Законод!$J$21,IF(B170="Лікар-терапевт",Законод!$J$25,"х")))</f>
        <v>понад ліміт (&gt;=2701)</v>
      </c>
      <c r="G181" s="939" t="s">
        <v>346</v>
      </c>
      <c r="H181" s="939"/>
      <c r="I181" s="939"/>
      <c r="J181" s="939"/>
      <c r="K181" s="939"/>
      <c r="L181" s="196">
        <f ca="1">IF($B$170="Лікар загальної практики - сімейний лікар",IF(L174&gt;=Законод!$J$22,'01_Доходи'!L174-('01_Доходи'!L175+'01_Доходи'!L176+'01_Доходи'!L177+'01_Доходи'!L178+'01_Доходи'!L179+'01_Доходи'!L180),0),IF($B$170="Лікар-педіатр",IF(L174&gt;=Законод!$J$18,'01_Доходи'!L174-('01_Доходи'!L175+'01_Доходи'!L176+'01_Доходи'!L177+'01_Доходи'!L178+'01_Доходи'!L179+'01_Доходи'!L180),0),IF($B$170="Лікар-терапевт",IF('01_Доходи'!L174&gt;=Законод!$J$26,L174-Законод!$I$27,0),0)))</f>
        <v>0</v>
      </c>
      <c r="M181" s="945"/>
      <c r="N181" s="939" t="s">
        <v>346</v>
      </c>
      <c r="O181" s="939"/>
      <c r="P181" s="939"/>
      <c r="Q181" s="939"/>
      <c r="R181" s="939"/>
      <c r="S181" s="196">
        <f ca="1">IF($B$170="Лікар загальної практики - сімейний лікар",IF(S174&gt;=Законод!$J$22,'01_Доходи'!S174-('01_Доходи'!S175+'01_Доходи'!S176+'01_Доходи'!S177+'01_Доходи'!S178+'01_Доходи'!S179+'01_Доходи'!S180),0),IF($B$170="Лікар-педіатр",IF(S174&gt;=Законод!$J$18,'01_Доходи'!S174-('01_Доходи'!S175+'01_Доходи'!S176+'01_Доходи'!S177+'01_Доходи'!S178+'01_Доходи'!S179+'01_Доходи'!S180),0),IF($B$170="Лікар-терапевт",IF('01_Доходи'!S174&gt;=Законод!$J$26,S174-Законод!$I$27,0),0)))</f>
        <v>0</v>
      </c>
      <c r="T181" s="945"/>
      <c r="U181" s="939" t="s">
        <v>346</v>
      </c>
      <c r="V181" s="939"/>
      <c r="W181" s="939"/>
      <c r="X181" s="939"/>
      <c r="Y181" s="939"/>
      <c r="Z181" s="196">
        <f ca="1">IF($B$170="Лікар загальної практики - сімейний лікар",IF(Z174&gt;=Законод!$J$22,'01_Доходи'!Z174-('01_Доходи'!Z175+'01_Доходи'!Z176+'01_Доходи'!Z177+'01_Доходи'!Z178+'01_Доходи'!Z179+'01_Доходи'!Z180),0),IF($B$170="Лікар-педіатр",IF(Z174&gt;=Законод!$J$18,'01_Доходи'!Z174-('01_Доходи'!Z175+'01_Доходи'!Z176+'01_Доходи'!Z177+'01_Доходи'!Z178+'01_Доходи'!Z179+'01_Доходи'!Z180),0),IF($B$170="Лікар-терапевт",IF('01_Доходи'!Z174&gt;=Законод!$J$26,Z174-Законод!$I$27,0),0)))</f>
        <v>0</v>
      </c>
      <c r="AA181" s="945"/>
      <c r="AB181" s="939" t="s">
        <v>346</v>
      </c>
      <c r="AC181" s="939"/>
      <c r="AD181" s="939"/>
      <c r="AE181" s="939"/>
      <c r="AF181" s="939"/>
      <c r="AG181" s="196">
        <f ca="1">IF($B$170="Лікар загальної практики - сімейний лікар",IF(AG174&gt;=Законод!$J$22,'01_Доходи'!AG174-('01_Доходи'!AG175+'01_Доходи'!AG176+'01_Доходи'!AG177+'01_Доходи'!AG178+'01_Доходи'!AG179+'01_Доходи'!AG180),0),IF($B$170="Лікар-педіатр",IF(AG174&gt;=Законод!$J$18,'01_Доходи'!AG174-('01_Доходи'!AG175+'01_Доходи'!AG176+'01_Доходи'!AG177+'01_Доходи'!AG178+'01_Доходи'!AG179+'01_Доходи'!AG180),0),IF($B$170="Лікар-терапевт",IF('01_Доходи'!AG174&gt;=Законод!$J$26,AG174-Законод!$I$27,0),0)))</f>
        <v>0</v>
      </c>
      <c r="AH181" s="945"/>
      <c r="AI181" s="215"/>
      <c r="AJ181" s="934"/>
      <c r="AK181" s="928"/>
      <c r="AL181" s="928"/>
      <c r="AM181" s="900"/>
      <c r="AN181" s="216">
        <f ca="1">IF(B170="Лікар загальної практики - сімейний лікар",L181*Законод!$C$9/4*Законод!$J$16,IF(B170="Лікар-педіатр",L181*Законод!$C$9/4*Законод!$J$16,IF(B170="Лікар-терапевт",L181*Законод!$C$9/4*Законод!$J$16,0)))</f>
        <v>0</v>
      </c>
      <c r="AO181" s="216">
        <f ca="1">IF(B170="Лікар загальної практики - сімейний лікар",S181*Законод!$C$9/4*Законод!$J$16,IF(B170="Лікар-педіатр",S181*Законод!$C$9/4*Законод!$J$16,IF(B170="Лікар-терапевт",S181*Законод!$C$9/4*Законод!$J$16,0)))</f>
        <v>0</v>
      </c>
      <c r="AP181" s="216">
        <f ca="1">IF(B170="Лікар загальної практики - сімейний лікар",S181*Законод!$C$9/4*Законод!$J$16,IF(B170="Лікар-педіатр",S181*Законод!$C$9/4*Законод!$J$16,IF(B170="Лікар-терапевт",S181*Законод!$C$9/4*Законод!$J$16,0)))</f>
        <v>0</v>
      </c>
      <c r="AQ181" s="216">
        <f ca="1">IF(B170="Лікар загальної практики - сімейний лікар",AG181*Законод!$C$9/4*Законод!$J$16,IF(B170="Лікар-педіатр",AG181*Законод!$C$9/4*Законод!$J$16,IF(B170="Лікар-терапевт",AG181*Законод!$C$9/4*Законод!$J$16,0)))</f>
        <v>0</v>
      </c>
      <c r="AR181" s="217">
        <f t="shared" si="13"/>
        <v>0</v>
      </c>
    </row>
    <row r="182" spans="1:44" s="247" customFormat="1" ht="23.45" customHeight="1" thickBot="1">
      <c r="A182" s="243"/>
      <c r="B182" s="244"/>
      <c r="C182" s="244"/>
      <c r="D182" s="244"/>
      <c r="E182" s="244"/>
      <c r="F182" s="245"/>
      <c r="G182" s="246"/>
      <c r="H182" s="246"/>
      <c r="L182" s="248"/>
      <c r="S182" s="248"/>
      <c r="Z182" s="248"/>
      <c r="AG182" s="248"/>
      <c r="AM182" s="249"/>
      <c r="AR182" s="250"/>
    </row>
    <row r="183" spans="1:44" s="191" customFormat="1" ht="30" customHeight="1">
      <c r="A183" s="194">
        <f>A170+1</f>
        <v>12</v>
      </c>
      <c r="B183" s="941" t="s">
        <v>235</v>
      </c>
      <c r="C183" s="942" t="s">
        <v>79</v>
      </c>
      <c r="D183" s="943"/>
      <c r="E183" s="943" t="s">
        <v>80</v>
      </c>
      <c r="F183" s="234" t="s">
        <v>582</v>
      </c>
      <c r="G183" s="196">
        <v>96</v>
      </c>
      <c r="H183" s="196">
        <v>319</v>
      </c>
      <c r="I183" s="196">
        <v>422</v>
      </c>
      <c r="J183" s="196">
        <v>581</v>
      </c>
      <c r="K183" s="196">
        <v>338</v>
      </c>
      <c r="L183" s="558">
        <f t="shared" ref="L183:L188" si="14">SUM(G183:K183)</f>
        <v>1756</v>
      </c>
      <c r="M183" s="945">
        <v>1</v>
      </c>
      <c r="N183" s="196">
        <v>96</v>
      </c>
      <c r="O183" s="196">
        <v>319</v>
      </c>
      <c r="P183" s="196">
        <v>422</v>
      </c>
      <c r="Q183" s="196">
        <v>581</v>
      </c>
      <c r="R183" s="196">
        <v>338</v>
      </c>
      <c r="S183" s="558">
        <f t="shared" ref="S183:S188" si="15">SUM(N183:R183)</f>
        <v>1756</v>
      </c>
      <c r="T183" s="945">
        <v>1</v>
      </c>
      <c r="U183" s="196">
        <v>96</v>
      </c>
      <c r="V183" s="196">
        <v>319</v>
      </c>
      <c r="W183" s="196">
        <v>422</v>
      </c>
      <c r="X183" s="196">
        <v>581</v>
      </c>
      <c r="Y183" s="196">
        <v>338</v>
      </c>
      <c r="Z183" s="558">
        <f t="shared" ref="Z183:Z188" si="16">SUM(U183:Y183)</f>
        <v>1756</v>
      </c>
      <c r="AA183" s="945">
        <v>1</v>
      </c>
      <c r="AB183" s="196">
        <v>96</v>
      </c>
      <c r="AC183" s="196">
        <v>319</v>
      </c>
      <c r="AD183" s="196">
        <v>422</v>
      </c>
      <c r="AE183" s="196">
        <v>581</v>
      </c>
      <c r="AF183" s="196">
        <v>338</v>
      </c>
      <c r="AG183" s="558">
        <f t="shared" ref="AG183:AG188" si="17">SUM(AB183:AF183)</f>
        <v>1756</v>
      </c>
      <c r="AH183" s="945">
        <v>1</v>
      </c>
      <c r="AI183" s="541">
        <f>A183</f>
        <v>12</v>
      </c>
      <c r="AJ183" s="932" t="str">
        <f>B183</f>
        <v>Лікар загальної практики - сімейний лікар</v>
      </c>
      <c r="AK183" s="926" t="str">
        <f>C183</f>
        <v>Ласкава Валентина Федорівна</v>
      </c>
      <c r="AL183" s="926">
        <f>D183</f>
        <v>0</v>
      </c>
      <c r="AM183" s="901" t="s">
        <v>785</v>
      </c>
      <c r="AN183" s="923">
        <f>SUM(AN188:AN194)</f>
        <v>349062.36778750003</v>
      </c>
      <c r="AO183" s="923">
        <f>SUM(AO188:AO194)</f>
        <v>349062.36778750003</v>
      </c>
      <c r="AP183" s="923">
        <f>SUM(AP188:AP194)</f>
        <v>349062.36778750003</v>
      </c>
      <c r="AQ183" s="923">
        <f>SUM(AQ188:AQ194)</f>
        <v>349062.36778750003</v>
      </c>
      <c r="AR183" s="914">
        <f>SUM(AN183:AQ187)</f>
        <v>1396249.4711500001</v>
      </c>
    </row>
    <row r="184" spans="1:44" s="50" customFormat="1" ht="28.15" customHeight="1">
      <c r="A184" s="197"/>
      <c r="B184" s="941"/>
      <c r="C184" s="942"/>
      <c r="D184" s="943"/>
      <c r="E184" s="943"/>
      <c r="F184" s="234" t="s">
        <v>583</v>
      </c>
      <c r="G184" s="196">
        <v>96</v>
      </c>
      <c r="H184" s="196">
        <v>319</v>
      </c>
      <c r="I184" s="196">
        <v>422</v>
      </c>
      <c r="J184" s="196">
        <v>581</v>
      </c>
      <c r="K184" s="196">
        <v>338</v>
      </c>
      <c r="L184" s="558">
        <f t="shared" si="14"/>
        <v>1756</v>
      </c>
      <c r="M184" s="945"/>
      <c r="N184" s="196">
        <v>96</v>
      </c>
      <c r="O184" s="196">
        <v>319</v>
      </c>
      <c r="P184" s="196">
        <v>422</v>
      </c>
      <c r="Q184" s="196">
        <v>581</v>
      </c>
      <c r="R184" s="196">
        <v>338</v>
      </c>
      <c r="S184" s="558">
        <f t="shared" si="15"/>
        <v>1756</v>
      </c>
      <c r="T184" s="945"/>
      <c r="U184" s="196">
        <v>96</v>
      </c>
      <c r="V184" s="196">
        <v>319</v>
      </c>
      <c r="W184" s="196">
        <v>422</v>
      </c>
      <c r="X184" s="196">
        <v>581</v>
      </c>
      <c r="Y184" s="196">
        <v>338</v>
      </c>
      <c r="Z184" s="558">
        <f t="shared" si="16"/>
        <v>1756</v>
      </c>
      <c r="AA184" s="945"/>
      <c r="AB184" s="196">
        <v>96</v>
      </c>
      <c r="AC184" s="196">
        <v>319</v>
      </c>
      <c r="AD184" s="196">
        <v>422</v>
      </c>
      <c r="AE184" s="196">
        <v>581</v>
      </c>
      <c r="AF184" s="196">
        <v>338</v>
      </c>
      <c r="AG184" s="558">
        <f t="shared" si="17"/>
        <v>1756</v>
      </c>
      <c r="AH184" s="945"/>
      <c r="AI184" s="198"/>
      <c r="AJ184" s="933"/>
      <c r="AK184" s="927"/>
      <c r="AL184" s="927"/>
      <c r="AM184" s="902"/>
      <c r="AN184" s="924"/>
      <c r="AO184" s="924"/>
      <c r="AP184" s="924"/>
      <c r="AQ184" s="924"/>
      <c r="AR184" s="915"/>
    </row>
    <row r="185" spans="1:44" s="90" customFormat="1" ht="31.15" customHeight="1">
      <c r="A185" s="240"/>
      <c r="B185" s="941"/>
      <c r="C185" s="942"/>
      <c r="D185" s="943"/>
      <c r="E185" s="943"/>
      <c r="F185" s="241" t="s">
        <v>584</v>
      </c>
      <c r="G185" s="196">
        <v>96</v>
      </c>
      <c r="H185" s="196">
        <v>319</v>
      </c>
      <c r="I185" s="196">
        <v>422</v>
      </c>
      <c r="J185" s="196">
        <v>581</v>
      </c>
      <c r="K185" s="196">
        <v>338</v>
      </c>
      <c r="L185" s="200">
        <f t="shared" si="14"/>
        <v>1756</v>
      </c>
      <c r="M185" s="945"/>
      <c r="N185" s="196">
        <v>96</v>
      </c>
      <c r="O185" s="196">
        <v>319</v>
      </c>
      <c r="P185" s="196">
        <v>422</v>
      </c>
      <c r="Q185" s="196">
        <v>581</v>
      </c>
      <c r="R185" s="196">
        <v>338</v>
      </c>
      <c r="S185" s="200">
        <f t="shared" si="15"/>
        <v>1756</v>
      </c>
      <c r="T185" s="945"/>
      <c r="U185" s="196">
        <v>96</v>
      </c>
      <c r="V185" s="196">
        <v>319</v>
      </c>
      <c r="W185" s="196">
        <v>422</v>
      </c>
      <c r="X185" s="196">
        <v>581</v>
      </c>
      <c r="Y185" s="196">
        <v>338</v>
      </c>
      <c r="Z185" s="558">
        <f t="shared" si="16"/>
        <v>1756</v>
      </c>
      <c r="AA185" s="945"/>
      <c r="AB185" s="196">
        <v>96</v>
      </c>
      <c r="AC185" s="196">
        <v>319</v>
      </c>
      <c r="AD185" s="196">
        <v>422</v>
      </c>
      <c r="AE185" s="196">
        <v>581</v>
      </c>
      <c r="AF185" s="196">
        <v>338</v>
      </c>
      <c r="AG185" s="558">
        <f t="shared" si="17"/>
        <v>1756</v>
      </c>
      <c r="AH185" s="945"/>
      <c r="AI185" s="242"/>
      <c r="AJ185" s="933"/>
      <c r="AK185" s="927"/>
      <c r="AL185" s="927"/>
      <c r="AM185" s="902"/>
      <c r="AN185" s="924"/>
      <c r="AO185" s="924"/>
      <c r="AP185" s="924"/>
      <c r="AQ185" s="924"/>
      <c r="AR185" s="915"/>
    </row>
    <row r="186" spans="1:44" s="50" customFormat="1" ht="31.9" customHeight="1" thickBot="1">
      <c r="A186" s="197"/>
      <c r="B186" s="941"/>
      <c r="C186" s="942"/>
      <c r="D186" s="943"/>
      <c r="E186" s="943"/>
      <c r="F186" s="236" t="s">
        <v>349</v>
      </c>
      <c r="G186" s="203">
        <f>IF($B$183="Лікар-педіатр",G185/L185,IF($B$183="Лікар-терапевт","х",IF($B$183="Лікар загальної практики - сімейний лікар",G185/L185,0)))</f>
        <v>5.4669703872437359E-2</v>
      </c>
      <c r="H186" s="203">
        <f>IF($B$183="Лікар-педіатр",H185/L185,IF($B$183="Лікар-терапевт","х",IF($B$183="Лікар загальної практики - сімейний лікар",H185/L185,0)))</f>
        <v>0.18166287015945332</v>
      </c>
      <c r="I186" s="203">
        <f>IF($B$183="Лікар-педіатр","x",IF($B$183="Лікар-терапевт",I185/L185,IF($B$183="Лікар загальної практики - сімейний лікар",I185/L185,0)))</f>
        <v>0.24031890660592256</v>
      </c>
      <c r="J186" s="203">
        <f>IF($B$183="Лікар-педіатр","x",IF($B$183="Лікар-терапевт",J185/L185,IF($B$183="Лікар загальної практики - сімейний лікар",J185/L185,0)))</f>
        <v>0.3308656036446469</v>
      </c>
      <c r="K186" s="203">
        <f>IF($B$183="Лікар-педіатр","x",IF($B$183="Лікар-терапевт",K185/L185,IF($B$183="Лікар загальної практики - сімейний лікар",K185/L185,0)))</f>
        <v>0.19248291571753987</v>
      </c>
      <c r="L186" s="203">
        <f t="shared" si="14"/>
        <v>1</v>
      </c>
      <c r="M186" s="945"/>
      <c r="N186" s="203">
        <f>IF($B$183="Лікар-педіатр",N185/S185,IF($B$183="Лікар-терапевт","х",IF($B$183="Лікар загальної практики - сімейний лікар",N185/S185,0)))</f>
        <v>5.4669703872437359E-2</v>
      </c>
      <c r="O186" s="203">
        <f>IF($B$183="Лікар-педіатр",O185/S185,IF($B$183="Лікар-терапевт","х",IF($B$183="Лікар загальної практики - сімейний лікар",O185/S185,0)))</f>
        <v>0.18166287015945332</v>
      </c>
      <c r="P186" s="203">
        <f>IF($B$183="Лікар-педіатр","x",IF($B$183="Лікар-терапевт",P185/S185,IF($B$183="Лікар загальної практики - сімейний лікар",P185/S185,0)))</f>
        <v>0.24031890660592256</v>
      </c>
      <c r="Q186" s="203">
        <f>IF($B$183="Лікар-педіатр","x",IF($B$183="Лікар-терапевт",Q185/S185,IF($B$183="Лікар загальної практики - сімейний лікар",Q185/S185,0)))</f>
        <v>0.3308656036446469</v>
      </c>
      <c r="R186" s="203">
        <f>IF($B$183="Лікар-педіатр","x",IF($B$183="Лікар-терапевт",R185/S185,IF($B$183="Лікар загальної практики - сімейний лікар",R185/S185,0)))</f>
        <v>0.19248291571753987</v>
      </c>
      <c r="S186" s="203">
        <f t="shared" si="15"/>
        <v>1</v>
      </c>
      <c r="T186" s="945"/>
      <c r="U186" s="203">
        <f>IF($B$183="Лікар-педіатр",U185/Z185,IF($B$183="Лікар-терапевт","х",IF($B$183="Лікар загальної практики - сімейний лікар",U185/Z185,0)))</f>
        <v>5.4669703872437359E-2</v>
      </c>
      <c r="V186" s="203">
        <f>IF($B$183="Лікар-педіатр",V185/Z185,IF($B$183="Лікар-терапевт","х",IF($B$183="Лікар загальної практики - сімейний лікар",V185/Z185,0)))</f>
        <v>0.18166287015945332</v>
      </c>
      <c r="W186" s="203">
        <f>IF($B$183="Лікар-педіатр","x",IF($B$183="Лікар-терапевт",W185/Z185,IF($B$183="Лікар загальної практики - сімейний лікар",W185/Z185,0)))</f>
        <v>0.24031890660592256</v>
      </c>
      <c r="X186" s="203">
        <f>IF($B$183="Лікар-педіатр","x",IF($B$183="Лікар-терапевт",X185/Z185,IF($B$183="Лікар загальної практики - сімейний лікар",X185/Z185,0)))</f>
        <v>0.3308656036446469</v>
      </c>
      <c r="Y186" s="203">
        <f>IF($B$183="Лікар-педіатр","x",IF($B$183="Лікар-терапевт",Y185/Z185,IF($B$183="Лікар загальної практики - сімейний лікар",Y185/Z185,0)))</f>
        <v>0.19248291571753987</v>
      </c>
      <c r="Z186" s="203">
        <f t="shared" si="16"/>
        <v>1</v>
      </c>
      <c r="AA186" s="945"/>
      <c r="AB186" s="203">
        <f>IF($B$183="Лікар-педіатр",AB185/AG185,IF($B$183="Лікар-терапевт","х",IF($B$183="Лікар загальної практики - сімейний лікар",AB185/AG185,0)))</f>
        <v>5.4669703872437359E-2</v>
      </c>
      <c r="AC186" s="203">
        <f>IF($B$183="Лікар-педіатр",AC185/AG185,IF($B$183="Лікар-терапевт","х",IF($B$183="Лікар загальної практики - сімейний лікар",AC185/AG185,0)))</f>
        <v>0.18166287015945332</v>
      </c>
      <c r="AD186" s="203">
        <f>IF($B$183="Лікар-педіатр","x",IF($B$183="Лікар-терапевт",AD185/AG185,IF($B$183="Лікар загальної практики - сімейний лікар",AD185/AG185,0)))</f>
        <v>0.24031890660592256</v>
      </c>
      <c r="AE186" s="203">
        <f>IF($B$183="Лікар-педіатр","x",IF($B$183="Лікар-терапевт",AE185/AG185,IF($B$183="Лікар загальної практики - сімейний лікар",AE185/AG185,0)))</f>
        <v>0.3308656036446469</v>
      </c>
      <c r="AF186" s="203">
        <f>IF($B$183="Лікар-педіатр","x",IF($B$183="Лікар-терапевт",AF185/AG185,IF($B$183="Лікар загальної практики - сімейний лікар",AF185/AG185,0)))</f>
        <v>0.19248291571753987</v>
      </c>
      <c r="AG186" s="203">
        <f t="shared" si="17"/>
        <v>1</v>
      </c>
      <c r="AH186" s="945"/>
      <c r="AI186" s="201"/>
      <c r="AJ186" s="933"/>
      <c r="AK186" s="927"/>
      <c r="AL186" s="927"/>
      <c r="AM186" s="902"/>
      <c r="AN186" s="924"/>
      <c r="AO186" s="924"/>
      <c r="AP186" s="924"/>
      <c r="AQ186" s="924"/>
      <c r="AR186" s="915"/>
    </row>
    <row r="187" spans="1:44" s="50" customFormat="1" ht="45" customHeight="1" thickBot="1">
      <c r="A187" s="197"/>
      <c r="B187" s="941"/>
      <c r="C187" s="942"/>
      <c r="D187" s="943"/>
      <c r="E187" s="944"/>
      <c r="F187" s="204" t="s">
        <v>585</v>
      </c>
      <c r="G187" s="205">
        <f>IF($B$183="Лікар загальної практики - сімейний лікар",AVERAGE(G183:G185),IF($B$183="Лікар-педіатр",AVERAGE(G183:G185),IF($B$183="Лікар-терапевт","х",0)))</f>
        <v>96</v>
      </c>
      <c r="H187" s="205">
        <f>IF($B$183="Лікар загальної практики - сімейний лікар",AVERAGE(H183:H185),IF($B$183="Лікар-педіатр",AVERAGE(H183:H185),IF($B$183="Лікар-терапевт","х",0)))</f>
        <v>319</v>
      </c>
      <c r="I187" s="205">
        <f>IF($B$183="Лікар загальної практики - сімейний лікар",AVERAGE(I183:I185),IF($B$183="Лікар-педіатр","x",IF($B$183="Лікар-терапевт",AVERAGE(I183:I185),0)))</f>
        <v>422</v>
      </c>
      <c r="J187" s="205">
        <f>IF($B$183="Лікар загальної практики - сімейний лікар",AVERAGE(J183:J185),IF($B$183="Лікар-педіатр","x",IF($B$183="Лікар-терапевт",AVERAGE(J183:J185),0)))</f>
        <v>581</v>
      </c>
      <c r="K187" s="205">
        <f>IF($B$183="Лікар загальної практики - сімейний лікар",AVERAGE(K183:K185),IF($B$183="Лікар-педіатр","x",IF($B$183="Лікар-терапевт",AVERAGE(K183:K185),0)))</f>
        <v>338</v>
      </c>
      <c r="L187" s="206">
        <f t="shared" si="14"/>
        <v>1756</v>
      </c>
      <c r="M187" s="946"/>
      <c r="N187" s="205">
        <f>IF($B$183="Лікар загальної практики - сімейний лікар",AVERAGE(N183:N185),IF($B$183="Лікар-педіатр",AVERAGE(N183:N185),IF($B$183="Лікар-терапевт","х",0)))</f>
        <v>96</v>
      </c>
      <c r="O187" s="205">
        <f>IF($B$183="Лікар загальної практики - сімейний лікар",AVERAGE(O183:O185),IF($B$183="Лікар-педіатр",AVERAGE(O183:O185),IF($B$183="Лікар-терапевт","х",0)))</f>
        <v>319</v>
      </c>
      <c r="P187" s="205">
        <f>IF($B$183="Лікар загальної практики - сімейний лікар",AVERAGE(P183:P185),IF($B$183="Лікар-педіатр","x",IF($B$183="Лікар-терапевт",AVERAGE(P183:P185),0)))</f>
        <v>422</v>
      </c>
      <c r="Q187" s="205">
        <f>IF($B$183="Лікар загальної практики - сімейний лікар",AVERAGE(Q183:Q185),IF($B$183="Лікар-педіатр","x",IF($B$183="Лікар-терапевт",AVERAGE(Q183:Q185),0)))</f>
        <v>581</v>
      </c>
      <c r="R187" s="205">
        <f>IF($B$183="Лікар загальної практики - сімейний лікар",AVERAGE(R183:R185),IF($B$183="Лікар-педіатр","x",IF($B$183="Лікар-терапевт",AVERAGE(R183:R185),0)))</f>
        <v>338</v>
      </c>
      <c r="S187" s="206">
        <f t="shared" si="15"/>
        <v>1756</v>
      </c>
      <c r="T187" s="946"/>
      <c r="U187" s="205">
        <f>IF($B$183="Лікар загальної практики - сімейний лікар",AVERAGE(U183:U185),IF($B$183="Лікар-педіатр",AVERAGE(U183:U185),IF($B$183="Лікар-терапевт","х",0)))</f>
        <v>96</v>
      </c>
      <c r="V187" s="205">
        <f>IF($B$183="Лікар загальної практики - сімейний лікар",AVERAGE(V183:V185),IF($B$183="Лікар-педіатр",AVERAGE(V183:V185),IF($B$183="Лікар-терапевт","х",0)))</f>
        <v>319</v>
      </c>
      <c r="W187" s="205">
        <f>IF($B$183="Лікар загальної практики - сімейний лікар",AVERAGE(W183:W185),IF($B$183="Лікар-педіатр","x",IF($B$183="Лікар-терапевт",AVERAGE(W183:W185),0)))</f>
        <v>422</v>
      </c>
      <c r="X187" s="205">
        <f>IF($B$183="Лікар загальної практики - сімейний лікар",AVERAGE(X183:X185),IF($B$183="Лікар-педіатр","x",IF($B$183="Лікар-терапевт",AVERAGE(X183:X185),0)))</f>
        <v>581</v>
      </c>
      <c r="Y187" s="205">
        <f>IF($B$183="Лікар загальної практики - сімейний лікар",AVERAGE(Y183:Y185),IF($B$183="Лікар-педіатр","x",IF($B$183="Лікар-терапевт",AVERAGE(Y183:Y185),0)))</f>
        <v>338</v>
      </c>
      <c r="Z187" s="206">
        <f t="shared" si="16"/>
        <v>1756</v>
      </c>
      <c r="AA187" s="946"/>
      <c r="AB187" s="205">
        <f>IF($B$183="Лікар загальної практики - сімейний лікар",AVERAGE(AB183:AB185),IF($B$183="Лікар-педіатр",AVERAGE(AB183:AB185),IF($B$183="Лікар-терапевт","х",0)))</f>
        <v>96</v>
      </c>
      <c r="AC187" s="205">
        <f>IF($B$183="Лікар загальної практики - сімейний лікар",AVERAGE(AC183:AC185),IF($B$183="Лікар-педіатр",AVERAGE(AC183:AC185),IF($B$183="Лікар-терапевт","х",0)))</f>
        <v>319</v>
      </c>
      <c r="AD187" s="205">
        <f>IF($B$183="Лікар загальної практики - сімейний лікар",AVERAGE(AD183:AD185),IF($B$183="Лікар-педіатр","x",IF($B$183="Лікар-терапевт",AVERAGE(AD183:AD185),0)))</f>
        <v>422</v>
      </c>
      <c r="AE187" s="205">
        <f>IF($B$183="Лікар загальної практики - сімейний лікар",AVERAGE(AE183:AE185),IF($B$183="Лікар-педіатр","x",IF($B$183="Лікар-терапевт",AVERAGE(AE183:AE185),0)))</f>
        <v>581</v>
      </c>
      <c r="AF187" s="205">
        <f>IF($B$183="Лікар загальної практики - сімейний лікар",AVERAGE(AF183:AF185),IF($B$183="Лікар-педіатр","x",IF($B$183="Лікар-терапевт",AVERAGE(AF183:AF185),0)))</f>
        <v>338</v>
      </c>
      <c r="AG187" s="206">
        <f t="shared" si="17"/>
        <v>1756</v>
      </c>
      <c r="AH187" s="947"/>
      <c r="AI187" s="201"/>
      <c r="AJ187" s="933"/>
      <c r="AK187" s="927"/>
      <c r="AL187" s="927"/>
      <c r="AM187" s="903"/>
      <c r="AN187" s="925"/>
      <c r="AO187" s="925"/>
      <c r="AP187" s="925"/>
      <c r="AQ187" s="925"/>
      <c r="AR187" s="916"/>
    </row>
    <row r="188" spans="1:44" s="50" customFormat="1" ht="40.5">
      <c r="A188" s="197"/>
      <c r="B188" s="941"/>
      <c r="C188" s="942"/>
      <c r="D188" s="943"/>
      <c r="E188" s="943"/>
      <c r="F188" s="237" t="str">
        <f ca="1">IF(B183="Лікар-педіатр",Законод!$C$17,IF(B183="Лікар загальної практики - сімейний лікар",Законод!$C$21,IF(B183="Лікар-терапевт",Законод!$C$25,"х")))</f>
        <v>ліміт (до 1800)</v>
      </c>
      <c r="G188" s="208">
        <f ca="1">IF($B$183="Лікар загальної практики - сімейний лікар",IF(L187&lt;=Законод!$C$22,G187,Законод!$C$22*'01_Доходи'!G186),IF($B$183="Лікар-педіатр",IF(L187&lt;=Законод!$C$18,G187,Законод!$C$18*'01_Доходи'!G186),IF($B$183="Лікар-терапевт","x",0)))</f>
        <v>96</v>
      </c>
      <c r="H188" s="208">
        <f ca="1">IF($B$183="Лікар загальної практики - сімейний лікар",IF(L187&lt;=Законод!$C$22,H187,Законод!$C$22*'01_Доходи'!H186),IF($B$183="Лікар-педіатр",IF(L187&lt;=Законод!$C$18,H187,Законод!$C$18*'01_Доходи'!H186),IF($B$183="Лікар-терапевт","x",0)))</f>
        <v>319</v>
      </c>
      <c r="I188" s="208">
        <f ca="1">IF($B$183="Лікар загальної практики - сімейний лікар",IF(L187&lt;=Законод!$C$22,I187,Законод!$C$22*'01_Доходи'!I186),IF($B$183="Лікар-педіатр","x",IF($B$183="Лікар-терапевт",IF(L187&lt;=Законод!$C$26,I187,Законод!$C$26*'01_Доходи'!I186),0)))</f>
        <v>422</v>
      </c>
      <c r="J188" s="208">
        <f ca="1">IF($B$183="Лікар загальної практики - сімейний лікар",IF(L187&lt;=Законод!$C$22,J187,Законод!$C$22*'01_Доходи'!J186),IF($B$183="Лікар-педіатр","x",IF($B$183="Лікар-терапевт",IF(L187&lt;=Законод!$C$26,J187,Законод!$C$26*'01_Доходи'!J186),0)))</f>
        <v>581</v>
      </c>
      <c r="K188" s="208">
        <f ca="1">IF($B$183="Лікар загальної практики - сімейний лікар",IF(L187&lt;=Законод!$C$22,K187,Законод!$C$22*'01_Доходи'!K186),IF($B$183="Лікар-педіатр","x",IF($B$183="Лікар-терапевт",IF(L187&lt;=Законод!$C$26,K187,Законод!$C$26*'01_Доходи'!K186),0)))</f>
        <v>338</v>
      </c>
      <c r="L188" s="209">
        <f t="shared" si="14"/>
        <v>1756</v>
      </c>
      <c r="M188" s="945"/>
      <c r="N188" s="208">
        <f ca="1">IF($B$183="Лікар загальної практики - сімейний лікар",IF(S187&lt;=Законод!$C$22,N187,Законод!$C$22*'01_Доходи'!N186),IF($B$183="Лікар-педіатр",IF(S187&lt;=Законод!$C$18,N187,Законод!$C$18*'01_Доходи'!N186),IF($B$183="Лікар-терапевт","x",0)))</f>
        <v>96</v>
      </c>
      <c r="O188" s="208">
        <f ca="1">IF($B$183="Лікар загальної практики - сімейний лікар",IF(S187&lt;=Законод!$C$22,O187,Законод!$C$22*'01_Доходи'!O186),IF($B$183="Лікар-педіатр",IF(S187&lt;=Законод!$C$18,O187,Законод!$C$18*'01_Доходи'!O186),IF($B$183="Лікар-терапевт","x",0)))</f>
        <v>319</v>
      </c>
      <c r="P188" s="208">
        <f ca="1">IF($B$183="Лікар загальної практики - сімейний лікар",IF(S187&lt;=Законод!$C$22,P187,Законод!$C$22*'01_Доходи'!P186),IF($B$183="Лікар-педіатр","x",IF($B$183="Лікар-терапевт",IF(S187&lt;=Законод!$C$26,P187,Законод!$C$26*'01_Доходи'!P186),0)))</f>
        <v>422</v>
      </c>
      <c r="Q188" s="208">
        <f ca="1">IF($B$183="Лікар загальної практики - сімейний лікар",IF(S187&lt;=Законод!$C$22,Q187,Законод!$C$22*'01_Доходи'!Q186),IF($B$183="Лікар-педіатр","x",IF($B$183="Лікар-терапевт",IF(S187&lt;=Законод!$C$26,Q187,Законод!$C$26*'01_Доходи'!Q186),0)))</f>
        <v>581</v>
      </c>
      <c r="R188" s="208">
        <f ca="1">IF($B$183="Лікар загальної практики - сімейний лікар",IF(S187&lt;=Законод!$C$22,R187,Законод!$C$22*'01_Доходи'!R186),IF($B$183="Лікар-педіатр","x",IF($B$183="Лікар-терапевт",IF(S187&lt;=Законод!$C$26,R187,Законод!$C$26*'01_Доходи'!R186),0)))</f>
        <v>338</v>
      </c>
      <c r="S188" s="209">
        <f t="shared" si="15"/>
        <v>1756</v>
      </c>
      <c r="T188" s="945"/>
      <c r="U188" s="208">
        <f ca="1">IF($B$183="Лікар загальної практики - сімейний лікар",IF(Z187&lt;=Законод!$C$22,U187,Законод!$C$22*'01_Доходи'!U186),IF($B$183="Лікар-педіатр",IF(Z187&lt;=Законод!$C$18,U187,Законод!$C$18*'01_Доходи'!U186),IF($B$183="Лікар-терапевт","x",0)))</f>
        <v>96</v>
      </c>
      <c r="V188" s="208">
        <f ca="1">IF($B$183="Лікар загальної практики - сімейний лікар",IF(Z187&lt;=Законод!$C$22,V187,Законод!$C$22*'01_Доходи'!V186),IF($B$183="Лікар-педіатр",IF(Z187&lt;=Законод!$C$18,V187,Законод!$C$18*'01_Доходи'!V186),IF($B$183="Лікар-терапевт","x",0)))</f>
        <v>319</v>
      </c>
      <c r="W188" s="208">
        <f ca="1">IF($B$183="Лікар загальної практики - сімейний лікар",IF(Z187&lt;=Законод!$C$22,W187,Законод!$C$22*'01_Доходи'!W186),IF($B$183="Лікар-педіатр","x",IF($B$183="Лікар-терапевт",IF(Z187&lt;=Законод!$C$26,W187,Законод!$C$26*'01_Доходи'!W186),0)))</f>
        <v>422</v>
      </c>
      <c r="X188" s="208">
        <f ca="1">IF($B$183="Лікар загальної практики - сімейний лікар",IF(Z187&lt;=Законод!$C$22,X187,Законод!$C$22*'01_Доходи'!X186),IF($B$183="Лікар-педіатр","x",IF($B$183="Лікар-терапевт",IF(Z187&lt;=Законод!$C$26,X187,Законод!$C$26*'01_Доходи'!X186),0)))</f>
        <v>581</v>
      </c>
      <c r="Y188" s="208">
        <f ca="1">IF($B$183="Лікар загальної практики - сімейний лікар",IF(Z187&lt;=Законод!$C$22,Y187,Законод!$C$22*'01_Доходи'!Y186),IF($B$183="Лікар-педіатр","x",IF($B$183="Лікар-терапевт",IF(Z187&lt;=Законод!$C$26,Y187,Законод!$C$26*'01_Доходи'!Y186),0)))</f>
        <v>338</v>
      </c>
      <c r="Z188" s="209">
        <f t="shared" si="16"/>
        <v>1756</v>
      </c>
      <c r="AA188" s="945"/>
      <c r="AB188" s="208">
        <f ca="1">IF($B$183="Лікар загальної практики - сімейний лікар",IF(AG187&lt;=Законод!$C$22,AB187,Законод!$C$22*'01_Доходи'!AB186),IF($B$183="Лікар-педіатр",IF(AG187&lt;=Законод!$C$18,AB187,Законод!$C$18*'01_Доходи'!AB186),IF($B$183="Лікар-терапевт","x",0)))</f>
        <v>96</v>
      </c>
      <c r="AC188" s="208">
        <f ca="1">IF($B$183="Лікар загальної практики - сімейний лікар",IF(AG187&lt;=Законод!$C$22,AC187,Законод!$C$22*'01_Доходи'!AC186),IF($B$183="Лікар-педіатр",IF(AG187&lt;=Законод!$C$18,AC187,Законод!$C$18*'01_Доходи'!AC186),IF($B$183="Лікар-терапевт","x",0)))</f>
        <v>319</v>
      </c>
      <c r="AD188" s="208">
        <f ca="1">IF($B$183="Лікар загальної практики - сімейний лікар",IF(AG187&lt;=Законод!$C$22,AD187,Законод!$C$22*'01_Доходи'!AD186),IF($B$183="Лікар-педіатр","x",IF($B$183="Лікар-терапевт",IF(AG187&lt;=Законод!$C$26,AD187,Законод!$C$26*'01_Доходи'!AD186),0)))</f>
        <v>422</v>
      </c>
      <c r="AE188" s="208">
        <f ca="1">IF($B$183="Лікар загальної практики - сімейний лікар",IF(AG187&lt;=Законод!$C$22,AE187,Законод!$C$22*'01_Доходи'!AE186),IF($B$183="Лікар-педіатр","x",IF($B$183="Лікар-терапевт",IF(AG187&lt;=Законод!$C$26,AE187,Законод!$C$26*'01_Доходи'!AE186),0)))</f>
        <v>581</v>
      </c>
      <c r="AF188" s="208">
        <f ca="1">IF($B$183="Лікар загальної практики - сімейний лікар",IF(AG187&lt;=Законод!$C$22,AF187,Законод!$C$22*'01_Доходи'!AF186),IF($B$183="Лікар-педіатр","x",IF($B$183="Лікар-терапевт",IF(AG187&lt;=Законод!$C$26,AF187,Законод!$C$26*'01_Доходи'!AF186),0)))</f>
        <v>338</v>
      </c>
      <c r="AG188" s="209">
        <f t="shared" si="17"/>
        <v>1756</v>
      </c>
      <c r="AH188" s="945"/>
      <c r="AI188" s="201"/>
      <c r="AJ188" s="933"/>
      <c r="AK188" s="927"/>
      <c r="AL188" s="927"/>
      <c r="AM188" s="348" t="s">
        <v>374</v>
      </c>
      <c r="AN188" s="210">
        <f ca="1">IF(B183="Лікар загальної практики - сімейний лікар",G188*Законод!$C$11+'01_Доходи'!H188*Законод!$D$11+'01_Доходи'!I188*Законод!$E$11+'01_Доходи'!J188*Законод!$F$11+'01_Доходи'!K188*Законод!$G$11,IF(B183="Лікар-педіатр",G188*Законод!$C$11+'01_Доходи'!H188*Законод!$D$11,IF(B183="Лікар-терапевт",'01_Доходи'!I188*Законод!$E$11+'01_Доходи'!J188*Законод!$F$11+'01_Доходи'!K188*Законод!$G$11,0)))</f>
        <v>349062.36778750003</v>
      </c>
      <c r="AO188" s="210">
        <f ca="1">IF(B183="Лікар загальної практики - сімейний лікар",N188*Законод!$C$11+'01_Доходи'!O188*Законод!$D$11+'01_Доходи'!P188*Законод!$E$11+'01_Доходи'!Q188*Законод!$F$11+'01_Доходи'!R188*Законод!$G$11,IF(B183="Лікар-педіатр",N188*Законод!$C$11+'01_Доходи'!O188*Законод!$D$11,IF(B183="Лікар-терапевт",'01_Доходи'!P188*Законод!$E$11+'01_Доходи'!Q188*Законод!$F$11+'01_Доходи'!R188*Законод!$G$11,0)))</f>
        <v>349062.36778750003</v>
      </c>
      <c r="AP188" s="210">
        <f ca="1">IF(B183="Лікар загальної практики - сімейний лікар",U188*Законод!$C$11+'01_Доходи'!V188*Законод!$D$11+'01_Доходи'!W188*Законод!$E$11+'01_Доходи'!X188*Законод!$F$11+'01_Доходи'!Y188*Законод!$G$11,IF(B183="Лікар-педіатр",U188*Законод!$C$11+'01_Доходи'!V188*Законод!$D$11,IF(B183="Лікар-терапевт",'01_Доходи'!W188*Законод!$E$11+'01_Доходи'!X188*Законод!$F$11+'01_Доходи'!Y188*Законод!$G$11,0)))</f>
        <v>349062.36778750003</v>
      </c>
      <c r="AQ188" s="210">
        <f ca="1">IF(B183="Лікар загальної практики - сімейний лікар",AB188*Законод!$C$11+'01_Доходи'!AC188*Законод!$D$11+'01_Доходи'!AD188*Законод!$E$11+'01_Доходи'!AE188*Законод!$F$11+'01_Доходи'!AF188*Законод!$G$11,IF(B183="Лікар-педіатр",AB188*Законод!$C$11+'01_Доходи'!AC188*Законод!$D$11,IF(B183="Лікар-терапевт",'01_Доходи'!AD188*Законод!$E$11+'01_Доходи'!AE188*Законод!$F$11+'01_Доходи'!AF188*Законод!$G$11,0)))</f>
        <v>349062.36778750003</v>
      </c>
      <c r="AR188" s="211">
        <f t="shared" ref="AR188:AR194" si="18">SUM(AN188:AQ188)</f>
        <v>1396249.4711500001</v>
      </c>
    </row>
    <row r="189" spans="1:44" s="50" customFormat="1" ht="31.9" customHeight="1">
      <c r="A189" s="197"/>
      <c r="B189" s="941"/>
      <c r="C189" s="942"/>
      <c r="D189" s="943"/>
      <c r="E189" s="943"/>
      <c r="F189" s="238" t="str">
        <f ca="1">IF(B183="Лікар-педіатр",Законод!$E$17,IF(B183="Лікар загальної практики - сімейний лікар",Законод!$E$21,IF(B183="Лікар-терапевт",Законод!$E$25,"х")))</f>
        <v>понад ліміт (1801-1980)</v>
      </c>
      <c r="G189" s="940" t="s">
        <v>346</v>
      </c>
      <c r="H189" s="940"/>
      <c r="I189" s="940"/>
      <c r="J189" s="940"/>
      <c r="K189" s="940"/>
      <c r="L189" s="196">
        <f ca="1">IF($B$183="Лікар загальної практики - сімейний лікар",IF(L187&lt;Законод!$C$22,0,(IF(AND(L187&gt;=Законод!$E$22,L187&lt;=Законод!$E$23),L187-Законод!$C$22,IF('01_Доходи'!L187&gt;=Законод!$F$22,Законод!$E$24,0)))),IF($B$183="Лікар-педіатр",IF(L187&lt;Законод!$C$18,0,(IF(AND(L187&gt;=Законод!$E$18,L187&lt;=Законод!$E$19),L187-Законод!$C$18,IF('01_Доходи'!L187&gt;=Законод!$F$18,Законод!$E$20,0)))),IF($B$183="Лікар-терапевт",IF(L187&lt;Законод!$C$26,0,(IF(AND(L187&gt;=Законод!$E$26,L187&lt;=Законод!$E$27),L187-Законод!$C$26,IF('01_Доходи'!L187&gt;=Законод!$F$26,Законод!$E$28,0)))),0)))</f>
        <v>0</v>
      </c>
      <c r="M189" s="945"/>
      <c r="N189" s="940" t="s">
        <v>346</v>
      </c>
      <c r="O189" s="940"/>
      <c r="P189" s="940"/>
      <c r="Q189" s="940"/>
      <c r="R189" s="940"/>
      <c r="S189" s="196">
        <f ca="1">IF($B$183="Лікар загальної практики - сімейний лікар",IF(S187&lt;Законод!$C$22,0,(IF(AND(S187&gt;=Законод!$E$22,S187&lt;=Законод!$E$23),S187-Законод!$C$22,IF('01_Доходи'!S187&gt;=Законод!$F$22,Законод!$E$24,0)))),IF($B$183="Лікар-педіатр",IF(S187&lt;Законод!$C$18,0,(IF(AND(S187&gt;=Законод!$E$18,S187&lt;=Законод!$E$19),S187-Законод!$C$18,IF('01_Доходи'!S187&gt;=Законод!$F$18,Законод!$E$20,0)))),IF($B$183="Лікар-терапевт",IF(S187&lt;Законод!$C$26,0,(IF(AND(S187&gt;=Законод!$E$26,S187&lt;=Законод!$E$27),S187-Законод!$C$26,IF('01_Доходи'!S187&gt;=Законод!$F$26,Законод!$E$28,0)))),0)))</f>
        <v>0</v>
      </c>
      <c r="T189" s="945"/>
      <c r="U189" s="940" t="s">
        <v>346</v>
      </c>
      <c r="V189" s="940"/>
      <c r="W189" s="940"/>
      <c r="X189" s="940"/>
      <c r="Y189" s="940"/>
      <c r="Z189" s="196">
        <f ca="1">IF($B$183="Лікар загальної практики - сімейний лікар",IF(Z187&lt;Законод!$C$22,0,(IF(AND(Z187&gt;=Законод!$E$22,Z187&lt;=Законод!$E$23),Z187-Законод!$C$22,IF('01_Доходи'!Z187&gt;=Законод!$F$22,Законод!$E$24,0)))),IF($B$183="Лікар-педіатр",IF(Z187&lt;Законод!$C$18,0,(IF(AND(Z187&gt;=Законод!$E$18,Z187&lt;=Законод!$E$19),Z187-Законод!$C$18,IF('01_Доходи'!Z187&gt;=Законод!$F$18,Законод!$E$20,0)))),IF($B$183="Лікар-терапевт",IF(Z187&lt;Законод!$C$26,0,(IF(AND(Z187&gt;=Законод!$E$26,Z187&lt;=Законод!$E$27),Z187-Законод!$C$26,IF('01_Доходи'!Z187&gt;=Законод!$F$26,Законод!$E$28,0)))),0)))</f>
        <v>0</v>
      </c>
      <c r="AA189" s="945"/>
      <c r="AB189" s="940" t="s">
        <v>346</v>
      </c>
      <c r="AC189" s="940"/>
      <c r="AD189" s="940"/>
      <c r="AE189" s="940"/>
      <c r="AF189" s="940"/>
      <c r="AG189" s="196">
        <f ca="1">IF($B$183="Лікар загальної практики - сімейний лікар",IF(AG187&lt;Законод!$C$22,0,(IF(AND(AG187&gt;=Законод!$E$22,AG187&lt;=Законод!$E$23),AG187-Законод!$C$22,IF('01_Доходи'!AG187&gt;=Законод!$F$22,Законод!$E$24,0)))),IF($B$183="Лікар-педіатр",IF(AG187&lt;Законод!$C$18,0,(IF(AND(AG187&gt;=Законод!$E$18,AG187&lt;=Законод!$E$19),AG187-Законод!$C$18,IF('01_Доходи'!AG187&gt;=Законод!$F$18,Законод!$E$20,0)))),IF($B$183="Лікар-терапевт",IF(AG187&lt;Законод!$C$26,0,(IF(AND(AG187&gt;=Законод!$E$26,AG187&lt;=Законод!$E$27),AG187-Законод!$C$26,IF('01_Доходи'!AG187&gt;=Законод!$F$26,Законод!$E$28,0)))),0)))</f>
        <v>0</v>
      </c>
      <c r="AH189" s="945"/>
      <c r="AI189" s="201"/>
      <c r="AJ189" s="933"/>
      <c r="AK189" s="927"/>
      <c r="AL189" s="927"/>
      <c r="AM189" s="898" t="s">
        <v>375</v>
      </c>
      <c r="AN189" s="210">
        <f ca="1">IF(B183="Лікар загальної практики - сімейний лікар",L189*Законод!$C$9/4*Законод!$E$16,IF(B183="Лікар-педіатр",L189*Законод!$C$9/4*Законод!$E$16,IF(B183="Лікар-терапевт",L189*Законод!$C$9/4*Законод!$E$16,0)))</f>
        <v>0</v>
      </c>
      <c r="AO189" s="210">
        <f ca="1">IF(B183="Лікар загальної практики - сімейний лікар",S189*Законод!$C$9/4*Законод!$E$16,IF(B183="Лікар-педіатр",S189*Законод!$C$9/4*Законод!$E$16,IF(B183="Лікар-терапевт",S189*Законод!$C$9/4*Законод!$E$16,0)))</f>
        <v>0</v>
      </c>
      <c r="AP189" s="210">
        <f ca="1">IF(B183="Лікар загальної практики - сімейний лікар",Z189*Законод!$C$9/4*Законод!$E$16,IF(B183="Лікар-педіатр",Z189*Законод!$C$9/4*Законод!$E$16,IF(B183="Лікар-терапевт",Z189*Законод!$C$9/4*Законод!$E$16,0)))</f>
        <v>0</v>
      </c>
      <c r="AQ189" s="210">
        <f ca="1">IF(B183="Лікар загальної практики - сімейний лікар",AG189*Законод!$C$9/4*Законод!$E$16,IF(B183="Лікар-педіатр",AG189*Законод!$C$9/4*Законод!$E$16,IF(B183="Лікар-терапевт",AG189*Законод!$C$9/4*Законод!$E$16,0)))</f>
        <v>0</v>
      </c>
      <c r="AR189" s="211">
        <f t="shared" si="18"/>
        <v>0</v>
      </c>
    </row>
    <row r="190" spans="1:44" s="50" customFormat="1" ht="31.9" customHeight="1">
      <c r="A190" s="197"/>
      <c r="B190" s="941"/>
      <c r="C190" s="942"/>
      <c r="D190" s="943"/>
      <c r="E190" s="943"/>
      <c r="F190" s="238" t="str">
        <f ca="1">IF(B183="Лікар-педіатр",Законод!$F$17,IF(B183="Лікар загальної практики - сімейний лікар",Законод!$F$21,IF(B183="Лікар-терапевт",Законод!$F$25,"х")))</f>
        <v>понад ліміт (1981-2160)</v>
      </c>
      <c r="G190" s="940" t="s">
        <v>346</v>
      </c>
      <c r="H190" s="940"/>
      <c r="I190" s="940"/>
      <c r="J190" s="940"/>
      <c r="K190" s="940"/>
      <c r="L190" s="196">
        <f ca="1">IF($B$183="Лікар загальної практики - сімейний лікар",IF(L187&lt;Законод!$C$22,0,(IF(AND(L187&gt;=Законод!$F$22,L187&lt;=Законод!$F$23),L187-Законод!$E$23,IF('01_Доходи'!L187&gt;=Законод!$G$22,Законод!$F$24,0)))),IF($B$183="Лікар-педіатр",IF(L187&lt;Законод!$C$18,0,(IF(AND(L187&gt;=Законод!$F$18,L187&lt;=Законод!$F$19),L187-Законод!$E$19,IF('01_Доходи'!L187&gt;=Законод!$G$18,Законод!$F$20,0)))),IF($B$183="Лікар-терапевт",IF(L187&lt;Законод!$C$26,0,(IF(AND(L187&gt;=Законод!$F$26,L187&lt;=Законод!$F$27),L187-Законод!$E$27,IF('01_Доходи'!L187&gt;=Законод!$G$26,Законод!$F$28,0)))),0)))</f>
        <v>0</v>
      </c>
      <c r="M190" s="945"/>
      <c r="N190" s="940" t="s">
        <v>346</v>
      </c>
      <c r="O190" s="940"/>
      <c r="P190" s="940"/>
      <c r="Q190" s="940"/>
      <c r="R190" s="940"/>
      <c r="S190" s="196">
        <f ca="1">IF($B$183="Лікар загальної практики - сімейний лікар",IF(S187&lt;Законод!$C$22,0,(IF(AND(S187&gt;=Законод!$F$22,S187&lt;=Законод!$F$23),S187-Законод!$E$23,IF('01_Доходи'!S187&gt;=Законод!$G$22,Законод!$F$24,0)))),IF($B$183="Лікар-педіатр",IF(S187&lt;Законод!$C$18,0,(IF(AND(S187&gt;=Законод!$F$18,S187&lt;=Законод!$F$19),S187-Законод!$E$19,IF('01_Доходи'!S187&gt;=Законод!$G$18,Законод!$F$20,0)))),IF($B$183="Лікар-терапевт",IF(S187&lt;Законод!$C$26,0,(IF(AND(S187&gt;=Законод!$F$26,S187&lt;=Законод!$F$27),S187-Законод!$E$27,IF('01_Доходи'!S187&gt;=Законод!$G$26,Законод!$F$28,0)))),0)))</f>
        <v>0</v>
      </c>
      <c r="T190" s="945"/>
      <c r="U190" s="940" t="s">
        <v>346</v>
      </c>
      <c r="V190" s="940"/>
      <c r="W190" s="940"/>
      <c r="X190" s="940"/>
      <c r="Y190" s="940"/>
      <c r="Z190" s="196">
        <f ca="1">IF($B$183="Лікар загальної практики - сімейний лікар",IF(Z187&lt;Законод!$C$22,0,(IF(AND(Z187&gt;=Законод!$F$22,Z187&lt;=Законод!$F$23),Z187-Законод!$E$23,IF('01_Доходи'!Z187&gt;=Законод!$G$22,Законод!$F$24,0)))),IF($B$183="Лікар-педіатр",IF(Z187&lt;Законод!$C$18,0,(IF(AND(Z187&gt;=Законод!$F$18,Z187&lt;=Законод!$F$19),Z187-Законод!$E$19,IF('01_Доходи'!Z187&gt;=Законод!$G$18,Законод!$F$20,0)))),IF($B$183="Лікар-терапевт",IF(Z187&lt;Законод!$C$26,0,(IF(AND(Z187&gt;=Законод!$F$26,Z187&lt;=Законод!$F$27),Z187-Законод!$E$27,IF('01_Доходи'!Z187&gt;=Законод!$G$26,Законод!$F$28,0)))),0)))</f>
        <v>0</v>
      </c>
      <c r="AA190" s="945"/>
      <c r="AB190" s="940" t="s">
        <v>346</v>
      </c>
      <c r="AC190" s="940"/>
      <c r="AD190" s="940"/>
      <c r="AE190" s="940"/>
      <c r="AF190" s="940"/>
      <c r="AG190" s="196">
        <f ca="1">IF($B$183="Лікар загальної практики - сімейний лікар",IF(AG187&lt;Законод!$C$22,0,(IF(AND(AG187&gt;=Законод!$F$22,AG187&lt;=Законод!$F$23),AG187-Законод!$E$23,IF('01_Доходи'!AG187&gt;=Законод!$G$22,Законод!$F$24,0)))),IF($B$183="Лікар-педіатр",IF(AG187&lt;Законод!$C$18,0,(IF(AND(AG187&gt;=Законод!$F$18,AG187&lt;=Законод!$F$19),AG187-Законод!$E$19,IF('01_Доходи'!AG187&gt;=Законод!$G$18,Законод!$F$20,0)))),IF($B$183="Лікар-терапевт",IF(AG187&lt;Законод!$C$26,0,(IF(AND(AG187&gt;=Законод!$F$26,AG187&lt;=Законод!$F$27),AG187-Законод!$E$27,IF('01_Доходи'!AG187&gt;=Законод!$G$26,Законод!$F$28,0)))),0)))</f>
        <v>0</v>
      </c>
      <c r="AH190" s="945"/>
      <c r="AI190" s="201"/>
      <c r="AJ190" s="933"/>
      <c r="AK190" s="927"/>
      <c r="AL190" s="927"/>
      <c r="AM190" s="899"/>
      <c r="AN190" s="210">
        <f ca="1">IF(B183="Лікар загальної практики - сімейний лікар",L190*Законод!$C$9/4*Законод!$F$16,IF(B183="Лікар-педіатр",L190*Законод!$C$9/4*Законод!$F$16,IF(B183="Лікар-терапевт",L190*Законод!$C$9/4*Законод!$F$16,0)))</f>
        <v>0</v>
      </c>
      <c r="AO190" s="210">
        <f ca="1">IF(B183="Лікар загальної практики - сімейний лікар",S190*Законод!$C$9/4*Законод!$F$16,IF(B183="Лікар-педіатр",S190*Законод!$C$9/4*Законод!$F$16,IF(B183="Лікар-терапевт",S190*Законод!$C$9/4*Законод!$F$16,0)))</f>
        <v>0</v>
      </c>
      <c r="AP190" s="210">
        <f ca="1">IF(B183="Лікар загальної практики - сімейний лікар",Z190*Законод!$C$9/4*Законод!$F$16,IF(B183="Лікар-педіатр",Z190*Законод!$C$9/4*Законод!$F$16,IF(B183="Лікар-терапевт",Z190*Законод!$C$9/4*Законод!$F$16,0)))</f>
        <v>0</v>
      </c>
      <c r="AQ190" s="210">
        <f ca="1">IF(B183="Лікар загальної практики - сімейний лікар",AG190*Законод!$C$9/4*Законод!$F$16,IF(B183="Лікар-педіатр",AG190*Законод!$C$9/4*Законод!$F$16,IF(B183="Лікар-терапевт",AG190*Законод!$C$9/4*Законод!$F$16,0)))</f>
        <v>0</v>
      </c>
      <c r="AR190" s="211">
        <f t="shared" si="18"/>
        <v>0</v>
      </c>
    </row>
    <row r="191" spans="1:44" s="50" customFormat="1" ht="31.9" customHeight="1">
      <c r="A191" s="197"/>
      <c r="B191" s="941"/>
      <c r="C191" s="942"/>
      <c r="D191" s="943"/>
      <c r="E191" s="943"/>
      <c r="F191" s="238" t="str">
        <f ca="1">IF(B183="Лікар-педіатр",Законод!$G$17,IF(B183="Лікар загальної практики - сімейний лікар",Законод!$G$21,IF(B183="Лікар-терапевт",Законод!$G$25,"х")))</f>
        <v>понад ліміт (2161-2340)</v>
      </c>
      <c r="G191" s="940" t="s">
        <v>346</v>
      </c>
      <c r="H191" s="940"/>
      <c r="I191" s="940"/>
      <c r="J191" s="940"/>
      <c r="K191" s="940"/>
      <c r="L191" s="196">
        <f ca="1">IF($B$183="Лікар загальної практики - сімейний лікар",IF(L187&lt;Законод!$C$22,0,(IF(AND(L187&gt;=Законод!$G$22,L187&lt;=Законод!$G$23),L187-Законод!$F$23,IF('01_Доходи'!L187&gt;=Законод!$H$22,Законод!$G$24,0)))),IF($B$183="Лікар-педіатр",IF(L187&lt;Законод!$C$18,0,(IF(AND(L187&gt;=Законод!$G$18,L187&lt;=Законод!$G$19),L187-Законод!$F$19,IF('01_Доходи'!L187&gt;=Законод!$H$18,Законод!$G$20,0)))),IF($B$183="Лікар-терапевт",IF(L187&lt;Законод!$C$26,0,(IF(AND(L187&gt;=Законод!$G$26,L187&lt;=Законод!$G$27),L187-Законод!$F$27,IF('01_Доходи'!L187&gt;=Законод!$H$26,Законод!$G$28,0)))),0)))</f>
        <v>0</v>
      </c>
      <c r="M191" s="945"/>
      <c r="N191" s="940" t="s">
        <v>346</v>
      </c>
      <c r="O191" s="940"/>
      <c r="P191" s="940"/>
      <c r="Q191" s="940"/>
      <c r="R191" s="940"/>
      <c r="S191" s="196">
        <f ca="1">IF($B$183="Лікар загальної практики - сімейний лікар",IF(S187&lt;Законод!$C$22,0,(IF(AND(S187&gt;=Законод!$G$22,S187&lt;=Законод!$G$23),S187-Законод!$F$23,IF('01_Доходи'!S187&gt;=Законод!$H$22,Законод!$G$24,0)))),IF($B$183="Лікар-педіатр",IF(S187&lt;Законод!$C$18,0,(IF(AND(S187&gt;=Законод!$G$18,S187&lt;=Законод!$G$19),S187-Законод!$F$19,IF('01_Доходи'!S187&gt;=Законод!$H$18,Законод!$G$20,0)))),IF($B$183="Лікар-терапевт",IF(S187&lt;Законод!$C$26,0,(IF(AND(S187&gt;=Законод!$G$26,S187&lt;=Законод!$G$27),S187-Законод!$F$27,IF('01_Доходи'!S187&gt;=Законод!$H$26,Законод!$G$28,0)))),0)))</f>
        <v>0</v>
      </c>
      <c r="T191" s="945"/>
      <c r="U191" s="940" t="s">
        <v>346</v>
      </c>
      <c r="V191" s="940"/>
      <c r="W191" s="940"/>
      <c r="X191" s="940"/>
      <c r="Y191" s="940"/>
      <c r="Z191" s="196">
        <f ca="1">IF($B$183="Лікар загальної практики - сімейний лікар",IF(Z187&lt;Законод!$C$22,0,(IF(AND(Z187&gt;=Законод!$G$22,Z187&lt;=Законод!$G$23),Z187-Законод!$F$23,IF('01_Доходи'!Z187&gt;=Законод!$H$22,Законод!$G$24,0)))),IF($B$183="Лікар-педіатр",IF(Z187&lt;Законод!$C$18,0,(IF(AND(Z187&gt;=Законод!$G$18,Z187&lt;=Законод!$G$19),Z187-Законод!$F$19,IF('01_Доходи'!Z187&gt;=Законод!$H$18,Законод!$G$20,0)))),IF($B$183="Лікар-терапевт",IF(Z187&lt;Законод!$C$26,0,(IF(AND(Z187&gt;=Законод!$G$26,Z187&lt;=Законод!$G$27),Z187-Законод!$F$27,IF('01_Доходи'!Z187&gt;=Законод!$H$26,Законод!$G$28,0)))),0)))</f>
        <v>0</v>
      </c>
      <c r="AA191" s="945"/>
      <c r="AB191" s="940" t="s">
        <v>346</v>
      </c>
      <c r="AC191" s="940"/>
      <c r="AD191" s="940"/>
      <c r="AE191" s="940"/>
      <c r="AF191" s="940"/>
      <c r="AG191" s="196">
        <f ca="1">IF($B$183="Лікар загальної практики - сімейний лікар",IF(AG187&lt;Законод!$C$22,0,(IF(AND(AG187&gt;=Законод!$G$22,AG187&lt;=Законод!$G$23),AG187-Законод!$F$23,IF('01_Доходи'!AG187&gt;=Законод!$H$22,Законод!$G$24,0)))),IF($B$183="Лікар-педіатр",IF(AG187&lt;Законод!$C$18,0,(IF(AND(AG187&gt;=Законод!$G$18,AG187&lt;=Законод!$G$19),AG187-Законод!$F$19,IF('01_Доходи'!AG187&gt;=Законод!$H$18,Законод!$G$20,0)))),IF($B$183="Лікар-терапевт",IF(AG187&lt;Законод!$C$26,0,(IF(AND(AG187&gt;=Законод!$G$26,AG187&lt;=Законод!$G$27),AG187-Законод!$F$27,IF('01_Доходи'!AG187&gt;=Законод!$H$26,Законод!$G$28,0)))),0)))</f>
        <v>0</v>
      </c>
      <c r="AH191" s="945"/>
      <c r="AI191" s="201"/>
      <c r="AJ191" s="933"/>
      <c r="AK191" s="927"/>
      <c r="AL191" s="927"/>
      <c r="AM191" s="899"/>
      <c r="AN191" s="210">
        <f ca="1">IF(B183="Лікар загальної практики - сімейний лікар",L191*Законод!$C$9/4*Законод!$G$16,IF(B183="Лікар-педіатр",L191*Законод!$C$9/4*Законод!$G$16,IF(B183="Лікар-терапевт",L191*Законод!$C$9/4*Законод!$G$16,0)))</f>
        <v>0</v>
      </c>
      <c r="AO191" s="210">
        <f ca="1">IF(B183="Лікар загальної практики - сімейний лікар",S191*Законод!$C$9/4*Законод!$G$16,IF(B183="Лікар-педіатр",S191*Законод!$C$9/4*Законод!$G$16,IF(B183="Лікар-терапевт",S191*Законод!$C$9/4*Законод!$G$16,0)))</f>
        <v>0</v>
      </c>
      <c r="AP191" s="210">
        <f ca="1">IF(B183="Лікар загальної практики - сімейний лікар",Z191*Законод!$C$9/4*Законод!$G$16,IF(B183="Лікар-педіатр",Z191*Законод!$C$9/4*Законод!$G$16,IF(B183="Лікар-терапевт",Z191*Законод!$C$9/4*Законод!$G$16,0)))</f>
        <v>0</v>
      </c>
      <c r="AQ191" s="210">
        <f ca="1">IF(B183="Лікар загальної практики - сімейний лікар",AG191*Законод!$C$9/4*Законод!$G$16,IF(B183="Лікар-педіатр",AG191*Законод!$C$9/4*Законод!$G$16,IF(B183="Лікар-терапевт",AG191*Законод!$C$9/4*Законод!$G$16,0)))</f>
        <v>0</v>
      </c>
      <c r="AR191" s="211">
        <f t="shared" si="18"/>
        <v>0</v>
      </c>
    </row>
    <row r="192" spans="1:44" s="50" customFormat="1" ht="31.9" customHeight="1">
      <c r="A192" s="197"/>
      <c r="B192" s="941"/>
      <c r="C192" s="942"/>
      <c r="D192" s="943"/>
      <c r="E192" s="943"/>
      <c r="F192" s="238" t="str">
        <f ca="1">IF(B183="Лікар-педіатр",Законод!$H$17,IF(B183="Лікар загальної практики - сімейний лікар",Законод!$H$21,IF(B183="Лікар-терапевт",Законод!$H$25,"х")))</f>
        <v>понад ліміт (2341-2520)</v>
      </c>
      <c r="G192" s="940" t="s">
        <v>346</v>
      </c>
      <c r="H192" s="940"/>
      <c r="I192" s="940"/>
      <c r="J192" s="940"/>
      <c r="K192" s="940"/>
      <c r="L192" s="196">
        <f ca="1">IF($B$183="Лікар загальної практики - сімейний лікар",IF(L187&lt;Законод!$C$22,0,(IF(AND(L187&gt;=Законод!$H$22,L187&lt;=Законод!$H$23),L187-Законод!$G$23,IF('01_Доходи'!L187&gt;=Законод!$I$22,Законод!$H$24,0)))),IF($B$183="Лікар-педіатр",IF(L187&lt;Законод!$C$18,0,(IF(AND(L187&gt;=Законод!$H$18,L187&lt;=Законод!$H$19),L187-Законод!$G$19,IF('01_Доходи'!L187&gt;=Законод!$I$18,Законод!$H$20,0)))),IF($B$183="Лікар-терапевт",IF(L187&lt;Законод!$C$26,0,(IF(AND(L187&gt;=Законод!$H$26,L187&lt;=Законод!$H$27),L187-Законод!$G$27,IF(L187&gt;=Законод!$I$26,Законод!$H$28,0)))),0)))</f>
        <v>0</v>
      </c>
      <c r="M192" s="945"/>
      <c r="N192" s="940" t="s">
        <v>346</v>
      </c>
      <c r="O192" s="940"/>
      <c r="P192" s="940"/>
      <c r="Q192" s="940"/>
      <c r="R192" s="940"/>
      <c r="S192" s="196">
        <f ca="1">IF($B$183="Лікар загальної практики - сімейний лікар",IF(S187&lt;Законод!$C$22,0,(IF(AND(S187&gt;=Законод!$H$22,S187&lt;=Законод!$H$23),S187-Законод!$G$23,IF('01_Доходи'!S187&gt;=Законод!$I$22,Законод!$H$24,0)))),IF($B$183="Лікар-педіатр",IF(S187&lt;Законод!$C$18,0,(IF(AND(S187&gt;=Законод!$H$18,S187&lt;=Законод!$H$19),S187-Законод!$G$19,IF('01_Доходи'!S187&gt;=Законод!$I$18,Законод!$H$20,0)))),IF($B$183="Лікар-терапевт",IF(S187&lt;Законод!$C$26,0,(IF(AND(S187&gt;=Законод!$H$26,S187&lt;=Законод!$H$27),S187-Законод!$G$27,IF(S187&gt;=Законод!$I$26,Законод!$H$28,0)))),0)))</f>
        <v>0</v>
      </c>
      <c r="T192" s="945"/>
      <c r="U192" s="940" t="s">
        <v>346</v>
      </c>
      <c r="V192" s="940"/>
      <c r="W192" s="940"/>
      <c r="X192" s="940"/>
      <c r="Y192" s="940"/>
      <c r="Z192" s="196">
        <f ca="1">IF($B$183="Лікар загальної практики - сімейний лікар",IF(Z187&lt;Законод!$C$22,0,(IF(AND(Z187&gt;=Законод!$H$22,Z187&lt;=Законод!$H$23),Z187-Законод!$G$23,IF('01_Доходи'!Z187&gt;=Законод!$I$22,Законод!$H$24,0)))),IF($B$183="Лікар-педіатр",IF(Z187&lt;Законод!$C$18,0,(IF(AND(Z187&gt;=Законод!$H$18,Z187&lt;=Законод!$H$19),Z187-Законод!$G$19,IF('01_Доходи'!Z187&gt;=Законод!$I$18,Законод!$H$20,0)))),IF($B$183="Лікар-терапевт",IF(Z187&lt;Законод!$C$26,0,(IF(AND(Z187&gt;=Законод!$H$26,Z187&lt;=Законод!$H$27),Z187-Законод!$G$27,IF(Z187&gt;=Законод!$I$26,Законод!$H$28,0)))),0)))</f>
        <v>0</v>
      </c>
      <c r="AA192" s="945"/>
      <c r="AB192" s="940" t="s">
        <v>346</v>
      </c>
      <c r="AC192" s="940"/>
      <c r="AD192" s="940"/>
      <c r="AE192" s="940"/>
      <c r="AF192" s="940"/>
      <c r="AG192" s="196">
        <f ca="1">IF($B$183="Лікар загальної практики - сімейний лікар",IF(AG187&lt;Законод!$C$22,0,(IF(AND(AG187&gt;=Законод!$H$22,AG187&lt;=Законод!$H$23),AG187-Законод!$G$23,IF('01_Доходи'!AG187&gt;=Законод!$I$22,Законод!$H$24,0)))),IF($B$183="Лікар-педіатр",IF(AG187&lt;Законод!$C$18,0,(IF(AND(AG187&gt;=Законод!$H$18,AG187&lt;=Законод!$H$19),AG187-Законод!$G$19,IF('01_Доходи'!AG187&gt;=Законод!$I$18,Законод!$H$20,0)))),IF($B$183="Лікар-терапевт",IF(AG187&lt;Законод!$C$26,0,(IF(AND(AG187&gt;=Законод!$H$26,AG187&lt;=Законод!$H$27),AG187-Законод!$G$27,IF(AG187&gt;=Законод!$I$26,Законод!$H$28,0)))),0)))</f>
        <v>0</v>
      </c>
      <c r="AH192" s="945"/>
      <c r="AI192" s="201"/>
      <c r="AJ192" s="933"/>
      <c r="AK192" s="927"/>
      <c r="AL192" s="927"/>
      <c r="AM192" s="899"/>
      <c r="AN192" s="210">
        <f ca="1">IF(B183="Лікар загальної практики - сімейний лікар",L192*Законод!$C$9/4*Законод!$H$16,IF(B183="Лікар-педіатр",L192*Законод!$C$9/4*Законод!$H$16,IF(B183="Лікар-терапевт",L192*Законод!$C$9/4*Законод!$H$16,0)))</f>
        <v>0</v>
      </c>
      <c r="AO192" s="210">
        <f ca="1">IF(B183="Лікар загальної практики - сімейний лікар",S192*Законод!$C$9/4*Законод!$H$16,IF(B183="Лікар-педіатр",S192*Законод!$C$9/4*Законод!$H$16,IF(B183="Лікар-терапевт",S192*Законод!$C$9/4*Законод!$H$16,0)))</f>
        <v>0</v>
      </c>
      <c r="AP192" s="210">
        <f ca="1">IF(B183="Лікар загальної практики - сімейний лікар",Z192*Законод!$C$9/4*Законод!$H$16,IF(B183="Лікар-педіатр",Z192*Законод!$C$9/4*Законод!$H$16,IF(B183="Лікар-терапевт",Z192*Законод!$C$9/4*Законод!$H$16,0)))</f>
        <v>0</v>
      </c>
      <c r="AQ192" s="210">
        <f ca="1">IF(B183="Лікар загальної практики - сімейний лікар",AG192*Законод!$C$9/4*Законод!$H$16,IF(B183="Лікар-педіатр",AG192*Законод!$C$9/4*Законод!$H$16,IF(B183="Лікар-терапевт",AG192*Законод!$C$9/4*Законод!$H$16,0)))</f>
        <v>0</v>
      </c>
      <c r="AR192" s="211">
        <f t="shared" si="18"/>
        <v>0</v>
      </c>
    </row>
    <row r="193" spans="1:44" s="50" customFormat="1" ht="31.9" customHeight="1">
      <c r="A193" s="197"/>
      <c r="B193" s="941"/>
      <c r="C193" s="942"/>
      <c r="D193" s="943"/>
      <c r="E193" s="943"/>
      <c r="F193" s="238" t="str">
        <f ca="1">IF(B183="Лікар-педіатр",Законод!$I$17,IF(B183="Лікар загальної практики - сімейний лікар",Законод!$I$21,IF(B183="Лікар-терапевт",Законод!$I$25,"х")))</f>
        <v>понад ліміт (2521-2700)</v>
      </c>
      <c r="G193" s="940" t="s">
        <v>346</v>
      </c>
      <c r="H193" s="940"/>
      <c r="I193" s="940"/>
      <c r="J193" s="940"/>
      <c r="K193" s="940"/>
      <c r="L193" s="196">
        <f ca="1">IF($B$183="Лікар загальної практики - сімейний лікар",IF(L187&lt;Законод!$C$22,0,(IF(AND(L187&gt;=Законод!$I$22,L187&lt;=Законод!$I$23),L187-Законод!$H$23,IF('01_Доходи'!L187&gt;=Законод!$I$22,Законод!$I$24,0)))),IF($B$183="Лікар-педіатр",IF(L187&lt;Законод!$C$18,0,(IF(AND(L187&gt;=Законод!$I$18,L187&lt;=Законод!$I$19),L187-Законод!$H$19,IF('01_Доходи'!L187&gt;=Законод!$I$18,Законод!$H$20,0)))),IF($B$183="Лікар-терапевт",IF(L187&lt;Законод!$C$26,0,(IF(AND(L187&gt;=Законод!$I$26,L187&lt;=Законод!$I$27),L187-Законод!$H$27,IF('01_Доходи'!L187&gt;=Законод!$I$26,Законод!$H$28,0)))),0)))</f>
        <v>0</v>
      </c>
      <c r="M193" s="945"/>
      <c r="N193" s="940" t="s">
        <v>346</v>
      </c>
      <c r="O193" s="940"/>
      <c r="P193" s="940"/>
      <c r="Q193" s="940"/>
      <c r="R193" s="940"/>
      <c r="S193" s="196">
        <f ca="1">IF($B$183="Лікар загальної практики - сімейний лікар",IF(S187&lt;Законод!$C$22,0,(IF(AND(S187&gt;=Законод!$I$22,S187&lt;=Законод!$I$23),S187-Законод!$H$23,IF('01_Доходи'!S187&gt;=Законод!$I$22,Законод!$I$24,0)))),IF($B$183="Лікар-педіатр",IF(S187&lt;Законод!$C$18,0,(IF(AND(S187&gt;=Законод!$I$18,S187&lt;=Законод!$I$19),S187-Законод!$H$19,IF('01_Доходи'!S187&gt;=Законод!$I$18,Законод!$H$20,0)))),IF($B$183="Лікар-терапевт",IF(S187&lt;Законод!$C$26,0,(IF(AND(S187&gt;=Законод!$I$26,S187&lt;=Законод!$I$27),S187-Законод!$H$27,IF('01_Доходи'!S187&gt;=Законод!$I$26,Законод!$H$28,0)))),0)))</f>
        <v>0</v>
      </c>
      <c r="T193" s="945"/>
      <c r="U193" s="940" t="s">
        <v>346</v>
      </c>
      <c r="V193" s="940"/>
      <c r="W193" s="940"/>
      <c r="X193" s="940"/>
      <c r="Y193" s="940"/>
      <c r="Z193" s="196">
        <f ca="1">IF($B$183="Лікар загальної практики - сімейний лікар",IF(Z187&lt;Законод!$C$22,0,(IF(AND(Z187&gt;=Законод!$I$22,Z187&lt;=Законод!$I$23),Z187-Законод!$H$23,IF('01_Доходи'!Z187&gt;=Законод!$I$22,Законод!$I$24,0)))),IF($B$183="Лікар-педіатр",IF(Z187&lt;Законод!$C$18,0,(IF(AND(Z187&gt;=Законод!$I$18,Z187&lt;=Законод!$I$19),Z187-Законод!$H$19,IF('01_Доходи'!Z187&gt;=Законод!$I$18,Законод!$H$20,0)))),IF($B$183="Лікар-терапевт",IF(Z187&lt;Законод!$C$26,0,(IF(AND(Z187&gt;=Законод!$I$26,Z187&lt;=Законод!$I$27),Z187-Законод!$H$27,IF('01_Доходи'!Z187&gt;=Законод!$I$26,Законод!$H$28,0)))),0)))</f>
        <v>0</v>
      </c>
      <c r="AA193" s="945"/>
      <c r="AB193" s="940" t="s">
        <v>346</v>
      </c>
      <c r="AC193" s="940"/>
      <c r="AD193" s="940"/>
      <c r="AE193" s="940"/>
      <c r="AF193" s="940"/>
      <c r="AG193" s="196">
        <f ca="1">IF($B$183="Лікар загальної практики - сімейний лікар",IF(AG187&lt;Законод!$C$22,0,(IF(AND(AG187&gt;=Законод!$I$22,AG187&lt;=Законод!$I$23),AG187-Законод!$H$23,IF('01_Доходи'!AG187&gt;=Законод!$I$22,Законод!$I$24,0)))),IF($B$183="Лікар-педіатр",IF(AG187&lt;Законод!$C$18,0,(IF(AND(AG187&gt;=Законод!$I$18,AG187&lt;=Законод!$I$19),AG187-Законод!$H$19,IF('01_Доходи'!AG187&gt;=Законод!$I$18,Законод!$H$20,0)))),IF($B$183="Лікар-терапевт",IF(AG187&lt;Законод!$C$26,0,(IF(AND(AG187&gt;=Законод!$I$26,AG187&lt;=Законод!$I$27),AG187-Законод!$H$27,IF('01_Доходи'!AG187&gt;=Законод!$I$26,Законод!$H$28,0)))),0)))</f>
        <v>0</v>
      </c>
      <c r="AH193" s="945"/>
      <c r="AI193" s="201"/>
      <c r="AJ193" s="933"/>
      <c r="AK193" s="927"/>
      <c r="AL193" s="927"/>
      <c r="AM193" s="899"/>
      <c r="AN193" s="210">
        <f ca="1">IF(B183="Лікар загальної практики - сімейний лікар",L193*Законод!$C$9/4*Законод!$I$16,IF(B183="Лікар-педіатр",L193*Законод!$C$9/4*Законод!$I$16,IF(B183="Лікар-терапевт",L193*Законод!$C$9/4*Законод!$I$16,0)))</f>
        <v>0</v>
      </c>
      <c r="AO193" s="210">
        <f ca="1">IF(B183="Лікар загальної практики - сімейний лікар",S193*Законод!$C$9/4*Законод!$I$16,IF(B183="Лікар-педіатр",S193*Законод!$C$9/4*Законод!$I$16,IF(B183="Лікар-терапевт",S193*Законод!$C$9/4*Законод!$I$16,0)))</f>
        <v>0</v>
      </c>
      <c r="AP193" s="210">
        <f ca="1">IF(B183="Лікар загальної практики - сімейний лікар",Z193*Законод!$C$9/4*Законод!$I$16,IF(B183="Лікар-педіатр",Z193*Законод!$C$9/4*Законод!$I$16,IF(B183="Лікар-терапевт",Z193*Законод!$C$9/4*Законод!$I$16,0)))</f>
        <v>0</v>
      </c>
      <c r="AQ193" s="210">
        <f ca="1">IF(B183="Лікар загальної практики - сімейний лікар",AG193*Законод!$C$9/4*Законод!$I$16,IF(B183="Лікар-педіатр",AG193*Законод!$C$9/4*Законод!$I$16,IF(B183="Лікар-терапевт",AG193*Законод!$C$9/4*Законод!$I$16,0)))</f>
        <v>0</v>
      </c>
      <c r="AR193" s="211">
        <f t="shared" si="18"/>
        <v>0</v>
      </c>
    </row>
    <row r="194" spans="1:44" s="218" customFormat="1" ht="31.9" customHeight="1" thickBot="1">
      <c r="A194" s="213"/>
      <c r="B194" s="941"/>
      <c r="C194" s="942"/>
      <c r="D194" s="943"/>
      <c r="E194" s="943"/>
      <c r="F194" s="239" t="str">
        <f ca="1">IF(B183="Лікар-педіатр",Законод!$J$17,IF(B183="Лікар загальної практики - сімейний лікар",Законод!$J$21,IF(B183="Лікар-терапевт",Законод!$J$25,"х")))</f>
        <v>понад ліміт (&gt;=2701)</v>
      </c>
      <c r="G194" s="939" t="s">
        <v>346</v>
      </c>
      <c r="H194" s="939"/>
      <c r="I194" s="939"/>
      <c r="J194" s="939"/>
      <c r="K194" s="939"/>
      <c r="L194" s="196">
        <f ca="1">IF($B$183="Лікар загальної практики - сімейний лікар",IF(L187&gt;=Законод!$J$22,'01_Доходи'!L187-('01_Доходи'!L188+'01_Доходи'!L189+'01_Доходи'!L190+'01_Доходи'!L191+'01_Доходи'!L192+'01_Доходи'!L193),0),IF($B$183="Лікар-педіатр",IF(L187&gt;=Законод!$J$18,'01_Доходи'!L187-('01_Доходи'!L188+'01_Доходи'!L189+'01_Доходи'!L190+'01_Доходи'!L191+'01_Доходи'!L192+'01_Доходи'!L193),0),IF($B$183="Лікар-терапевт",IF('01_Доходи'!L187&gt;=Законод!$J$26,L187-Законод!$I$27,0),0)))</f>
        <v>0</v>
      </c>
      <c r="M194" s="945"/>
      <c r="N194" s="939" t="s">
        <v>346</v>
      </c>
      <c r="O194" s="939"/>
      <c r="P194" s="939"/>
      <c r="Q194" s="939"/>
      <c r="R194" s="939"/>
      <c r="S194" s="196">
        <f ca="1">IF($B$183="Лікар загальної практики - сімейний лікар",IF(S187&gt;=Законод!$J$22,'01_Доходи'!S187-('01_Доходи'!S188+'01_Доходи'!S189+'01_Доходи'!S190+'01_Доходи'!S191+'01_Доходи'!S192+'01_Доходи'!S193),0),IF($B$183="Лікар-педіатр",IF(S187&gt;=Законод!$J$18,'01_Доходи'!S187-('01_Доходи'!S188+'01_Доходи'!S189+'01_Доходи'!S190+'01_Доходи'!S191+'01_Доходи'!S192+'01_Доходи'!S193),0),IF($B$183="Лікар-терапевт",IF('01_Доходи'!S187&gt;=Законод!$J$26,S187-Законод!$I$27,0),0)))</f>
        <v>0</v>
      </c>
      <c r="T194" s="945"/>
      <c r="U194" s="939" t="s">
        <v>346</v>
      </c>
      <c r="V194" s="939"/>
      <c r="W194" s="939"/>
      <c r="X194" s="939"/>
      <c r="Y194" s="939"/>
      <c r="Z194" s="196">
        <f ca="1">IF($B$183="Лікар загальної практики - сімейний лікар",IF(Z187&gt;=Законод!$J$22,'01_Доходи'!Z187-('01_Доходи'!Z188+'01_Доходи'!Z189+'01_Доходи'!Z190+'01_Доходи'!Z191+'01_Доходи'!Z192+'01_Доходи'!Z193),0),IF($B$183="Лікар-педіатр",IF(Z187&gt;=Законод!$J$18,'01_Доходи'!Z187-('01_Доходи'!Z188+'01_Доходи'!Z189+'01_Доходи'!Z190+'01_Доходи'!Z191+'01_Доходи'!Z192+'01_Доходи'!Z193),0),IF($B$183="Лікар-терапевт",IF('01_Доходи'!Z187&gt;=Законод!$J$26,Z187-Законод!$I$27,0),0)))</f>
        <v>0</v>
      </c>
      <c r="AA194" s="945"/>
      <c r="AB194" s="939" t="s">
        <v>346</v>
      </c>
      <c r="AC194" s="939"/>
      <c r="AD194" s="939"/>
      <c r="AE194" s="939"/>
      <c r="AF194" s="939"/>
      <c r="AG194" s="196">
        <f ca="1">IF($B$183="Лікар загальної практики - сімейний лікар",IF(AG187&gt;=Законод!$J$22,'01_Доходи'!AG187-('01_Доходи'!AG188+'01_Доходи'!AG189+'01_Доходи'!AG190+'01_Доходи'!AG191+'01_Доходи'!AG192+'01_Доходи'!AG193),0),IF($B$183="Лікар-педіатр",IF(AG187&gt;=Законод!$J$18,'01_Доходи'!AG187-('01_Доходи'!AG188+'01_Доходи'!AG189+'01_Доходи'!AG190+'01_Доходи'!AG191+'01_Доходи'!AG192+'01_Доходи'!AG193),0),IF($B$183="Лікар-терапевт",IF('01_Доходи'!AG187&gt;=Законод!$J$26,AG187-Законод!$I$27,0),0)))</f>
        <v>0</v>
      </c>
      <c r="AH194" s="945"/>
      <c r="AI194" s="215"/>
      <c r="AJ194" s="934"/>
      <c r="AK194" s="928"/>
      <c r="AL194" s="928"/>
      <c r="AM194" s="900"/>
      <c r="AN194" s="216">
        <f ca="1">IF(B183="Лікар загальної практики - сімейний лікар",L194*Законод!$C$9/4*Законод!$J$16,IF(B183="Лікар-педіатр",L194*Законод!$C$9/4*Законод!$J$16,IF(B183="Лікар-терапевт",L194*Законод!$C$9/4*Законод!$J$16,0)))</f>
        <v>0</v>
      </c>
      <c r="AO194" s="216">
        <f ca="1">IF(B183="Лікар загальної практики - сімейний лікар",S194*Законод!$C$9/4*Законод!$J$16,IF(B183="Лікар-педіатр",S194*Законод!$C$9/4*Законод!$J$16,IF(B183="Лікар-терапевт",S194*Законод!$C$9/4*Законод!$J$16,0)))</f>
        <v>0</v>
      </c>
      <c r="AP194" s="216">
        <f ca="1">IF(B183="Лікар загальної практики - сімейний лікар",S194*Законод!$C$9/4*Законод!$J$16,IF(B183="Лікар-педіатр",S194*Законод!$C$9/4*Законод!$J$16,IF(B183="Лікар-терапевт",S194*Законод!$C$9/4*Законод!$J$16,0)))</f>
        <v>0</v>
      </c>
      <c r="AQ194" s="216">
        <f ca="1">IF(B183="Лікар загальної практики - сімейний лікар",AG194*Законод!$C$9/4*Законод!$J$16,IF(B183="Лікар-педіатр",AG194*Законод!$C$9/4*Законод!$J$16,IF(B183="Лікар-терапевт",AG194*Законод!$C$9/4*Законод!$J$16,0)))</f>
        <v>0</v>
      </c>
      <c r="AR194" s="217">
        <f t="shared" si="18"/>
        <v>0</v>
      </c>
    </row>
    <row r="195" spans="1:44" s="247" customFormat="1" ht="23.45" customHeight="1" thickBot="1">
      <c r="A195" s="243"/>
      <c r="B195" s="244"/>
      <c r="C195" s="244"/>
      <c r="D195" s="244"/>
      <c r="E195" s="244"/>
      <c r="F195" s="245"/>
      <c r="G195" s="246"/>
      <c r="H195" s="246"/>
      <c r="L195" s="248"/>
      <c r="S195" s="248"/>
      <c r="Z195" s="248"/>
      <c r="AG195" s="248"/>
      <c r="AM195" s="249"/>
      <c r="AR195" s="250"/>
    </row>
    <row r="196" spans="1:44" s="191" customFormat="1" ht="27.6" customHeight="1">
      <c r="A196" s="194">
        <f>A183+1</f>
        <v>13</v>
      </c>
      <c r="B196" s="941" t="s">
        <v>235</v>
      </c>
      <c r="C196" s="942" t="s">
        <v>81</v>
      </c>
      <c r="D196" s="943"/>
      <c r="E196" s="943" t="s">
        <v>82</v>
      </c>
      <c r="F196" s="234" t="s">
        <v>582</v>
      </c>
      <c r="G196" s="196">
        <f>108+40</f>
        <v>148</v>
      </c>
      <c r="H196" s="196">
        <f>381+70</f>
        <v>451</v>
      </c>
      <c r="I196" s="196">
        <f>387+271</f>
        <v>658</v>
      </c>
      <c r="J196" s="196">
        <f>610+287</f>
        <v>897</v>
      </c>
      <c r="K196" s="196">
        <f>314+105</f>
        <v>419</v>
      </c>
      <c r="L196" s="558">
        <f t="shared" ref="L196:L201" si="19">SUM(G196:K196)</f>
        <v>2573</v>
      </c>
      <c r="M196" s="945">
        <v>1</v>
      </c>
      <c r="N196" s="196">
        <f>108+40</f>
        <v>148</v>
      </c>
      <c r="O196" s="196">
        <f>381+70</f>
        <v>451</v>
      </c>
      <c r="P196" s="196">
        <f>387+271</f>
        <v>658</v>
      </c>
      <c r="Q196" s="196">
        <f>610+287</f>
        <v>897</v>
      </c>
      <c r="R196" s="196">
        <f>314+105</f>
        <v>419</v>
      </c>
      <c r="S196" s="558">
        <f t="shared" ref="S196:S201" si="20">SUM(N196:R196)</f>
        <v>2573</v>
      </c>
      <c r="T196" s="945">
        <v>1</v>
      </c>
      <c r="U196" s="196">
        <f>108+40</f>
        <v>148</v>
      </c>
      <c r="V196" s="196">
        <f>381+70</f>
        <v>451</v>
      </c>
      <c r="W196" s="196">
        <f>387+271</f>
        <v>658</v>
      </c>
      <c r="X196" s="196">
        <f>610+287</f>
        <v>897</v>
      </c>
      <c r="Y196" s="196">
        <f>314+105</f>
        <v>419</v>
      </c>
      <c r="Z196" s="558">
        <f t="shared" ref="Z196:Z201" si="21">SUM(U196:Y196)</f>
        <v>2573</v>
      </c>
      <c r="AA196" s="945">
        <v>1</v>
      </c>
      <c r="AB196" s="196">
        <f>108+40</f>
        <v>148</v>
      </c>
      <c r="AC196" s="196">
        <f>381+70</f>
        <v>451</v>
      </c>
      <c r="AD196" s="196">
        <f>387+271</f>
        <v>658</v>
      </c>
      <c r="AE196" s="196">
        <f>610+287</f>
        <v>897</v>
      </c>
      <c r="AF196" s="196">
        <f>314+105</f>
        <v>419</v>
      </c>
      <c r="AG196" s="558">
        <f t="shared" ref="AG196:AG201" si="22">SUM(AB196:AF196)</f>
        <v>2573</v>
      </c>
      <c r="AH196" s="945">
        <v>1</v>
      </c>
      <c r="AI196" s="541">
        <f>A196</f>
        <v>13</v>
      </c>
      <c r="AJ196" s="932" t="str">
        <f>B196</f>
        <v>Лікар загальної практики - сімейний лікар</v>
      </c>
      <c r="AK196" s="926" t="str">
        <f>C196</f>
        <v>Мосійчук Володимир Антонович</v>
      </c>
      <c r="AL196" s="926">
        <f>D196</f>
        <v>0</v>
      </c>
      <c r="AM196" s="901" t="s">
        <v>785</v>
      </c>
      <c r="AN196" s="923">
        <f>SUM(AN201:AN207)</f>
        <v>414659.08917203161</v>
      </c>
      <c r="AO196" s="923">
        <f>SUM(AO201:AO207)</f>
        <v>414659.08917203161</v>
      </c>
      <c r="AP196" s="923">
        <f>SUM(AP201:AP207)</f>
        <v>414659.08917203161</v>
      </c>
      <c r="AQ196" s="923">
        <f>SUM(AQ201:AQ207)</f>
        <v>414659.08917203161</v>
      </c>
      <c r="AR196" s="914">
        <f>SUM(AN196:AQ200)</f>
        <v>1658636.3566881265</v>
      </c>
    </row>
    <row r="197" spans="1:44" s="50" customFormat="1" ht="28.15" customHeight="1">
      <c r="A197" s="197"/>
      <c r="B197" s="941"/>
      <c r="C197" s="942"/>
      <c r="D197" s="943"/>
      <c r="E197" s="943"/>
      <c r="F197" s="234" t="s">
        <v>583</v>
      </c>
      <c r="G197" s="196">
        <f>108+40</f>
        <v>148</v>
      </c>
      <c r="H197" s="196">
        <f>381+70</f>
        <v>451</v>
      </c>
      <c r="I197" s="196">
        <f>387+271</f>
        <v>658</v>
      </c>
      <c r="J197" s="196">
        <f>610+287</f>
        <v>897</v>
      </c>
      <c r="K197" s="196">
        <f>314+105</f>
        <v>419</v>
      </c>
      <c r="L197" s="558">
        <f t="shared" si="19"/>
        <v>2573</v>
      </c>
      <c r="M197" s="945"/>
      <c r="N197" s="196">
        <f>108+40</f>
        <v>148</v>
      </c>
      <c r="O197" s="196">
        <f>381+70</f>
        <v>451</v>
      </c>
      <c r="P197" s="196">
        <f>387+271</f>
        <v>658</v>
      </c>
      <c r="Q197" s="196">
        <f>610+287</f>
        <v>897</v>
      </c>
      <c r="R197" s="196">
        <f>314+105</f>
        <v>419</v>
      </c>
      <c r="S197" s="558">
        <f t="shared" si="20"/>
        <v>2573</v>
      </c>
      <c r="T197" s="945"/>
      <c r="U197" s="196">
        <f>108+40</f>
        <v>148</v>
      </c>
      <c r="V197" s="196">
        <f>381+70</f>
        <v>451</v>
      </c>
      <c r="W197" s="196">
        <f>387+271</f>
        <v>658</v>
      </c>
      <c r="X197" s="196">
        <f>610+287</f>
        <v>897</v>
      </c>
      <c r="Y197" s="196">
        <f>314+105</f>
        <v>419</v>
      </c>
      <c r="Z197" s="558">
        <f t="shared" si="21"/>
        <v>2573</v>
      </c>
      <c r="AA197" s="945"/>
      <c r="AB197" s="196">
        <f>108+40</f>
        <v>148</v>
      </c>
      <c r="AC197" s="196">
        <f>381+70</f>
        <v>451</v>
      </c>
      <c r="AD197" s="196">
        <f>387+271</f>
        <v>658</v>
      </c>
      <c r="AE197" s="196">
        <f>610+287</f>
        <v>897</v>
      </c>
      <c r="AF197" s="196">
        <f>314+105</f>
        <v>419</v>
      </c>
      <c r="AG197" s="558">
        <f t="shared" si="22"/>
        <v>2573</v>
      </c>
      <c r="AH197" s="945"/>
      <c r="AI197" s="198"/>
      <c r="AJ197" s="933"/>
      <c r="AK197" s="927"/>
      <c r="AL197" s="927"/>
      <c r="AM197" s="902"/>
      <c r="AN197" s="924"/>
      <c r="AO197" s="924"/>
      <c r="AP197" s="924"/>
      <c r="AQ197" s="924"/>
      <c r="AR197" s="915"/>
    </row>
    <row r="198" spans="1:44" s="90" customFormat="1" ht="31.15" customHeight="1">
      <c r="A198" s="240"/>
      <c r="B198" s="941"/>
      <c r="C198" s="942"/>
      <c r="D198" s="943"/>
      <c r="E198" s="943"/>
      <c r="F198" s="241" t="s">
        <v>584</v>
      </c>
      <c r="G198" s="196">
        <f>108+40</f>
        <v>148</v>
      </c>
      <c r="H198" s="196">
        <f>381+70</f>
        <v>451</v>
      </c>
      <c r="I198" s="196">
        <f>387+271</f>
        <v>658</v>
      </c>
      <c r="J198" s="196">
        <f>610+287</f>
        <v>897</v>
      </c>
      <c r="K198" s="196">
        <f>314+105</f>
        <v>419</v>
      </c>
      <c r="L198" s="200">
        <f t="shared" si="19"/>
        <v>2573</v>
      </c>
      <c r="M198" s="945"/>
      <c r="N198" s="196">
        <f>108+40</f>
        <v>148</v>
      </c>
      <c r="O198" s="196">
        <f>381+70</f>
        <v>451</v>
      </c>
      <c r="P198" s="196">
        <f>387+271</f>
        <v>658</v>
      </c>
      <c r="Q198" s="196">
        <f>610+287</f>
        <v>897</v>
      </c>
      <c r="R198" s="196">
        <f>314+105</f>
        <v>419</v>
      </c>
      <c r="S198" s="200">
        <f t="shared" si="20"/>
        <v>2573</v>
      </c>
      <c r="T198" s="945"/>
      <c r="U198" s="196">
        <f>108+40</f>
        <v>148</v>
      </c>
      <c r="V198" s="196">
        <f>381+70</f>
        <v>451</v>
      </c>
      <c r="W198" s="196">
        <f>387+271</f>
        <v>658</v>
      </c>
      <c r="X198" s="196">
        <f>610+287</f>
        <v>897</v>
      </c>
      <c r="Y198" s="196">
        <f>314+105</f>
        <v>419</v>
      </c>
      <c r="Z198" s="200">
        <f t="shared" si="21"/>
        <v>2573</v>
      </c>
      <c r="AA198" s="945"/>
      <c r="AB198" s="196">
        <f>108+40</f>
        <v>148</v>
      </c>
      <c r="AC198" s="196">
        <f>381+70</f>
        <v>451</v>
      </c>
      <c r="AD198" s="196">
        <f>387+271</f>
        <v>658</v>
      </c>
      <c r="AE198" s="196">
        <f>610+287</f>
        <v>897</v>
      </c>
      <c r="AF198" s="196">
        <f>314+105</f>
        <v>419</v>
      </c>
      <c r="AG198" s="200">
        <f t="shared" si="22"/>
        <v>2573</v>
      </c>
      <c r="AH198" s="945"/>
      <c r="AI198" s="242"/>
      <c r="AJ198" s="933"/>
      <c r="AK198" s="927"/>
      <c r="AL198" s="927"/>
      <c r="AM198" s="902"/>
      <c r="AN198" s="924"/>
      <c r="AO198" s="924"/>
      <c r="AP198" s="924"/>
      <c r="AQ198" s="924"/>
      <c r="AR198" s="915"/>
    </row>
    <row r="199" spans="1:44" s="50" customFormat="1" ht="31.9" customHeight="1" thickBot="1">
      <c r="A199" s="197"/>
      <c r="B199" s="941"/>
      <c r="C199" s="942"/>
      <c r="D199" s="943"/>
      <c r="E199" s="943"/>
      <c r="F199" s="236" t="s">
        <v>349</v>
      </c>
      <c r="G199" s="203">
        <f>IF($B$196="Лікар-педіатр",G198/L198,IF($B$196="Лікар-терапевт","х",IF($B$196="Лікар загальної практики - сімейний лікар",G198/L198,0)))</f>
        <v>5.7520404197434899E-2</v>
      </c>
      <c r="H199" s="203">
        <f>IF($B$196="Лікар-педіатр",H198/L198,IF($B$196="Лікар-терапевт","х",IF($B$196="Лікар загальної практики - сімейний лікар",H198/L198,0)))</f>
        <v>0.17528177225029148</v>
      </c>
      <c r="I199" s="203">
        <f>IF($B$196="Лікар-педіатр","x",IF($B$196="Лікар-терапевт",I198/L198,IF($B$196="Лікар загальної практики - сімейний лікар",I198/L198,0)))</f>
        <v>0.25573260785075785</v>
      </c>
      <c r="J199" s="203">
        <f>IF($B$196="Лікар-педіатр","x",IF($B$196="Лікар-терапевт",J198/L198,IF($B$196="Лікар загальної практики - сімейний лікар",J198/L198,0)))</f>
        <v>0.34862028760202096</v>
      </c>
      <c r="K199" s="203">
        <f>IF($B$196="Лікар-педіатр","x",IF($B$196="Лікар-терапевт",K198/L198,IF($B$196="Лікар загальної практики - сімейний лікар",K198/L198,0)))</f>
        <v>0.16284492809949475</v>
      </c>
      <c r="L199" s="203">
        <f t="shared" si="19"/>
        <v>1</v>
      </c>
      <c r="M199" s="945"/>
      <c r="N199" s="203">
        <f>IF($B$196="Лікар-педіатр",N198/S198,IF($B$196="Лікар-терапевт","х",IF($B$196="Лікар загальної практики - сімейний лікар",N198/S198,0)))</f>
        <v>5.7520404197434899E-2</v>
      </c>
      <c r="O199" s="203">
        <f>IF($B$196="Лікар-педіатр",O198/S198,IF($B$196="Лікар-терапевт","х",IF($B$196="Лікар загальної практики - сімейний лікар",O198/S198,0)))</f>
        <v>0.17528177225029148</v>
      </c>
      <c r="P199" s="203">
        <f>IF($B$196="Лікар-педіатр","x",IF($B$196="Лікар-терапевт",P198/S198,IF($B$196="Лікар загальної практики - сімейний лікар",P198/S198,0)))</f>
        <v>0.25573260785075785</v>
      </c>
      <c r="Q199" s="203">
        <f>IF($B$196="Лікар-педіатр","x",IF($B$196="Лікар-терапевт",Q198/S198,IF($B$196="Лікар загальної практики - сімейний лікар",Q198/S198,0)))</f>
        <v>0.34862028760202096</v>
      </c>
      <c r="R199" s="203">
        <f>IF($B$196="Лікар-педіатр","x",IF($B$196="Лікар-терапевт",R198/S198,IF($B$196="Лікар загальної практики - сімейний лікар",R198/S198,0)))</f>
        <v>0.16284492809949475</v>
      </c>
      <c r="S199" s="203">
        <f t="shared" si="20"/>
        <v>1</v>
      </c>
      <c r="T199" s="945"/>
      <c r="U199" s="203">
        <f>IF($B$196="Лікар-педіатр",U198/Z198,IF($B$196="Лікар-терапевт","х",IF($B$196="Лікар загальної практики - сімейний лікар",U198/Z198,0)))</f>
        <v>5.7520404197434899E-2</v>
      </c>
      <c r="V199" s="203">
        <f>IF($B$196="Лікар-педіатр",V198/Z198,IF($B$196="Лікар-терапевт","х",IF($B$196="Лікар загальної практики - сімейний лікар",V198/Z198,0)))</f>
        <v>0.17528177225029148</v>
      </c>
      <c r="W199" s="203">
        <f>IF($B$196="Лікар-педіатр","x",IF($B$196="Лікар-терапевт",W198/Z198,IF($B$196="Лікар загальної практики - сімейний лікар",W198/Z198,0)))</f>
        <v>0.25573260785075785</v>
      </c>
      <c r="X199" s="203">
        <f>IF($B$196="Лікар-педіатр","x",IF($B$196="Лікар-терапевт",X198/Z198,IF($B$196="Лікар загальної практики - сімейний лікар",X198/Z198,0)))</f>
        <v>0.34862028760202096</v>
      </c>
      <c r="Y199" s="203">
        <f>IF($B$196="Лікар-педіатр","x",IF($B$196="Лікар-терапевт",Y198/Z198,IF($B$196="Лікар загальної практики - сімейний лікар",Y198/Z198,0)))</f>
        <v>0.16284492809949475</v>
      </c>
      <c r="Z199" s="203">
        <f t="shared" si="21"/>
        <v>1</v>
      </c>
      <c r="AA199" s="945"/>
      <c r="AB199" s="203">
        <f>IF($B$196="Лікар-педіатр",AB198/AG198,IF($B$196="Лікар-терапевт","х",IF($B$196="Лікар загальної практики - сімейний лікар",AB198/AG198,0)))</f>
        <v>5.7520404197434899E-2</v>
      </c>
      <c r="AC199" s="203">
        <f>IF($B$196="Лікар-педіатр",AC198/AG198,IF($B$196="Лікар-терапевт","х",IF($B$196="Лікар загальної практики - сімейний лікар",AC198/AG198,0)))</f>
        <v>0.17528177225029148</v>
      </c>
      <c r="AD199" s="203">
        <f>IF($B$196="Лікар-педіатр","x",IF($B$196="Лікар-терапевт",AD198/AG198,IF($B$196="Лікар загальної практики - сімейний лікар",AD198/AG198,0)))</f>
        <v>0.25573260785075785</v>
      </c>
      <c r="AE199" s="203">
        <f>IF($B$196="Лікар-педіатр","x",IF($B$196="Лікар-терапевт",AE198/AG198,IF($B$196="Лікар загальної практики - сімейний лікар",AE198/AG198,0)))</f>
        <v>0.34862028760202096</v>
      </c>
      <c r="AF199" s="203">
        <f>IF($B$196="Лікар-педіатр","x",IF($B$196="Лікар-терапевт",AF198/AG198,IF($B$196="Лікар загальної практики - сімейний лікар",AF198/AG198,0)))</f>
        <v>0.16284492809949475</v>
      </c>
      <c r="AG199" s="203">
        <f t="shared" si="22"/>
        <v>1</v>
      </c>
      <c r="AH199" s="945"/>
      <c r="AI199" s="201"/>
      <c r="AJ199" s="933"/>
      <c r="AK199" s="927"/>
      <c r="AL199" s="927"/>
      <c r="AM199" s="902"/>
      <c r="AN199" s="924"/>
      <c r="AO199" s="924"/>
      <c r="AP199" s="924"/>
      <c r="AQ199" s="924"/>
      <c r="AR199" s="915"/>
    </row>
    <row r="200" spans="1:44" s="50" customFormat="1" ht="45" customHeight="1" thickBot="1">
      <c r="A200" s="197"/>
      <c r="B200" s="941"/>
      <c r="C200" s="942"/>
      <c r="D200" s="943"/>
      <c r="E200" s="944"/>
      <c r="F200" s="204" t="s">
        <v>585</v>
      </c>
      <c r="G200" s="205">
        <f>IF($B$196="Лікар загальної практики - сімейний лікар",AVERAGE(G196:G198),IF($B$196="Лікар-педіатр",AVERAGE(G196:G198),IF($B$196="Лікар-терапевт","х",0)))</f>
        <v>148</v>
      </c>
      <c r="H200" s="205">
        <f>IF($B$196="Лікар загальної практики - сімейний лікар",AVERAGE(H196:H198),IF($B$196="Лікар-педіатр",AVERAGE(H196:H198),IF($B$196="Лікар-терапевт","х",0)))</f>
        <v>451</v>
      </c>
      <c r="I200" s="205">
        <f>IF($B$196="Лікар загальної практики - сімейний лікар",AVERAGE(I196:I198),IF($B$196="Лікар-педіатр","x",IF($B$196="Лікар-терапевт",AVERAGE(I196:I198),0)))</f>
        <v>658</v>
      </c>
      <c r="J200" s="205">
        <f>IF($B$196="Лікар загальної практики - сімейний лікар",AVERAGE(J196:J198),IF($B$196="Лікар-педіатр","x",IF($B$196="Лікар-терапевт",AVERAGE(J196:J198),0)))</f>
        <v>897</v>
      </c>
      <c r="K200" s="205">
        <f>IF($B$196="Лікар загальної практики - сімейний лікар",AVERAGE(K196:K198),IF($B$196="Лікар-педіатр","x",IF($B$196="Лікар-терапевт",AVERAGE(K196:K198),0)))</f>
        <v>419</v>
      </c>
      <c r="L200" s="206">
        <f t="shared" si="19"/>
        <v>2573</v>
      </c>
      <c r="M200" s="946"/>
      <c r="N200" s="205">
        <f>IF($B$196="Лікар загальної практики - сімейний лікар",AVERAGE(N196:N198),IF($B$196="Лікар-педіатр",AVERAGE(N196:N198),IF($B$196="Лікар-терапевт","х",0)))</f>
        <v>148</v>
      </c>
      <c r="O200" s="205">
        <f>IF($B$196="Лікар загальної практики - сімейний лікар",AVERAGE(O196:O198),IF($B$196="Лікар-педіатр",AVERAGE(O196:O198),IF($B$196="Лікар-терапевт","х",0)))</f>
        <v>451</v>
      </c>
      <c r="P200" s="205">
        <f>IF($B$196="Лікар загальної практики - сімейний лікар",AVERAGE(P196:P198),IF($B$196="Лікар-педіатр","x",IF($B$196="Лікар-терапевт",AVERAGE(P196:P198),0)))</f>
        <v>658</v>
      </c>
      <c r="Q200" s="205">
        <f>IF($B$196="Лікар загальної практики - сімейний лікар",AVERAGE(Q196:Q198),IF($B$196="Лікар-педіатр","x",IF($B$196="Лікар-терапевт",AVERAGE(Q196:Q198),0)))</f>
        <v>897</v>
      </c>
      <c r="R200" s="205">
        <f>IF($B$196="Лікар загальної практики - сімейний лікар",AVERAGE(R196:R198),IF($B$196="Лікар-педіатр","x",IF($B$196="Лікар-терапевт",AVERAGE(R196:R198),0)))</f>
        <v>419</v>
      </c>
      <c r="S200" s="206">
        <f t="shared" si="20"/>
        <v>2573</v>
      </c>
      <c r="T200" s="946"/>
      <c r="U200" s="205">
        <f>IF($B$196="Лікар загальної практики - сімейний лікар",AVERAGE(U196:U198),IF($B$196="Лікар-педіатр",AVERAGE(U196:U198),IF($B$196="Лікар-терапевт","х",0)))</f>
        <v>148</v>
      </c>
      <c r="V200" s="205">
        <f>IF($B$196="Лікар загальної практики - сімейний лікар",AVERAGE(V196:V198),IF($B$196="Лікар-педіатр",AVERAGE(V196:V198),IF($B$196="Лікар-терапевт","х",0)))</f>
        <v>451</v>
      </c>
      <c r="W200" s="205">
        <f>IF($B$196="Лікар загальної практики - сімейний лікар",AVERAGE(W196:W198),IF($B$196="Лікар-педіатр","x",IF($B$196="Лікар-терапевт",AVERAGE(W196:W198),0)))</f>
        <v>658</v>
      </c>
      <c r="X200" s="205">
        <f>IF($B$196="Лікар загальної практики - сімейний лікар",AVERAGE(X196:X198),IF($B$196="Лікар-педіатр","x",IF($B$196="Лікар-терапевт",AVERAGE(X196:X198),0)))</f>
        <v>897</v>
      </c>
      <c r="Y200" s="205">
        <f>IF($B$196="Лікар загальної практики - сімейний лікар",AVERAGE(Y196:Y198),IF($B$196="Лікар-педіатр","x",IF($B$196="Лікар-терапевт",AVERAGE(Y196:Y198),0)))</f>
        <v>419</v>
      </c>
      <c r="Z200" s="206">
        <f t="shared" si="21"/>
        <v>2573</v>
      </c>
      <c r="AA200" s="946"/>
      <c r="AB200" s="205">
        <f>IF($B$196="Лікар загальної практики - сімейний лікар",AVERAGE(AB196:AB198),IF($B$196="Лікар-педіатр",AVERAGE(AB196:AB198),IF($B$196="Лікар-терапевт","х",0)))</f>
        <v>148</v>
      </c>
      <c r="AC200" s="205">
        <f>IF($B$196="Лікар загальної практики - сімейний лікар",AVERAGE(AC196:AC198),IF($B$196="Лікар-педіатр",AVERAGE(AC196:AC198),IF($B$196="Лікар-терапевт","х",0)))</f>
        <v>451</v>
      </c>
      <c r="AD200" s="205">
        <f>IF($B$196="Лікар загальної практики - сімейний лікар",AVERAGE(AD196:AD198),IF($B$196="Лікар-педіатр","x",IF($B$196="Лікар-терапевт",AVERAGE(AD196:AD198),0)))</f>
        <v>658</v>
      </c>
      <c r="AE200" s="205">
        <f>IF($B$196="Лікар загальної практики - сімейний лікар",AVERAGE(AE196:AE198),IF($B$196="Лікар-педіатр","x",IF($B$196="Лікар-терапевт",AVERAGE(AE196:AE198),0)))</f>
        <v>897</v>
      </c>
      <c r="AF200" s="205">
        <f>IF($B$196="Лікар загальної практики - сімейний лікар",AVERAGE(AF196:AF198),IF($B$196="Лікар-педіатр","x",IF($B$196="Лікар-терапевт",AVERAGE(AF196:AF198),0)))</f>
        <v>419</v>
      </c>
      <c r="AG200" s="206">
        <f t="shared" si="22"/>
        <v>2573</v>
      </c>
      <c r="AH200" s="947"/>
      <c r="AI200" s="201"/>
      <c r="AJ200" s="933"/>
      <c r="AK200" s="927"/>
      <c r="AL200" s="927"/>
      <c r="AM200" s="903"/>
      <c r="AN200" s="925"/>
      <c r="AO200" s="925"/>
      <c r="AP200" s="925"/>
      <c r="AQ200" s="925"/>
      <c r="AR200" s="916"/>
    </row>
    <row r="201" spans="1:44" s="50" customFormat="1" ht="40.5">
      <c r="A201" s="197"/>
      <c r="B201" s="941"/>
      <c r="C201" s="942"/>
      <c r="D201" s="943"/>
      <c r="E201" s="943"/>
      <c r="F201" s="237" t="str">
        <f ca="1">IF(B196="Лікар-педіатр",Законод!$C$17,IF(B196="Лікар загальної практики - сімейний лікар",Законод!$C$21,IF(B196="Лікар-терапевт",Законод!$C$25,"х")))</f>
        <v>ліміт (до 1800)</v>
      </c>
      <c r="G201" s="208">
        <f ca="1">IF($B$196="Лікар загальної практики - сімейний лікар",IF(L200&lt;=Законод!$C$22,G200,Законод!$C$22*'01_Доходи'!G199),IF($B$196="Лікар-педіатр",IF(L200&lt;=Законод!$C$18,G200,Законод!$C$18*'01_Доходи'!G199),IF($B$196="Лікар-терапевт","x",0)))</f>
        <v>103.53672755538283</v>
      </c>
      <c r="H201" s="208">
        <f ca="1">IF($B$196="Лікар загальної практики - сімейний лікар",IF(L200&lt;=Законод!$C$22,H200,Законод!$C$22*'01_Доходи'!H199),IF($B$196="Лікар-педіатр",IF(L200&lt;=Законод!$C$18,H200,Законод!$C$18*'01_Доходи'!H199),IF($B$196="Лікар-терапевт","x",0)))</f>
        <v>315.50719005052468</v>
      </c>
      <c r="I201" s="208">
        <f ca="1">IF($B$196="Лікар загальної практики - сімейний лікар",IF(L200&lt;=Законод!$C$22,I200,Законод!$C$22*'01_Доходи'!I199),IF($B$196="Лікар-педіатр","x",IF($B$196="Лікар-терапевт",IF(L200&lt;=Законод!$C$26,I200,Законод!$C$26*'01_Доходи'!I199),0)))</f>
        <v>460.31869413136411</v>
      </c>
      <c r="J201" s="208">
        <f ca="1">IF($B$196="Лікар загальної практики - сімейний лікар",IF(L200&lt;=Законод!$C$22,J200,Законод!$C$22*'01_Доходи'!J199),IF($B$196="Лікар-педіатр","x",IF($B$196="Лікар-терапевт",IF(L200&lt;=Законод!$C$26,J200,Законод!$C$26*'01_Доходи'!J199),0)))</f>
        <v>627.51651768363774</v>
      </c>
      <c r="K201" s="208">
        <f ca="1">IF($B$196="Лікар загальної практики - сімейний лікар",IF(L200&lt;=Законод!$C$22,K200,Законод!$C$22*'01_Доходи'!K199),IF($B$196="Лікар-педіатр","x",IF($B$196="Лікар-терапевт",IF(L200&lt;=Законод!$C$26,K200,Законод!$C$26*'01_Доходи'!K199),0)))</f>
        <v>293.12087057909054</v>
      </c>
      <c r="L201" s="209">
        <f t="shared" si="19"/>
        <v>1800</v>
      </c>
      <c r="M201" s="945"/>
      <c r="N201" s="208">
        <f ca="1">IF($B$196="Лікар загальної практики - сімейний лікар",IF(S200&lt;=Законод!$C$22,N200,Законод!$C$22*'01_Доходи'!N199),IF($B$196="Лікар-педіатр",IF(S200&lt;=Законод!$C$18,N200,Законод!$C$18*'01_Доходи'!N199),IF($B$196="Лікар-терапевт","x",0)))</f>
        <v>103.53672755538283</v>
      </c>
      <c r="O201" s="208">
        <f ca="1">IF($B$196="Лікар загальної практики - сімейний лікар",IF(S200&lt;=Законод!$C$22,O200,Законод!$C$22*'01_Доходи'!O199),IF($B$196="Лікар-педіатр",IF(S200&lt;=Законод!$C$18,O200,Законод!$C$18*'01_Доходи'!O199),IF($B$196="Лікар-терапевт","x",0)))</f>
        <v>315.50719005052468</v>
      </c>
      <c r="P201" s="208">
        <f ca="1">IF($B$196="Лікар загальної практики - сімейний лікар",IF(S200&lt;=Законод!$C$22,P200,Законод!$C$22*'01_Доходи'!P199),IF($B$196="Лікар-педіатр","x",IF($B$196="Лікар-терапевт",IF(S200&lt;=Законод!$C$26,P200,Законод!$C$26*'01_Доходи'!P199),0)))</f>
        <v>460.31869413136411</v>
      </c>
      <c r="Q201" s="208">
        <f ca="1">IF($B$196="Лікар загальної практики - сімейний лікар",IF(S200&lt;=Законод!$C$22,Q200,Законод!$C$22*'01_Доходи'!Q199),IF($B$196="Лікар-педіатр","x",IF($B$196="Лікар-терапевт",IF(S200&lt;=Законод!$C$26,Q200,Законод!$C$26*'01_Доходи'!Q199),0)))</f>
        <v>627.51651768363774</v>
      </c>
      <c r="R201" s="208">
        <f ca="1">IF($B$196="Лікар загальної практики - сімейний лікар",IF(S200&lt;=Законод!$C$22,R200,Законод!$C$22*'01_Доходи'!R199),IF($B$196="Лікар-педіатр","x",IF($B$196="Лікар-терапевт",IF(S200&lt;=Законод!$C$26,R200,Законод!$C$26*'01_Доходи'!R199),0)))</f>
        <v>293.12087057909054</v>
      </c>
      <c r="S201" s="209">
        <f t="shared" si="20"/>
        <v>1800</v>
      </c>
      <c r="T201" s="945"/>
      <c r="U201" s="208">
        <f ca="1">IF($B$196="Лікар загальної практики - сімейний лікар",IF(Z200&lt;=Законод!$C$22,U200,Законод!$C$22*'01_Доходи'!U199),IF($B$196="Лікар-педіатр",IF(Z200&lt;=Законод!$C$18,U200,Законод!$C$18*'01_Доходи'!U199),IF($B$196="Лікар-терапевт","x",0)))</f>
        <v>103.53672755538283</v>
      </c>
      <c r="V201" s="208">
        <f ca="1">IF($B$196="Лікар загальної практики - сімейний лікар",IF(Z200&lt;=Законод!$C$22,V200,Законод!$C$22*'01_Доходи'!V199),IF($B$196="Лікар-педіатр",IF(Z200&lt;=Законод!$C$18,V200,Законод!$C$18*'01_Доходи'!V199),IF($B$196="Лікар-терапевт","x",0)))</f>
        <v>315.50719005052468</v>
      </c>
      <c r="W201" s="208">
        <f ca="1">IF($B$196="Лікар загальної практики - сімейний лікар",IF(Z200&lt;=Законод!$C$22,W200,Законод!$C$22*'01_Доходи'!W199),IF($B$196="Лікар-педіатр","x",IF($B$196="Лікар-терапевт",IF(Z200&lt;=Законод!$C$26,W200,Законод!$C$26*'01_Доходи'!W199),0)))</f>
        <v>460.31869413136411</v>
      </c>
      <c r="X201" s="208">
        <f ca="1">IF($B$196="Лікар загальної практики - сімейний лікар",IF(Z200&lt;=Законод!$C$22,X200,Законод!$C$22*'01_Доходи'!X199),IF($B$196="Лікар-педіатр","x",IF($B$196="Лікар-терапевт",IF(Z200&lt;=Законод!$C$26,X200,Законод!$C$26*'01_Доходи'!X199),0)))</f>
        <v>627.51651768363774</v>
      </c>
      <c r="Y201" s="208">
        <f ca="1">IF($B$196="Лікар загальної практики - сімейний лікар",IF(Z200&lt;=Законод!$C$22,Y200,Законод!$C$22*'01_Доходи'!Y199),IF($B$196="Лікар-педіатр","x",IF($B$196="Лікар-терапевт",IF(Z200&lt;=Законод!$C$26,Y200,Законод!$C$26*'01_Доходи'!Y199),0)))</f>
        <v>293.12087057909054</v>
      </c>
      <c r="Z201" s="209">
        <f t="shared" si="21"/>
        <v>1800</v>
      </c>
      <c r="AA201" s="945"/>
      <c r="AB201" s="208">
        <f ca="1">IF($B$196="Лікар загальної практики - сімейний лікар",IF(AG200&lt;=Законод!$C$22,AB200,Законод!$C$22*'01_Доходи'!AB199),IF($B$196="Лікар-педіатр",IF(AG200&lt;=Законод!$C$18,AB200,Законод!$C$18*'01_Доходи'!AB199),IF($B$196="Лікар-терапевт","x",0)))</f>
        <v>103.53672755538283</v>
      </c>
      <c r="AC201" s="208">
        <f ca="1">IF($B$196="Лікар загальної практики - сімейний лікар",IF(AG200&lt;=Законод!$C$22,AC200,Законод!$C$22*'01_Доходи'!AC199),IF($B$196="Лікар-педіатр",IF(AG200&lt;=Законод!$C$18,AC200,Законод!$C$18*'01_Доходи'!AC199),IF($B$196="Лікар-терапевт","x",0)))</f>
        <v>315.50719005052468</v>
      </c>
      <c r="AD201" s="208">
        <f ca="1">IF($B$196="Лікар загальної практики - сімейний лікар",IF(AG200&lt;=Законод!$C$22,AD200,Законод!$C$22*'01_Доходи'!AD199),IF($B$196="Лікар-педіатр","x",IF($B$196="Лікар-терапевт",IF(AG200&lt;=Законод!$C$26,AD200,Законод!$C$26*'01_Доходи'!AD199),0)))</f>
        <v>460.31869413136411</v>
      </c>
      <c r="AE201" s="208">
        <f ca="1">IF($B$196="Лікар загальної практики - сімейний лікар",IF(AG200&lt;=Законод!$C$22,AE200,Законод!$C$22*'01_Доходи'!AE199),IF($B$196="Лікар-педіатр","x",IF($B$196="Лікар-терапевт",IF(AG200&lt;=Законод!$C$26,AE200,Законод!$C$26*'01_Доходи'!AE199),0)))</f>
        <v>627.51651768363774</v>
      </c>
      <c r="AF201" s="208">
        <f ca="1">IF($B$196="Лікар загальної практики - сімейний лікар",IF(AG200&lt;=Законод!$C$22,AF200,Законод!$C$22*'01_Доходи'!AF199),IF($B$196="Лікар-педіатр","x",IF($B$196="Лікар-терапевт",IF(AG200&lt;=Законод!$C$26,AF200,Законод!$C$26*'01_Доходи'!AF199),0)))</f>
        <v>293.12087057909054</v>
      </c>
      <c r="AG201" s="209">
        <f t="shared" si="22"/>
        <v>1800</v>
      </c>
      <c r="AH201" s="945"/>
      <c r="AI201" s="201"/>
      <c r="AJ201" s="933"/>
      <c r="AK201" s="927"/>
      <c r="AL201" s="927"/>
      <c r="AM201" s="348" t="s">
        <v>374</v>
      </c>
      <c r="AN201" s="210">
        <f ca="1">IF(B196="Лікар загальної практики - сімейний лікар",G201*Законод!$C$11+'01_Доходи'!H201*Законод!$D$11+'01_Доходи'!I201*Законод!$E$11+'01_Доходи'!J201*Законод!$F$11+'01_Доходи'!K201*Законод!$G$11,IF(B196="Лікар-педіатр",G201*Законод!$C$11+'01_Доходи'!H201*Законод!$D$11,IF(B196="Лікар-терапевт",'01_Доходи'!I201*Законод!$E$11+'01_Доходи'!J201*Законод!$F$11+'01_Доходи'!K201*Законод!$G$11,0)))</f>
        <v>352313.34008453164</v>
      </c>
      <c r="AO201" s="210">
        <f ca="1">IF(B196="Лікар загальної практики - сімейний лікар",N201*Законод!$C$11+'01_Доходи'!O201*Законод!$D$11+'01_Доходи'!P201*Законод!$E$11+'01_Доходи'!Q201*Законод!$F$11+'01_Доходи'!R201*Законод!$G$11,IF(B196="Лікар-педіатр",N201*Законод!$C$11+'01_Доходи'!O201*Законод!$D$11,IF(B196="Лікар-терапевт",'01_Доходи'!P201*Законод!$E$11+'01_Доходи'!Q201*Законод!$F$11+'01_Доходи'!R201*Законод!$G$11,0)))</f>
        <v>352313.34008453164</v>
      </c>
      <c r="AP201" s="210">
        <f ca="1">IF(B196="Лікар загальної практики - сімейний лікар",U201*Законод!$C$11+'01_Доходи'!V201*Законод!$D$11+'01_Доходи'!W201*Законод!$E$11+'01_Доходи'!X201*Законод!$F$11+'01_Доходи'!Y201*Законод!$G$11,IF(B196="Лікар-педіатр",U201*Законод!$C$11+'01_Доходи'!V201*Законод!$D$11,IF(B196="Лікар-терапевт",'01_Доходи'!W201*Законод!$E$11+'01_Доходи'!X201*Законод!$F$11+'01_Доходи'!Y201*Законод!$G$11,0)))</f>
        <v>352313.34008453164</v>
      </c>
      <c r="AQ201" s="210">
        <f ca="1">IF(B196="Лікар загальної практики - сімейний лікар",AB201*Законод!$C$11+'01_Доходи'!AC201*Законод!$D$11+'01_Доходи'!AD201*Законод!$E$11+'01_Доходи'!AE201*Законод!$F$11+'01_Доходи'!AF201*Законод!$G$11,IF(B196="Лікар-педіатр",AB201*Законод!$C$11+'01_Доходи'!AC201*Законод!$D$11,IF(B196="Лікар-терапевт",'01_Доходи'!AD201*Законод!$E$11+'01_Доходи'!AE201*Законод!$F$11+'01_Доходи'!AF201*Законод!$G$11,0)))</f>
        <v>352313.34008453164</v>
      </c>
      <c r="AR201" s="211">
        <f t="shared" ref="AR201:AR207" si="23">SUM(AN201:AQ201)</f>
        <v>1409253.3603381265</v>
      </c>
    </row>
    <row r="202" spans="1:44" s="50" customFormat="1" ht="31.9" customHeight="1">
      <c r="A202" s="197"/>
      <c r="B202" s="941"/>
      <c r="C202" s="942"/>
      <c r="D202" s="943"/>
      <c r="E202" s="943"/>
      <c r="F202" s="238" t="str">
        <f ca="1">IF(B196="Лікар-педіатр",Законод!$E$17,IF(B196="Лікар загальної практики - сімейний лікар",Законод!$E$21,IF(B196="Лікар-терапевт",Законод!$E$25,"х")))</f>
        <v>понад ліміт (1801-1980)</v>
      </c>
      <c r="G202" s="940" t="s">
        <v>346</v>
      </c>
      <c r="H202" s="940"/>
      <c r="I202" s="940"/>
      <c r="J202" s="940"/>
      <c r="K202" s="940"/>
      <c r="L202" s="196">
        <f ca="1">IF($B$196="Лікар загальної практики - сімейний лікар",IF(L200&lt;Законод!$C$22,0,(IF(AND(L200&gt;=Законод!$E$22,L200&lt;=Законод!$E$23),L200-Законод!$C$22,IF('01_Доходи'!L200&gt;=Законод!$F$22,Законод!$E$24,0)))),IF($B$196="Лікар-педіатр",IF(L200&lt;Законод!$C$18,0,(IF(AND(L200&gt;=Законод!$E$18,L200&lt;=Законод!$E$19),L200-Законод!$C$18,IF('01_Доходи'!L200&gt;=Законод!$F$18,Законод!$E$20,0)))),IF($B$196="Лікар-терапевт",IF(L200&lt;Законод!$C$26,0,(IF(AND(L200&gt;=Законод!$E$26,L200&lt;=Законод!$E$27),L200-Законод!$C$26,IF('01_Доходи'!L200&gt;=Законод!$F$26,Законод!$E$28,0)))),0)))</f>
        <v>180.00000000000023</v>
      </c>
      <c r="M202" s="945"/>
      <c r="N202" s="940" t="s">
        <v>346</v>
      </c>
      <c r="O202" s="940"/>
      <c r="P202" s="940"/>
      <c r="Q202" s="940"/>
      <c r="R202" s="940"/>
      <c r="S202" s="196">
        <f ca="1">IF($B$196="Лікар загальної практики - сімейний лікар",IF(S200&lt;Законод!$C$22,0,(IF(AND(S200&gt;=Законод!$E$22,S200&lt;=Законод!$E$23),S200-Законод!$C$22,IF('01_Доходи'!S200&gt;=Законод!$F$22,Законод!$E$24,0)))),IF($B$196="Лікар-педіатр",IF(S200&lt;Законод!$C$18,0,(IF(AND(S200&gt;=Законод!$E$18,S200&lt;=Законод!$E$19),S200-Законод!$C$18,IF('01_Доходи'!S200&gt;=Законод!$F$18,Законод!$E$20,0)))),IF($B$196="Лікар-терапевт",IF(S200&lt;Законод!$C$26,0,(IF(AND(S200&gt;=Законод!$E$26,S200&lt;=Законод!$E$27),S200-Законод!$C$26,IF('01_Доходи'!S200&gt;=Законод!$F$26,Законод!$E$28,0)))),0)))</f>
        <v>180.00000000000023</v>
      </c>
      <c r="T202" s="945"/>
      <c r="U202" s="940" t="s">
        <v>346</v>
      </c>
      <c r="V202" s="940"/>
      <c r="W202" s="940"/>
      <c r="X202" s="940"/>
      <c r="Y202" s="940"/>
      <c r="Z202" s="196">
        <f ca="1">IF($B$196="Лікар загальної практики - сімейний лікар",IF(Z200&lt;Законод!$C$22,0,(IF(AND(Z200&gt;=Законод!$E$22,Z200&lt;=Законод!$E$23),Z200-Законод!$C$22,IF('01_Доходи'!Z200&gt;=Законод!$F$22,Законод!$E$24,0)))),IF($B$196="Лікар-педіатр",IF(Z200&lt;Законод!$C$18,0,(IF(AND(Z200&gt;=Законод!$E$18,Z200&lt;=Законод!$E$19),Z200-Законод!$C$18,IF('01_Доходи'!Z200&gt;=Законод!$F$18,Законод!$E$20,0)))),IF($B$196="Лікар-терапевт",IF(Z200&lt;Законод!$C$26,0,(IF(AND(Z200&gt;=Законод!$E$26,Z200&lt;=Законод!$E$27),Z200-Законод!$C$26,IF('01_Доходи'!Z200&gt;=Законод!$F$26,Законод!$E$28,0)))),0)))</f>
        <v>180.00000000000023</v>
      </c>
      <c r="AA202" s="945"/>
      <c r="AB202" s="940" t="s">
        <v>346</v>
      </c>
      <c r="AC202" s="940"/>
      <c r="AD202" s="940"/>
      <c r="AE202" s="940"/>
      <c r="AF202" s="940"/>
      <c r="AG202" s="196">
        <f ca="1">IF($B$196="Лікар загальної практики - сімейний лікар",IF(AG200&lt;Законод!$C$22,0,(IF(AND(AG200&gt;=Законод!$E$22,AG200&lt;=Законод!$E$23),AG200-Законод!$C$22,IF('01_Доходи'!AG200&gt;=Законод!$F$22,Законод!$E$24,0)))),IF($B$196="Лікар-педіатр",IF(AG200&lt;Законод!$C$18,0,(IF(AND(AG200&gt;=Законод!$E$18,AG200&lt;=Законод!$E$19),AG200-Законод!$C$18,IF('01_Доходи'!AG200&gt;=Законод!$F$18,Законод!$E$20,0)))),IF($B$196="Лікар-терапевт",IF(AG200&lt;Законод!$C$26,0,(IF(AND(AG200&gt;=Законод!$E$26,AG200&lt;=Законод!$E$27),AG200-Законод!$C$26,IF('01_Доходи'!AG200&gt;=Законод!$F$26,Законод!$E$28,0)))),0)))</f>
        <v>180.00000000000023</v>
      </c>
      <c r="AH202" s="945"/>
      <c r="AI202" s="201"/>
      <c r="AJ202" s="933"/>
      <c r="AK202" s="927"/>
      <c r="AL202" s="927"/>
      <c r="AM202" s="898" t="s">
        <v>375</v>
      </c>
      <c r="AN202" s="210">
        <f ca="1">IF(B196="Лікар загальної практики - сімейний лікар",L202*Законод!$C$9/4*Законод!$E$16,IF(B196="Лікар-педіатр",L202*Законод!$C$9/4*Законод!$E$16,IF(B196="Лікар-терапевт",L202*Законод!$C$9/4*Законод!$E$16,0)))</f>
        <v>21805.938000000027</v>
      </c>
      <c r="AO202" s="210">
        <f ca="1">IF(B196="Лікар загальної практики - сімейний лікар",S202*Законод!$C$9/4*Законод!$E$16,IF(B196="Лікар-педіатр",S202*Законод!$C$9/4*Законод!$E$16,IF(B196="Лікар-терапевт",S202*Законод!$C$9/4*Законод!$E$16,0)))</f>
        <v>21805.938000000027</v>
      </c>
      <c r="AP202" s="210">
        <f ca="1">IF(B196="Лікар загальної практики - сімейний лікар",Z202*Законод!$C$9/4*Законод!$E$16,IF(B196="Лікар-педіатр",Z202*Законод!$C$9/4*Законод!$E$16,IF(B196="Лікар-терапевт",Z202*Законод!$C$9/4*Законод!$E$16,0)))</f>
        <v>21805.938000000027</v>
      </c>
      <c r="AQ202" s="210">
        <f ca="1">IF(B196="Лікар загальної практики - сімейний лікар",AG202*Законод!$C$9/4*Законод!$E$16,IF(B196="Лікар-педіатр",AG202*Законод!$C$9/4*Законод!$E$16,IF(B196="Лікар-терапевт",AG202*Законод!$C$9/4*Законод!$E$16,0)))</f>
        <v>21805.938000000027</v>
      </c>
      <c r="AR202" s="211">
        <f t="shared" si="23"/>
        <v>87223.75200000011</v>
      </c>
    </row>
    <row r="203" spans="1:44" s="50" customFormat="1" ht="31.9" customHeight="1">
      <c r="A203" s="197"/>
      <c r="B203" s="941"/>
      <c r="C203" s="942"/>
      <c r="D203" s="943"/>
      <c r="E203" s="943"/>
      <c r="F203" s="238" t="str">
        <f ca="1">IF(B196="Лікар-педіатр",Законод!$F$17,IF(B196="Лікар загальної практики - сімейний лікар",Законод!$F$21,IF(B196="Лікар-терапевт",Законод!$F$25,"х")))</f>
        <v>понад ліміт (1981-2160)</v>
      </c>
      <c r="G203" s="940" t="s">
        <v>346</v>
      </c>
      <c r="H203" s="940"/>
      <c r="I203" s="940"/>
      <c r="J203" s="940"/>
      <c r="K203" s="940"/>
      <c r="L203" s="196">
        <f ca="1">IF($B$196="Лікар загальної практики - сімейний лікар",IF(L200&lt;Законод!$C$22,0,(IF(AND(L200&gt;=Законод!$F$22,L200&lt;=Законод!$F$23),L200-Законод!$E$23,IF('01_Доходи'!L200&gt;=Законод!$G$22,Законод!$F$24,0)))),IF($B$196="Лікар-педіатр",IF(L200&lt;Законод!$C$18,0,(IF(AND(L200&gt;=Законод!$F$18,L200&lt;=Законод!$F$19),L200-Законод!$E$19,IF('01_Доходи'!L200&gt;=Законод!$G$18,Законод!$F$20,0)))),IF($B$196="Лікар-терапевт",IF(L200&lt;Законод!$C$26,0,(IF(AND(L200&gt;=Законод!$F$26,L200&lt;=Законод!$F$27),L200-Законод!$E$27,IF('01_Доходи'!L200&gt;=Законод!$G$26,Законод!$F$28,0)))),0)))</f>
        <v>179.99999999999977</v>
      </c>
      <c r="M203" s="945"/>
      <c r="N203" s="940" t="s">
        <v>346</v>
      </c>
      <c r="O203" s="940"/>
      <c r="P203" s="940"/>
      <c r="Q203" s="940"/>
      <c r="R203" s="940"/>
      <c r="S203" s="196">
        <f ca="1">IF($B$196="Лікар загальної практики - сімейний лікар",IF(S200&lt;Законод!$C$22,0,(IF(AND(S200&gt;=Законод!$F$22,S200&lt;=Законод!$F$23),S200-Законод!$E$23,IF('01_Доходи'!S200&gt;=Законод!$G$22,Законод!$F$24,0)))),IF($B$196="Лікар-педіатр",IF(S200&lt;Законод!$C$18,0,(IF(AND(S200&gt;=Законод!$F$18,S200&lt;=Законод!$F$19),S200-Законод!$E$19,IF('01_Доходи'!S200&gt;=Законод!$G$18,Законод!$F$20,0)))),IF($B$196="Лікар-терапевт",IF(S200&lt;Законод!$C$26,0,(IF(AND(S200&gt;=Законод!$F$26,S200&lt;=Законод!$F$27),S200-Законод!$E$27,IF('01_Доходи'!S200&gt;=Законод!$G$26,Законод!$F$28,0)))),0)))</f>
        <v>179.99999999999977</v>
      </c>
      <c r="T203" s="945"/>
      <c r="U203" s="940" t="s">
        <v>346</v>
      </c>
      <c r="V203" s="940"/>
      <c r="W203" s="940"/>
      <c r="X203" s="940"/>
      <c r="Y203" s="940"/>
      <c r="Z203" s="196">
        <f ca="1">IF($B$196="Лікар загальної практики - сімейний лікар",IF(Z200&lt;Законод!$C$22,0,(IF(AND(Z200&gt;=Законод!$F$22,Z200&lt;=Законод!$F$23),Z200-Законод!$E$23,IF('01_Доходи'!Z200&gt;=Законод!$G$22,Законод!$F$24,0)))),IF($B$196="Лікар-педіатр",IF(Z200&lt;Законод!$C$18,0,(IF(AND(Z200&gt;=Законод!$F$18,Z200&lt;=Законод!$F$19),Z200-Законод!$E$19,IF('01_Доходи'!Z200&gt;=Законод!$G$18,Законод!$F$20,0)))),IF($B$196="Лікар-терапевт",IF(Z200&lt;Законод!$C$26,0,(IF(AND(Z200&gt;=Законод!$F$26,Z200&lt;=Законод!$F$27),Z200-Законод!$E$27,IF('01_Доходи'!Z200&gt;=Законод!$G$26,Законод!$F$28,0)))),0)))</f>
        <v>179.99999999999977</v>
      </c>
      <c r="AA203" s="945"/>
      <c r="AB203" s="940" t="s">
        <v>346</v>
      </c>
      <c r="AC203" s="940"/>
      <c r="AD203" s="940"/>
      <c r="AE203" s="940"/>
      <c r="AF203" s="940"/>
      <c r="AG203" s="196">
        <f ca="1">IF($B$196="Лікар загальної практики - сімейний лікар",IF(AG200&lt;Законод!$C$22,0,(IF(AND(AG200&gt;=Законод!$F$22,AG200&lt;=Законод!$F$23),AG200-Законод!$E$23,IF('01_Доходи'!AG200&gt;=Законод!$G$22,Законод!$F$24,0)))),IF($B$196="Лікар-педіатр",IF(AG200&lt;Законод!$C$18,0,(IF(AND(AG200&gt;=Законод!$F$18,AG200&lt;=Законод!$F$19),AG200-Законод!$E$19,IF('01_Доходи'!AG200&gt;=Законод!$G$18,Законод!$F$20,0)))),IF($B$196="Лікар-терапевт",IF(AG200&lt;Законод!$C$26,0,(IF(AND(AG200&gt;=Законод!$F$26,AG200&lt;=Законод!$F$27),AG200-Законод!$E$27,IF('01_Доходи'!AG200&gt;=Законод!$G$26,Законод!$F$28,0)))),0)))</f>
        <v>179.99999999999977</v>
      </c>
      <c r="AH203" s="945"/>
      <c r="AI203" s="201"/>
      <c r="AJ203" s="933"/>
      <c r="AK203" s="927"/>
      <c r="AL203" s="927"/>
      <c r="AM203" s="899"/>
      <c r="AN203" s="210">
        <f ca="1">IF(B196="Лікар загальної практики - сімейний лікар",L203*Законод!$C$9/4*Законод!$F$16,IF(B196="Лікар-педіатр",L203*Законод!$C$9/4*Законод!$F$16,IF(B196="Лікар-терапевт",L203*Законод!$C$9/4*Законод!$F$16,0)))</f>
        <v>17451.830249999977</v>
      </c>
      <c r="AO203" s="210">
        <f ca="1">IF(B196="Лікар загальної практики - сімейний лікар",S203*Законод!$C$9/4*Законод!$F$16,IF(B196="Лікар-педіатр",S203*Законод!$C$9/4*Законод!$F$16,IF(B196="Лікар-терапевт",S203*Законод!$C$9/4*Законод!$F$16,0)))</f>
        <v>17451.830249999977</v>
      </c>
      <c r="AP203" s="210">
        <f ca="1">IF(B196="Лікар загальної практики - сімейний лікар",Z203*Законод!$C$9/4*Законод!$F$16,IF(B196="Лікар-педіатр",Z203*Законод!$C$9/4*Законод!$F$16,IF(B196="Лікар-терапевт",Z203*Законод!$C$9/4*Законод!$F$16,0)))</f>
        <v>17451.830249999977</v>
      </c>
      <c r="AQ203" s="210">
        <f ca="1">IF(B196="Лікар загальної практики - сімейний лікар",AG203*Законод!$C$9/4*Законод!$F$16,IF(B196="Лікар-педіатр",AG203*Законод!$C$9/4*Законод!$F$16,IF(B196="Лікар-терапевт",AG203*Законод!$C$9/4*Законод!$F$16,0)))</f>
        <v>17451.830249999977</v>
      </c>
      <c r="AR203" s="211">
        <f t="shared" si="23"/>
        <v>69807.320999999909</v>
      </c>
    </row>
    <row r="204" spans="1:44" s="50" customFormat="1" ht="31.9" customHeight="1">
      <c r="A204" s="197"/>
      <c r="B204" s="941"/>
      <c r="C204" s="942"/>
      <c r="D204" s="943"/>
      <c r="E204" s="943"/>
      <c r="F204" s="238" t="str">
        <f ca="1">IF(B196="Лікар-педіатр",Законод!$G$17,IF(B196="Лікар загальної практики - сімейний лікар",Законод!$G$21,IF(B196="Лікар-терапевт",Законод!$G$25,"х")))</f>
        <v>понад ліміт (2161-2340)</v>
      </c>
      <c r="G204" s="940" t="s">
        <v>346</v>
      </c>
      <c r="H204" s="940"/>
      <c r="I204" s="940"/>
      <c r="J204" s="940"/>
      <c r="K204" s="940"/>
      <c r="L204" s="196">
        <f ca="1">IF($B$196="Лікар загальної практики - сімейний лікар",IF(L200&lt;Законод!$C$22,0,(IF(AND(L200&gt;=Законод!$G$22,L200&lt;=Законод!$G$23),L200-Законод!$F$23,IF('01_Доходи'!L200&gt;=Законод!$H$22,Законод!$G$24,0)))),IF($B$196="Лікар-педіатр",IF(L200&lt;Законод!$C$18,0,(IF(AND(L200&gt;=Законод!$G$18,L200&lt;=Законод!$G$19),L200-Законод!$F$19,IF('01_Доходи'!L200&gt;=Законод!$H$18,Законод!$G$20,0)))),IF($B$196="Лікар-терапевт",IF(L200&lt;Законод!$C$26,0,(IF(AND(L200&gt;=Законод!$G$26,L200&lt;=Законод!$G$27),L200-Законод!$F$27,IF('01_Доходи'!L200&gt;=Законод!$H$26,Законод!$G$28,0)))),0)))</f>
        <v>180</v>
      </c>
      <c r="M204" s="945"/>
      <c r="N204" s="940" t="s">
        <v>346</v>
      </c>
      <c r="O204" s="940"/>
      <c r="P204" s="940"/>
      <c r="Q204" s="940"/>
      <c r="R204" s="940"/>
      <c r="S204" s="196">
        <f ca="1">IF($B$196="Лікар загальної практики - сімейний лікар",IF(S200&lt;Законод!$C$22,0,(IF(AND(S200&gt;=Законод!$G$22,S200&lt;=Законод!$G$23),S200-Законод!$F$23,IF('01_Доходи'!S200&gt;=Законод!$H$22,Законод!$G$24,0)))),IF($B$196="Лікар-педіатр",IF(S200&lt;Законод!$C$18,0,(IF(AND(S200&gt;=Законод!$G$18,S200&lt;=Законод!$G$19),S200-Законод!$F$19,IF('01_Доходи'!S200&gt;=Законод!$H$18,Законод!$G$20,0)))),IF($B$196="Лікар-терапевт",IF(S200&lt;Законод!$C$26,0,(IF(AND(S200&gt;=Законод!$G$26,S200&lt;=Законод!$G$27),S200-Законод!$F$27,IF('01_Доходи'!S200&gt;=Законод!$H$26,Законод!$G$28,0)))),0)))</f>
        <v>180</v>
      </c>
      <c r="T204" s="945"/>
      <c r="U204" s="940" t="s">
        <v>346</v>
      </c>
      <c r="V204" s="940"/>
      <c r="W204" s="940"/>
      <c r="X204" s="940"/>
      <c r="Y204" s="940"/>
      <c r="Z204" s="196">
        <f ca="1">IF($B$196="Лікар загальної практики - сімейний лікар",IF(Z200&lt;Законод!$C$22,0,(IF(AND(Z200&gt;=Законод!$G$22,Z200&lt;=Законод!$G$23),Z200-Законод!$F$23,IF('01_Доходи'!Z200&gt;=Законод!$H$22,Законод!$G$24,0)))),IF($B$196="Лікар-педіатр",IF(Z200&lt;Законод!$C$18,0,(IF(AND(Z200&gt;=Законод!$G$18,Z200&lt;=Законод!$G$19),Z200-Законод!$F$19,IF('01_Доходи'!Z200&gt;=Законод!$H$18,Законод!$G$20,0)))),IF($B$196="Лікар-терапевт",IF(Z200&lt;Законод!$C$26,0,(IF(AND(Z200&gt;=Законод!$G$26,Z200&lt;=Законод!$G$27),Z200-Законод!$F$27,IF('01_Доходи'!Z200&gt;=Законод!$H$26,Законод!$G$28,0)))),0)))</f>
        <v>180</v>
      </c>
      <c r="AA204" s="945"/>
      <c r="AB204" s="940" t="s">
        <v>346</v>
      </c>
      <c r="AC204" s="940"/>
      <c r="AD204" s="940"/>
      <c r="AE204" s="940"/>
      <c r="AF204" s="940"/>
      <c r="AG204" s="196">
        <f ca="1">IF($B$196="Лікар загальної практики - сімейний лікар",IF(AG200&lt;Законод!$C$22,0,(IF(AND(AG200&gt;=Законод!$G$22,AG200&lt;=Законод!$G$23),AG200-Законод!$F$23,IF('01_Доходи'!AG200&gt;=Законод!$H$22,Законод!$G$24,0)))),IF($B$196="Лікар-педіатр",IF(AG200&lt;Законод!$C$18,0,(IF(AND(AG200&gt;=Законод!$G$18,AG200&lt;=Законод!$G$19),AG200-Законод!$F$19,IF('01_Доходи'!AG200&gt;=Законод!$H$18,Законод!$G$20,0)))),IF($B$196="Лікар-терапевт",IF(AG200&lt;Законод!$C$26,0,(IF(AND(AG200&gt;=Законод!$G$26,AG200&lt;=Законод!$G$27),AG200-Законод!$F$27,IF('01_Доходи'!AG200&gt;=Законод!$H$26,Законод!$G$28,0)))),0)))</f>
        <v>180</v>
      </c>
      <c r="AH204" s="945"/>
      <c r="AI204" s="201"/>
      <c r="AJ204" s="933"/>
      <c r="AK204" s="927"/>
      <c r="AL204" s="927"/>
      <c r="AM204" s="899"/>
      <c r="AN204" s="210">
        <f ca="1">IF(B196="Лікар загальної практики - сімейний лікар",L204*Законод!$C$9/4*Законод!$G$16,IF(B196="Лікар-педіатр",L204*Законод!$C$9/4*Законод!$G$16,IF(B196="Лікар-терапевт",L204*Законод!$C$9/4*Законод!$G$16,0)))</f>
        <v>13097.7225</v>
      </c>
      <c r="AO204" s="210">
        <f ca="1">IF(B196="Лікар загальної практики - сімейний лікар",S204*Законод!$C$9/4*Законод!$G$16,IF(B196="Лікар-педіатр",S204*Законод!$C$9/4*Законод!$G$16,IF(B196="Лікар-терапевт",S204*Законод!$C$9/4*Законод!$G$16,0)))</f>
        <v>13097.7225</v>
      </c>
      <c r="AP204" s="210">
        <f ca="1">IF(B196="Лікар загальної практики - сімейний лікар",Z204*Законод!$C$9/4*Законод!$G$16,IF(B196="Лікар-педіатр",Z204*Законод!$C$9/4*Законод!$G$16,IF(B196="Лікар-терапевт",Z204*Законод!$C$9/4*Законод!$G$16,0)))</f>
        <v>13097.7225</v>
      </c>
      <c r="AQ204" s="210">
        <f ca="1">IF(B196="Лікар загальної практики - сімейний лікар",AG204*Законод!$C$9/4*Законод!$G$16,IF(B196="Лікар-педіатр",AG204*Законод!$C$9/4*Законод!$G$16,IF(B196="Лікар-терапевт",AG204*Законод!$C$9/4*Законод!$G$16,0)))</f>
        <v>13097.7225</v>
      </c>
      <c r="AR204" s="211">
        <f t="shared" si="23"/>
        <v>52390.89</v>
      </c>
    </row>
    <row r="205" spans="1:44" s="50" customFormat="1" ht="31.9" customHeight="1">
      <c r="A205" s="197"/>
      <c r="B205" s="941"/>
      <c r="C205" s="942"/>
      <c r="D205" s="943"/>
      <c r="E205" s="943"/>
      <c r="F205" s="238" t="str">
        <f ca="1">IF(B196="Лікар-педіатр",Законод!$H$17,IF(B196="Лікар загальної практики - сімейний лікар",Законод!$H$21,IF(B196="Лікар-терапевт",Законод!$H$25,"х")))</f>
        <v>понад ліміт (2341-2520)</v>
      </c>
      <c r="G205" s="940" t="s">
        <v>346</v>
      </c>
      <c r="H205" s="940"/>
      <c r="I205" s="940"/>
      <c r="J205" s="940"/>
      <c r="K205" s="940"/>
      <c r="L205" s="196">
        <f ca="1">IF($B$196="Лікар загальної практики - сімейний лікар",IF(L200&lt;Законод!$C$22,0,(IF(AND(L200&gt;=Законод!$H$22,L200&lt;=Законод!$H$23),L200-Законод!$G$23,IF('01_Доходи'!L200&gt;=Законод!$I$22,Законод!$H$24,0)))),IF($B$196="Лікар-педіатр",IF(L200&lt;Законод!$C$18,0,(IF(AND(L200&gt;=Законод!$H$18,L200&lt;=Законод!$H$19),L200-Законод!$G$19,IF('01_Доходи'!L200&gt;=Законод!$I$18,Законод!$H$20,0)))),IF($B$196="Лікар-терапевт",IF(L200&lt;Законод!$C$26,0,(IF(AND(L200&gt;=Законод!$H$26,L200&lt;=Законод!$H$27),L200-Законод!$G$27,IF(L200&gt;=Законод!$I$26,Законод!$H$28,0)))),0)))</f>
        <v>180</v>
      </c>
      <c r="M205" s="945"/>
      <c r="N205" s="940" t="s">
        <v>346</v>
      </c>
      <c r="O205" s="940"/>
      <c r="P205" s="940"/>
      <c r="Q205" s="940"/>
      <c r="R205" s="940"/>
      <c r="S205" s="196">
        <f ca="1">IF($B$196="Лікар загальної практики - сімейний лікар",IF(S200&lt;Законод!$C$22,0,(IF(AND(S200&gt;=Законод!$H$22,S200&lt;=Законод!$H$23),S200-Законод!$G$23,IF('01_Доходи'!S200&gt;=Законод!$I$22,Законод!$H$24,0)))),IF($B$196="Лікар-педіатр",IF(S200&lt;Законод!$C$18,0,(IF(AND(S200&gt;=Законод!$H$18,S200&lt;=Законод!$H$19),S200-Законод!$G$19,IF('01_Доходи'!S200&gt;=Законод!$I$18,Законод!$H$20,0)))),IF($B$196="Лікар-терапевт",IF(S200&lt;Законод!$C$26,0,(IF(AND(S200&gt;=Законод!$H$26,S200&lt;=Законод!$H$27),S200-Законод!$G$27,IF(S200&gt;=Законод!$I$26,Законод!$H$28,0)))),0)))</f>
        <v>180</v>
      </c>
      <c r="T205" s="945"/>
      <c r="U205" s="940" t="s">
        <v>346</v>
      </c>
      <c r="V205" s="940"/>
      <c r="W205" s="940"/>
      <c r="X205" s="940"/>
      <c r="Y205" s="940"/>
      <c r="Z205" s="196">
        <f ca="1">IF($B$196="Лікар загальної практики - сімейний лікар",IF(Z200&lt;Законод!$C$22,0,(IF(AND(Z200&gt;=Законод!$H$22,Z200&lt;=Законод!$H$23),Z200-Законод!$G$23,IF('01_Доходи'!Z200&gt;=Законод!$I$22,Законод!$H$24,0)))),IF($B$196="Лікар-педіатр",IF(Z200&lt;Законод!$C$18,0,(IF(AND(Z200&gt;=Законод!$H$18,Z200&lt;=Законод!$H$19),Z200-Законод!$G$19,IF('01_Доходи'!Z200&gt;=Законод!$I$18,Законод!$H$20,0)))),IF($B$196="Лікар-терапевт",IF(Z200&lt;Законод!$C$26,0,(IF(AND(Z200&gt;=Законод!$H$26,Z200&lt;=Законод!$H$27),Z200-Законод!$G$27,IF(Z200&gt;=Законод!$I$26,Законод!$H$28,0)))),0)))</f>
        <v>180</v>
      </c>
      <c r="AA205" s="945"/>
      <c r="AB205" s="940" t="s">
        <v>346</v>
      </c>
      <c r="AC205" s="940"/>
      <c r="AD205" s="940"/>
      <c r="AE205" s="940"/>
      <c r="AF205" s="940"/>
      <c r="AG205" s="196">
        <f ca="1">IF($B$196="Лікар загальної практики - сімейний лікар",IF(AG200&lt;Законод!$C$22,0,(IF(AND(AG200&gt;=Законод!$H$22,AG200&lt;=Законод!$H$23),AG200-Законод!$G$23,IF('01_Доходи'!AG200&gt;=Законод!$I$22,Законод!$H$24,0)))),IF($B$196="Лікар-педіатр",IF(AG200&lt;Законод!$C$18,0,(IF(AND(AG200&gt;=Законод!$H$18,AG200&lt;=Законод!$H$19),AG200-Законод!$G$19,IF('01_Доходи'!AG200&gt;=Законод!$I$18,Законод!$H$20,0)))),IF($B$196="Лікар-терапевт",IF(AG200&lt;Законод!$C$26,0,(IF(AND(AG200&gt;=Законод!$H$26,AG200&lt;=Законод!$H$27),AG200-Законод!$G$27,IF(AG200&gt;=Законод!$I$26,Законод!$H$28,0)))),0)))</f>
        <v>180</v>
      </c>
      <c r="AH205" s="945"/>
      <c r="AI205" s="201"/>
      <c r="AJ205" s="933"/>
      <c r="AK205" s="927"/>
      <c r="AL205" s="927"/>
      <c r="AM205" s="899"/>
      <c r="AN205" s="210">
        <f ca="1">IF(B196="Лікар загальної практики - сімейний лікар",L205*Законод!$C$9/4*Законод!$H$16,IF(B196="Лікар-педіатр",L205*Законод!$C$9/4*Законод!$H$16,IF(B196="Лікар-терапевт",L205*Законод!$C$9/4*Законод!$H$16,0)))</f>
        <v>8708.2155000000002</v>
      </c>
      <c r="AO205" s="210">
        <f ca="1">IF(B196="Лікар загальної практики - сімейний лікар",S205*Законод!$C$9/4*Законод!$H$16,IF(B196="Лікар-педіатр",S205*Законод!$C$9/4*Законод!$H$16,IF(B196="Лікар-терапевт",S205*Законод!$C$9/4*Законод!$H$16,0)))</f>
        <v>8708.2155000000002</v>
      </c>
      <c r="AP205" s="210">
        <f ca="1">IF(B196="Лікар загальної практики - сімейний лікар",Z205*Законод!$C$9/4*Законод!$H$16,IF(B196="Лікар-педіатр",Z205*Законод!$C$9/4*Законод!$H$16,IF(B196="Лікар-терапевт",Z205*Законод!$C$9/4*Законод!$H$16,0)))</f>
        <v>8708.2155000000002</v>
      </c>
      <c r="AQ205" s="210">
        <f ca="1">IF(B196="Лікар загальної практики - сімейний лікар",AG205*Законод!$C$9/4*Законод!$H$16,IF(B196="Лікар-педіатр",AG205*Законод!$C$9/4*Законод!$H$16,IF(B196="Лікар-терапевт",AG205*Законод!$C$9/4*Законод!$H$16,0)))</f>
        <v>8708.2155000000002</v>
      </c>
      <c r="AR205" s="211">
        <f t="shared" si="23"/>
        <v>34832.862000000001</v>
      </c>
    </row>
    <row r="206" spans="1:44" s="50" customFormat="1" ht="31.9" customHeight="1">
      <c r="A206" s="197"/>
      <c r="B206" s="941"/>
      <c r="C206" s="942"/>
      <c r="D206" s="943"/>
      <c r="E206" s="943"/>
      <c r="F206" s="238" t="str">
        <f ca="1">IF(B196="Лікар-педіатр",Законод!$I$17,IF(B196="Лікар загальної практики - сімейний лікар",Законод!$I$21,IF(B196="Лікар-терапевт",Законод!$I$25,"х")))</f>
        <v>понад ліміт (2521-2700)</v>
      </c>
      <c r="G206" s="940" t="s">
        <v>346</v>
      </c>
      <c r="H206" s="940"/>
      <c r="I206" s="940"/>
      <c r="J206" s="940"/>
      <c r="K206" s="940"/>
      <c r="L206" s="196">
        <f ca="1">IF($B$196="Лікар загальної практики - сімейний лікар",IF(L200&lt;Законод!$C$22,0,(IF(AND(L200&gt;=Законод!$I$22,L200&lt;=Законод!$I$23),L200-Законод!$H$23,IF('01_Доходи'!L200&gt;=Законод!$I$22,Законод!$I$24,0)))),IF($B$196="Лікар-педіатр",IF(L200&lt;Законод!$C$18,0,(IF(AND(L200&gt;=Законод!$I$18,L200&lt;=Законод!$I$19),L200-Законод!$H$19,IF('01_Доходи'!L200&gt;=Законод!$I$18,Законод!$H$20,0)))),IF($B$196="Лікар-терапевт",IF(L200&lt;Законод!$C$26,0,(IF(AND(L200&gt;=Законод!$I$26,L200&lt;=Законод!$I$27),L200-Законод!$H$27,IF('01_Доходи'!L200&gt;=Законод!$I$26,Законод!$H$28,0)))),0)))</f>
        <v>53</v>
      </c>
      <c r="M206" s="945"/>
      <c r="N206" s="940" t="s">
        <v>346</v>
      </c>
      <c r="O206" s="940"/>
      <c r="P206" s="940"/>
      <c r="Q206" s="940"/>
      <c r="R206" s="940"/>
      <c r="S206" s="196">
        <f ca="1">IF($B$196="Лікар загальної практики - сімейний лікар",IF(S200&lt;Законод!$C$22,0,(IF(AND(S200&gt;=Законод!$I$22,S200&lt;=Законод!$I$23),S200-Законод!$H$23,IF('01_Доходи'!S200&gt;=Законод!$I$22,Законод!$I$24,0)))),IF($B$196="Лікар-педіатр",IF(S200&lt;Законод!$C$18,0,(IF(AND(S200&gt;=Законод!$I$18,S200&lt;=Законод!$I$19),S200-Законод!$H$19,IF('01_Доходи'!S200&gt;=Законод!$I$18,Законод!$H$20,0)))),IF($B$196="Лікар-терапевт",IF(S200&lt;Законод!$C$26,0,(IF(AND(S200&gt;=Законод!$I$26,S200&lt;=Законод!$I$27),S200-Законод!$H$27,IF('01_Доходи'!S200&gt;=Законод!$I$26,Законод!$H$28,0)))),0)))</f>
        <v>53</v>
      </c>
      <c r="T206" s="945"/>
      <c r="U206" s="940" t="s">
        <v>346</v>
      </c>
      <c r="V206" s="940"/>
      <c r="W206" s="940"/>
      <c r="X206" s="940"/>
      <c r="Y206" s="940"/>
      <c r="Z206" s="196">
        <f ca="1">IF($B$196="Лікар загальної практики - сімейний лікар",IF(Z200&lt;Законод!$C$22,0,(IF(AND(Z200&gt;=Законод!$I$22,Z200&lt;=Законод!$I$23),Z200-Законод!$H$23,IF('01_Доходи'!Z200&gt;=Законод!$I$22,Законод!$I$24,0)))),IF($B$196="Лікар-педіатр",IF(Z200&lt;Законод!$C$18,0,(IF(AND(Z200&gt;=Законод!$I$18,Z200&lt;=Законод!$I$19),Z200-Законод!$H$19,IF('01_Доходи'!Z200&gt;=Законод!$I$18,Законод!$H$20,0)))),IF($B$196="Лікар-терапевт",IF(Z200&lt;Законод!$C$26,0,(IF(AND(Z200&gt;=Законод!$I$26,Z200&lt;=Законод!$I$27),Z200-Законод!$H$27,IF('01_Доходи'!Z200&gt;=Законод!$I$26,Законод!$H$28,0)))),0)))</f>
        <v>53</v>
      </c>
      <c r="AA206" s="945"/>
      <c r="AB206" s="940" t="s">
        <v>346</v>
      </c>
      <c r="AC206" s="940"/>
      <c r="AD206" s="940"/>
      <c r="AE206" s="940"/>
      <c r="AF206" s="940"/>
      <c r="AG206" s="196">
        <f ca="1">IF($B$196="Лікар загальної практики - сімейний лікар",IF(AG200&lt;Законод!$C$22,0,(IF(AND(AG200&gt;=Законод!$I$22,AG200&lt;=Законод!$I$23),AG200-Законод!$H$23,IF('01_Доходи'!AG200&gt;=Законод!$I$22,Законод!$I$24,0)))),IF($B$196="Лікар-педіатр",IF(AG200&lt;Законод!$C$18,0,(IF(AND(AG200&gt;=Законод!$I$18,AG200&lt;=Законод!$I$19),AG200-Законод!$H$19,IF('01_Доходи'!AG200&gt;=Законод!$I$18,Законод!$H$20,0)))),IF($B$196="Лікар-терапевт",IF(AG200&lt;Законод!$C$26,0,(IF(AND(AG200&gt;=Законод!$I$26,AG200&lt;=Законод!$I$27),AG200-Законод!$H$27,IF('01_Доходи'!AG200&gt;=Законод!$I$26,Законод!$H$28,0)))),0)))</f>
        <v>53</v>
      </c>
      <c r="AH206" s="945"/>
      <c r="AI206" s="201"/>
      <c r="AJ206" s="933"/>
      <c r="AK206" s="927"/>
      <c r="AL206" s="927"/>
      <c r="AM206" s="899"/>
      <c r="AN206" s="210">
        <f ca="1">IF(B196="Лікар загальної практики - сімейний лікар",L206*Законод!$C$9/4*Законод!$I$16,IF(B196="Лікар-педіатр",L206*Законод!$C$9/4*Законод!$I$16,IF(B196="Лікар-терапевт",L206*Законод!$C$9/4*Законод!$I$16,0)))</f>
        <v>1282.0428374999999</v>
      </c>
      <c r="AO206" s="210">
        <f ca="1">IF(B196="Лікар загальної практики - сімейний лікар",S206*Законод!$C$9/4*Законод!$I$16,IF(B196="Лікар-педіатр",S206*Законод!$C$9/4*Законод!$I$16,IF(B196="Лікар-терапевт",S206*Законод!$C$9/4*Законод!$I$16,0)))</f>
        <v>1282.0428374999999</v>
      </c>
      <c r="AP206" s="210">
        <f ca="1">IF(B196="Лікар загальної практики - сімейний лікар",Z206*Законод!$C$9/4*Законод!$I$16,IF(B196="Лікар-педіатр",Z206*Законод!$C$9/4*Законод!$I$16,IF(B196="Лікар-терапевт",Z206*Законод!$C$9/4*Законод!$I$16,0)))</f>
        <v>1282.0428374999999</v>
      </c>
      <c r="AQ206" s="210">
        <f ca="1">IF(B196="Лікар загальної практики - сімейний лікар",AG206*Законод!$C$9/4*Законод!$I$16,IF(B196="Лікар-педіатр",AG206*Законод!$C$9/4*Законод!$I$16,IF(B196="Лікар-терапевт",AG206*Законод!$C$9/4*Законод!$I$16,0)))</f>
        <v>1282.0428374999999</v>
      </c>
      <c r="AR206" s="211">
        <f t="shared" si="23"/>
        <v>5128.1713499999996</v>
      </c>
    </row>
    <row r="207" spans="1:44" s="218" customFormat="1" ht="31.9" customHeight="1" thickBot="1">
      <c r="A207" s="213"/>
      <c r="B207" s="941"/>
      <c r="C207" s="942"/>
      <c r="D207" s="943"/>
      <c r="E207" s="943"/>
      <c r="F207" s="239" t="str">
        <f ca="1">IF(B196="Лікар-педіатр",Законод!$J$17,IF(B196="Лікар загальної практики - сімейний лікар",Законод!$J$21,IF(B196="Лікар-терапевт",Законод!$J$25,"х")))</f>
        <v>понад ліміт (&gt;=2701)</v>
      </c>
      <c r="G207" s="939" t="s">
        <v>346</v>
      </c>
      <c r="H207" s="939"/>
      <c r="I207" s="939"/>
      <c r="J207" s="939"/>
      <c r="K207" s="939"/>
      <c r="L207" s="196">
        <f ca="1">IF($B$196="Лікар загальної практики - сімейний лікар",IF(L200&gt;=Законод!$J$22,'01_Доходи'!L200-('01_Доходи'!L201+'01_Доходи'!L202+'01_Доходи'!L203+'01_Доходи'!L204+'01_Доходи'!L205+'01_Доходи'!L206),0),IF($B$196="Лікар-педіатр",IF(L200&gt;=Законод!$J$18,'01_Доходи'!L200-('01_Доходи'!L201+'01_Доходи'!L202+'01_Доходи'!L203+'01_Доходи'!L204+'01_Доходи'!L205+'01_Доходи'!L206),0),IF($B$196="Лікар-терапевт",IF('01_Доходи'!L200&gt;=Законод!$J$26,L200-Законод!$I$27,0),0)))</f>
        <v>0</v>
      </c>
      <c r="M207" s="945"/>
      <c r="N207" s="939" t="s">
        <v>346</v>
      </c>
      <c r="O207" s="939"/>
      <c r="P207" s="939"/>
      <c r="Q207" s="939"/>
      <c r="R207" s="939"/>
      <c r="S207" s="196">
        <f ca="1">IF($B$196="Лікар загальної практики - сімейний лікар",IF(S200&gt;=Законод!$J$22,'01_Доходи'!S200-('01_Доходи'!S201+'01_Доходи'!S202+'01_Доходи'!S203+'01_Доходи'!S204+'01_Доходи'!S205+'01_Доходи'!S206),0),IF($B$196="Лікар-педіатр",IF(S200&gt;=Законод!$J$18,'01_Доходи'!S200-('01_Доходи'!S201+'01_Доходи'!S202+'01_Доходи'!S203+'01_Доходи'!S204+'01_Доходи'!S205+'01_Доходи'!S206),0),IF($B$196="Лікар-терапевт",IF('01_Доходи'!S200&gt;=Законод!$J$26,S200-Законод!$I$27,0),0)))</f>
        <v>0</v>
      </c>
      <c r="T207" s="945"/>
      <c r="U207" s="939" t="s">
        <v>346</v>
      </c>
      <c r="V207" s="939"/>
      <c r="W207" s="939"/>
      <c r="X207" s="939"/>
      <c r="Y207" s="939"/>
      <c r="Z207" s="196">
        <f ca="1">IF($B$196="Лікар загальної практики - сімейний лікар",IF(Z200&gt;=Законод!$J$22,'01_Доходи'!Z200-('01_Доходи'!Z201+'01_Доходи'!Z202+'01_Доходи'!Z203+'01_Доходи'!Z204+'01_Доходи'!Z205+'01_Доходи'!Z206),0),IF($B$196="Лікар-педіатр",IF(Z200&gt;=Законод!$J$18,'01_Доходи'!Z200-('01_Доходи'!Z201+'01_Доходи'!Z202+'01_Доходи'!Z203+'01_Доходи'!Z204+'01_Доходи'!Z205+'01_Доходи'!Z206),0),IF($B$196="Лікар-терапевт",IF('01_Доходи'!Z200&gt;=Законод!$J$26,Z200-Законод!$I$27,0),0)))</f>
        <v>0</v>
      </c>
      <c r="AA207" s="945"/>
      <c r="AB207" s="939" t="s">
        <v>346</v>
      </c>
      <c r="AC207" s="939"/>
      <c r="AD207" s="939"/>
      <c r="AE207" s="939"/>
      <c r="AF207" s="939"/>
      <c r="AG207" s="196">
        <f ca="1">IF($B$196="Лікар загальної практики - сімейний лікар",IF(AG200&gt;=Законод!$J$22,'01_Доходи'!AG200-('01_Доходи'!AG201+'01_Доходи'!AG202+'01_Доходи'!AG203+'01_Доходи'!AG204+'01_Доходи'!AG205+'01_Доходи'!AG206),0),IF($B$196="Лікар-педіатр",IF(AG200&gt;=Законод!$J$18,'01_Доходи'!AG200-('01_Доходи'!AG201+'01_Доходи'!AG202+'01_Доходи'!AG203+'01_Доходи'!AG204+'01_Доходи'!AG205+'01_Доходи'!AG206),0),IF($B$196="Лікар-терапевт",IF('01_Доходи'!AG200&gt;=Законод!$J$26,AG200-Законод!$I$27,0),0)))</f>
        <v>0</v>
      </c>
      <c r="AH207" s="945"/>
      <c r="AI207" s="215"/>
      <c r="AJ207" s="934"/>
      <c r="AK207" s="928"/>
      <c r="AL207" s="928"/>
      <c r="AM207" s="900"/>
      <c r="AN207" s="216">
        <f ca="1">IF(B196="Лікар загальної практики - сімейний лікар",L207*Законод!$C$9/4*Законод!$J$16,IF(B196="Лікар-педіатр",L207*Законод!$C$9/4*Законод!$J$16,IF(B196="Лікар-терапевт",L207*Законод!$C$9/4*Законод!$J$16,0)))</f>
        <v>0</v>
      </c>
      <c r="AO207" s="216">
        <f ca="1">IF(B196="Лікар загальної практики - сімейний лікар",S207*Законод!$C$9/4*Законод!$J$16,IF(B196="Лікар-педіатр",S207*Законод!$C$9/4*Законод!$J$16,IF(B196="Лікар-терапевт",S207*Законод!$C$9/4*Законод!$J$16,0)))</f>
        <v>0</v>
      </c>
      <c r="AP207" s="216">
        <f ca="1">IF(B196="Лікар загальної практики - сімейний лікар",S207*Законод!$C$9/4*Законод!$J$16,IF(B196="Лікар-педіатр",S207*Законод!$C$9/4*Законод!$J$16,IF(B196="Лікар-терапевт",S207*Законод!$C$9/4*Законод!$J$16,0)))</f>
        <v>0</v>
      </c>
      <c r="AQ207" s="216">
        <f ca="1">IF(B196="Лікар загальної практики - сімейний лікар",AG207*Законод!$C$9/4*Законод!$J$16,IF(B196="Лікар-педіатр",AG207*Законод!$C$9/4*Законод!$J$16,IF(B196="Лікар-терапевт",AG207*Законод!$C$9/4*Законод!$J$16,0)))</f>
        <v>0</v>
      </c>
      <c r="AR207" s="217">
        <f t="shared" si="23"/>
        <v>0</v>
      </c>
    </row>
    <row r="208" spans="1:44" s="247" customFormat="1" ht="23.45" customHeight="1" thickBot="1">
      <c r="A208" s="243"/>
      <c r="B208" s="244"/>
      <c r="C208" s="244"/>
      <c r="D208" s="244"/>
      <c r="E208" s="244"/>
      <c r="F208" s="245"/>
      <c r="G208" s="246"/>
      <c r="H208" s="246"/>
      <c r="L208" s="248"/>
      <c r="S208" s="248"/>
      <c r="Z208" s="248"/>
      <c r="AG208" s="248"/>
      <c r="AM208" s="249"/>
      <c r="AR208" s="250"/>
    </row>
    <row r="209" spans="1:44" s="191" customFormat="1" ht="27.6" customHeight="1">
      <c r="A209" s="194">
        <f>A196+1</f>
        <v>14</v>
      </c>
      <c r="B209" s="941" t="s">
        <v>235</v>
      </c>
      <c r="C209" s="942" t="s">
        <v>83</v>
      </c>
      <c r="D209" s="943"/>
      <c r="E209" s="943" t="str">
        <f>E144</f>
        <v>Рожищенська АЗПСМ №1</v>
      </c>
      <c r="F209" s="234" t="s">
        <v>582</v>
      </c>
      <c r="G209" s="196">
        <v>37</v>
      </c>
      <c r="H209" s="196">
        <v>182</v>
      </c>
      <c r="I209" s="196">
        <v>563</v>
      </c>
      <c r="J209" s="196">
        <v>501</v>
      </c>
      <c r="K209" s="196">
        <v>187</v>
      </c>
      <c r="L209" s="558">
        <f t="shared" ref="L209:L214" si="24">SUM(G209:K209)</f>
        <v>1470</v>
      </c>
      <c r="M209" s="945">
        <v>1</v>
      </c>
      <c r="N209" s="196">
        <v>37</v>
      </c>
      <c r="O209" s="196">
        <v>182</v>
      </c>
      <c r="P209" s="196">
        <v>563</v>
      </c>
      <c r="Q209" s="196">
        <v>501</v>
      </c>
      <c r="R209" s="196">
        <v>187</v>
      </c>
      <c r="S209" s="558">
        <f t="shared" ref="S209:S214" si="25">SUM(N209:R209)</f>
        <v>1470</v>
      </c>
      <c r="T209" s="945">
        <v>1</v>
      </c>
      <c r="U209" s="196">
        <v>37</v>
      </c>
      <c r="V209" s="196">
        <v>182</v>
      </c>
      <c r="W209" s="196">
        <v>563</v>
      </c>
      <c r="X209" s="196">
        <v>501</v>
      </c>
      <c r="Y209" s="196">
        <v>187</v>
      </c>
      <c r="Z209" s="558">
        <f t="shared" ref="Z209:Z214" si="26">SUM(U209:Y209)</f>
        <v>1470</v>
      </c>
      <c r="AA209" s="945">
        <v>1</v>
      </c>
      <c r="AB209" s="196">
        <v>37</v>
      </c>
      <c r="AC209" s="196">
        <v>182</v>
      </c>
      <c r="AD209" s="196">
        <v>563</v>
      </c>
      <c r="AE209" s="196">
        <v>501</v>
      </c>
      <c r="AF209" s="196">
        <v>187</v>
      </c>
      <c r="AG209" s="558">
        <f t="shared" ref="AG209:AG214" si="27">SUM(AB209:AF209)</f>
        <v>1470</v>
      </c>
      <c r="AH209" s="945">
        <v>1</v>
      </c>
      <c r="AI209" s="541">
        <f>A209</f>
        <v>14</v>
      </c>
      <c r="AJ209" s="932" t="str">
        <f>B209</f>
        <v>Лікар загальної практики - сімейний лікар</v>
      </c>
      <c r="AK209" s="926" t="str">
        <f>C209</f>
        <v>Муц Віталій Олександрович</v>
      </c>
      <c r="AL209" s="926">
        <f>D209</f>
        <v>0</v>
      </c>
      <c r="AM209" s="901" t="s">
        <v>785</v>
      </c>
      <c r="AN209" s="923">
        <f>SUM(AN214:AN220)</f>
        <v>252795.48404999997</v>
      </c>
      <c r="AO209" s="923">
        <f>SUM(AO214:AO220)</f>
        <v>252795.48404999997</v>
      </c>
      <c r="AP209" s="923">
        <f>SUM(AP214:AP220)</f>
        <v>252795.48404999997</v>
      </c>
      <c r="AQ209" s="923">
        <f>SUM(AQ214:AQ220)</f>
        <v>252795.48404999997</v>
      </c>
      <c r="AR209" s="914">
        <f>SUM(AN209:AQ213)</f>
        <v>1011181.9361999999</v>
      </c>
    </row>
    <row r="210" spans="1:44" s="50" customFormat="1" ht="28.15" customHeight="1">
      <c r="A210" s="197"/>
      <c r="B210" s="941"/>
      <c r="C210" s="942"/>
      <c r="D210" s="943"/>
      <c r="E210" s="943"/>
      <c r="F210" s="234" t="s">
        <v>583</v>
      </c>
      <c r="G210" s="196">
        <v>37</v>
      </c>
      <c r="H210" s="196">
        <v>182</v>
      </c>
      <c r="I210" s="196">
        <v>563</v>
      </c>
      <c r="J210" s="196">
        <v>501</v>
      </c>
      <c r="K210" s="196">
        <v>187</v>
      </c>
      <c r="L210" s="558">
        <f t="shared" si="24"/>
        <v>1470</v>
      </c>
      <c r="M210" s="945"/>
      <c r="N210" s="196">
        <v>37</v>
      </c>
      <c r="O210" s="196">
        <v>182</v>
      </c>
      <c r="P210" s="196">
        <v>563</v>
      </c>
      <c r="Q210" s="196">
        <v>501</v>
      </c>
      <c r="R210" s="196">
        <v>187</v>
      </c>
      <c r="S210" s="558">
        <f t="shared" si="25"/>
        <v>1470</v>
      </c>
      <c r="T210" s="945"/>
      <c r="U210" s="196">
        <v>37</v>
      </c>
      <c r="V210" s="196">
        <v>182</v>
      </c>
      <c r="W210" s="196">
        <v>563</v>
      </c>
      <c r="X210" s="196">
        <v>501</v>
      </c>
      <c r="Y210" s="196">
        <v>187</v>
      </c>
      <c r="Z210" s="558">
        <f t="shared" si="26"/>
        <v>1470</v>
      </c>
      <c r="AA210" s="945"/>
      <c r="AB210" s="196">
        <v>37</v>
      </c>
      <c r="AC210" s="196">
        <v>182</v>
      </c>
      <c r="AD210" s="196">
        <v>563</v>
      </c>
      <c r="AE210" s="196">
        <v>501</v>
      </c>
      <c r="AF210" s="196">
        <v>187</v>
      </c>
      <c r="AG210" s="558">
        <f t="shared" si="27"/>
        <v>1470</v>
      </c>
      <c r="AH210" s="945"/>
      <c r="AI210" s="198"/>
      <c r="AJ210" s="933"/>
      <c r="AK210" s="927"/>
      <c r="AL210" s="927"/>
      <c r="AM210" s="902"/>
      <c r="AN210" s="924"/>
      <c r="AO210" s="924"/>
      <c r="AP210" s="924"/>
      <c r="AQ210" s="924"/>
      <c r="AR210" s="915"/>
    </row>
    <row r="211" spans="1:44" s="90" customFormat="1" ht="31.15" customHeight="1">
      <c r="A211" s="240"/>
      <c r="B211" s="941"/>
      <c r="C211" s="942"/>
      <c r="D211" s="943"/>
      <c r="E211" s="943"/>
      <c r="F211" s="241" t="s">
        <v>584</v>
      </c>
      <c r="G211" s="196">
        <v>37</v>
      </c>
      <c r="H211" s="196">
        <v>182</v>
      </c>
      <c r="I211" s="196">
        <v>563</v>
      </c>
      <c r="J211" s="196">
        <v>501</v>
      </c>
      <c r="K211" s="196">
        <v>187</v>
      </c>
      <c r="L211" s="200">
        <f t="shared" si="24"/>
        <v>1470</v>
      </c>
      <c r="M211" s="945"/>
      <c r="N211" s="196">
        <v>37</v>
      </c>
      <c r="O211" s="196">
        <v>182</v>
      </c>
      <c r="P211" s="196">
        <v>563</v>
      </c>
      <c r="Q211" s="196">
        <v>501</v>
      </c>
      <c r="R211" s="196">
        <v>187</v>
      </c>
      <c r="S211" s="200">
        <f t="shared" si="25"/>
        <v>1470</v>
      </c>
      <c r="T211" s="945"/>
      <c r="U211" s="196">
        <v>37</v>
      </c>
      <c r="V211" s="196">
        <v>182</v>
      </c>
      <c r="W211" s="196">
        <v>563</v>
      </c>
      <c r="X211" s="196">
        <v>501</v>
      </c>
      <c r="Y211" s="196">
        <v>187</v>
      </c>
      <c r="Z211" s="200">
        <f t="shared" si="26"/>
        <v>1470</v>
      </c>
      <c r="AA211" s="945"/>
      <c r="AB211" s="196">
        <v>37</v>
      </c>
      <c r="AC211" s="196">
        <v>182</v>
      </c>
      <c r="AD211" s="196">
        <v>563</v>
      </c>
      <c r="AE211" s="196">
        <v>501</v>
      </c>
      <c r="AF211" s="196">
        <v>187</v>
      </c>
      <c r="AG211" s="200">
        <f t="shared" si="27"/>
        <v>1470</v>
      </c>
      <c r="AH211" s="945"/>
      <c r="AI211" s="242"/>
      <c r="AJ211" s="933"/>
      <c r="AK211" s="927"/>
      <c r="AL211" s="927"/>
      <c r="AM211" s="902"/>
      <c r="AN211" s="924"/>
      <c r="AO211" s="924"/>
      <c r="AP211" s="924"/>
      <c r="AQ211" s="924"/>
      <c r="AR211" s="915"/>
    </row>
    <row r="212" spans="1:44" s="50" customFormat="1" ht="31.9" customHeight="1" thickBot="1">
      <c r="A212" s="197"/>
      <c r="B212" s="941"/>
      <c r="C212" s="942"/>
      <c r="D212" s="943"/>
      <c r="E212" s="943"/>
      <c r="F212" s="236" t="s">
        <v>349</v>
      </c>
      <c r="G212" s="203">
        <f>IF($B$209="Лікар-педіатр",G211/L211,IF($B$209="Лікар-терапевт","х",IF($B$209="Лікар загальної практики - сімейний лікар",G211/L211,0)))</f>
        <v>2.5170068027210883E-2</v>
      </c>
      <c r="H212" s="203">
        <f>IF($B$209="Лікар-педіатр",H211/L211,IF($B$209="Лікар-терапевт","х",IF($B$209="Лікар загальної практики - сімейний лікар",H211/L211,0)))</f>
        <v>0.12380952380952381</v>
      </c>
      <c r="I212" s="203">
        <f>IF($B$209="Лікар-педіатр","x",IF($B$209="Лікар-терапевт",I211/L211,IF($B$209="Лікар загальної практики - сімейний лікар",I211/L211,0)))</f>
        <v>0.38299319727891157</v>
      </c>
      <c r="J212" s="203">
        <f>IF($B$209="Лікар-педіатр","x",IF($B$209="Лікар-терапевт",J211/L211,IF($B$209="Лікар загальної практики - сімейний лікар",J211/L211,0)))</f>
        <v>0.34081632653061222</v>
      </c>
      <c r="K212" s="203">
        <f>IF($B$209="Лікар-педіатр","x",IF($B$209="Лікар-терапевт",K211/L211,IF($B$209="Лікар загальної практики - сімейний лікар",K211/L211,0)))</f>
        <v>0.1272108843537415</v>
      </c>
      <c r="L212" s="203">
        <f t="shared" si="24"/>
        <v>1</v>
      </c>
      <c r="M212" s="945"/>
      <c r="N212" s="203">
        <f>IF($B$209="Лікар-педіатр",N211/S211,IF($B$209="Лікар-терапевт","х",IF($B$209="Лікар загальної практики - сімейний лікар",N211/S211,0)))</f>
        <v>2.5170068027210883E-2</v>
      </c>
      <c r="O212" s="203">
        <f>IF($B$209="Лікар-педіатр",O211/S211,IF($B$209="Лікар-терапевт","х",IF($B$209="Лікар загальної практики - сімейний лікар",O211/S211,0)))</f>
        <v>0.12380952380952381</v>
      </c>
      <c r="P212" s="203">
        <f>IF($B$209="Лікар-педіатр","x",IF($B$209="Лікар-терапевт",P211/S211,IF($B$209="Лікар загальної практики - сімейний лікар",P211/S211,0)))</f>
        <v>0.38299319727891157</v>
      </c>
      <c r="Q212" s="203">
        <f>IF($B$209="Лікар-педіатр","x",IF($B$209="Лікар-терапевт",Q211/S211,IF($B$209="Лікар загальної практики - сімейний лікар",Q211/S211,0)))</f>
        <v>0.34081632653061222</v>
      </c>
      <c r="R212" s="203">
        <f>IF($B$209="Лікар-педіатр","x",IF($B$209="Лікар-терапевт",R211/S211,IF($B$209="Лікар загальної практики - сімейний лікар",R211/S211,0)))</f>
        <v>0.1272108843537415</v>
      </c>
      <c r="S212" s="203">
        <f t="shared" si="25"/>
        <v>1</v>
      </c>
      <c r="T212" s="945"/>
      <c r="U212" s="203">
        <f>IF($B$209="Лікар-педіатр",U211/Z211,IF($B$209="Лікар-терапевт","х",IF($B$209="Лікар загальної практики - сімейний лікар",U211/Z211,0)))</f>
        <v>2.5170068027210883E-2</v>
      </c>
      <c r="V212" s="203">
        <f>IF($B$209="Лікар-педіатр",V211/Z211,IF($B$209="Лікар-терапевт","х",IF($B$209="Лікар загальної практики - сімейний лікар",V211/Z211,0)))</f>
        <v>0.12380952380952381</v>
      </c>
      <c r="W212" s="203">
        <f>IF($B$209="Лікар-педіатр","x",IF($B$209="Лікар-терапевт",W211/Z211,IF($B$209="Лікар загальної практики - сімейний лікар",W211/Z211,0)))</f>
        <v>0.38299319727891157</v>
      </c>
      <c r="X212" s="203">
        <f>IF($B$209="Лікар-педіатр","x",IF($B$209="Лікар-терапевт",X211/Z211,IF($B$209="Лікар загальної практики - сімейний лікар",X211/Z211,0)))</f>
        <v>0.34081632653061222</v>
      </c>
      <c r="Y212" s="203">
        <f>IF($B$209="Лікар-педіатр","x",IF($B$209="Лікар-терапевт",Y211/Z211,IF($B$209="Лікар загальної практики - сімейний лікар",Y211/Z211,0)))</f>
        <v>0.1272108843537415</v>
      </c>
      <c r="Z212" s="203">
        <f t="shared" si="26"/>
        <v>1</v>
      </c>
      <c r="AA212" s="945"/>
      <c r="AB212" s="203">
        <f>IF($B$209="Лікар-педіатр",AB211/AG211,IF($B$209="Лікар-терапевт","х",IF($B$209="Лікар загальної практики - сімейний лікар",AB211/AG211,0)))</f>
        <v>2.5170068027210883E-2</v>
      </c>
      <c r="AC212" s="203">
        <f>IF($B$209="Лікар-педіатр",AC211/AG211,IF($B$209="Лікар-терапевт","х",IF($B$209="Лікар загальної практики - сімейний лікар",AC211/AG211,0)))</f>
        <v>0.12380952380952381</v>
      </c>
      <c r="AD212" s="203">
        <f>IF($B$209="Лікар-педіатр","x",IF($B$209="Лікар-терапевт",AD211/AG211,IF($B$209="Лікар загальної практики - сімейний лікар",AD211/AG211,0)))</f>
        <v>0.38299319727891157</v>
      </c>
      <c r="AE212" s="203">
        <f>IF($B$209="Лікар-педіатр","x",IF($B$209="Лікар-терапевт",AE211/AG211,IF($B$209="Лікар загальної практики - сімейний лікар",AE211/AG211,0)))</f>
        <v>0.34081632653061222</v>
      </c>
      <c r="AF212" s="203">
        <f>IF($B$209="Лікар-педіатр","x",IF($B$209="Лікар-терапевт",AF211/AG211,IF($B$209="Лікар загальної практики - сімейний лікар",AF211/AG211,0)))</f>
        <v>0.1272108843537415</v>
      </c>
      <c r="AG212" s="203">
        <f t="shared" si="27"/>
        <v>1</v>
      </c>
      <c r="AH212" s="945"/>
      <c r="AI212" s="201"/>
      <c r="AJ212" s="933"/>
      <c r="AK212" s="927"/>
      <c r="AL212" s="927"/>
      <c r="AM212" s="902"/>
      <c r="AN212" s="924"/>
      <c r="AO212" s="924"/>
      <c r="AP212" s="924"/>
      <c r="AQ212" s="924"/>
      <c r="AR212" s="915"/>
    </row>
    <row r="213" spans="1:44" s="50" customFormat="1" ht="45" customHeight="1" thickBot="1">
      <c r="A213" s="197"/>
      <c r="B213" s="941"/>
      <c r="C213" s="942"/>
      <c r="D213" s="943"/>
      <c r="E213" s="944"/>
      <c r="F213" s="204" t="s">
        <v>585</v>
      </c>
      <c r="G213" s="205">
        <f>IF($B$209="Лікар загальної практики - сімейний лікар",AVERAGE(G209:G211),IF($B$209="Лікар-педіатр",AVERAGE(G209:G211),IF($B$209="Лікар-терапевт","х",0)))</f>
        <v>37</v>
      </c>
      <c r="H213" s="205">
        <f>IF($B$209="Лікар загальної практики - сімейний лікар",AVERAGE(H209:H211),IF($B$209="Лікар-педіатр",AVERAGE(H209:H211),IF($B$209="Лікар-терапевт","х",0)))</f>
        <v>182</v>
      </c>
      <c r="I213" s="205">
        <f>IF($B$209="Лікар загальної практики - сімейний лікар",AVERAGE(I209:I211),IF($B$209="Лікар-педіатр","x",IF($B$209="Лікар-терапевт",AVERAGE(I209:I211),0)))</f>
        <v>563</v>
      </c>
      <c r="J213" s="205">
        <f>IF($B$209="Лікар загальної практики - сімейний лікар",AVERAGE(J209:J211),IF($B$209="Лікар-педіатр","x",IF($B$209="Лікар-терапевт",AVERAGE(J209:J211),0)))</f>
        <v>501</v>
      </c>
      <c r="K213" s="205">
        <f>IF($B$209="Лікар загальної практики - сімейний лікар",AVERAGE(K209:K211),IF($B$209="Лікар-педіатр","x",IF($B$209="Лікар-терапевт",AVERAGE(K209:K211),0)))</f>
        <v>187</v>
      </c>
      <c r="L213" s="206">
        <f t="shared" si="24"/>
        <v>1470</v>
      </c>
      <c r="M213" s="946"/>
      <c r="N213" s="205">
        <f>IF($B$209="Лікар загальної практики - сімейний лікар",AVERAGE(N209:N211),IF($B$209="Лікар-педіатр",AVERAGE(N209:N211),IF($B$209="Лікар-терапевт","х",0)))</f>
        <v>37</v>
      </c>
      <c r="O213" s="205">
        <f>IF($B$209="Лікар загальної практики - сімейний лікар",AVERAGE(O209:O211),IF($B$209="Лікар-педіатр",AVERAGE(O209:O211),IF($B$209="Лікар-терапевт","х",0)))</f>
        <v>182</v>
      </c>
      <c r="P213" s="205">
        <f>IF($B$209="Лікар загальної практики - сімейний лікар",AVERAGE(P209:P211),IF($B$209="Лікар-педіатр","x",IF($B$209="Лікар-терапевт",AVERAGE(P209:P211),0)))</f>
        <v>563</v>
      </c>
      <c r="Q213" s="205">
        <f>IF($B$209="Лікар загальної практики - сімейний лікар",AVERAGE(Q209:Q211),IF($B$209="Лікар-педіатр","x",IF($B$209="Лікар-терапевт",AVERAGE(Q209:Q211),0)))</f>
        <v>501</v>
      </c>
      <c r="R213" s="205">
        <f>IF($B$209="Лікар загальної практики - сімейний лікар",AVERAGE(R209:R211),IF($B$209="Лікар-педіатр","x",IF($B$209="Лікар-терапевт",AVERAGE(R209:R211),0)))</f>
        <v>187</v>
      </c>
      <c r="S213" s="206">
        <f t="shared" si="25"/>
        <v>1470</v>
      </c>
      <c r="T213" s="946"/>
      <c r="U213" s="205">
        <f>IF($B$209="Лікар загальної практики - сімейний лікар",AVERAGE(U209:U211),IF($B$209="Лікар-педіатр",AVERAGE(U209:U211),IF($B$209="Лікар-терапевт","х",0)))</f>
        <v>37</v>
      </c>
      <c r="V213" s="205">
        <f>IF($B$209="Лікар загальної практики - сімейний лікар",AVERAGE(V209:V211),IF($B$209="Лікар-педіатр",AVERAGE(V209:V211),IF($B$209="Лікар-терапевт","х",0)))</f>
        <v>182</v>
      </c>
      <c r="W213" s="205">
        <f>IF($B$209="Лікар загальної практики - сімейний лікар",AVERAGE(W209:W211),IF($B$209="Лікар-педіатр","x",IF($B$209="Лікар-терапевт",AVERAGE(W209:W211),0)))</f>
        <v>563</v>
      </c>
      <c r="X213" s="205">
        <f>IF($B$209="Лікар загальної практики - сімейний лікар",AVERAGE(X209:X211),IF($B$209="Лікар-педіатр","x",IF($B$209="Лікар-терапевт",AVERAGE(X209:X211),0)))</f>
        <v>501</v>
      </c>
      <c r="Y213" s="205">
        <f>IF($B$209="Лікар загальної практики - сімейний лікар",AVERAGE(Y209:Y211),IF($B$209="Лікар-педіатр","x",IF($B$209="Лікар-терапевт",AVERAGE(Y209:Y211),0)))</f>
        <v>187</v>
      </c>
      <c r="Z213" s="206">
        <f t="shared" si="26"/>
        <v>1470</v>
      </c>
      <c r="AA213" s="946"/>
      <c r="AB213" s="205">
        <f>IF($B$209="Лікар загальної практики - сімейний лікар",AVERAGE(AB209:AB211),IF($B$209="Лікар-педіатр",AVERAGE(AB209:AB211),IF($B$209="Лікар-терапевт","х",0)))</f>
        <v>37</v>
      </c>
      <c r="AC213" s="205">
        <f>IF($B$209="Лікар загальної практики - сімейний лікар",AVERAGE(AC209:AC211),IF($B$209="Лікар-педіатр",AVERAGE(AC209:AC211),IF($B$209="Лікар-терапевт","х",0)))</f>
        <v>182</v>
      </c>
      <c r="AD213" s="205">
        <f>IF($B$209="Лікар загальної практики - сімейний лікар",AVERAGE(AD209:AD211),IF($B$209="Лікар-педіатр","x",IF($B$209="Лікар-терапевт",AVERAGE(AD209:AD211),0)))</f>
        <v>563</v>
      </c>
      <c r="AE213" s="205">
        <f>IF($B$209="Лікар загальної практики - сімейний лікар",AVERAGE(AE209:AE211),IF($B$209="Лікар-педіатр","x",IF($B$209="Лікар-терапевт",AVERAGE(AE209:AE211),0)))</f>
        <v>501</v>
      </c>
      <c r="AF213" s="205">
        <f>IF($B$209="Лікар загальної практики - сімейний лікар",AVERAGE(AF209:AF211),IF($B$209="Лікар-педіатр","x",IF($B$209="Лікар-терапевт",AVERAGE(AF209:AF211),0)))</f>
        <v>187</v>
      </c>
      <c r="AG213" s="206">
        <f t="shared" si="27"/>
        <v>1470</v>
      </c>
      <c r="AH213" s="947"/>
      <c r="AI213" s="201"/>
      <c r="AJ213" s="933"/>
      <c r="AK213" s="927"/>
      <c r="AL213" s="927"/>
      <c r="AM213" s="903"/>
      <c r="AN213" s="925"/>
      <c r="AO213" s="925"/>
      <c r="AP213" s="925"/>
      <c r="AQ213" s="925"/>
      <c r="AR213" s="916"/>
    </row>
    <row r="214" spans="1:44" s="50" customFormat="1" ht="40.5">
      <c r="A214" s="197"/>
      <c r="B214" s="941"/>
      <c r="C214" s="942"/>
      <c r="D214" s="943"/>
      <c r="E214" s="943"/>
      <c r="F214" s="237" t="str">
        <f ca="1">IF(B209="Лікар-педіатр",Законод!$C$17,IF(B209="Лікар загальної практики - сімейний лікар",Законод!$C$21,IF(B209="Лікар-терапевт",Законод!$C$25,"х")))</f>
        <v>ліміт (до 1800)</v>
      </c>
      <c r="G214" s="208">
        <f ca="1">IF($B$209="Лікар загальної практики - сімейний лікар",IF(L213&lt;=Законод!$C$22,G213,Законод!$C$22*'01_Доходи'!G212),IF($B$209="Лікар-педіатр",IF(L213&lt;=Законод!$C$18,G213,Законод!$C$18*'01_Доходи'!G212),IF($B$209="Лікар-терапевт","x",0)))</f>
        <v>37</v>
      </c>
      <c r="H214" s="208">
        <f ca="1">IF($B$209="Лікар загальної практики - сімейний лікар",IF(L213&lt;=Законод!$C$22,H213,Законод!$C$22*'01_Доходи'!H212),IF($B$209="Лікар-педіатр",IF(L213&lt;=Законод!$C$18,H213,Законод!$C$18*'01_Доходи'!H212),IF($B$209="Лікар-терапевт","x",0)))</f>
        <v>182</v>
      </c>
      <c r="I214" s="208">
        <f ca="1">IF($B$209="Лікар загальної практики - сімейний лікар",IF(L213&lt;=Законод!$C$22,I213,Законод!$C$22*'01_Доходи'!I212),IF($B$209="Лікар-педіатр","x",IF($B$209="Лікар-терапевт",IF(L213&lt;=Законод!$C$26,I213,Законод!$C$26*'01_Доходи'!I212),0)))</f>
        <v>563</v>
      </c>
      <c r="J214" s="208">
        <f ca="1">IF($B$209="Лікар загальної практики - сімейний лікар",IF(L213&lt;=Законод!$C$22,J213,Законод!$C$22*'01_Доходи'!J212),IF($B$209="Лікар-педіатр","x",IF($B$209="Лікар-терапевт",IF(L213&lt;=Законод!$C$26,J213,Законод!$C$26*'01_Доходи'!J212),0)))</f>
        <v>501</v>
      </c>
      <c r="K214" s="208">
        <f ca="1">IF($B$209="Лікар загальної практики - сімейний лікар",IF(L213&lt;=Законод!$C$22,K213,Законод!$C$22*'01_Доходи'!K212),IF($B$209="Лікар-педіатр","x",IF($B$209="Лікар-терапевт",IF(L213&lt;=Законод!$C$26,K213,Законод!$C$26*'01_Доходи'!K212),0)))</f>
        <v>187</v>
      </c>
      <c r="L214" s="209">
        <f t="shared" si="24"/>
        <v>1470</v>
      </c>
      <c r="M214" s="945"/>
      <c r="N214" s="208">
        <f ca="1">IF($B$209="Лікар загальної практики - сімейний лікар",IF(S213&lt;=Законод!$C$22,N213,Законод!$C$22*'01_Доходи'!N212),IF($B$209="Лікар-педіатр",IF(S213&lt;=Законод!$C$18,N213,Законод!$C$18*'01_Доходи'!N212),IF($B$209="Лікар-терапевт","x",0)))</f>
        <v>37</v>
      </c>
      <c r="O214" s="208">
        <f ca="1">IF($B$209="Лікар загальної практики - сімейний лікар",IF(S213&lt;=Законод!$C$22,O213,Законод!$C$22*'01_Доходи'!O212),IF($B$209="Лікар-педіатр",IF(S213&lt;=Законод!$C$18,O213,Законод!$C$18*'01_Доходи'!O212),IF($B$209="Лікар-терапевт","x",0)))</f>
        <v>182</v>
      </c>
      <c r="P214" s="208">
        <f ca="1">IF($B$209="Лікар загальної практики - сімейний лікар",IF(S213&lt;=Законод!$C$22,P213,Законод!$C$22*'01_Доходи'!P212),IF($B$209="Лікар-педіатр","x",IF($B$209="Лікар-терапевт",IF(S213&lt;=Законод!$C$26,P213,Законод!$C$26*'01_Доходи'!P212),0)))</f>
        <v>563</v>
      </c>
      <c r="Q214" s="208">
        <f ca="1">IF($B$209="Лікар загальної практики - сімейний лікар",IF(S213&lt;=Законод!$C$22,Q213,Законод!$C$22*'01_Доходи'!Q212),IF($B$209="Лікар-педіатр","x",IF($B$209="Лікар-терапевт",IF(S213&lt;=Законод!$C$26,Q213,Законод!$C$26*'01_Доходи'!Q212),0)))</f>
        <v>501</v>
      </c>
      <c r="R214" s="208">
        <f ca="1">IF($B$209="Лікар загальної практики - сімейний лікар",IF(S213&lt;=Законод!$C$22,R213,Законод!$C$22*'01_Доходи'!R212),IF($B$209="Лікар-педіатр","x",IF($B$209="Лікар-терапевт",IF(S213&lt;=Законод!$C$26,R213,Законод!$C$26*'01_Доходи'!R212),0)))</f>
        <v>187</v>
      </c>
      <c r="S214" s="209">
        <f t="shared" si="25"/>
        <v>1470</v>
      </c>
      <c r="T214" s="945"/>
      <c r="U214" s="208">
        <f ca="1">IF($B$209="Лікар загальної практики - сімейний лікар",IF(Z213&lt;=Законод!$C$22,U213,Законод!$C$22*'01_Доходи'!U212),IF($B$209="Лікар-педіатр",IF(Z213&lt;=Законод!$C$18,U213,Законод!$C$18*'01_Доходи'!U212),IF($B$209="Лікар-терапевт","x",0)))</f>
        <v>37</v>
      </c>
      <c r="V214" s="208">
        <f ca="1">IF($B$209="Лікар загальної практики - сімейний лікар",IF(Z213&lt;=Законод!$C$22,V213,Законод!$C$22*'01_Доходи'!V212),IF($B$209="Лікар-педіатр",IF(Z213&lt;=Законод!$C$18,V213,Законод!$C$18*'01_Доходи'!V212),IF($B$209="Лікар-терапевт","x",0)))</f>
        <v>182</v>
      </c>
      <c r="W214" s="208">
        <f ca="1">IF($B$209="Лікар загальної практики - сімейний лікар",IF(Z213&lt;=Законод!$C$22,W213,Законод!$C$22*'01_Доходи'!W212),IF($B$209="Лікар-педіатр","x",IF($B$209="Лікар-терапевт",IF(Z213&lt;=Законод!$C$26,W213,Законод!$C$26*'01_Доходи'!W212),0)))</f>
        <v>563</v>
      </c>
      <c r="X214" s="208">
        <f ca="1">IF($B$209="Лікар загальної практики - сімейний лікар",IF(Z213&lt;=Законод!$C$22,X213,Законод!$C$22*'01_Доходи'!X212),IF($B$209="Лікар-педіатр","x",IF($B$209="Лікар-терапевт",IF(Z213&lt;=Законод!$C$26,X213,Законод!$C$26*'01_Доходи'!X212),0)))</f>
        <v>501</v>
      </c>
      <c r="Y214" s="208">
        <f ca="1">IF($B$209="Лікар загальної практики - сімейний лікар",IF(Z213&lt;=Законод!$C$22,Y213,Законод!$C$22*'01_Доходи'!Y212),IF($B$209="Лікар-педіатр","x",IF($B$209="Лікар-терапевт",IF(Z213&lt;=Законод!$C$26,Y213,Законод!$C$26*'01_Доходи'!Y212),0)))</f>
        <v>187</v>
      </c>
      <c r="Z214" s="209">
        <f t="shared" si="26"/>
        <v>1470</v>
      </c>
      <c r="AA214" s="945"/>
      <c r="AB214" s="208">
        <f ca="1">IF($B$209="Лікар загальної практики - сімейний лікар",IF(AG213&lt;=Законод!$C$22,AB213,Законод!$C$22*'01_Доходи'!AB212),IF($B$209="Лікар-педіатр",IF(AG213&lt;=Законод!$C$18,AB213,Законод!$C$18*'01_Доходи'!AB212),IF($B$209="Лікар-терапевт","x",0)))</f>
        <v>37</v>
      </c>
      <c r="AC214" s="208">
        <f ca="1">IF($B$209="Лікар загальної практики - сімейний лікар",IF(AG213&lt;=Законод!$C$22,AC213,Законод!$C$22*'01_Доходи'!AC212),IF($B$209="Лікар-педіатр",IF(AG213&lt;=Законод!$C$18,AC213,Законод!$C$18*'01_Доходи'!AC212),IF($B$209="Лікар-терапевт","x",0)))</f>
        <v>182</v>
      </c>
      <c r="AD214" s="208">
        <f ca="1">IF($B$209="Лікар загальної практики - сімейний лікар",IF(AG213&lt;=Законод!$C$22,AD213,Законод!$C$22*'01_Доходи'!AD212),IF($B$209="Лікар-педіатр","x",IF($B$209="Лікар-терапевт",IF(AG213&lt;=Законод!$C$26,AD213,Законод!$C$26*'01_Доходи'!AD212),0)))</f>
        <v>563</v>
      </c>
      <c r="AE214" s="208">
        <f ca="1">IF($B$209="Лікар загальної практики - сімейний лікар",IF(AG213&lt;=Законод!$C$22,AE213,Законод!$C$22*'01_Доходи'!AE212),IF($B$209="Лікар-педіатр","x",IF($B$209="Лікар-терапевт",IF(AG213&lt;=Законод!$C$26,AE213,Законод!$C$26*'01_Доходи'!AE212),0)))</f>
        <v>501</v>
      </c>
      <c r="AF214" s="208">
        <f ca="1">IF($B$209="Лікар загальної практики - сімейний лікар",IF(AG213&lt;=Законод!$C$22,AF213,Законод!$C$22*'01_Доходи'!AF212),IF($B$209="Лікар-педіатр","x",IF($B$209="Лікар-терапевт",IF(AG213&lt;=Законод!$C$26,AF213,Законод!$C$26*'01_Доходи'!AF212),0)))</f>
        <v>187</v>
      </c>
      <c r="AG214" s="209">
        <f t="shared" si="27"/>
        <v>1470</v>
      </c>
      <c r="AH214" s="945"/>
      <c r="AI214" s="201"/>
      <c r="AJ214" s="933"/>
      <c r="AK214" s="927"/>
      <c r="AL214" s="927"/>
      <c r="AM214" s="348" t="s">
        <v>374</v>
      </c>
      <c r="AN214" s="210">
        <f ca="1">IF(B209="Лікар загальної практики - сімейний лікар",G214*Законод!$C$11+'01_Доходи'!H214*Законод!$D$11+'01_Доходи'!I214*Законод!$E$11+'01_Доходи'!J214*Законод!$F$11+'01_Доходи'!K214*Законод!$G$11,IF(B209="Лікар-педіатр",G214*Законод!$C$11+'01_Доходи'!H214*Законод!$D$11,IF(B209="Лікар-терапевт",'01_Доходи'!I214*Законод!$E$11+'01_Доходи'!J214*Законод!$F$11+'01_Доходи'!K214*Законод!$G$11,0)))</f>
        <v>252795.48404999997</v>
      </c>
      <c r="AO214" s="210">
        <f ca="1">IF(B209="Лікар загальної практики - сімейний лікар",N214*Законод!$C$11+'01_Доходи'!O214*Законод!$D$11+'01_Доходи'!P214*Законод!$E$11+'01_Доходи'!Q214*Законод!$F$11+'01_Доходи'!R214*Законод!$G$11,IF(B209="Лікар-педіатр",N214*Законод!$C$11+'01_Доходи'!O214*Законод!$D$11,IF(B209="Лікар-терапевт",'01_Доходи'!P214*Законод!$E$11+'01_Доходи'!Q214*Законод!$F$11+'01_Доходи'!R214*Законод!$G$11,0)))</f>
        <v>252795.48404999997</v>
      </c>
      <c r="AP214" s="210">
        <f ca="1">IF(B209="Лікар загальної практики - сімейний лікар",U214*Законод!$C$11+'01_Доходи'!V214*Законод!$D$11+'01_Доходи'!W214*Законод!$E$11+'01_Доходи'!X214*Законод!$F$11+'01_Доходи'!Y214*Законод!$G$11,IF(B209="Лікар-педіатр",U214*Законод!$C$11+'01_Доходи'!V214*Законод!$D$11,IF(B209="Лікар-терапевт",'01_Доходи'!W214*Законод!$E$11+'01_Доходи'!X214*Законод!$F$11+'01_Доходи'!Y214*Законод!$G$11,0)))</f>
        <v>252795.48404999997</v>
      </c>
      <c r="AQ214" s="210">
        <f ca="1">IF(B209="Лікар загальної практики - сімейний лікар",AB214*Законод!$C$11+'01_Доходи'!AC214*Законод!$D$11+'01_Доходи'!AD214*Законод!$E$11+'01_Доходи'!AE214*Законод!$F$11+'01_Доходи'!AF214*Законод!$G$11,IF(B209="Лікар-педіатр",AB214*Законод!$C$11+'01_Доходи'!AC214*Законод!$D$11,IF(B209="Лікар-терапевт",'01_Доходи'!AD214*Законод!$E$11+'01_Доходи'!AE214*Законод!$F$11+'01_Доходи'!AF214*Законод!$G$11,0)))</f>
        <v>252795.48404999997</v>
      </c>
      <c r="AR214" s="211">
        <f t="shared" ref="AR214:AR220" si="28">SUM(AN214:AQ214)</f>
        <v>1011181.9361999999</v>
      </c>
    </row>
    <row r="215" spans="1:44" s="50" customFormat="1" ht="31.9" customHeight="1">
      <c r="A215" s="197"/>
      <c r="B215" s="941"/>
      <c r="C215" s="942"/>
      <c r="D215" s="943"/>
      <c r="E215" s="943"/>
      <c r="F215" s="238" t="str">
        <f ca="1">IF(B209="Лікар-педіатр",Законод!$E$17,IF(B209="Лікар загальної практики - сімейний лікар",Законод!$E$21,IF(B209="Лікар-терапевт",Законод!$E$25,"х")))</f>
        <v>понад ліміт (1801-1980)</v>
      </c>
      <c r="G215" s="940" t="s">
        <v>346</v>
      </c>
      <c r="H215" s="940"/>
      <c r="I215" s="940"/>
      <c r="J215" s="940"/>
      <c r="K215" s="940"/>
      <c r="L215" s="196">
        <f ca="1">IF($B$209="Лікар загальної практики - сімейний лікар",IF(L213&lt;Законод!$C$22,0,(IF(AND(L213&gt;=Законод!$E$22,L213&lt;=Законод!$E$23),L213-Законод!$C$22,IF('01_Доходи'!L213&gt;=Законод!$F$22,Законод!$E$24,0)))),IF($B$209="Лікар-педіатр",IF(L213&lt;Законод!$C$18,0,(IF(AND(L213&gt;=Законод!$E$18,L213&lt;=Законод!$E$19),L213-Законод!$C$18,IF('01_Доходи'!L213&gt;=Законод!$F$18,Законод!$E$20,0)))),IF($B$209="Лікар-терапевт",IF(L213&lt;Законод!$C$26,0,(IF(AND(L213&gt;=Законод!$E$26,L213&lt;=Законод!$E$27),L213-Законод!$C$26,IF('01_Доходи'!L213&gt;=Законод!$F$26,Законод!$E$28,0)))),0)))</f>
        <v>0</v>
      </c>
      <c r="M215" s="945"/>
      <c r="N215" s="940" t="s">
        <v>346</v>
      </c>
      <c r="O215" s="940"/>
      <c r="P215" s="940"/>
      <c r="Q215" s="940"/>
      <c r="R215" s="940"/>
      <c r="S215" s="196">
        <f ca="1">IF($B$209="Лікар загальної практики - сімейний лікар",IF(S213&lt;Законод!$C$22,0,(IF(AND(S213&gt;=Законод!$E$22,S213&lt;=Законод!$E$23),S213-Законод!$C$22,IF('01_Доходи'!S213&gt;=Законод!$F$22,Законод!$E$24,0)))),IF($B$209="Лікар-педіатр",IF(S213&lt;Законод!$C$18,0,(IF(AND(S213&gt;=Законод!$E$18,S213&lt;=Законод!$E$19),S213-Законод!$C$18,IF('01_Доходи'!S213&gt;=Законод!$F$18,Законод!$E$20,0)))),IF($B$209="Лікар-терапевт",IF(S213&lt;Законод!$C$26,0,(IF(AND(S213&gt;=Законод!$E$26,S213&lt;=Законод!$E$27),S213-Законод!$C$26,IF('01_Доходи'!S213&gt;=Законод!$F$26,Законод!$E$28,0)))),0)))</f>
        <v>0</v>
      </c>
      <c r="T215" s="945"/>
      <c r="U215" s="940" t="s">
        <v>346</v>
      </c>
      <c r="V215" s="940"/>
      <c r="W215" s="940"/>
      <c r="X215" s="940"/>
      <c r="Y215" s="940"/>
      <c r="Z215" s="196">
        <f ca="1">IF($B$209="Лікар загальної практики - сімейний лікар",IF(Z213&lt;Законод!$C$22,0,(IF(AND(Z213&gt;=Законод!$E$22,Z213&lt;=Законод!$E$23),Z213-Законод!$C$22,IF('01_Доходи'!Z213&gt;=Законод!$F$22,Законод!$E$24,0)))),IF($B$209="Лікар-педіатр",IF(Z213&lt;Законод!$C$18,0,(IF(AND(Z213&gt;=Законод!$E$18,Z213&lt;=Законод!$E$19),Z213-Законод!$C$18,IF('01_Доходи'!Z213&gt;=Законод!$F$18,Законод!$E$20,0)))),IF($B$209="Лікар-терапевт",IF(Z213&lt;Законод!$C$26,0,(IF(AND(Z213&gt;=Законод!$E$26,Z213&lt;=Законод!$E$27),Z213-Законод!$C$26,IF('01_Доходи'!Z213&gt;=Законод!$F$26,Законод!$E$28,0)))),0)))</f>
        <v>0</v>
      </c>
      <c r="AA215" s="945"/>
      <c r="AB215" s="940" t="s">
        <v>346</v>
      </c>
      <c r="AC215" s="940"/>
      <c r="AD215" s="940"/>
      <c r="AE215" s="940"/>
      <c r="AF215" s="940"/>
      <c r="AG215" s="196">
        <f ca="1">IF($B$209="Лікар загальної практики - сімейний лікар",IF(AG213&lt;Законод!$C$22,0,(IF(AND(AG213&gt;=Законод!$E$22,AG213&lt;=Законод!$E$23),AG213-Законод!$C$22,IF('01_Доходи'!AG213&gt;=Законод!$F$22,Законод!$E$24,0)))),IF($B$209="Лікар-педіатр",IF(AG213&lt;Законод!$C$18,0,(IF(AND(AG213&gt;=Законод!$E$18,AG213&lt;=Законод!$E$19),AG213-Законод!$C$18,IF('01_Доходи'!AG213&gt;=Законод!$F$18,Законод!$E$20,0)))),IF($B$209="Лікар-терапевт",IF(AG213&lt;Законод!$C$26,0,(IF(AND(AG213&gt;=Законод!$E$26,AG213&lt;=Законод!$E$27),AG213-Законод!$C$26,IF('01_Доходи'!AG213&gt;=Законод!$F$26,Законод!$E$28,0)))),0)))</f>
        <v>0</v>
      </c>
      <c r="AH215" s="945"/>
      <c r="AI215" s="201"/>
      <c r="AJ215" s="933"/>
      <c r="AK215" s="927"/>
      <c r="AL215" s="927"/>
      <c r="AM215" s="898" t="s">
        <v>375</v>
      </c>
      <c r="AN215" s="210">
        <f ca="1">IF(B209="Лікар загальної практики - сімейний лікар",L215*Законод!$C$9/4*Законод!$E$16,IF(B209="Лікар-педіатр",L215*Законод!$C$9/4*Законод!$E$16,IF(B209="Лікар-терапевт",L215*Законод!$C$9/4*Законод!$E$16,0)))</f>
        <v>0</v>
      </c>
      <c r="AO215" s="210">
        <f ca="1">IF(B209="Лікар загальної практики - сімейний лікар",S215*Законод!$C$9/4*Законод!$E$16,IF(B209="Лікар-педіатр",S215*Законод!$C$9/4*Законод!$E$16,IF(B209="Лікар-терапевт",S215*Законод!$C$9/4*Законод!$E$16,0)))</f>
        <v>0</v>
      </c>
      <c r="AP215" s="210">
        <f ca="1">IF(B209="Лікар загальної практики - сімейний лікар",Z215*Законод!$C$9/4*Законод!$E$16,IF(B209="Лікар-педіатр",Z215*Законод!$C$9/4*Законод!$E$16,IF(B209="Лікар-терапевт",Z215*Законод!$C$9/4*Законод!$E$16,0)))</f>
        <v>0</v>
      </c>
      <c r="AQ215" s="210">
        <f ca="1">IF(B209="Лікар загальної практики - сімейний лікар",AG215*Законод!$C$9/4*Законод!$E$16,IF(B209="Лікар-педіатр",AG215*Законод!$C$9/4*Законод!$E$16,IF(B209="Лікар-терапевт",AG215*Законод!$C$9/4*Законод!$E$16,0)))</f>
        <v>0</v>
      </c>
      <c r="AR215" s="211">
        <f t="shared" si="28"/>
        <v>0</v>
      </c>
    </row>
    <row r="216" spans="1:44" s="50" customFormat="1" ht="31.9" customHeight="1">
      <c r="A216" s="197"/>
      <c r="B216" s="941"/>
      <c r="C216" s="942"/>
      <c r="D216" s="943"/>
      <c r="E216" s="943"/>
      <c r="F216" s="238" t="str">
        <f ca="1">IF(B209="Лікар-педіатр",Законод!$F$17,IF(B209="Лікар загальної практики - сімейний лікар",Законод!$F$21,IF(B209="Лікар-терапевт",Законод!$F$25,"х")))</f>
        <v>понад ліміт (1981-2160)</v>
      </c>
      <c r="G216" s="940" t="s">
        <v>346</v>
      </c>
      <c r="H216" s="940"/>
      <c r="I216" s="940"/>
      <c r="J216" s="940"/>
      <c r="K216" s="940"/>
      <c r="L216" s="196">
        <f ca="1">IF($B$209="Лікар загальної практики - сімейний лікар",IF(L213&lt;Законод!$C$22,0,(IF(AND(L213&gt;=Законод!$F$22,L213&lt;=Законод!$F$23),L213-Законод!$E$23,IF('01_Доходи'!L213&gt;=Законод!$G$22,Законод!$F$24,0)))),IF($B$209="Лікар-педіатр",IF(L213&lt;Законод!$C$18,0,(IF(AND(L213&gt;=Законод!$F$18,L213&lt;=Законод!$F$19),L213-Законод!$E$19,IF('01_Доходи'!L213&gt;=Законод!$G$18,Законод!$F$20,0)))),IF($B$209="Лікар-терапевт",IF(L213&lt;Законод!$C$26,0,(IF(AND(L213&gt;=Законод!$F$26,L213&lt;=Законод!$F$27),L213-Законод!$E$27,IF('01_Доходи'!L213&gt;=Законод!$G$26,Законод!$F$28,0)))),0)))</f>
        <v>0</v>
      </c>
      <c r="M216" s="945"/>
      <c r="N216" s="940" t="s">
        <v>346</v>
      </c>
      <c r="O216" s="940"/>
      <c r="P216" s="940"/>
      <c r="Q216" s="940"/>
      <c r="R216" s="940"/>
      <c r="S216" s="196">
        <f ca="1">IF($B$209="Лікар загальної практики - сімейний лікар",IF(S213&lt;Законод!$C$22,0,(IF(AND(S213&gt;=Законод!$F$22,S213&lt;=Законод!$F$23),S213-Законод!$E$23,IF('01_Доходи'!S213&gt;=Законод!$G$22,Законод!$F$24,0)))),IF($B$209="Лікар-педіатр",IF(S213&lt;Законод!$C$18,0,(IF(AND(S213&gt;=Законод!$F$18,S213&lt;=Законод!$F$19),S213-Законод!$E$19,IF('01_Доходи'!S213&gt;=Законод!$G$18,Законод!$F$20,0)))),IF($B$209="Лікар-терапевт",IF(S213&lt;Законод!$C$26,0,(IF(AND(S213&gt;=Законод!$F$26,S213&lt;=Законод!$F$27),S213-Законод!$E$27,IF('01_Доходи'!S213&gt;=Законод!$G$26,Законод!$F$28,0)))),0)))</f>
        <v>0</v>
      </c>
      <c r="T216" s="945"/>
      <c r="U216" s="940" t="s">
        <v>346</v>
      </c>
      <c r="V216" s="940"/>
      <c r="W216" s="940"/>
      <c r="X216" s="940"/>
      <c r="Y216" s="940"/>
      <c r="Z216" s="196">
        <f ca="1">IF($B$209="Лікар загальної практики - сімейний лікар",IF(Z213&lt;Законод!$C$22,0,(IF(AND(Z213&gt;=Законод!$F$22,Z213&lt;=Законод!$F$23),Z213-Законод!$E$23,IF('01_Доходи'!Z213&gt;=Законод!$G$22,Законод!$F$24,0)))),IF($B$209="Лікар-педіатр",IF(Z213&lt;Законод!$C$18,0,(IF(AND(Z213&gt;=Законод!$F$18,Z213&lt;=Законод!$F$19),Z213-Законод!$E$19,IF('01_Доходи'!Z213&gt;=Законод!$G$18,Законод!$F$20,0)))),IF($B$209="Лікар-терапевт",IF(Z213&lt;Законод!$C$26,0,(IF(AND(Z213&gt;=Законод!$F$26,Z213&lt;=Законод!$F$27),Z213-Законод!$E$27,IF('01_Доходи'!Z213&gt;=Законод!$G$26,Законод!$F$28,0)))),0)))</f>
        <v>0</v>
      </c>
      <c r="AA216" s="945"/>
      <c r="AB216" s="940" t="s">
        <v>346</v>
      </c>
      <c r="AC216" s="940"/>
      <c r="AD216" s="940"/>
      <c r="AE216" s="940"/>
      <c r="AF216" s="940"/>
      <c r="AG216" s="196">
        <f ca="1">IF($B$209="Лікар загальної практики - сімейний лікар",IF(AG213&lt;Законод!$C$22,0,(IF(AND(AG213&gt;=Законод!$F$22,AG213&lt;=Законод!$F$23),AG213-Законод!$E$23,IF('01_Доходи'!AG213&gt;=Законод!$G$22,Законод!$F$24,0)))),IF($B$209="Лікар-педіатр",IF(AG213&lt;Законод!$C$18,0,(IF(AND(AG213&gt;=Законод!$F$18,AG213&lt;=Законод!$F$19),AG213-Законод!$E$19,IF('01_Доходи'!AG213&gt;=Законод!$G$18,Законод!$F$20,0)))),IF($B$209="Лікар-терапевт",IF(AG213&lt;Законод!$C$26,0,(IF(AND(AG213&gt;=Законод!$F$26,AG213&lt;=Законод!$F$27),AG213-Законод!$E$27,IF('01_Доходи'!AG213&gt;=Законод!$G$26,Законод!$F$28,0)))),0)))</f>
        <v>0</v>
      </c>
      <c r="AH216" s="945"/>
      <c r="AI216" s="201"/>
      <c r="AJ216" s="933"/>
      <c r="AK216" s="927"/>
      <c r="AL216" s="927"/>
      <c r="AM216" s="899"/>
      <c r="AN216" s="210">
        <f ca="1">IF(B209="Лікар загальної практики - сімейний лікар",L216*Законод!$C$9/4*Законод!$F$16,IF(B209="Лікар-педіатр",L216*Законод!$C$9/4*Законод!$F$16,IF(B209="Лікар-терапевт",L216*Законод!$C$9/4*Законод!$F$16,0)))</f>
        <v>0</v>
      </c>
      <c r="AO216" s="210">
        <f ca="1">IF(B209="Лікар загальної практики - сімейний лікар",S216*Законод!$C$9/4*Законод!$F$16,IF(B209="Лікар-педіатр",S216*Законод!$C$9/4*Законод!$F$16,IF(B209="Лікар-терапевт",S216*Законод!$C$9/4*Законод!$F$16,0)))</f>
        <v>0</v>
      </c>
      <c r="AP216" s="210">
        <f ca="1">IF(B209="Лікар загальної практики - сімейний лікар",Z216*Законод!$C$9/4*Законод!$F$16,IF(B209="Лікар-педіатр",Z216*Законод!$C$9/4*Законод!$F$16,IF(B209="Лікар-терапевт",Z216*Законод!$C$9/4*Законод!$F$16,0)))</f>
        <v>0</v>
      </c>
      <c r="AQ216" s="210">
        <f ca="1">IF(B209="Лікар загальної практики - сімейний лікар",AG216*Законод!$C$9/4*Законод!$F$16,IF(B209="Лікар-педіатр",AG216*Законод!$C$9/4*Законод!$F$16,IF(B209="Лікар-терапевт",AG216*Законод!$C$9/4*Законод!$F$16,0)))</f>
        <v>0</v>
      </c>
      <c r="AR216" s="211">
        <f t="shared" si="28"/>
        <v>0</v>
      </c>
    </row>
    <row r="217" spans="1:44" s="50" customFormat="1" ht="31.9" customHeight="1">
      <c r="A217" s="197"/>
      <c r="B217" s="941"/>
      <c r="C217" s="942"/>
      <c r="D217" s="943"/>
      <c r="E217" s="943"/>
      <c r="F217" s="238" t="str">
        <f ca="1">IF(B209="Лікар-педіатр",Законод!$G$17,IF(B209="Лікар загальної практики - сімейний лікар",Законод!$G$21,IF(B209="Лікар-терапевт",Законод!$G$25,"х")))</f>
        <v>понад ліміт (2161-2340)</v>
      </c>
      <c r="G217" s="940" t="s">
        <v>346</v>
      </c>
      <c r="H217" s="940"/>
      <c r="I217" s="940"/>
      <c r="J217" s="940"/>
      <c r="K217" s="940"/>
      <c r="L217" s="196">
        <f ca="1">IF($B$209="Лікар загальної практики - сімейний лікар",IF(L213&lt;Законод!$C$22,0,(IF(AND(L213&gt;=Законод!$G$22,L213&lt;=Законод!$G$23),L213-Законод!$F$23,IF('01_Доходи'!L213&gt;=Законод!$H$22,Законод!$G$24,0)))),IF($B$209="Лікар-педіатр",IF(L213&lt;Законод!$C$18,0,(IF(AND(L213&gt;=Законод!$G$18,L213&lt;=Законод!$G$19),L213-Законод!$F$19,IF('01_Доходи'!L213&gt;=Законод!$H$18,Законод!$G$20,0)))),IF($B$209="Лікар-терапевт",IF(L213&lt;Законод!$C$26,0,(IF(AND(L213&gt;=Законод!$G$26,L213&lt;=Законод!$G$27),L213-Законод!$F$27,IF('01_Доходи'!L213&gt;=Законод!$H$26,Законод!$G$28,0)))),0)))</f>
        <v>0</v>
      </c>
      <c r="M217" s="945"/>
      <c r="N217" s="940" t="s">
        <v>346</v>
      </c>
      <c r="O217" s="940"/>
      <c r="P217" s="940"/>
      <c r="Q217" s="940"/>
      <c r="R217" s="940"/>
      <c r="S217" s="196">
        <f ca="1">IF($B$209="Лікар загальної практики - сімейний лікар",IF(S213&lt;Законод!$C$22,0,(IF(AND(S213&gt;=Законод!$G$22,S213&lt;=Законод!$G$23),S213-Законод!$F$23,IF('01_Доходи'!S213&gt;=Законод!$H$22,Законод!$G$24,0)))),IF($B$209="Лікар-педіатр",IF(S213&lt;Законод!$C$18,0,(IF(AND(S213&gt;=Законод!$G$18,S213&lt;=Законод!$G$19),S213-Законод!$F$19,IF('01_Доходи'!S213&gt;=Законод!$H$18,Законод!$G$20,0)))),IF($B$209="Лікар-терапевт",IF(S213&lt;Законод!$C$26,0,(IF(AND(S213&gt;=Законод!$G$26,S213&lt;=Законод!$G$27),S213-Законод!$F$27,IF('01_Доходи'!S213&gt;=Законод!$H$26,Законод!$G$28,0)))),0)))</f>
        <v>0</v>
      </c>
      <c r="T217" s="945"/>
      <c r="U217" s="940" t="s">
        <v>346</v>
      </c>
      <c r="V217" s="940"/>
      <c r="W217" s="940"/>
      <c r="X217" s="940"/>
      <c r="Y217" s="940"/>
      <c r="Z217" s="196">
        <f ca="1">IF($B$209="Лікар загальної практики - сімейний лікар",IF(Z213&lt;Законод!$C$22,0,(IF(AND(Z213&gt;=Законод!$G$22,Z213&lt;=Законод!$G$23),Z213-Законод!$F$23,IF('01_Доходи'!Z213&gt;=Законод!$H$22,Законод!$G$24,0)))),IF($B$209="Лікар-педіатр",IF(Z213&lt;Законод!$C$18,0,(IF(AND(Z213&gt;=Законод!$G$18,Z213&lt;=Законод!$G$19),Z213-Законод!$F$19,IF('01_Доходи'!Z213&gt;=Законод!$H$18,Законод!$G$20,0)))),IF($B$209="Лікар-терапевт",IF(Z213&lt;Законод!$C$26,0,(IF(AND(Z213&gt;=Законод!$G$26,Z213&lt;=Законод!$G$27),Z213-Законод!$F$27,IF('01_Доходи'!Z213&gt;=Законод!$H$26,Законод!$G$28,0)))),0)))</f>
        <v>0</v>
      </c>
      <c r="AA217" s="945"/>
      <c r="AB217" s="940" t="s">
        <v>346</v>
      </c>
      <c r="AC217" s="940"/>
      <c r="AD217" s="940"/>
      <c r="AE217" s="940"/>
      <c r="AF217" s="940"/>
      <c r="AG217" s="196">
        <f ca="1">IF($B$209="Лікар загальної практики - сімейний лікар",IF(AG213&lt;Законод!$C$22,0,(IF(AND(AG213&gt;=Законод!$G$22,AG213&lt;=Законод!$G$23),AG213-Законод!$F$23,IF('01_Доходи'!AG213&gt;=Законод!$H$22,Законод!$G$24,0)))),IF($B$209="Лікар-педіатр",IF(AG213&lt;Законод!$C$18,0,(IF(AND(AG213&gt;=Законод!$G$18,AG213&lt;=Законод!$G$19),AG213-Законод!$F$19,IF('01_Доходи'!AG213&gt;=Законод!$H$18,Законод!$G$20,0)))),IF($B$209="Лікар-терапевт",IF(AG213&lt;Законод!$C$26,0,(IF(AND(AG213&gt;=Законод!$G$26,AG213&lt;=Законод!$G$27),AG213-Законод!$F$27,IF('01_Доходи'!AG213&gt;=Законод!$H$26,Законод!$G$28,0)))),0)))</f>
        <v>0</v>
      </c>
      <c r="AH217" s="945"/>
      <c r="AI217" s="201"/>
      <c r="AJ217" s="933"/>
      <c r="AK217" s="927"/>
      <c r="AL217" s="927"/>
      <c r="AM217" s="899"/>
      <c r="AN217" s="210">
        <f ca="1">IF(B209="Лікар загальної практики - сімейний лікар",L217*Законод!$C$9/4*Законод!$G$16,IF(B209="Лікар-педіатр",L217*Законод!$C$9/4*Законод!$G$16,IF(B209="Лікар-терапевт",L217*Законод!$C$9/4*Законод!$G$16,0)))</f>
        <v>0</v>
      </c>
      <c r="AO217" s="210">
        <f ca="1">IF(B209="Лікар загальної практики - сімейний лікар",S217*Законод!$C$9/4*Законод!$G$16,IF(B209="Лікар-педіатр",S217*Законод!$C$9/4*Законод!$G$16,IF(B209="Лікар-терапевт",S217*Законод!$C$9/4*Законод!$G$16,0)))</f>
        <v>0</v>
      </c>
      <c r="AP217" s="210">
        <f ca="1">IF(B209="Лікар загальної практики - сімейний лікар",Z217*Законод!$C$9/4*Законод!$G$16,IF(B209="Лікар-педіатр",Z217*Законод!$C$9/4*Законод!$G$16,IF(B209="Лікар-терапевт",Z217*Законод!$C$9/4*Законод!$G$16,0)))</f>
        <v>0</v>
      </c>
      <c r="AQ217" s="210">
        <f ca="1">IF(B209="Лікар загальної практики - сімейний лікар",AG217*Законод!$C$9/4*Законод!$G$16,IF(B209="Лікар-педіатр",AG217*Законод!$C$9/4*Законод!$G$16,IF(B209="Лікар-терапевт",AG217*Законод!$C$9/4*Законод!$G$16,0)))</f>
        <v>0</v>
      </c>
      <c r="AR217" s="211">
        <f t="shared" si="28"/>
        <v>0</v>
      </c>
    </row>
    <row r="218" spans="1:44" s="50" customFormat="1" ht="31.9" customHeight="1">
      <c r="A218" s="197"/>
      <c r="B218" s="941"/>
      <c r="C218" s="942"/>
      <c r="D218" s="943"/>
      <c r="E218" s="943"/>
      <c r="F218" s="238" t="str">
        <f ca="1">IF(B209="Лікар-педіатр",Законод!$H$17,IF(B209="Лікар загальної практики - сімейний лікар",Законод!$H$21,IF(B209="Лікар-терапевт",Законод!$H$25,"х")))</f>
        <v>понад ліміт (2341-2520)</v>
      </c>
      <c r="G218" s="940" t="s">
        <v>346</v>
      </c>
      <c r="H218" s="940"/>
      <c r="I218" s="940"/>
      <c r="J218" s="940"/>
      <c r="K218" s="940"/>
      <c r="L218" s="196">
        <f ca="1">IF($B$209="Лікар загальної практики - сімейний лікар",IF(L213&lt;Законод!$C$22,0,(IF(AND(L213&gt;=Законод!$H$22,L213&lt;=Законод!$H$23),L213-Законод!$G$23,IF('01_Доходи'!L213&gt;=Законод!$I$22,Законод!$H$24,0)))),IF($B$209="Лікар-педіатр",IF(L213&lt;Законод!$C$18,0,(IF(AND(L213&gt;=Законод!$H$18,L213&lt;=Законод!$H$19),L213-Законод!$G$19,IF('01_Доходи'!L213&gt;=Законод!$I$18,Законод!$H$20,0)))),IF($B$209="Лікар-терапевт",IF(L213&lt;Законод!$C$26,0,(IF(AND(L213&gt;=Законод!$H$26,L213&lt;=Законод!$H$27),L213-Законод!$G$27,IF(L213&gt;=Законод!$I$26,Законод!$H$28,0)))),0)))</f>
        <v>0</v>
      </c>
      <c r="M218" s="945"/>
      <c r="N218" s="940" t="s">
        <v>346</v>
      </c>
      <c r="O218" s="940"/>
      <c r="P218" s="940"/>
      <c r="Q218" s="940"/>
      <c r="R218" s="940"/>
      <c r="S218" s="196">
        <f ca="1">IF($B$209="Лікар загальної практики - сімейний лікар",IF(S213&lt;Законод!$C$22,0,(IF(AND(S213&gt;=Законод!$H$22,S213&lt;=Законод!$H$23),S213-Законод!$G$23,IF('01_Доходи'!S213&gt;=Законод!$I$22,Законод!$H$24,0)))),IF($B$209="Лікар-педіатр",IF(S213&lt;Законод!$C$18,0,(IF(AND(S213&gt;=Законод!$H$18,S213&lt;=Законод!$H$19),S213-Законод!$G$19,IF('01_Доходи'!S213&gt;=Законод!$I$18,Законод!$H$20,0)))),IF($B$209="Лікар-терапевт",IF(S213&lt;Законод!$C$26,0,(IF(AND(S213&gt;=Законод!$H$26,S213&lt;=Законод!$H$27),S213-Законод!$G$27,IF(S213&gt;=Законод!$I$26,Законод!$H$28,0)))),0)))</f>
        <v>0</v>
      </c>
      <c r="T218" s="945"/>
      <c r="U218" s="940" t="s">
        <v>346</v>
      </c>
      <c r="V218" s="940"/>
      <c r="W218" s="940"/>
      <c r="X218" s="940"/>
      <c r="Y218" s="940"/>
      <c r="Z218" s="196">
        <f ca="1">IF($B$209="Лікар загальної практики - сімейний лікар",IF(Z213&lt;Законод!$C$22,0,(IF(AND(Z213&gt;=Законод!$H$22,Z213&lt;=Законод!$H$23),Z213-Законод!$G$23,IF('01_Доходи'!Z213&gt;=Законод!$I$22,Законод!$H$24,0)))),IF($B$209="Лікар-педіатр",IF(Z213&lt;Законод!$C$18,0,(IF(AND(Z213&gt;=Законод!$H$18,Z213&lt;=Законод!$H$19),Z213-Законод!$G$19,IF('01_Доходи'!Z213&gt;=Законод!$I$18,Законод!$H$20,0)))),IF($B$209="Лікар-терапевт",IF(Z213&lt;Законод!$C$26,0,(IF(AND(Z213&gt;=Законод!$H$26,Z213&lt;=Законод!$H$27),Z213-Законод!$G$27,IF(Z213&gt;=Законод!$I$26,Законод!$H$28,0)))),0)))</f>
        <v>0</v>
      </c>
      <c r="AA218" s="945"/>
      <c r="AB218" s="940" t="s">
        <v>346</v>
      </c>
      <c r="AC218" s="940"/>
      <c r="AD218" s="940"/>
      <c r="AE218" s="940"/>
      <c r="AF218" s="940"/>
      <c r="AG218" s="196">
        <f ca="1">IF($B$209="Лікар загальної практики - сімейний лікар",IF(AG213&lt;Законод!$C$22,0,(IF(AND(AG213&gt;=Законод!$H$22,AG213&lt;=Законод!$H$23),AG213-Законод!$G$23,IF('01_Доходи'!AG213&gt;=Законод!$I$22,Законод!$H$24,0)))),IF($B$209="Лікар-педіатр",IF(AG213&lt;Законод!$C$18,0,(IF(AND(AG213&gt;=Законод!$H$18,AG213&lt;=Законод!$H$19),AG213-Законод!$G$19,IF('01_Доходи'!AG213&gt;=Законод!$I$18,Законод!$H$20,0)))),IF($B$209="Лікар-терапевт",IF(AG213&lt;Законод!$C$26,0,(IF(AND(AG213&gt;=Законод!$H$26,AG213&lt;=Законод!$H$27),AG213-Законод!$G$27,IF(AG213&gt;=Законод!$I$26,Законод!$H$28,0)))),0)))</f>
        <v>0</v>
      </c>
      <c r="AH218" s="945"/>
      <c r="AI218" s="201"/>
      <c r="AJ218" s="933"/>
      <c r="AK218" s="927"/>
      <c r="AL218" s="927"/>
      <c r="AM218" s="899"/>
      <c r="AN218" s="210">
        <f ca="1">IF(B209="Лікар загальної практики - сімейний лікар",L218*Законод!$C$9/4*Законод!$H$16,IF(B209="Лікар-педіатр",L218*Законод!$C$9/4*Законод!$H$16,IF(B209="Лікар-терапевт",L218*Законод!$C$9/4*Законод!$H$16,0)))</f>
        <v>0</v>
      </c>
      <c r="AO218" s="210">
        <f ca="1">IF(B209="Лікар загальної практики - сімейний лікар",S218*Законод!$C$9/4*Законод!$H$16,IF(B209="Лікар-педіатр",S218*Законод!$C$9/4*Законод!$H$16,IF(B209="Лікар-терапевт",S218*Законод!$C$9/4*Законод!$H$16,0)))</f>
        <v>0</v>
      </c>
      <c r="AP218" s="210">
        <f ca="1">IF(B209="Лікар загальної практики - сімейний лікар",Z218*Законод!$C$9/4*Законод!$H$16,IF(B209="Лікар-педіатр",Z218*Законод!$C$9/4*Законод!$H$16,IF(B209="Лікар-терапевт",Z218*Законод!$C$9/4*Законод!$H$16,0)))</f>
        <v>0</v>
      </c>
      <c r="AQ218" s="210">
        <f ca="1">IF(B209="Лікар загальної практики - сімейний лікар",AG218*Законод!$C$9/4*Законод!$H$16,IF(B209="Лікар-педіатр",AG218*Законод!$C$9/4*Законод!$H$16,IF(B209="Лікар-терапевт",AG218*Законод!$C$9/4*Законод!$H$16,0)))</f>
        <v>0</v>
      </c>
      <c r="AR218" s="211">
        <f t="shared" si="28"/>
        <v>0</v>
      </c>
    </row>
    <row r="219" spans="1:44" s="50" customFormat="1" ht="31.9" customHeight="1">
      <c r="A219" s="197"/>
      <c r="B219" s="941"/>
      <c r="C219" s="942"/>
      <c r="D219" s="943"/>
      <c r="E219" s="943"/>
      <c r="F219" s="238" t="str">
        <f ca="1">IF(B209="Лікар-педіатр",Законод!$I$17,IF(B209="Лікар загальної практики - сімейний лікар",Законод!$I$21,IF(B209="Лікар-терапевт",Законод!$I$25,"х")))</f>
        <v>понад ліміт (2521-2700)</v>
      </c>
      <c r="G219" s="940" t="s">
        <v>346</v>
      </c>
      <c r="H219" s="940"/>
      <c r="I219" s="940"/>
      <c r="J219" s="940"/>
      <c r="K219" s="940"/>
      <c r="L219" s="196">
        <f ca="1">IF($B$209="Лікар загальної практики - сімейний лікар",IF(L213&lt;Законод!$C$22,0,(IF(AND(L213&gt;=Законод!$I$22,L213&lt;=Законод!$I$23),L213-Законод!$H$23,IF('01_Доходи'!L213&gt;=Законод!$I$22,Законод!$I$24,0)))),IF($B$209="Лікар-педіатр",IF(L213&lt;Законод!$C$18,0,(IF(AND(L213&gt;=Законод!$I$18,L213&lt;=Законод!$I$19),L213-Законод!$H$19,IF('01_Доходи'!L213&gt;=Законод!$I$18,Законод!$H$20,0)))),IF($B$209="Лікар-терапевт",IF(L213&lt;Законод!$C$26,0,(IF(AND(L213&gt;=Законод!$I$26,L213&lt;=Законод!$I$27),L213-Законод!$H$27,IF('01_Доходи'!L213&gt;=Законод!$I$26,Законод!$H$28,0)))),0)))</f>
        <v>0</v>
      </c>
      <c r="M219" s="945"/>
      <c r="N219" s="940" t="s">
        <v>346</v>
      </c>
      <c r="O219" s="940"/>
      <c r="P219" s="940"/>
      <c r="Q219" s="940"/>
      <c r="R219" s="940"/>
      <c r="S219" s="196">
        <f ca="1">IF($B$209="Лікар загальної практики - сімейний лікар",IF(S213&lt;Законод!$C$22,0,(IF(AND(S213&gt;=Законод!$I$22,S213&lt;=Законод!$I$23),S213-Законод!$H$23,IF('01_Доходи'!S213&gt;=Законод!$I$22,Законод!$I$24,0)))),IF($B$209="Лікар-педіатр",IF(S213&lt;Законод!$C$18,0,(IF(AND(S213&gt;=Законод!$I$18,S213&lt;=Законод!$I$19),S213-Законод!$H$19,IF('01_Доходи'!S213&gt;=Законод!$I$18,Законод!$H$20,0)))),IF($B$209="Лікар-терапевт",IF(S213&lt;Законод!$C$26,0,(IF(AND(S213&gt;=Законод!$I$26,S213&lt;=Законод!$I$27),S213-Законод!$H$27,IF('01_Доходи'!S213&gt;=Законод!$I$26,Законод!$H$28,0)))),0)))</f>
        <v>0</v>
      </c>
      <c r="T219" s="945"/>
      <c r="U219" s="940" t="s">
        <v>346</v>
      </c>
      <c r="V219" s="940"/>
      <c r="W219" s="940"/>
      <c r="X219" s="940"/>
      <c r="Y219" s="940"/>
      <c r="Z219" s="196">
        <f ca="1">IF($B$209="Лікар загальної практики - сімейний лікар",IF(Z213&lt;Законод!$C$22,0,(IF(AND(Z213&gt;=Законод!$I$22,Z213&lt;=Законод!$I$23),Z213-Законод!$H$23,IF('01_Доходи'!Z213&gt;=Законод!$I$22,Законод!$I$24,0)))),IF($B$209="Лікар-педіатр",IF(Z213&lt;Законод!$C$18,0,(IF(AND(Z213&gt;=Законод!$I$18,Z213&lt;=Законод!$I$19),Z213-Законод!$H$19,IF('01_Доходи'!Z213&gt;=Законод!$I$18,Законод!$H$20,0)))),IF($B$209="Лікар-терапевт",IF(Z213&lt;Законод!$C$26,0,(IF(AND(Z213&gt;=Законод!$I$26,Z213&lt;=Законод!$I$27),Z213-Законод!$H$27,IF('01_Доходи'!Z213&gt;=Законод!$I$26,Законод!$H$28,0)))),0)))</f>
        <v>0</v>
      </c>
      <c r="AA219" s="945"/>
      <c r="AB219" s="940" t="s">
        <v>346</v>
      </c>
      <c r="AC219" s="940"/>
      <c r="AD219" s="940"/>
      <c r="AE219" s="940"/>
      <c r="AF219" s="940"/>
      <c r="AG219" s="196">
        <f ca="1">IF($B$209="Лікар загальної практики - сімейний лікар",IF(AG213&lt;Законод!$C$22,0,(IF(AND(AG213&gt;=Законод!$I$22,AG213&lt;=Законод!$I$23),AG213-Законод!$H$23,IF('01_Доходи'!AG213&gt;=Законод!$I$22,Законод!$I$24,0)))),IF($B$209="Лікар-педіатр",IF(AG213&lt;Законод!$C$18,0,(IF(AND(AG213&gt;=Законод!$I$18,AG213&lt;=Законод!$I$19),AG213-Законод!$H$19,IF('01_Доходи'!AG213&gt;=Законод!$I$18,Законод!$H$20,0)))),IF($B$209="Лікар-терапевт",IF(AG213&lt;Законод!$C$26,0,(IF(AND(AG213&gt;=Законод!$I$26,AG213&lt;=Законод!$I$27),AG213-Законод!$H$27,IF('01_Доходи'!AG213&gt;=Законод!$I$26,Законод!$H$28,0)))),0)))</f>
        <v>0</v>
      </c>
      <c r="AH219" s="945"/>
      <c r="AI219" s="201"/>
      <c r="AJ219" s="933"/>
      <c r="AK219" s="927"/>
      <c r="AL219" s="927"/>
      <c r="AM219" s="899"/>
      <c r="AN219" s="210">
        <f ca="1">IF(B209="Лікар загальної практики - сімейний лікар",L219*Законод!$C$9/4*Законод!$I$16,IF(B209="Лікар-педіатр",L219*Законод!$C$9/4*Законод!$I$16,IF(B209="Лікар-терапевт",L219*Законод!$C$9/4*Законод!$I$16,0)))</f>
        <v>0</v>
      </c>
      <c r="AO219" s="210">
        <f ca="1">IF(B209="Лікар загальної практики - сімейний лікар",S219*Законод!$C$9/4*Законод!$I$16,IF(B209="Лікар-педіатр",S219*Законод!$C$9/4*Законод!$I$16,IF(B209="Лікар-терапевт",S219*Законод!$C$9/4*Законод!$I$16,0)))</f>
        <v>0</v>
      </c>
      <c r="AP219" s="210">
        <f ca="1">IF(B209="Лікар загальної практики - сімейний лікар",Z219*Законод!$C$9/4*Законод!$I$16,IF(B209="Лікар-педіатр",Z219*Законод!$C$9/4*Законод!$I$16,IF(B209="Лікар-терапевт",Z219*Законод!$C$9/4*Законод!$I$16,0)))</f>
        <v>0</v>
      </c>
      <c r="AQ219" s="210">
        <f ca="1">IF(B209="Лікар загальної практики - сімейний лікар",AG219*Законод!$C$9/4*Законод!$I$16,IF(B209="Лікар-педіатр",AG219*Законод!$C$9/4*Законод!$I$16,IF(B209="Лікар-терапевт",AG219*Законод!$C$9/4*Законод!$I$16,0)))</f>
        <v>0</v>
      </c>
      <c r="AR219" s="211">
        <f t="shared" si="28"/>
        <v>0</v>
      </c>
    </row>
    <row r="220" spans="1:44" s="218" customFormat="1" ht="31.9" customHeight="1" thickBot="1">
      <c r="A220" s="213"/>
      <c r="B220" s="941"/>
      <c r="C220" s="942"/>
      <c r="D220" s="943"/>
      <c r="E220" s="943"/>
      <c r="F220" s="239" t="str">
        <f ca="1">IF(B209="Лікар-педіатр",Законод!$J$17,IF(B209="Лікар загальної практики - сімейний лікар",Законод!$J$21,IF(B209="Лікар-терапевт",Законод!$J$25,"х")))</f>
        <v>понад ліміт (&gt;=2701)</v>
      </c>
      <c r="G220" s="939" t="s">
        <v>346</v>
      </c>
      <c r="H220" s="939"/>
      <c r="I220" s="939"/>
      <c r="J220" s="939"/>
      <c r="K220" s="939"/>
      <c r="L220" s="196">
        <f ca="1">IF($B$209="Лікар загальної практики - сімейний лікар",IF(L213&gt;=Законод!$J$22,'01_Доходи'!L213-('01_Доходи'!L214+'01_Доходи'!L215+'01_Доходи'!L216+'01_Доходи'!L217+'01_Доходи'!L218+'01_Доходи'!L219),0),IF($B$209="Лікар-педіатр",IF(L213&gt;=Законод!$J$18,'01_Доходи'!L213-('01_Доходи'!L214+'01_Доходи'!L215+'01_Доходи'!L216+'01_Доходи'!L217+'01_Доходи'!L218+'01_Доходи'!L219),0),IF($B$209="Лікар-терапевт",IF('01_Доходи'!L213&gt;=Законод!$J$26,L213-Законод!$I$27,0),0)))</f>
        <v>0</v>
      </c>
      <c r="M220" s="945"/>
      <c r="N220" s="939" t="s">
        <v>346</v>
      </c>
      <c r="O220" s="939"/>
      <c r="P220" s="939"/>
      <c r="Q220" s="939"/>
      <c r="R220" s="939"/>
      <c r="S220" s="196">
        <f ca="1">IF($B$209="Лікар загальної практики - сімейний лікар",IF(S213&gt;=Законод!$J$22,'01_Доходи'!S213-('01_Доходи'!S214+'01_Доходи'!S215+'01_Доходи'!S216+'01_Доходи'!S217+'01_Доходи'!S218+'01_Доходи'!S219),0),IF($B$209="Лікар-педіатр",IF(S213&gt;=Законод!$J$18,'01_Доходи'!S213-('01_Доходи'!S214+'01_Доходи'!S215+'01_Доходи'!S216+'01_Доходи'!S217+'01_Доходи'!S218+'01_Доходи'!S219),0),IF($B$209="Лікар-терапевт",IF('01_Доходи'!S213&gt;=Законод!$J$26,S213-Законод!$I$27,0),0)))</f>
        <v>0</v>
      </c>
      <c r="T220" s="945"/>
      <c r="U220" s="939" t="s">
        <v>346</v>
      </c>
      <c r="V220" s="939"/>
      <c r="W220" s="939"/>
      <c r="X220" s="939"/>
      <c r="Y220" s="939"/>
      <c r="Z220" s="196">
        <f ca="1">IF($B$209="Лікар загальної практики - сімейний лікар",IF(Z213&gt;=Законод!$J$22,'01_Доходи'!Z213-('01_Доходи'!Z214+'01_Доходи'!Z215+'01_Доходи'!Z216+'01_Доходи'!Z217+'01_Доходи'!Z218+'01_Доходи'!Z219),0),IF($B$209="Лікар-педіатр",IF(Z213&gt;=Законод!$J$18,'01_Доходи'!Z213-('01_Доходи'!Z214+'01_Доходи'!Z215+'01_Доходи'!Z216+'01_Доходи'!Z217+'01_Доходи'!Z218+'01_Доходи'!Z219),0),IF($B$209="Лікар-терапевт",IF('01_Доходи'!Z213&gt;=Законод!$J$26,Z213-Законод!$I$27,0),0)))</f>
        <v>0</v>
      </c>
      <c r="AA220" s="945"/>
      <c r="AB220" s="939" t="s">
        <v>346</v>
      </c>
      <c r="AC220" s="939"/>
      <c r="AD220" s="939"/>
      <c r="AE220" s="939"/>
      <c r="AF220" s="939"/>
      <c r="AG220" s="196">
        <f ca="1">IF($B$209="Лікар загальної практики - сімейний лікар",IF(AG213&gt;=Законод!$J$22,'01_Доходи'!AG213-('01_Доходи'!AG214+'01_Доходи'!AG215+'01_Доходи'!AG216+'01_Доходи'!AG217+'01_Доходи'!AG218+'01_Доходи'!AG219),0),IF($B$209="Лікар-педіатр",IF(AG213&gt;=Законод!$J$18,'01_Доходи'!AG213-('01_Доходи'!AG214+'01_Доходи'!AG215+'01_Доходи'!AG216+'01_Доходи'!AG217+'01_Доходи'!AG218+'01_Доходи'!AG219),0),IF($B$209="Лікар-терапевт",IF('01_Доходи'!AG213&gt;=Законод!$J$26,AG213-Законод!$I$27,0),0)))</f>
        <v>0</v>
      </c>
      <c r="AH220" s="945"/>
      <c r="AI220" s="215"/>
      <c r="AJ220" s="934"/>
      <c r="AK220" s="928"/>
      <c r="AL220" s="928"/>
      <c r="AM220" s="900"/>
      <c r="AN220" s="216">
        <f ca="1">IF(B209="Лікар загальної практики - сімейний лікар",L220*Законод!$C$9/4*Законод!$J$16,IF(B209="Лікар-педіатр",L220*Законод!$C$9/4*Законод!$J$16,IF(B209="Лікар-терапевт",L220*Законод!$C$9/4*Законод!$J$16,0)))</f>
        <v>0</v>
      </c>
      <c r="AO220" s="216">
        <f ca="1">IF(B209="Лікар загальної практики - сімейний лікар",S220*Законод!$C$9/4*Законод!$J$16,IF(B209="Лікар-педіатр",S220*Законод!$C$9/4*Законод!$J$16,IF(B209="Лікар-терапевт",S220*Законод!$C$9/4*Законод!$J$16,0)))</f>
        <v>0</v>
      </c>
      <c r="AP220" s="216">
        <f ca="1">IF(B209="Лікар загальної практики - сімейний лікар",S220*Законод!$C$9/4*Законод!$J$16,IF(B209="Лікар-педіатр",S220*Законод!$C$9/4*Законод!$J$16,IF(B209="Лікар-терапевт",S220*Законод!$C$9/4*Законод!$J$16,0)))</f>
        <v>0</v>
      </c>
      <c r="AQ220" s="216">
        <f ca="1">IF(B209="Лікар загальної практики - сімейний лікар",AG220*Законод!$C$9/4*Законод!$J$16,IF(B209="Лікар-педіатр",AG220*Законод!$C$9/4*Законод!$J$16,IF(B209="Лікар-терапевт",AG220*Законод!$C$9/4*Законод!$J$16,0)))</f>
        <v>0</v>
      </c>
      <c r="AR220" s="217">
        <f t="shared" si="28"/>
        <v>0</v>
      </c>
    </row>
    <row r="221" spans="1:44" s="247" customFormat="1" ht="23.45" customHeight="1" thickBot="1">
      <c r="A221" s="243"/>
      <c r="B221" s="244"/>
      <c r="C221" s="244"/>
      <c r="D221" s="244"/>
      <c r="E221" s="244"/>
      <c r="F221" s="245"/>
      <c r="G221" s="246"/>
      <c r="H221" s="246"/>
      <c r="L221" s="248"/>
      <c r="S221" s="248"/>
      <c r="Z221" s="248"/>
      <c r="AG221" s="248"/>
      <c r="AM221" s="249"/>
      <c r="AR221" s="250"/>
    </row>
    <row r="222" spans="1:44" s="191" customFormat="1" ht="27.6" customHeight="1">
      <c r="A222" s="194">
        <f>A209+1</f>
        <v>15</v>
      </c>
      <c r="B222" s="941" t="s">
        <v>236</v>
      </c>
      <c r="C222" s="942" t="s">
        <v>118</v>
      </c>
      <c r="D222" s="943"/>
      <c r="E222" s="943" t="str">
        <f>E209</f>
        <v>Рожищенська АЗПСМ №1</v>
      </c>
      <c r="F222" s="234" t="s">
        <v>582</v>
      </c>
      <c r="G222" s="196">
        <v>0</v>
      </c>
      <c r="H222" s="196">
        <v>0</v>
      </c>
      <c r="I222" s="196">
        <v>435</v>
      </c>
      <c r="J222" s="196">
        <v>587</v>
      </c>
      <c r="K222" s="196">
        <v>215</v>
      </c>
      <c r="L222" s="558">
        <f t="shared" ref="L222:L227" si="29">SUM(G222:K222)</f>
        <v>1237</v>
      </c>
      <c r="M222" s="945">
        <v>1</v>
      </c>
      <c r="N222" s="196">
        <v>0</v>
      </c>
      <c r="O222" s="196">
        <v>0</v>
      </c>
      <c r="P222" s="196">
        <v>435</v>
      </c>
      <c r="Q222" s="196">
        <v>587</v>
      </c>
      <c r="R222" s="196">
        <v>215</v>
      </c>
      <c r="S222" s="196">
        <f t="shared" ref="S222:S227" si="30">SUM(N222:R222)</f>
        <v>1237</v>
      </c>
      <c r="T222" s="945">
        <v>1</v>
      </c>
      <c r="U222" s="196">
        <v>0</v>
      </c>
      <c r="V222" s="196">
        <v>0</v>
      </c>
      <c r="W222" s="196">
        <v>435</v>
      </c>
      <c r="X222" s="196">
        <v>587</v>
      </c>
      <c r="Y222" s="196">
        <v>215</v>
      </c>
      <c r="Z222" s="558">
        <f t="shared" ref="Z222:Z227" si="31">SUM(U222:Y222)</f>
        <v>1237</v>
      </c>
      <c r="AA222" s="945">
        <v>1</v>
      </c>
      <c r="AB222" s="196">
        <v>0</v>
      </c>
      <c r="AC222" s="196">
        <v>0</v>
      </c>
      <c r="AD222" s="196">
        <v>435</v>
      </c>
      <c r="AE222" s="196">
        <v>587</v>
      </c>
      <c r="AF222" s="196">
        <v>215</v>
      </c>
      <c r="AG222" s="196">
        <f>SUM(AD222:AF222)</f>
        <v>1237</v>
      </c>
      <c r="AH222" s="945">
        <v>1</v>
      </c>
      <c r="AI222" s="541">
        <f>A222</f>
        <v>15</v>
      </c>
      <c r="AJ222" s="932" t="str">
        <f>B222</f>
        <v>Лікар-терапевт</v>
      </c>
      <c r="AK222" s="926" t="str">
        <f>C222</f>
        <v>Ткачук Наталія Василівна</v>
      </c>
      <c r="AL222" s="926">
        <f>D222</f>
        <v>0</v>
      </c>
      <c r="AM222" s="901" t="s">
        <v>785</v>
      </c>
      <c r="AN222" s="923">
        <f>SUM(AN227:AN233)</f>
        <v>190100.46236249997</v>
      </c>
      <c r="AO222" s="923">
        <f>SUM(AO227:AO233)</f>
        <v>190100.46236249997</v>
      </c>
      <c r="AP222" s="923">
        <f>SUM(AP227:AP233)</f>
        <v>190100.46236249997</v>
      </c>
      <c r="AQ222" s="923">
        <f>SUM(AQ227:AQ233)</f>
        <v>190100.46236249997</v>
      </c>
      <c r="AR222" s="914">
        <f>SUM(AN222:AQ226)</f>
        <v>760401.84944999986</v>
      </c>
    </row>
    <row r="223" spans="1:44" s="50" customFormat="1" ht="28.15" customHeight="1">
      <c r="A223" s="197"/>
      <c r="B223" s="941"/>
      <c r="C223" s="942"/>
      <c r="D223" s="943"/>
      <c r="E223" s="943"/>
      <c r="F223" s="234" t="s">
        <v>583</v>
      </c>
      <c r="G223" s="196">
        <v>0</v>
      </c>
      <c r="H223" s="196">
        <v>0</v>
      </c>
      <c r="I223" s="196">
        <v>435</v>
      </c>
      <c r="J223" s="196">
        <v>587</v>
      </c>
      <c r="K223" s="196">
        <v>215</v>
      </c>
      <c r="L223" s="558">
        <f t="shared" si="29"/>
        <v>1237</v>
      </c>
      <c r="M223" s="945"/>
      <c r="N223" s="196">
        <v>0</v>
      </c>
      <c r="O223" s="196">
        <v>0</v>
      </c>
      <c r="P223" s="196">
        <v>435</v>
      </c>
      <c r="Q223" s="196">
        <v>587</v>
      </c>
      <c r="R223" s="196">
        <v>215</v>
      </c>
      <c r="S223" s="196">
        <f t="shared" si="30"/>
        <v>1237</v>
      </c>
      <c r="T223" s="945"/>
      <c r="U223" s="196">
        <v>0</v>
      </c>
      <c r="V223" s="196">
        <v>0</v>
      </c>
      <c r="W223" s="196">
        <v>435</v>
      </c>
      <c r="X223" s="196">
        <v>587</v>
      </c>
      <c r="Y223" s="196">
        <v>215</v>
      </c>
      <c r="Z223" s="558">
        <f t="shared" si="31"/>
        <v>1237</v>
      </c>
      <c r="AA223" s="945"/>
      <c r="AB223" s="196">
        <v>0</v>
      </c>
      <c r="AC223" s="196">
        <v>0</v>
      </c>
      <c r="AD223" s="196">
        <v>435</v>
      </c>
      <c r="AE223" s="196">
        <v>587</v>
      </c>
      <c r="AF223" s="196">
        <v>215</v>
      </c>
      <c r="AG223" s="196">
        <f>SUM(AD223:AF223)</f>
        <v>1237</v>
      </c>
      <c r="AH223" s="945"/>
      <c r="AI223" s="198"/>
      <c r="AJ223" s="933"/>
      <c r="AK223" s="927"/>
      <c r="AL223" s="927"/>
      <c r="AM223" s="902"/>
      <c r="AN223" s="924"/>
      <c r="AO223" s="924"/>
      <c r="AP223" s="924"/>
      <c r="AQ223" s="924"/>
      <c r="AR223" s="915"/>
    </row>
    <row r="224" spans="1:44" s="90" customFormat="1" ht="31.15" customHeight="1">
      <c r="A224" s="240"/>
      <c r="B224" s="941"/>
      <c r="C224" s="942"/>
      <c r="D224" s="943"/>
      <c r="E224" s="943"/>
      <c r="F224" s="241" t="s">
        <v>584</v>
      </c>
      <c r="G224" s="196">
        <v>0</v>
      </c>
      <c r="H224" s="196">
        <v>0</v>
      </c>
      <c r="I224" s="196">
        <v>435</v>
      </c>
      <c r="J224" s="196">
        <v>587</v>
      </c>
      <c r="K224" s="196">
        <v>215</v>
      </c>
      <c r="L224" s="200">
        <f t="shared" si="29"/>
        <v>1237</v>
      </c>
      <c r="M224" s="945"/>
      <c r="N224" s="196">
        <v>0</v>
      </c>
      <c r="O224" s="196">
        <v>0</v>
      </c>
      <c r="P224" s="196">
        <v>435</v>
      </c>
      <c r="Q224" s="196">
        <v>587</v>
      </c>
      <c r="R224" s="196">
        <v>215</v>
      </c>
      <c r="S224" s="196">
        <f t="shared" si="30"/>
        <v>1237</v>
      </c>
      <c r="T224" s="945"/>
      <c r="U224" s="196">
        <v>0</v>
      </c>
      <c r="V224" s="196">
        <v>0</v>
      </c>
      <c r="W224" s="196">
        <v>435</v>
      </c>
      <c r="X224" s="196">
        <v>587</v>
      </c>
      <c r="Y224" s="196">
        <v>215</v>
      </c>
      <c r="Z224" s="200">
        <f t="shared" si="31"/>
        <v>1237</v>
      </c>
      <c r="AA224" s="945"/>
      <c r="AB224" s="196">
        <v>0</v>
      </c>
      <c r="AC224" s="196">
        <v>0</v>
      </c>
      <c r="AD224" s="196">
        <v>435</v>
      </c>
      <c r="AE224" s="196">
        <v>587</v>
      </c>
      <c r="AF224" s="196">
        <v>215</v>
      </c>
      <c r="AG224" s="196">
        <f>SUM(AD224:AF224)</f>
        <v>1237</v>
      </c>
      <c r="AH224" s="945"/>
      <c r="AI224" s="242"/>
      <c r="AJ224" s="933"/>
      <c r="AK224" s="927"/>
      <c r="AL224" s="927"/>
      <c r="AM224" s="902"/>
      <c r="AN224" s="924"/>
      <c r="AO224" s="924"/>
      <c r="AP224" s="924"/>
      <c r="AQ224" s="924"/>
      <c r="AR224" s="915"/>
    </row>
    <row r="225" spans="1:44" s="50" customFormat="1" ht="31.9" customHeight="1" thickBot="1">
      <c r="A225" s="197"/>
      <c r="B225" s="941"/>
      <c r="C225" s="942"/>
      <c r="D225" s="943"/>
      <c r="E225" s="943"/>
      <c r="F225" s="236" t="s">
        <v>349</v>
      </c>
      <c r="G225" s="203" t="str">
        <f>IF($B$222="Лікар-педіатр",G224/L224,IF($B$222="Лікар-терапевт","х",IF($B$222="Лікар загальної практики - сімейний лікар",G224/L224,0)))</f>
        <v>х</v>
      </c>
      <c r="H225" s="203" t="str">
        <f>IF($B$222="Лікар-педіатр",H224/L224,IF($B$222="Лікар-терапевт","х",IF($B$222="Лікар загальної практики - сімейний лікар",H224/L224,0)))</f>
        <v>х</v>
      </c>
      <c r="I225" s="203">
        <f>IF($B$222="Лікар-педіатр","x",IF($B$222="Лікар-терапевт",I224/L224,IF($B$222="Лікар загальної практики - сімейний лікар",I224/L224,0)))</f>
        <v>0.35165723524656428</v>
      </c>
      <c r="J225" s="203">
        <f>IF($B$222="Лікар-педіатр","x",IF($B$222="Лікар-терапевт",J224/L224,IF($B$222="Лікар загальної практики - сімейний лікар",J224/L224,0)))</f>
        <v>0.47453516572352467</v>
      </c>
      <c r="K225" s="203">
        <f>IF($B$222="Лікар-педіатр","x",IF($B$222="Лікар-терапевт",K224/L224,IF($B$222="Лікар загальної практики - сімейний лікар",K224/L224,0)))</f>
        <v>0.17380759902991108</v>
      </c>
      <c r="L225" s="203">
        <f t="shared" si="29"/>
        <v>1</v>
      </c>
      <c r="M225" s="945"/>
      <c r="N225" s="203" t="str">
        <f>IF($B$222="Лікар-педіатр",N224/S224,IF($B$222="Лікар-терапевт","х",IF($B$222="Лікар загальної практики - сімейний лікар",N224/S224,0)))</f>
        <v>х</v>
      </c>
      <c r="O225" s="203" t="str">
        <f>IF($B$222="Лікар-педіатр",O224/S224,IF($B$222="Лікар-терапевт","х",IF($B$222="Лікар загальної практики - сімейний лікар",O224/S224,0)))</f>
        <v>х</v>
      </c>
      <c r="P225" s="203">
        <f>IF($B$222="Лікар-педіатр","x",IF($B$222="Лікар-терапевт",P224/S224,IF($B$222="Лікар загальної практики - сімейний лікар",P224/S224,0)))</f>
        <v>0.35165723524656428</v>
      </c>
      <c r="Q225" s="203">
        <f>IF($B$222="Лікар-педіатр","x",IF($B$222="Лікар-терапевт",Q224/S224,IF($B$222="Лікар загальної практики - сімейний лікар",Q224/S224,0)))</f>
        <v>0.47453516572352467</v>
      </c>
      <c r="R225" s="203">
        <f>IF($B$222="Лікар-педіатр","x",IF($B$222="Лікар-терапевт",R224/S224,IF($B$222="Лікар загальної практики - сімейний лікар",R224/S224,0)))</f>
        <v>0.17380759902991108</v>
      </c>
      <c r="S225" s="203">
        <f t="shared" si="30"/>
        <v>1</v>
      </c>
      <c r="T225" s="945"/>
      <c r="U225" s="203" t="str">
        <f>IF($B$222="Лікар-педіатр",U224/Z224,IF($B$222="Лікар-терапевт","х",IF($B$222="Лікар загальної практики - сімейний лікар",U224/Z224,0)))</f>
        <v>х</v>
      </c>
      <c r="V225" s="203" t="str">
        <f>IF($B$222="Лікар-педіатр",V224/Z224,IF($B$222="Лікар-терапевт","х",IF($B$222="Лікар загальної практики - сімейний лікар",V224/Z224,0)))</f>
        <v>х</v>
      </c>
      <c r="W225" s="203">
        <f>IF($B$222="Лікар-педіатр","x",IF($B$222="Лікар-терапевт",W224/Z224,IF($B$222="Лікар загальної практики - сімейний лікар",W224/Z224,0)))</f>
        <v>0.35165723524656428</v>
      </c>
      <c r="X225" s="203">
        <f>IF($B$222="Лікар-педіатр","x",IF($B$222="Лікар-терапевт",X224/Z224,IF($B$222="Лікар загальної практики - сімейний лікар",X224/Z224,0)))</f>
        <v>0.47453516572352467</v>
      </c>
      <c r="Y225" s="203">
        <f>IF($B$222="Лікар-педіатр","x",IF($B$222="Лікар-терапевт",Y224/Z224,IF($B$222="Лікар загальної практики - сімейний лікар",Y224/Z224,0)))</f>
        <v>0.17380759902991108</v>
      </c>
      <c r="Z225" s="203">
        <f t="shared" si="31"/>
        <v>1</v>
      </c>
      <c r="AA225" s="945"/>
      <c r="AB225" s="203" t="str">
        <f>IF($B$222="Лікар-педіатр",AB224/AG224,IF($B$222="Лікар-терапевт","х",IF($B$222="Лікар загальної практики - сімейний лікар",AB224/AG224,0)))</f>
        <v>х</v>
      </c>
      <c r="AC225" s="203" t="str">
        <f>IF($B$222="Лікар-педіатр",AC224/AG224,IF($B$222="Лікар-терапевт","х",IF($B$222="Лікар загальної практики - сімейний лікар",AC224/AG224,0)))</f>
        <v>х</v>
      </c>
      <c r="AD225" s="203">
        <f>IF($B$222="Лікар-педіатр","x",IF($B$222="Лікар-терапевт",AD224/AG224,IF($B$222="Лікар загальної практики - сімейний лікар",AD224/AG224,0)))</f>
        <v>0.35165723524656428</v>
      </c>
      <c r="AE225" s="203">
        <f>IF($B$222="Лікар-педіатр","x",IF($B$222="Лікар-терапевт",AE224/AG224,IF($B$222="Лікар загальної практики - сімейний лікар",AE224/AG224,0)))</f>
        <v>0.47453516572352467</v>
      </c>
      <c r="AF225" s="203">
        <f>IF($B$222="Лікар-педіатр","x",IF($B$222="Лікар-терапевт",AF224/AG224,IF($B$222="Лікар загальної практики - сімейний лікар",AF224/AG224,0)))</f>
        <v>0.17380759902991108</v>
      </c>
      <c r="AG225" s="203">
        <f>SUM(AB225:AF225)</f>
        <v>1</v>
      </c>
      <c r="AH225" s="945"/>
      <c r="AI225" s="201"/>
      <c r="AJ225" s="933"/>
      <c r="AK225" s="927"/>
      <c r="AL225" s="927"/>
      <c r="AM225" s="902"/>
      <c r="AN225" s="924"/>
      <c r="AO225" s="924"/>
      <c r="AP225" s="924"/>
      <c r="AQ225" s="924"/>
      <c r="AR225" s="915"/>
    </row>
    <row r="226" spans="1:44" s="50" customFormat="1" ht="45" customHeight="1" thickBot="1">
      <c r="A226" s="197"/>
      <c r="B226" s="941"/>
      <c r="C226" s="942"/>
      <c r="D226" s="943"/>
      <c r="E226" s="944"/>
      <c r="F226" s="204" t="s">
        <v>585</v>
      </c>
      <c r="G226" s="205" t="str">
        <f>IF($B$222="Лікар загальної практики - сімейний лікар",AVERAGE(G222:G224),IF($B$222="Лікар-педіатр",AVERAGE(G222:G224),IF($B$222="Лікар-терапевт","х",0)))</f>
        <v>х</v>
      </c>
      <c r="H226" s="205" t="str">
        <f>IF($B$222="Лікар загальної практики - сімейний лікар",AVERAGE(H222:H224),IF($B$222="Лікар-педіатр",AVERAGE(H222:H224),IF($B$222="Лікар-терапевт","х",0)))</f>
        <v>х</v>
      </c>
      <c r="I226" s="205">
        <f>IF($B$222="Лікар загальної практики - сімейний лікар",AVERAGE(I222:I224),IF($B$222="Лікар-педіатр","x",IF($B$222="Лікар-терапевт",AVERAGE(I222:I224),0)))</f>
        <v>435</v>
      </c>
      <c r="J226" s="205">
        <f>IF($B$222="Лікар загальної практики - сімейний лікар",AVERAGE(J222:J224),IF($B$222="Лікар-педіатр","x",IF($B$222="Лікар-терапевт",AVERAGE(J222:J224),0)))</f>
        <v>587</v>
      </c>
      <c r="K226" s="205">
        <f>IF($B$222="Лікар загальної практики - сімейний лікар",AVERAGE(K222:K224),IF($B$222="Лікар-педіатр","x",IF($B$222="Лікар-терапевт",AVERAGE(K222:K224),0)))</f>
        <v>215</v>
      </c>
      <c r="L226" s="206">
        <f t="shared" si="29"/>
        <v>1237</v>
      </c>
      <c r="M226" s="946"/>
      <c r="N226" s="205" t="str">
        <f>IF($B$222="Лікар загальної практики - сімейний лікар",AVERAGE(N222:N224),IF($B$222="Лікар-педіатр",AVERAGE(N222:N224),IF($B$222="Лікар-терапевт","х",0)))</f>
        <v>х</v>
      </c>
      <c r="O226" s="205" t="str">
        <f>IF($B$222="Лікар загальної практики - сімейний лікар",AVERAGE(O222:O224),IF($B$222="Лікар-педіатр",AVERAGE(O222:O224),IF($B$222="Лікар-терапевт","х",0)))</f>
        <v>х</v>
      </c>
      <c r="P226" s="205">
        <f>IF($B$222="Лікар загальної практики - сімейний лікар",AVERAGE(P222:P224),IF($B$222="Лікар-педіатр","x",IF($B$222="Лікар-терапевт",AVERAGE(P222:P224),0)))</f>
        <v>435</v>
      </c>
      <c r="Q226" s="205">
        <f>IF($B$222="Лікар загальної практики - сімейний лікар",AVERAGE(Q222:Q224),IF($B$222="Лікар-педіатр","x",IF($B$222="Лікар-терапевт",AVERAGE(Q222:Q224),0)))</f>
        <v>587</v>
      </c>
      <c r="R226" s="205">
        <f>IF($B$222="Лікар загальної практики - сімейний лікар",AVERAGE(R222:R224),IF($B$222="Лікар-педіатр","x",IF($B$222="Лікар-терапевт",AVERAGE(R222:R224),0)))</f>
        <v>215</v>
      </c>
      <c r="S226" s="206">
        <f t="shared" si="30"/>
        <v>1237</v>
      </c>
      <c r="T226" s="946"/>
      <c r="U226" s="205" t="str">
        <f>IF($B$222="Лікар загальної практики - сімейний лікар",AVERAGE(U222:U224),IF($B$222="Лікар-педіатр",AVERAGE(U222:U224),IF($B$222="Лікар-терапевт","х",0)))</f>
        <v>х</v>
      </c>
      <c r="V226" s="205" t="str">
        <f>IF($B$222="Лікар загальної практики - сімейний лікар",AVERAGE(V222:V224),IF($B$222="Лікар-педіатр",AVERAGE(V222:V224),IF($B$222="Лікар-терапевт","х",0)))</f>
        <v>х</v>
      </c>
      <c r="W226" s="205">
        <f>IF($B$222="Лікар загальної практики - сімейний лікар",AVERAGE(W222:W224),IF($B$222="Лікар-педіатр","x",IF($B$222="Лікар-терапевт",AVERAGE(W222:W224),0)))</f>
        <v>435</v>
      </c>
      <c r="X226" s="205">
        <f>IF($B$222="Лікар загальної практики - сімейний лікар",AVERAGE(X222:X224),IF($B$222="Лікар-педіатр","x",IF($B$222="Лікар-терапевт",AVERAGE(X222:X224),0)))</f>
        <v>587</v>
      </c>
      <c r="Y226" s="205">
        <f>IF($B$222="Лікар загальної практики - сімейний лікар",AVERAGE(Y222:Y224),IF($B$222="Лікар-педіатр","x",IF($B$222="Лікар-терапевт",AVERAGE(Y222:Y224),0)))</f>
        <v>215</v>
      </c>
      <c r="Z226" s="206">
        <f t="shared" si="31"/>
        <v>1237</v>
      </c>
      <c r="AA226" s="946"/>
      <c r="AB226" s="205" t="str">
        <f>IF($B$222="Лікар загальної практики - сімейний лікар",AVERAGE(AB222:AB224),IF($B$222="Лікар-педіатр",AVERAGE(AB222:AB224),IF($B$222="Лікар-терапевт","х",0)))</f>
        <v>х</v>
      </c>
      <c r="AC226" s="205" t="str">
        <f>IF($B$222="Лікар загальної практики - сімейний лікар",AVERAGE(AC222:AC224),IF($B$222="Лікар-педіатр",AVERAGE(AC222:AC224),IF($B$222="Лікар-терапевт","х",0)))</f>
        <v>х</v>
      </c>
      <c r="AD226" s="205">
        <f>IF($B$222="Лікар загальної практики - сімейний лікар",AVERAGE(AD222:AD224),IF($B$222="Лікар-педіатр","x",IF($B$222="Лікар-терапевт",AVERAGE(AD222:AD224),0)))</f>
        <v>435</v>
      </c>
      <c r="AE226" s="205">
        <f>IF($B$222="Лікар загальної практики - сімейний лікар",AVERAGE(AE222:AE224),IF($B$222="Лікар-педіатр","x",IF($B$222="Лікар-терапевт",AVERAGE(AE222:AE224),0)))</f>
        <v>587</v>
      </c>
      <c r="AF226" s="205">
        <f>IF($B$222="Лікар загальної практики - сімейний лікар",AVERAGE(AF222:AF224),IF($B$222="Лікар-педіатр","x",IF($B$222="Лікар-терапевт",AVERAGE(AF222:AF224),0)))</f>
        <v>215</v>
      </c>
      <c r="AG226" s="206">
        <f>SUM(AB226:AF226)</f>
        <v>1237</v>
      </c>
      <c r="AH226" s="947"/>
      <c r="AI226" s="201"/>
      <c r="AJ226" s="933"/>
      <c r="AK226" s="927"/>
      <c r="AL226" s="927"/>
      <c r="AM226" s="903"/>
      <c r="AN226" s="925"/>
      <c r="AO226" s="925"/>
      <c r="AP226" s="925"/>
      <c r="AQ226" s="925"/>
      <c r="AR226" s="916"/>
    </row>
    <row r="227" spans="1:44" s="50" customFormat="1" ht="40.5">
      <c r="A227" s="197"/>
      <c r="B227" s="941"/>
      <c r="C227" s="942"/>
      <c r="D227" s="943"/>
      <c r="E227" s="943"/>
      <c r="F227" s="237" t="str">
        <f ca="1">IF(B222="Лікар-педіатр",Законод!$C$17,IF(B222="Лікар загальної практики - сімейний лікар",Законод!$C$21,IF(B222="Лікар-терапевт",Законод!$C$25,"х")))</f>
        <v>ліміт (до 2000)</v>
      </c>
      <c r="G227" s="208" t="str">
        <f ca="1">IF($B$222="Лікар загальної практики - сімейний лікар",IF(L226&lt;=Законод!$C$22,G226,Законод!$C$22*'01_Доходи'!G225),IF($B$222="Лікар-педіатр",IF(L226&lt;=Законод!$C$18,G226,Законод!$C$18*'01_Доходи'!G225),IF($B$222="Лікар-терапевт","x",0)))</f>
        <v>x</v>
      </c>
      <c r="H227" s="208" t="str">
        <f ca="1">IF($B$222="Лікар загальної практики - сімейний лікар",IF(L226&lt;=Законод!$C$22,H226,Законод!$C$22*'01_Доходи'!H225),IF($B$222="Лікар-педіатр",IF(L226&lt;=Законод!$C$18,H226,Законод!$C$18*'01_Доходи'!H225),IF($B$222="Лікар-терапевт","x",0)))</f>
        <v>x</v>
      </c>
      <c r="I227" s="208">
        <f ca="1">IF($B$222="Лікар загальної практики - сімейний лікар",IF(L226&lt;=Законод!$C$22,I226,Законод!$C$22*'01_Доходи'!I225),IF($B$222="Лікар-педіатр","x",IF($B$222="Лікар-терапевт",IF(L226&lt;=Законод!$C$26,I226,Законод!$C$26*'01_Доходи'!I225),0)))</f>
        <v>435</v>
      </c>
      <c r="J227" s="208">
        <f ca="1">IF($B$222="Лікар загальної практики - сімейний лікар",IF(L226&lt;=Законод!$C$22,J226,Законод!$C$22*'01_Доходи'!J225),IF($B$222="Лікар-педіатр","x",IF($B$222="Лікар-терапевт",IF(L226&lt;=Законод!$C$26,J226,Законод!$C$26*'01_Доходи'!J225),0)))</f>
        <v>587</v>
      </c>
      <c r="K227" s="208">
        <f ca="1">IF($B$222="Лікар загальної практики - сімейний лікар",IF(L226&lt;=Законод!$C$22,K226,Законод!$C$22*'01_Доходи'!K225),IF($B$222="Лікар-педіатр","x",IF($B$222="Лікар-терапевт",IF(L226&lt;=Законод!$C$26,K226,Законод!$C$26*'01_Доходи'!K225),0)))</f>
        <v>215</v>
      </c>
      <c r="L227" s="209">
        <f t="shared" si="29"/>
        <v>1237</v>
      </c>
      <c r="M227" s="945"/>
      <c r="N227" s="208" t="str">
        <f ca="1">IF($B$222="Лікар загальної практики - сімейний лікар",IF(S226&lt;=Законод!$C$22,N226,Законод!$C$22*'01_Доходи'!N225),IF($B$222="Лікар-педіатр",IF(S226&lt;=Законод!$C$18,N226,Законод!$C$18*'01_Доходи'!N225),IF($B$222="Лікар-терапевт","x",0)))</f>
        <v>x</v>
      </c>
      <c r="O227" s="208" t="str">
        <f ca="1">IF($B$222="Лікар загальної практики - сімейний лікар",IF(S226&lt;=Законод!$C$22,O226,Законод!$C$22*'01_Доходи'!O225),IF($B$222="Лікар-педіатр",IF(S226&lt;=Законод!$C$18,O226,Законод!$C$18*'01_Доходи'!O225),IF($B$222="Лікар-терапевт","x",0)))</f>
        <v>x</v>
      </c>
      <c r="P227" s="208">
        <f ca="1">IF($B$222="Лікар загальної практики - сімейний лікар",IF(S226&lt;=Законод!$C$22,P226,Законод!$C$22*'01_Доходи'!P225),IF($B$222="Лікар-педіатр","x",IF($B$222="Лікар-терапевт",IF(S226&lt;=Законод!$C$26,P226,Законод!$C$26*'01_Доходи'!P225),0)))</f>
        <v>435</v>
      </c>
      <c r="Q227" s="208">
        <f ca="1">IF($B$222="Лікар загальної практики - сімейний лікар",IF(S226&lt;=Законод!$C$22,Q226,Законод!$C$22*'01_Доходи'!Q225),IF($B$222="Лікар-педіатр","x",IF($B$222="Лікар-терапевт",IF(S226&lt;=Законод!$C$26,Q226,Законод!$C$26*'01_Доходи'!Q225),0)))</f>
        <v>587</v>
      </c>
      <c r="R227" s="208">
        <f ca="1">IF($B$222="Лікар загальної практики - сімейний лікар",IF(S226&lt;=Законод!$C$22,R226,Законод!$C$22*'01_Доходи'!R225),IF($B$222="Лікар-педіатр","x",IF($B$222="Лікар-терапевт",IF(S226&lt;=Законод!$C$26,R226,Законод!$C$26*'01_Доходи'!R225),0)))</f>
        <v>215</v>
      </c>
      <c r="S227" s="209">
        <f t="shared" si="30"/>
        <v>1237</v>
      </c>
      <c r="T227" s="945"/>
      <c r="U227" s="208" t="str">
        <f ca="1">IF($B$222="Лікар загальної практики - сімейний лікар",IF(Z226&lt;=Законод!$C$22,U226,Законод!$C$22*'01_Доходи'!U225),IF($B$222="Лікар-педіатр",IF(Z226&lt;=Законод!$C$18,U226,Законод!$C$18*'01_Доходи'!U225),IF($B$222="Лікар-терапевт","x",0)))</f>
        <v>x</v>
      </c>
      <c r="V227" s="208" t="str">
        <f ca="1">IF($B$222="Лікар загальної практики - сімейний лікар",IF(Z226&lt;=Законод!$C$22,V226,Законод!$C$22*'01_Доходи'!V225),IF($B$222="Лікар-педіатр",IF(Z226&lt;=Законод!$C$18,V226,Законод!$C$18*'01_Доходи'!V225),IF($B$222="Лікар-терапевт","x",0)))</f>
        <v>x</v>
      </c>
      <c r="W227" s="208">
        <f ca="1">IF($B$222="Лікар загальної практики - сімейний лікар",IF(Z226&lt;=Законод!$C$22,W226,Законод!$C$22*'01_Доходи'!W225),IF($B$222="Лікар-педіатр","x",IF($B$222="Лікар-терапевт",IF(Z226&lt;=Законод!$C$26,W226,Законод!$C$26*'01_Доходи'!W225),0)))</f>
        <v>435</v>
      </c>
      <c r="X227" s="208">
        <f ca="1">IF($B$222="Лікар загальної практики - сімейний лікар",IF(Z226&lt;=Законод!$C$22,X226,Законод!$C$22*'01_Доходи'!X225),IF($B$222="Лікар-педіатр","x",IF($B$222="Лікар-терапевт",IF(Z226&lt;=Законод!$C$26,X226,Законод!$C$26*'01_Доходи'!X225),0)))</f>
        <v>587</v>
      </c>
      <c r="Y227" s="208">
        <f ca="1">IF($B$222="Лікар загальної практики - сімейний лікар",IF(Z226&lt;=Законод!$C$22,Y226,Законод!$C$22*'01_Доходи'!Y225),IF($B$222="Лікар-педіатр","x",IF($B$222="Лікар-терапевт",IF(Z226&lt;=Законод!$C$26,Y226,Законод!$C$26*'01_Доходи'!Y225),0)))</f>
        <v>215</v>
      </c>
      <c r="Z227" s="209">
        <f t="shared" si="31"/>
        <v>1237</v>
      </c>
      <c r="AA227" s="945"/>
      <c r="AB227" s="208" t="str">
        <f ca="1">IF($B$222="Лікар загальної практики - сімейний лікар",IF(AG226&lt;=Законод!$C$22,AB226,Законод!$C$22*'01_Доходи'!AB225),IF($B$222="Лікар-педіатр",IF(AG226&lt;=Законод!$C$18,AB226,Законод!$C$18*'01_Доходи'!AB225),IF($B$222="Лікар-терапевт","x",0)))</f>
        <v>x</v>
      </c>
      <c r="AC227" s="208" t="str">
        <f ca="1">IF($B$222="Лікар загальної практики - сімейний лікар",IF(AG226&lt;=Законод!$C$22,AC226,Законод!$C$22*'01_Доходи'!AC225),IF($B$222="Лікар-педіатр",IF(AG226&lt;=Законод!$C$18,AC226,Законод!$C$18*'01_Доходи'!AC225),IF($B$222="Лікар-терапевт","x",0)))</f>
        <v>x</v>
      </c>
      <c r="AD227" s="208">
        <f ca="1">IF($B$222="Лікар загальної практики - сімейний лікар",IF(AG226&lt;=Законод!$C$22,AD226,Законод!$C$22*'01_Доходи'!AD225),IF($B$222="Лікар-педіатр","x",IF($B$222="Лікар-терапевт",IF(AG226&lt;=Законод!$C$26,AD226,Законод!$C$26*'01_Доходи'!AD225),0)))</f>
        <v>435</v>
      </c>
      <c r="AE227" s="208">
        <f ca="1">IF($B$222="Лікар загальної практики - сімейний лікар",IF(AG226&lt;=Законод!$C$22,AE226,Законод!$C$22*'01_Доходи'!AE225),IF($B$222="Лікар-педіатр","x",IF($B$222="Лікар-терапевт",IF(AG226&lt;=Законод!$C$26,AE226,Законод!$C$26*'01_Доходи'!AE225),0)))</f>
        <v>587</v>
      </c>
      <c r="AF227" s="208">
        <f ca="1">IF($B$222="Лікар загальної практики - сімейний лікар",IF(AG226&lt;=Законод!$C$22,AF226,Законод!$C$22*'01_Доходи'!AF225),IF($B$222="Лікар-педіатр","x",IF($B$222="Лікар-терапевт",IF(AG226&lt;=Законод!$C$26,AF226,Законод!$C$26*'01_Доходи'!AF225),0)))</f>
        <v>215</v>
      </c>
      <c r="AG227" s="209">
        <f ca="1">SUM(AB227:AF227)</f>
        <v>1237</v>
      </c>
      <c r="AH227" s="945"/>
      <c r="AI227" s="201"/>
      <c r="AJ227" s="933"/>
      <c r="AK227" s="927"/>
      <c r="AL227" s="927"/>
      <c r="AM227" s="348" t="s">
        <v>374</v>
      </c>
      <c r="AN227" s="210">
        <f ca="1">IF(B222="Лікар загальної практики - сімейний лікар",G227*Законод!$C$11+'01_Доходи'!H227*Законод!$D$11+'01_Доходи'!I227*Законод!$E$11+'01_Доходи'!J227*Законод!$F$11+'01_Доходи'!K227*Законод!$G$11,IF(B222="Лікар-педіатр",G227*Законод!$C$11+'01_Доходи'!H227*Законод!$D$11,IF(B222="Лікар-терапевт",'01_Доходи'!I227*Законод!$E$11+'01_Доходи'!J227*Законод!$F$11+'01_Доходи'!K227*Законод!$G$11,0)))</f>
        <v>190100.46236249997</v>
      </c>
      <c r="AO227" s="210">
        <f ca="1">IF(B222="Лікар загальної практики - сімейний лікар",N227*Законод!$C$11+'01_Доходи'!O227*Законод!$D$11+'01_Доходи'!P227*Законод!$E$11+'01_Доходи'!Q227*Законод!$F$11+'01_Доходи'!R227*Законод!$G$11,IF(B222="Лікар-педіатр",N227*Законод!$C$11+'01_Доходи'!O227*Законод!$D$11,IF(B222="Лікар-терапевт",'01_Доходи'!P227*Законод!$E$11+'01_Доходи'!Q227*Законод!$F$11+'01_Доходи'!R227*Законод!$G$11,0)))</f>
        <v>190100.46236249997</v>
      </c>
      <c r="AP227" s="210">
        <f ca="1">IF(B222="Лікар загальної практики - сімейний лікар",U227*Законод!$C$11+'01_Доходи'!V227*Законод!$D$11+'01_Доходи'!W227*Законод!$E$11+'01_Доходи'!X227*Законод!$F$11+'01_Доходи'!Y227*Законод!$G$11,IF(B222="Лікар-педіатр",U227*Законод!$C$11+'01_Доходи'!V227*Законод!$D$11,IF(B222="Лікар-терапевт",'01_Доходи'!W227*Законод!$E$11+'01_Доходи'!X227*Законод!$F$11+'01_Доходи'!Y227*Законод!$G$11,0)))</f>
        <v>190100.46236249997</v>
      </c>
      <c r="AQ227" s="210">
        <f ca="1">IF(B222="Лікар загальної практики - сімейний лікар",AB227*Законод!$C$11+'01_Доходи'!AC227*Законод!$D$11+'01_Доходи'!AD227*Законод!$E$11+'01_Доходи'!AE227*Законод!$F$11+'01_Доходи'!AF227*Законод!$G$11,IF(B222="Лікар-педіатр",AB227*Законод!$C$11+'01_Доходи'!AC227*Законод!$D$11,IF(B222="Лікар-терапевт",'01_Доходи'!AD227*Законод!$E$11+'01_Доходи'!AE227*Законод!$F$11+'01_Доходи'!AF227*Законод!$G$11,0)))</f>
        <v>190100.46236249997</v>
      </c>
      <c r="AR227" s="211">
        <f t="shared" ref="AR227:AR233" si="32">SUM(AN227:AQ227)</f>
        <v>760401.84944999986</v>
      </c>
    </row>
    <row r="228" spans="1:44" s="50" customFormat="1" ht="31.9" customHeight="1">
      <c r="A228" s="197"/>
      <c r="B228" s="941"/>
      <c r="C228" s="942"/>
      <c r="D228" s="943"/>
      <c r="E228" s="943"/>
      <c r="F228" s="238" t="str">
        <f ca="1">IF(B222="Лікар-педіатр",Законод!$E$17,IF(B222="Лікар загальної практики - сімейний лікар",Законод!$E$21,IF(B222="Лікар-терапевт",Законод!$E$25,"х")))</f>
        <v>понад ліміт (2001-2200)</v>
      </c>
      <c r="G228" s="940" t="s">
        <v>346</v>
      </c>
      <c r="H228" s="940"/>
      <c r="I228" s="940"/>
      <c r="J228" s="940"/>
      <c r="K228" s="940"/>
      <c r="L228" s="196">
        <f ca="1">IF($B$222="Лікар загальної практики - сімейний лікар",IF(L226&lt;Законод!$C$22,0,(IF(AND(L226&gt;=Законод!$E$22,L226&lt;=Законод!$E$23),L226-Законод!$C$22,IF('01_Доходи'!L226&gt;=Законод!$F$22,Законод!$E$24,0)))),IF($B$222="Лікар-педіатр",IF(L226&lt;Законод!$C$18,0,(IF(AND(L226&gt;=Законод!$E$18,L226&lt;=Законод!$E$19),L226-Законод!$C$18,IF('01_Доходи'!L226&gt;=Законод!$F$18,Законод!$E$20,0)))),IF($B$222="Лікар-терапевт",IF(L226&lt;Законод!$C$26,0,(IF(AND(L226&gt;=Законод!$E$26,L226&lt;=Законод!$E$27),L226-Законод!$C$26,IF('01_Доходи'!L226&gt;=Законод!$F$26,Законод!$E$28,0)))),0)))</f>
        <v>0</v>
      </c>
      <c r="M228" s="945"/>
      <c r="N228" s="940" t="s">
        <v>346</v>
      </c>
      <c r="O228" s="940"/>
      <c r="P228" s="940"/>
      <c r="Q228" s="940"/>
      <c r="R228" s="940"/>
      <c r="S228" s="196">
        <f ca="1">IF($B$222="Лікар загальної практики - сімейний лікар",IF(S226&lt;Законод!$C$22,0,(IF(AND(S226&gt;=Законод!$E$22,S226&lt;=Законод!$E$23),S226-Законод!$C$22,IF('01_Доходи'!S226&gt;=Законод!$F$22,Законод!$E$24,0)))),IF($B$222="Лікар-педіатр",IF(S226&lt;Законод!$C$18,0,(IF(AND(S226&gt;=Законод!$E$18,S226&lt;=Законод!$E$19),S226-Законод!$C$18,IF('01_Доходи'!S226&gt;=Законод!$F$18,Законод!$E$20,0)))),IF($B$222="Лікар-терапевт",IF(S226&lt;Законод!$C$26,0,(IF(AND(S226&gt;=Законод!$E$26,S226&lt;=Законод!$E$27),S226-Законод!$C$26,IF('01_Доходи'!S226&gt;=Законод!$F$26,Законод!$E$28,0)))),0)))</f>
        <v>0</v>
      </c>
      <c r="T228" s="945"/>
      <c r="U228" s="940" t="s">
        <v>346</v>
      </c>
      <c r="V228" s="940"/>
      <c r="W228" s="940"/>
      <c r="X228" s="940"/>
      <c r="Y228" s="940"/>
      <c r="Z228" s="196">
        <f ca="1">IF($B$222="Лікар загальної практики - сімейний лікар",IF(Z226&lt;Законод!$C$22,0,(IF(AND(Z226&gt;=Законод!$E$22,Z226&lt;=Законод!$E$23),Z226-Законод!$C$22,IF('01_Доходи'!Z226&gt;=Законод!$F$22,Законод!$E$24,0)))),IF($B$222="Лікар-педіатр",IF(Z226&lt;Законод!$C$18,0,(IF(AND(Z226&gt;=Законод!$E$18,Z226&lt;=Законод!$E$19),Z226-Законод!$C$18,IF('01_Доходи'!Z226&gt;=Законод!$F$18,Законод!$E$20,0)))),IF($B$222="Лікар-терапевт",IF(Z226&lt;Законод!$C$26,0,(IF(AND(Z226&gt;=Законод!$E$26,Z226&lt;=Законод!$E$27),Z226-Законод!$C$26,IF('01_Доходи'!Z226&gt;=Законод!$F$26,Законод!$E$28,0)))),0)))</f>
        <v>0</v>
      </c>
      <c r="AA228" s="945"/>
      <c r="AB228" s="940" t="s">
        <v>346</v>
      </c>
      <c r="AC228" s="940"/>
      <c r="AD228" s="940"/>
      <c r="AE228" s="940"/>
      <c r="AF228" s="940"/>
      <c r="AG228" s="196">
        <f ca="1">IF($B$222="Лікар загальної практики - сімейний лікар",IF(AG226&lt;Законод!$C$22,0,(IF(AND(AG226&gt;=Законод!$E$22,AG226&lt;=Законод!$E$23),AG226-Законод!$C$22,IF('01_Доходи'!AG226&gt;=Законод!$F$22,Законод!$E$24,0)))),IF($B$222="Лікар-педіатр",IF(AG226&lt;Законод!$C$18,0,(IF(AND(AG226&gt;=Законод!$E$18,AG226&lt;=Законод!$E$19),AG226-Законод!$C$18,IF('01_Доходи'!AG226&gt;=Законод!$F$18,Законод!$E$20,0)))),IF($B$222="Лікар-терапевт",IF(AG226&lt;Законод!$C$26,0,(IF(AND(AG226&gt;=Законод!$E$26,AG226&lt;=Законод!$E$27),AG226-Законод!$C$26,IF('01_Доходи'!AG226&gt;=Законод!$F$26,Законод!$E$28,0)))),0)))</f>
        <v>0</v>
      </c>
      <c r="AH228" s="945"/>
      <c r="AI228" s="201"/>
      <c r="AJ228" s="933"/>
      <c r="AK228" s="927"/>
      <c r="AL228" s="927"/>
      <c r="AM228" s="898" t="s">
        <v>375</v>
      </c>
      <c r="AN228" s="210">
        <f ca="1">IF(B222="Лікар загальної практики - сімейний лікар",L228*Законод!$C$9/4*Законод!$E$16,IF(B222="Лікар-педіатр",L228*Законод!$C$9/4*Законод!$E$16,IF(B222="Лікар-терапевт",L228*Законод!$C$9/4*Законод!$E$16,0)))</f>
        <v>0</v>
      </c>
      <c r="AO228" s="210">
        <f ca="1">IF(B222="Лікар загальної практики - сімейний лікар",S228*Законод!$C$9/4*Законод!$E$16,IF(B222="Лікар-педіатр",S228*Законод!$C$9/4*Законод!$E$16,IF(B222="Лікар-терапевт",S228*Законод!$C$9/4*Законод!$E$16,0)))</f>
        <v>0</v>
      </c>
      <c r="AP228" s="210">
        <f ca="1">IF(B222="Лікар загальної практики - сімейний лікар",Z228*Законод!$C$9/4*Законод!$E$16,IF(B222="Лікар-педіатр",Z228*Законод!$C$9/4*Законод!$E$16,IF(B222="Лікар-терапевт",Z228*Законод!$C$9/4*Законод!$E$16,0)))</f>
        <v>0</v>
      </c>
      <c r="AQ228" s="210">
        <f ca="1">IF(B222="Лікар загальної практики - сімейний лікар",AG228*Законод!$C$9/4*Законод!$E$16,IF(B222="Лікар-педіатр",AG228*Законод!$C$9/4*Законод!$E$16,IF(B222="Лікар-терапевт",AG228*Законод!$C$9/4*Законод!$E$16,0)))</f>
        <v>0</v>
      </c>
      <c r="AR228" s="211">
        <f t="shared" si="32"/>
        <v>0</v>
      </c>
    </row>
    <row r="229" spans="1:44" s="50" customFormat="1" ht="31.9" customHeight="1">
      <c r="A229" s="197"/>
      <c r="B229" s="941"/>
      <c r="C229" s="942"/>
      <c r="D229" s="943"/>
      <c r="E229" s="943"/>
      <c r="F229" s="238" t="str">
        <f ca="1">IF(B222="Лікар-педіатр",Законод!$F$17,IF(B222="Лікар загальної практики - сімейний лікар",Законод!$F$21,IF(B222="Лікар-терапевт",Законод!$F$25,"х")))</f>
        <v>понад ліміт (2201-2400)</v>
      </c>
      <c r="G229" s="940" t="s">
        <v>346</v>
      </c>
      <c r="H229" s="940"/>
      <c r="I229" s="940"/>
      <c r="J229" s="940"/>
      <c r="K229" s="940"/>
      <c r="L229" s="196">
        <f ca="1">IF($B$222="Лікар загальної практики - сімейний лікар",IF(L226&lt;Законод!$C$22,0,(IF(AND(L226&gt;=Законод!$F$22,L226&lt;=Законод!$F$23),L226-Законод!$E$23,IF('01_Доходи'!L226&gt;=Законод!$G$22,Законод!$F$24,0)))),IF($B$222="Лікар-педіатр",IF(L226&lt;Законод!$C$18,0,(IF(AND(L226&gt;=Законод!$F$18,L226&lt;=Законод!$F$19),L226-Законод!$E$19,IF('01_Доходи'!L226&gt;=Законод!$G$18,Законод!$F$20,0)))),IF($B$222="Лікар-терапевт",IF(L226&lt;Законод!$C$26,0,(IF(AND(L226&gt;=Законод!$F$26,L226&lt;=Законод!$F$27),L226-Законод!$E$27,IF('01_Доходи'!L226&gt;=Законод!$G$26,Законод!$F$28,0)))),0)))</f>
        <v>0</v>
      </c>
      <c r="M229" s="945"/>
      <c r="N229" s="940" t="s">
        <v>346</v>
      </c>
      <c r="O229" s="940"/>
      <c r="P229" s="940"/>
      <c r="Q229" s="940"/>
      <c r="R229" s="940"/>
      <c r="S229" s="196">
        <f ca="1">IF($B$222="Лікар загальної практики - сімейний лікар",IF(S226&lt;Законод!$C$22,0,(IF(AND(S226&gt;=Законод!$F$22,S226&lt;=Законод!$F$23),S226-Законод!$E$23,IF('01_Доходи'!S226&gt;=Законод!$G$22,Законод!$F$24,0)))),IF($B$222="Лікар-педіатр",IF(S226&lt;Законод!$C$18,0,(IF(AND(S226&gt;=Законод!$F$18,S226&lt;=Законод!$F$19),S226-Законод!$E$19,IF('01_Доходи'!S226&gt;=Законод!$G$18,Законод!$F$20,0)))),IF($B$222="Лікар-терапевт",IF(S226&lt;Законод!$C$26,0,(IF(AND(S226&gt;=Законод!$F$26,S226&lt;=Законод!$F$27),S226-Законод!$E$27,IF('01_Доходи'!S226&gt;=Законод!$G$26,Законод!$F$28,0)))),0)))</f>
        <v>0</v>
      </c>
      <c r="T229" s="945"/>
      <c r="U229" s="940" t="s">
        <v>346</v>
      </c>
      <c r="V229" s="940"/>
      <c r="W229" s="940"/>
      <c r="X229" s="940"/>
      <c r="Y229" s="940"/>
      <c r="Z229" s="196">
        <f ca="1">IF($B$222="Лікар загальної практики - сімейний лікар",IF(Z226&lt;Законод!$C$22,0,(IF(AND(Z226&gt;=Законод!$F$22,Z226&lt;=Законод!$F$23),Z226-Законод!$E$23,IF('01_Доходи'!Z226&gt;=Законод!$G$22,Законод!$F$24,0)))),IF($B$222="Лікар-педіатр",IF(Z226&lt;Законод!$C$18,0,(IF(AND(Z226&gt;=Законод!$F$18,Z226&lt;=Законод!$F$19),Z226-Законод!$E$19,IF('01_Доходи'!Z226&gt;=Законод!$G$18,Законод!$F$20,0)))),IF($B$222="Лікар-терапевт",IF(Z226&lt;Законод!$C$26,0,(IF(AND(Z226&gt;=Законод!$F$26,Z226&lt;=Законод!$F$27),Z226-Законод!$E$27,IF('01_Доходи'!Z226&gt;=Законод!$G$26,Законод!$F$28,0)))),0)))</f>
        <v>0</v>
      </c>
      <c r="AA229" s="945"/>
      <c r="AB229" s="940" t="s">
        <v>346</v>
      </c>
      <c r="AC229" s="940"/>
      <c r="AD229" s="940"/>
      <c r="AE229" s="940"/>
      <c r="AF229" s="940"/>
      <c r="AG229" s="196">
        <f ca="1">IF($B$222="Лікар загальної практики - сімейний лікар",IF(AG226&lt;Законод!$C$22,0,(IF(AND(AG226&gt;=Законод!$F$22,AG226&lt;=Законод!$F$23),AG226-Законод!$E$23,IF('01_Доходи'!AG226&gt;=Законод!$G$22,Законод!$F$24,0)))),IF($B$222="Лікар-педіатр",IF(AG226&lt;Законод!$C$18,0,(IF(AND(AG226&gt;=Законод!$F$18,AG226&lt;=Законод!$F$19),AG226-Законод!$E$19,IF('01_Доходи'!AG226&gt;=Законод!$G$18,Законод!$F$20,0)))),IF($B$222="Лікар-терапевт",IF(AG226&lt;Законод!$C$26,0,(IF(AND(AG226&gt;=Законод!$F$26,AG226&lt;=Законод!$F$27),AG226-Законод!$E$27,IF('01_Доходи'!AG226&gt;=Законод!$G$26,Законод!$F$28,0)))),0)))</f>
        <v>0</v>
      </c>
      <c r="AH229" s="945"/>
      <c r="AI229" s="201"/>
      <c r="AJ229" s="933"/>
      <c r="AK229" s="927"/>
      <c r="AL229" s="927"/>
      <c r="AM229" s="899"/>
      <c r="AN229" s="210">
        <f ca="1">IF(B222="Лікар загальної практики - сімейний лікар",L229*Законод!$C$9/4*Законод!$F$16,IF(B222="Лікар-педіатр",L229*Законод!$C$9/4*Законод!$F$16,IF(B222="Лікар-терапевт",L229*Законод!$C$9/4*Законод!$F$16,0)))</f>
        <v>0</v>
      </c>
      <c r="AO229" s="210">
        <f ca="1">IF(B222="Лікар загальної практики - сімейний лікар",S229*Законод!$C$9/4*Законод!$F$16,IF(B222="Лікар-педіатр",S229*Законод!$C$9/4*Законод!$F$16,IF(B222="Лікар-терапевт",S229*Законод!$C$9/4*Законод!$F$16,0)))</f>
        <v>0</v>
      </c>
      <c r="AP229" s="210">
        <f ca="1">IF(B222="Лікар загальної практики - сімейний лікар",Z229*Законод!$C$9/4*Законод!$F$16,IF(B222="Лікар-педіатр",Z229*Законод!$C$9/4*Законод!$F$16,IF(B222="Лікар-терапевт",Z229*Законод!$C$9/4*Законод!$F$16,0)))</f>
        <v>0</v>
      </c>
      <c r="AQ229" s="210">
        <f ca="1">IF(B222="Лікар загальної практики - сімейний лікар",AG229*Законод!$C$9/4*Законод!$F$16,IF(B222="Лікар-педіатр",AG229*Законод!$C$9/4*Законод!$F$16,IF(B222="Лікар-терапевт",AG229*Законод!$C$9/4*Законод!$F$16,0)))</f>
        <v>0</v>
      </c>
      <c r="AR229" s="211">
        <f t="shared" si="32"/>
        <v>0</v>
      </c>
    </row>
    <row r="230" spans="1:44" s="50" customFormat="1" ht="31.9" customHeight="1">
      <c r="A230" s="197"/>
      <c r="B230" s="941"/>
      <c r="C230" s="942"/>
      <c r="D230" s="943"/>
      <c r="E230" s="943"/>
      <c r="F230" s="238" t="str">
        <f ca="1">IF(B222="Лікар-педіатр",Законод!$G$17,IF(B222="Лікар загальної практики - сімейний лікар",Законод!$G$21,IF(B222="Лікар-терапевт",Законод!$G$25,"х")))</f>
        <v>понад ліміт (2401-2600)</v>
      </c>
      <c r="G230" s="940" t="s">
        <v>346</v>
      </c>
      <c r="H230" s="940"/>
      <c r="I230" s="940"/>
      <c r="J230" s="940"/>
      <c r="K230" s="940"/>
      <c r="L230" s="196">
        <f ca="1">IF($B$222="Лікар загальної практики - сімейний лікар",IF(L226&lt;Законод!$C$22,0,(IF(AND(L226&gt;=Законод!$G$22,L226&lt;=Законод!$G$23),L226-Законод!$F$23,IF('01_Доходи'!L226&gt;=Законод!$H$22,Законод!$G$24,0)))),IF($B$222="Лікар-педіатр",IF(L226&lt;Законод!$C$18,0,(IF(AND(L226&gt;=Законод!$G$18,L226&lt;=Законод!$G$19),L226-Законод!$F$19,IF('01_Доходи'!L226&gt;=Законод!$H$18,Законод!$G$20,0)))),IF($B$222="Лікар-терапевт",IF(L226&lt;Законод!$C$26,0,(IF(AND(L226&gt;=Законод!$G$26,L226&lt;=Законод!$G$27),L226-Законод!$F$27,IF('01_Доходи'!L226&gt;=Законод!$H$26,Законод!$G$28,0)))),0)))</f>
        <v>0</v>
      </c>
      <c r="M230" s="945"/>
      <c r="N230" s="940" t="s">
        <v>346</v>
      </c>
      <c r="O230" s="940"/>
      <c r="P230" s="940"/>
      <c r="Q230" s="940"/>
      <c r="R230" s="940"/>
      <c r="S230" s="196">
        <f ca="1">IF($B$222="Лікар загальної практики - сімейний лікар",IF(S226&lt;Законод!$C$22,0,(IF(AND(S226&gt;=Законод!$G$22,S226&lt;=Законод!$G$23),S226-Законод!$F$23,IF('01_Доходи'!S226&gt;=Законод!$H$22,Законод!$G$24,0)))),IF($B$222="Лікар-педіатр",IF(S226&lt;Законод!$C$18,0,(IF(AND(S226&gt;=Законод!$G$18,S226&lt;=Законод!$G$19),S226-Законод!$F$19,IF('01_Доходи'!S226&gt;=Законод!$H$18,Законод!$G$20,0)))),IF($B$222="Лікар-терапевт",IF(S226&lt;Законод!$C$26,0,(IF(AND(S226&gt;=Законод!$G$26,S226&lt;=Законод!$G$27),S226-Законод!$F$27,IF('01_Доходи'!S226&gt;=Законод!$H$26,Законод!$G$28,0)))),0)))</f>
        <v>0</v>
      </c>
      <c r="T230" s="945"/>
      <c r="U230" s="940" t="s">
        <v>346</v>
      </c>
      <c r="V230" s="940"/>
      <c r="W230" s="940"/>
      <c r="X230" s="940"/>
      <c r="Y230" s="940"/>
      <c r="Z230" s="196">
        <f ca="1">IF($B$222="Лікар загальної практики - сімейний лікар",IF(Z226&lt;Законод!$C$22,0,(IF(AND(Z226&gt;=Законод!$G$22,Z226&lt;=Законод!$G$23),Z226-Законод!$F$23,IF('01_Доходи'!Z226&gt;=Законод!$H$22,Законод!$G$24,0)))),IF($B$222="Лікар-педіатр",IF(Z226&lt;Законод!$C$18,0,(IF(AND(Z226&gt;=Законод!$G$18,Z226&lt;=Законод!$G$19),Z226-Законод!$F$19,IF('01_Доходи'!Z226&gt;=Законод!$H$18,Законод!$G$20,0)))),IF($B$222="Лікар-терапевт",IF(Z226&lt;Законод!$C$26,0,(IF(AND(Z226&gt;=Законод!$G$26,Z226&lt;=Законод!$G$27),Z226-Законод!$F$27,IF('01_Доходи'!Z226&gt;=Законод!$H$26,Законод!$G$28,0)))),0)))</f>
        <v>0</v>
      </c>
      <c r="AA230" s="945"/>
      <c r="AB230" s="940" t="s">
        <v>346</v>
      </c>
      <c r="AC230" s="940"/>
      <c r="AD230" s="940"/>
      <c r="AE230" s="940"/>
      <c r="AF230" s="940"/>
      <c r="AG230" s="196">
        <f ca="1">IF($B$222="Лікар загальної практики - сімейний лікар",IF(AG226&lt;Законод!$C$22,0,(IF(AND(AG226&gt;=Законод!$G$22,AG226&lt;=Законод!$G$23),AG226-Законод!$F$23,IF('01_Доходи'!AG226&gt;=Законод!$H$22,Законод!$G$24,0)))),IF($B$222="Лікар-педіатр",IF(AG226&lt;Законод!$C$18,0,(IF(AND(AG226&gt;=Законод!$G$18,AG226&lt;=Законод!$G$19),AG226-Законод!$F$19,IF('01_Доходи'!AG226&gt;=Законод!$H$18,Законод!$G$20,0)))),IF($B$222="Лікар-терапевт",IF(AG226&lt;Законод!$C$26,0,(IF(AND(AG226&gt;=Законод!$G$26,AG226&lt;=Законод!$G$27),AG226-Законод!$F$27,IF('01_Доходи'!AG226&gt;=Законод!$H$26,Законод!$G$28,0)))),0)))</f>
        <v>0</v>
      </c>
      <c r="AH230" s="945"/>
      <c r="AI230" s="201"/>
      <c r="AJ230" s="933"/>
      <c r="AK230" s="927"/>
      <c r="AL230" s="927"/>
      <c r="AM230" s="899"/>
      <c r="AN230" s="210">
        <f ca="1">IF(B222="Лікар загальної практики - сімейний лікар",L230*Законод!$C$9/4*Законод!$G$16,IF(B222="Лікар-педіатр",L230*Законод!$C$9/4*Законод!$G$16,IF(B222="Лікар-терапевт",L230*Законод!$C$9/4*Законод!$G$16,0)))</f>
        <v>0</v>
      </c>
      <c r="AO230" s="210">
        <f ca="1">IF(B222="Лікар загальної практики - сімейний лікар",S230*Законод!$C$9/4*Законод!$G$16,IF(B222="Лікар-педіатр",S230*Законод!$C$9/4*Законод!$G$16,IF(B222="Лікар-терапевт",S230*Законод!$C$9/4*Законод!$G$16,0)))</f>
        <v>0</v>
      </c>
      <c r="AP230" s="210">
        <f ca="1">IF(B222="Лікар загальної практики - сімейний лікар",Z230*Законод!$C$9/4*Законод!$G$16,IF(B222="Лікар-педіатр",Z230*Законод!$C$9/4*Законод!$G$16,IF(B222="Лікар-терапевт",Z230*Законод!$C$9/4*Законод!$G$16,0)))</f>
        <v>0</v>
      </c>
      <c r="AQ230" s="210">
        <f ca="1">IF(B222="Лікар загальної практики - сімейний лікар",AG230*Законод!$C$9/4*Законод!$G$16,IF(B222="Лікар-педіатр",AG230*Законод!$C$9/4*Законод!$G$16,IF(B222="Лікар-терапевт",AG230*Законод!$C$9/4*Законод!$G$16,0)))</f>
        <v>0</v>
      </c>
      <c r="AR230" s="211">
        <f t="shared" si="32"/>
        <v>0</v>
      </c>
    </row>
    <row r="231" spans="1:44" s="50" customFormat="1" ht="31.9" customHeight="1">
      <c r="A231" s="197"/>
      <c r="B231" s="941"/>
      <c r="C231" s="942"/>
      <c r="D231" s="943"/>
      <c r="E231" s="943"/>
      <c r="F231" s="238" t="str">
        <f ca="1">IF(B222="Лікар-педіатр",Законод!$H$17,IF(B222="Лікар загальної практики - сімейний лікар",Законод!$H$21,IF(B222="Лікар-терапевт",Законод!$H$25,"х")))</f>
        <v>понад ліміт (2601-2800)</v>
      </c>
      <c r="G231" s="940" t="s">
        <v>346</v>
      </c>
      <c r="H231" s="940"/>
      <c r="I231" s="940"/>
      <c r="J231" s="940"/>
      <c r="K231" s="940"/>
      <c r="L231" s="196">
        <f ca="1">IF($B$222="Лікар загальної практики - сімейний лікар",IF(L226&lt;Законод!$C$22,0,(IF(AND(L226&gt;=Законод!$H$22,L226&lt;=Законод!$H$23),L226-Законод!$G$23,IF('01_Доходи'!L226&gt;=Законод!$I$22,Законод!$H$24,0)))),IF($B$222="Лікар-педіатр",IF(L226&lt;Законод!$C$18,0,(IF(AND(L226&gt;=Законод!$H$18,L226&lt;=Законод!$H$19),L226-Законод!$G$19,IF('01_Доходи'!L226&gt;=Законод!$I$18,Законод!$H$20,0)))),IF($B$222="Лікар-терапевт",IF(L226&lt;Законод!$C$26,0,(IF(AND(L226&gt;=Законод!$H$26,L226&lt;=Законод!$H$27),L226-Законод!$G$27,IF(L226&gt;=Законод!$I$26,Законод!$H$28,0)))),0)))</f>
        <v>0</v>
      </c>
      <c r="M231" s="945"/>
      <c r="N231" s="940" t="s">
        <v>346</v>
      </c>
      <c r="O231" s="940"/>
      <c r="P231" s="940"/>
      <c r="Q231" s="940"/>
      <c r="R231" s="940"/>
      <c r="S231" s="196">
        <f ca="1">IF($B$222="Лікар загальної практики - сімейний лікар",IF(S226&lt;Законод!$C$22,0,(IF(AND(S226&gt;=Законод!$H$22,S226&lt;=Законод!$H$23),S226-Законод!$G$23,IF('01_Доходи'!S226&gt;=Законод!$I$22,Законод!$H$24,0)))),IF($B$222="Лікар-педіатр",IF(S226&lt;Законод!$C$18,0,(IF(AND(S226&gt;=Законод!$H$18,S226&lt;=Законод!$H$19),S226-Законод!$G$19,IF('01_Доходи'!S226&gt;=Законод!$I$18,Законод!$H$20,0)))),IF($B$222="Лікар-терапевт",IF(S226&lt;Законод!$C$26,0,(IF(AND(S226&gt;=Законод!$H$26,S226&lt;=Законод!$H$27),S226-Законод!$G$27,IF(S226&gt;=Законод!$I$26,Законод!$H$28,0)))),0)))</f>
        <v>0</v>
      </c>
      <c r="T231" s="945"/>
      <c r="U231" s="940" t="s">
        <v>346</v>
      </c>
      <c r="V231" s="940"/>
      <c r="W231" s="940"/>
      <c r="X231" s="940"/>
      <c r="Y231" s="940"/>
      <c r="Z231" s="196">
        <f ca="1">IF($B$222="Лікар загальної практики - сімейний лікар",IF(Z226&lt;Законод!$C$22,0,(IF(AND(Z226&gt;=Законод!$H$22,Z226&lt;=Законод!$H$23),Z226-Законод!$G$23,IF('01_Доходи'!Z226&gt;=Законод!$I$22,Законод!$H$24,0)))),IF($B$222="Лікар-педіатр",IF(Z226&lt;Законод!$C$18,0,(IF(AND(Z226&gt;=Законод!$H$18,Z226&lt;=Законод!$H$19),Z226-Законод!$G$19,IF('01_Доходи'!Z226&gt;=Законод!$I$18,Законод!$H$20,0)))),IF($B$222="Лікар-терапевт",IF(Z226&lt;Законод!$C$26,0,(IF(AND(Z226&gt;=Законод!$H$26,Z226&lt;=Законод!$H$27),Z226-Законод!$G$27,IF(Z226&gt;=Законод!$I$26,Законод!$H$28,0)))),0)))</f>
        <v>0</v>
      </c>
      <c r="AA231" s="945"/>
      <c r="AB231" s="940" t="s">
        <v>346</v>
      </c>
      <c r="AC231" s="940"/>
      <c r="AD231" s="940"/>
      <c r="AE231" s="940"/>
      <c r="AF231" s="940"/>
      <c r="AG231" s="196">
        <f ca="1">IF($B$222="Лікар загальної практики - сімейний лікар",IF(AG226&lt;Законод!$C$22,0,(IF(AND(AG226&gt;=Законод!$H$22,AG226&lt;=Законод!$H$23),AG226-Законод!$G$23,IF('01_Доходи'!AG226&gt;=Законод!$I$22,Законод!$H$24,0)))),IF($B$222="Лікар-педіатр",IF(AG226&lt;Законод!$C$18,0,(IF(AND(AG226&gt;=Законод!$H$18,AG226&lt;=Законод!$H$19),AG226-Законод!$G$19,IF('01_Доходи'!AG226&gt;=Законод!$I$18,Законод!$H$20,0)))),IF($B$222="Лікар-терапевт",IF(AG226&lt;Законод!$C$26,0,(IF(AND(AG226&gt;=Законод!$H$26,AG226&lt;=Законод!$H$27),AG226-Законод!$G$27,IF(AG226&gt;=Законод!$I$26,Законод!$H$28,0)))),0)))</f>
        <v>0</v>
      </c>
      <c r="AH231" s="945"/>
      <c r="AI231" s="201"/>
      <c r="AJ231" s="933"/>
      <c r="AK231" s="927"/>
      <c r="AL231" s="927"/>
      <c r="AM231" s="899"/>
      <c r="AN231" s="210">
        <f ca="1">IF(B222="Лікар загальної практики - сімейний лікар",L231*Законод!$C$9/4*Законод!$H$16,IF(B222="Лікар-педіатр",L231*Законод!$C$9/4*Законод!$H$16,IF(B222="Лікар-терапевт",L231*Законод!$C$9/4*Законод!$H$16,0)))</f>
        <v>0</v>
      </c>
      <c r="AO231" s="210">
        <f ca="1">IF(B222="Лікар загальної практики - сімейний лікар",S231*Законод!$C$9/4*Законод!$H$16,IF(B222="Лікар-педіатр",S231*Законод!$C$9/4*Законод!$H$16,IF(B222="Лікар-терапевт",S231*Законод!$C$9/4*Законод!$H$16,0)))</f>
        <v>0</v>
      </c>
      <c r="AP231" s="210">
        <f ca="1">IF(B222="Лікар загальної практики - сімейний лікар",Z231*Законод!$C$9/4*Законод!$H$16,IF(B222="Лікар-педіатр",Z231*Законод!$C$9/4*Законод!$H$16,IF(B222="Лікар-терапевт",Z231*Законод!$C$9/4*Законод!$H$16,0)))</f>
        <v>0</v>
      </c>
      <c r="AQ231" s="210">
        <f ca="1">IF(B222="Лікар загальної практики - сімейний лікар",AG231*Законод!$C$9/4*Законод!$H$16,IF(B222="Лікар-педіатр",AG231*Законод!$C$9/4*Законод!$H$16,IF(B222="Лікар-терапевт",AG231*Законод!$C$9/4*Законод!$H$16,0)))</f>
        <v>0</v>
      </c>
      <c r="AR231" s="211">
        <f t="shared" si="32"/>
        <v>0</v>
      </c>
    </row>
    <row r="232" spans="1:44" s="50" customFormat="1" ht="31.9" customHeight="1">
      <c r="A232" s="197"/>
      <c r="B232" s="941"/>
      <c r="C232" s="942"/>
      <c r="D232" s="943"/>
      <c r="E232" s="943"/>
      <c r="F232" s="238" t="str">
        <f ca="1">IF(B222="Лікар-педіатр",Законод!$I$17,IF(B222="Лікар загальної практики - сімейний лікар",Законод!$I$21,IF(B222="Лікар-терапевт",Законод!$I$25,"х")))</f>
        <v>понад ліміт (2801-3000)</v>
      </c>
      <c r="G232" s="940" t="s">
        <v>346</v>
      </c>
      <c r="H232" s="940"/>
      <c r="I232" s="940"/>
      <c r="J232" s="940"/>
      <c r="K232" s="940"/>
      <c r="L232" s="196">
        <f ca="1">IF($B$222="Лікар загальної практики - сімейний лікар",IF(L226&lt;Законод!$C$22,0,(IF(AND(L226&gt;=Законод!$I$22,L226&lt;=Законод!$I$23),L226-Законод!$H$23,IF('01_Доходи'!L226&gt;=Законод!$I$22,Законод!$I$24,0)))),IF($B$222="Лікар-педіатр",IF(L226&lt;Законод!$C$18,0,(IF(AND(L226&gt;=Законод!$I$18,L226&lt;=Законод!$I$19),L226-Законод!$H$19,IF('01_Доходи'!L226&gt;=Законод!$I$18,Законод!$H$20,0)))),IF($B$222="Лікар-терапевт",IF(L226&lt;Законод!$C$26,0,(IF(AND(L226&gt;=Законод!$I$26,L226&lt;=Законод!$I$27),L226-Законод!$H$27,IF('01_Доходи'!L226&gt;=Законод!$I$26,Законод!$H$28,0)))),0)))</f>
        <v>0</v>
      </c>
      <c r="M232" s="945"/>
      <c r="N232" s="940" t="s">
        <v>346</v>
      </c>
      <c r="O232" s="940"/>
      <c r="P232" s="940"/>
      <c r="Q232" s="940"/>
      <c r="R232" s="940"/>
      <c r="S232" s="196">
        <f ca="1">IF($B$222="Лікар загальної практики - сімейний лікар",IF(S226&lt;Законод!$C$22,0,(IF(AND(S226&gt;=Законод!$I$22,S226&lt;=Законод!$I$23),S226-Законод!$H$23,IF('01_Доходи'!S226&gt;=Законод!$I$22,Законод!$I$24,0)))),IF($B$222="Лікар-педіатр",IF(S226&lt;Законод!$C$18,0,(IF(AND(S226&gt;=Законод!$I$18,S226&lt;=Законод!$I$19),S226-Законод!$H$19,IF('01_Доходи'!S226&gt;=Законод!$I$18,Законод!$H$20,0)))),IF($B$222="Лікар-терапевт",IF(S226&lt;Законод!$C$26,0,(IF(AND(S226&gt;=Законод!$I$26,S226&lt;=Законод!$I$27),S226-Законод!$H$27,IF('01_Доходи'!S226&gt;=Законод!$I$26,Законод!$H$28,0)))),0)))</f>
        <v>0</v>
      </c>
      <c r="T232" s="945"/>
      <c r="U232" s="940" t="s">
        <v>346</v>
      </c>
      <c r="V232" s="940"/>
      <c r="W232" s="940"/>
      <c r="X232" s="940"/>
      <c r="Y232" s="940"/>
      <c r="Z232" s="196">
        <f ca="1">IF($B$222="Лікар загальної практики - сімейний лікар",IF(Z226&lt;Законод!$C$22,0,(IF(AND(Z226&gt;=Законод!$I$22,Z226&lt;=Законод!$I$23),Z226-Законод!$H$23,IF('01_Доходи'!Z226&gt;=Законод!$I$22,Законод!$I$24,0)))),IF($B$222="Лікар-педіатр",IF(Z226&lt;Законод!$C$18,0,(IF(AND(Z226&gt;=Законод!$I$18,Z226&lt;=Законод!$I$19),Z226-Законод!$H$19,IF('01_Доходи'!Z226&gt;=Законод!$I$18,Законод!$H$20,0)))),IF($B$222="Лікар-терапевт",IF(Z226&lt;Законод!$C$26,0,(IF(AND(Z226&gt;=Законод!$I$26,Z226&lt;=Законод!$I$27),Z226-Законод!$H$27,IF('01_Доходи'!Z226&gt;=Законод!$I$26,Законод!$H$28,0)))),0)))</f>
        <v>0</v>
      </c>
      <c r="AA232" s="945"/>
      <c r="AB232" s="940" t="s">
        <v>346</v>
      </c>
      <c r="AC232" s="940"/>
      <c r="AD232" s="940"/>
      <c r="AE232" s="940"/>
      <c r="AF232" s="940"/>
      <c r="AG232" s="196">
        <f ca="1">IF($B$222="Лікар загальної практики - сімейний лікар",IF(AG226&lt;Законод!$C$22,0,(IF(AND(AG226&gt;=Законод!$I$22,AG226&lt;=Законод!$I$23),AG226-Законод!$H$23,IF('01_Доходи'!AG226&gt;=Законод!$I$22,Законод!$I$24,0)))),IF($B$222="Лікар-педіатр",IF(AG226&lt;Законод!$C$18,0,(IF(AND(AG226&gt;=Законод!$I$18,AG226&lt;=Законод!$I$19),AG226-Законод!$H$19,IF('01_Доходи'!AG226&gt;=Законод!$I$18,Законод!$H$20,0)))),IF($B$222="Лікар-терапевт",IF(AG226&lt;Законод!$C$26,0,(IF(AND(AG226&gt;=Законод!$I$26,AG226&lt;=Законод!$I$27),AG226-Законод!$H$27,IF('01_Доходи'!AG226&gt;=Законод!$I$26,Законод!$H$28,0)))),0)))</f>
        <v>0</v>
      </c>
      <c r="AH232" s="945"/>
      <c r="AI232" s="201"/>
      <c r="AJ232" s="933"/>
      <c r="AK232" s="927"/>
      <c r="AL232" s="927"/>
      <c r="AM232" s="899"/>
      <c r="AN232" s="210">
        <f ca="1">IF(B222="Лікар загальної практики - сімейний лікар",L232*Законод!$C$9/4*Законод!$I$16,IF(B222="Лікар-педіатр",L232*Законод!$C$9/4*Законод!$I$16,IF(B222="Лікар-терапевт",L232*Законод!$C$9/4*Законод!$I$16,0)))</f>
        <v>0</v>
      </c>
      <c r="AO232" s="210">
        <f ca="1">IF(B222="Лікар загальної практики - сімейний лікар",S232*Законод!$C$9/4*Законод!$I$16,IF(B222="Лікар-педіатр",S232*Законод!$C$9/4*Законод!$I$16,IF(B222="Лікар-терапевт",S232*Законод!$C$9/4*Законод!$I$16,0)))</f>
        <v>0</v>
      </c>
      <c r="AP232" s="210">
        <f ca="1">IF(B222="Лікар загальної практики - сімейний лікар",Z232*Законод!$C$9/4*Законод!$I$16,IF(B222="Лікар-педіатр",Z232*Законод!$C$9/4*Законод!$I$16,IF(B222="Лікар-терапевт",Z232*Законод!$C$9/4*Законод!$I$16,0)))</f>
        <v>0</v>
      </c>
      <c r="AQ232" s="210">
        <f ca="1">IF(B222="Лікар загальної практики - сімейний лікар",AG232*Законод!$C$9/4*Законод!$I$16,IF(B222="Лікар-педіатр",AG232*Законод!$C$9/4*Законод!$I$16,IF(B222="Лікар-терапевт",AG232*Законод!$C$9/4*Законод!$I$16,0)))</f>
        <v>0</v>
      </c>
      <c r="AR232" s="211">
        <f t="shared" si="32"/>
        <v>0</v>
      </c>
    </row>
    <row r="233" spans="1:44" s="218" customFormat="1" ht="31.9" customHeight="1" thickBot="1">
      <c r="A233" s="213"/>
      <c r="B233" s="941"/>
      <c r="C233" s="942"/>
      <c r="D233" s="943"/>
      <c r="E233" s="943"/>
      <c r="F233" s="239" t="str">
        <f ca="1">IF(B222="Лікар-педіатр",Законод!$J$17,IF(B222="Лікар загальної практики - сімейний лікар",Законод!$J$21,IF(B222="Лікар-терапевт",Законод!$J$25,"х")))</f>
        <v>понад ліміт (&gt;=3001)</v>
      </c>
      <c r="G233" s="939" t="s">
        <v>346</v>
      </c>
      <c r="H233" s="939"/>
      <c r="I233" s="939"/>
      <c r="J233" s="939"/>
      <c r="K233" s="939"/>
      <c r="L233" s="196">
        <f ca="1">IF($B$222="Лікар загальної практики - сімейний лікар",IF(L226&gt;=Законод!$J$22,'01_Доходи'!L226-('01_Доходи'!L227+'01_Доходи'!L228+'01_Доходи'!L229+'01_Доходи'!L230+'01_Доходи'!L231+'01_Доходи'!L232),0),IF($B$222="Лікар-педіатр",IF(L226&gt;=Законод!$J$18,'01_Доходи'!L226-('01_Доходи'!L227+'01_Доходи'!L228+'01_Доходи'!L229+'01_Доходи'!L230+'01_Доходи'!L231+'01_Доходи'!L232),0),IF($B$222="Лікар-терапевт",IF('01_Доходи'!L226&gt;=Законод!$J$26,L226-Законод!$I$27,0),0)))</f>
        <v>0</v>
      </c>
      <c r="M233" s="945"/>
      <c r="N233" s="939" t="s">
        <v>346</v>
      </c>
      <c r="O233" s="939"/>
      <c r="P233" s="939"/>
      <c r="Q233" s="939"/>
      <c r="R233" s="939"/>
      <c r="S233" s="196">
        <f ca="1">IF($B$222="Лікар загальної практики - сімейний лікар",IF(S226&gt;=Законод!$J$22,'01_Доходи'!S226-('01_Доходи'!S227+'01_Доходи'!S228+'01_Доходи'!S229+'01_Доходи'!S230+'01_Доходи'!S231+'01_Доходи'!S232),0),IF($B$222="Лікар-педіатр",IF(S226&gt;=Законод!$J$18,'01_Доходи'!S226-('01_Доходи'!S227+'01_Доходи'!S228+'01_Доходи'!S229+'01_Доходи'!S230+'01_Доходи'!S231+'01_Доходи'!S232),0),IF($B$222="Лікар-терапевт",IF('01_Доходи'!S226&gt;=Законод!$J$26,S226-Законод!$I$27,0),0)))</f>
        <v>0</v>
      </c>
      <c r="T233" s="945"/>
      <c r="U233" s="939" t="s">
        <v>346</v>
      </c>
      <c r="V233" s="939"/>
      <c r="W233" s="939"/>
      <c r="X233" s="939"/>
      <c r="Y233" s="939"/>
      <c r="Z233" s="196">
        <f ca="1">IF($B$222="Лікар загальної практики - сімейний лікар",IF(Z226&gt;=Законод!$J$22,'01_Доходи'!Z226-('01_Доходи'!Z227+'01_Доходи'!Z228+'01_Доходи'!Z229+'01_Доходи'!Z230+'01_Доходи'!Z231+'01_Доходи'!Z232),0),IF($B$222="Лікар-педіатр",IF(Z226&gt;=Законод!$J$18,'01_Доходи'!Z226-('01_Доходи'!Z227+'01_Доходи'!Z228+'01_Доходи'!Z229+'01_Доходи'!Z230+'01_Доходи'!Z231+'01_Доходи'!Z232),0),IF($B$222="Лікар-терапевт",IF('01_Доходи'!Z226&gt;=Законод!$J$26,Z226-Законод!$I$27,0),0)))</f>
        <v>0</v>
      </c>
      <c r="AA233" s="945"/>
      <c r="AB233" s="939" t="s">
        <v>346</v>
      </c>
      <c r="AC233" s="939"/>
      <c r="AD233" s="939"/>
      <c r="AE233" s="939"/>
      <c r="AF233" s="939"/>
      <c r="AG233" s="196">
        <f ca="1">IF($B$222="Лікар загальної практики - сімейний лікар",IF(AG226&gt;=Законод!$J$22,'01_Доходи'!AG226-('01_Доходи'!AG227+'01_Доходи'!AG228+'01_Доходи'!AG229+'01_Доходи'!AG230+'01_Доходи'!AG231+'01_Доходи'!AG232),0),IF($B$222="Лікар-педіатр",IF(AG226&gt;=Законод!$J$18,'01_Доходи'!AG226-('01_Доходи'!AG227+'01_Доходи'!AG228+'01_Доходи'!AG229+'01_Доходи'!AG230+'01_Доходи'!AG231+'01_Доходи'!AG232),0),IF($B$222="Лікар-терапевт",IF('01_Доходи'!AG226&gt;=Законод!$J$26,AG226-Законод!$I$27,0),0)))</f>
        <v>0</v>
      </c>
      <c r="AH233" s="945"/>
      <c r="AI233" s="215"/>
      <c r="AJ233" s="934"/>
      <c r="AK233" s="928"/>
      <c r="AL233" s="928"/>
      <c r="AM233" s="900"/>
      <c r="AN233" s="216">
        <f ca="1">IF(B222="Лікар загальної практики - сімейний лікар",L233*Законод!$C$9/4*Законод!$J$16,IF(B222="Лікар-педіатр",L233*Законод!$C$9/4*Законод!$J$16,IF(B222="Лікар-терапевт",L233*Законод!$C$9/4*Законод!$J$16,0)))</f>
        <v>0</v>
      </c>
      <c r="AO233" s="216">
        <f ca="1">IF(B222="Лікар загальної практики - сімейний лікар",S233*Законод!$C$9/4*Законод!$J$16,IF(B222="Лікар-педіатр",S233*Законод!$C$9/4*Законод!$J$16,IF(B222="Лікар-терапевт",S233*Законод!$C$9/4*Законод!$J$16,0)))</f>
        <v>0</v>
      </c>
      <c r="AP233" s="216">
        <f ca="1">IF(B222="Лікар загальної практики - сімейний лікар",S233*Законод!$C$9/4*Законод!$J$16,IF(B222="Лікар-педіатр",S233*Законод!$C$9/4*Законод!$J$16,IF(B222="Лікар-терапевт",S233*Законод!$C$9/4*Законод!$J$16,0)))</f>
        <v>0</v>
      </c>
      <c r="AQ233" s="216">
        <f ca="1">IF(B222="Лікар загальної практики - сімейний лікар",AG233*Законод!$C$9/4*Законод!$J$16,IF(B222="Лікар-педіатр",AG233*Законод!$C$9/4*Законод!$J$16,IF(B222="Лікар-терапевт",AG233*Законод!$C$9/4*Законод!$J$16,0)))</f>
        <v>0</v>
      </c>
      <c r="AR233" s="217">
        <f t="shared" si="32"/>
        <v>0</v>
      </c>
    </row>
    <row r="234" spans="1:44" s="247" customFormat="1" ht="23.45" customHeight="1" thickBot="1">
      <c r="A234" s="243"/>
      <c r="B234" s="244"/>
      <c r="C234" s="244"/>
      <c r="D234" s="244"/>
      <c r="E234" s="244"/>
      <c r="F234" s="245"/>
      <c r="G234" s="246"/>
      <c r="H234" s="246"/>
      <c r="L234" s="248"/>
      <c r="S234" s="248"/>
      <c r="Z234" s="248"/>
      <c r="AG234" s="248"/>
      <c r="AM234" s="249"/>
      <c r="AR234" s="250"/>
    </row>
    <row r="235" spans="1:44" s="191" customFormat="1" ht="27.6" customHeight="1">
      <c r="A235" s="194">
        <f>A222+1</f>
        <v>16</v>
      </c>
      <c r="B235" s="941" t="s">
        <v>236</v>
      </c>
      <c r="C235" s="942" t="s">
        <v>84</v>
      </c>
      <c r="D235" s="943"/>
      <c r="E235" s="943" t="str">
        <f>E222</f>
        <v>Рожищенська АЗПСМ №1</v>
      </c>
      <c r="F235" s="234" t="s">
        <v>582</v>
      </c>
      <c r="G235" s="196" t="str">
        <f>IF($B$235="Лікар-педіатр",G238*L235,IF($B$235="Лікар-терапевт","х",IF($B$235="Лікар загальної практики - сімейний лікар",G238*L235,0)))</f>
        <v>х</v>
      </c>
      <c r="H235" s="196" t="str">
        <f>IF($B$235="Лікар-педіатр",H238*L235,IF($B$235="Лікар-терапевт","х",IF($B$235="Лікар загальної практики - сімейний лікар",H238*L235,0)))</f>
        <v>х</v>
      </c>
      <c r="I235" s="196">
        <f>561+84</f>
        <v>645</v>
      </c>
      <c r="J235" s="196">
        <f>895+75</f>
        <v>970</v>
      </c>
      <c r="K235" s="196">
        <f>544+25</f>
        <v>569</v>
      </c>
      <c r="L235" s="558">
        <f>SUM(I235:K235)</f>
        <v>2184</v>
      </c>
      <c r="M235" s="945">
        <v>1</v>
      </c>
      <c r="N235" s="196" t="str">
        <f>IF($B$235="Лікар-педіатр",N238*S235,IF($B$235="Лікар-терапевт","х",IF($B$235="Лікар загальної практики - сімейний лікар",N238*S235,0)))</f>
        <v>х</v>
      </c>
      <c r="O235" s="196" t="str">
        <f>IF($B$235="Лікар-педіатр",O238*S235,IF($B$235="Лікар-терапевт","х",IF($B$235="Лікар загальної практики - сімейний лікар",O238*S235,0)))</f>
        <v>х</v>
      </c>
      <c r="P235" s="196">
        <f>561+84</f>
        <v>645</v>
      </c>
      <c r="Q235" s="196">
        <f>895+75</f>
        <v>970</v>
      </c>
      <c r="R235" s="196">
        <f>544+25</f>
        <v>569</v>
      </c>
      <c r="S235" s="558">
        <f>SUM(P235:R235)</f>
        <v>2184</v>
      </c>
      <c r="T235" s="945">
        <v>1</v>
      </c>
      <c r="U235" s="196" t="str">
        <f>IF($B$235="Лікар-педіатр",U238*Z235,IF($B$235="Лікар-терапевт","х",IF($B$235="Лікар загальної практики - сімейний лікар",U238*Z235,0)))</f>
        <v>х</v>
      </c>
      <c r="V235" s="196" t="str">
        <f>IF($B$235="Лікар-педіатр",V238*Z235,IF($B$235="Лікар-терапевт","х",IF($B$235="Лікар загальної практики - сімейний лікар",V238*Z235,0)))</f>
        <v>х</v>
      </c>
      <c r="W235" s="196">
        <f>561+84</f>
        <v>645</v>
      </c>
      <c r="X235" s="196">
        <f>895+75</f>
        <v>970</v>
      </c>
      <c r="Y235" s="196">
        <f>544+25</f>
        <v>569</v>
      </c>
      <c r="Z235" s="558">
        <f>SUM(W235:Y235)</f>
        <v>2184</v>
      </c>
      <c r="AA235" s="945">
        <v>1</v>
      </c>
      <c r="AB235" s="196" t="str">
        <f>IF($B$235="Лікар-педіатр",AB238*AG235,IF($B$235="Лікар-терапевт","х",IF($B$235="Лікар загальної практики - сімейний лікар",AB238*AG235,0)))</f>
        <v>х</v>
      </c>
      <c r="AC235" s="196" t="str">
        <f>IF($B$235="Лікар-педіатр",AC238*AG235,IF($B$235="Лікар-терапевт","х",IF($B$235="Лікар загальної практики - сімейний лікар",AC238*AG235,0)))</f>
        <v>х</v>
      </c>
      <c r="AD235" s="196">
        <f>561+84</f>
        <v>645</v>
      </c>
      <c r="AE235" s="196">
        <f>895+75</f>
        <v>970</v>
      </c>
      <c r="AF235" s="196">
        <f>544+25</f>
        <v>569</v>
      </c>
      <c r="AG235" s="558">
        <f>SUM(AD235:AF235)</f>
        <v>2184</v>
      </c>
      <c r="AH235" s="945">
        <v>1</v>
      </c>
      <c r="AI235" s="541">
        <f>A235</f>
        <v>16</v>
      </c>
      <c r="AJ235" s="932" t="str">
        <f>B235</f>
        <v>Лікар-терапевт</v>
      </c>
      <c r="AK235" s="926" t="str">
        <f>C235</f>
        <v>Печко Надія Василівна</v>
      </c>
      <c r="AL235" s="926">
        <f>D235</f>
        <v>0</v>
      </c>
      <c r="AM235" s="901" t="s">
        <v>785</v>
      </c>
      <c r="AN235" s="923">
        <f>SUM(AN240:AN246)</f>
        <v>349189.33324157505</v>
      </c>
      <c r="AO235" s="923">
        <f>SUM(AO240:AO246)</f>
        <v>349189.33324157505</v>
      </c>
      <c r="AP235" s="923">
        <f>SUM(AP240:AP246)</f>
        <v>349189.33324157505</v>
      </c>
      <c r="AQ235" s="923">
        <f>SUM(AQ240:AQ246)</f>
        <v>349189.33324157505</v>
      </c>
      <c r="AR235" s="914">
        <f>SUM(AN235:AQ239)</f>
        <v>1396757.3329663002</v>
      </c>
    </row>
    <row r="236" spans="1:44" s="50" customFormat="1" ht="28.15" customHeight="1">
      <c r="A236" s="197"/>
      <c r="B236" s="941"/>
      <c r="C236" s="942"/>
      <c r="D236" s="943"/>
      <c r="E236" s="943"/>
      <c r="F236" s="234" t="s">
        <v>583</v>
      </c>
      <c r="G236" s="196" t="str">
        <f>IF($B$235="Лікар-педіатр",G238*L236,IF($B$235="Лікар-терапевт","х",IF($B$235="Лікар загальної практики - сімейний лікар",G238*L236,0)))</f>
        <v>х</v>
      </c>
      <c r="H236" s="196" t="str">
        <f>IF($B$235="Лікар-педіатр",H238*L236,IF($B$235="Лікар-терапевт","х",IF($B$235="Лікар загальної практики - сімейний лікар",H238*L236,0)))</f>
        <v>х</v>
      </c>
      <c r="I236" s="196">
        <f>561+84</f>
        <v>645</v>
      </c>
      <c r="J236" s="196">
        <f>895+75</f>
        <v>970</v>
      </c>
      <c r="K236" s="196">
        <f>544+25</f>
        <v>569</v>
      </c>
      <c r="L236" s="558">
        <f>SUM(I236:K236)</f>
        <v>2184</v>
      </c>
      <c r="M236" s="945"/>
      <c r="N236" s="196" t="str">
        <f>IF($B$235="Лікар-педіатр",N238*S236,IF($B$235="Лікар-терапевт","х",IF($B$235="Лікар загальної практики - сімейний лікар",N238*S236,0)))</f>
        <v>х</v>
      </c>
      <c r="O236" s="196" t="str">
        <f>IF($B$235="Лікар-педіатр",O238*S236,IF($B$235="Лікар-терапевт","х",IF($B$235="Лікар загальної практики - сімейний лікар",O238*S236,0)))</f>
        <v>х</v>
      </c>
      <c r="P236" s="196">
        <f>561+84</f>
        <v>645</v>
      </c>
      <c r="Q236" s="196">
        <f>895+75</f>
        <v>970</v>
      </c>
      <c r="R236" s="196">
        <f>544+25</f>
        <v>569</v>
      </c>
      <c r="S236" s="558">
        <f>SUM(P236:R236)</f>
        <v>2184</v>
      </c>
      <c r="T236" s="945"/>
      <c r="U236" s="196" t="str">
        <f>IF($B$235="Лікар-педіатр",U238*Z236,IF($B$235="Лікар-терапевт","х",IF($B$235="Лікар загальної практики - сімейний лікар",U238*Z236,0)))</f>
        <v>х</v>
      </c>
      <c r="V236" s="196" t="str">
        <f>IF($B$235="Лікар-педіатр",V238*Z236,IF($B$235="Лікар-терапевт","х",IF($B$235="Лікар загальної практики - сімейний лікар",V238*Z236,0)))</f>
        <v>х</v>
      </c>
      <c r="W236" s="196">
        <f>561+84</f>
        <v>645</v>
      </c>
      <c r="X236" s="196">
        <f>895+75</f>
        <v>970</v>
      </c>
      <c r="Y236" s="196">
        <f>544+25</f>
        <v>569</v>
      </c>
      <c r="Z236" s="558">
        <f>SUM(W236:Y236)</f>
        <v>2184</v>
      </c>
      <c r="AA236" s="945"/>
      <c r="AB236" s="196" t="str">
        <f>IF($B$235="Лікар-педіатр",AB238*AG236,IF($B$235="Лікар-терапевт","х",IF($B$235="Лікар загальної практики - сімейний лікар",AB238*AG236,0)))</f>
        <v>х</v>
      </c>
      <c r="AC236" s="196" t="str">
        <f>IF($B$235="Лікар-педіатр",AC238*AG236,IF($B$235="Лікар-терапевт","х",IF($B$235="Лікар загальної практики - сімейний лікар",AC238*AG236,0)))</f>
        <v>х</v>
      </c>
      <c r="AD236" s="196">
        <f>561+84</f>
        <v>645</v>
      </c>
      <c r="AE236" s="196">
        <f>895+75</f>
        <v>970</v>
      </c>
      <c r="AF236" s="196">
        <f>544+25</f>
        <v>569</v>
      </c>
      <c r="AG236" s="558">
        <f>SUM(AD236:AF236)</f>
        <v>2184</v>
      </c>
      <c r="AH236" s="945"/>
      <c r="AI236" s="198"/>
      <c r="AJ236" s="933"/>
      <c r="AK236" s="927"/>
      <c r="AL236" s="927"/>
      <c r="AM236" s="902"/>
      <c r="AN236" s="924"/>
      <c r="AO236" s="924"/>
      <c r="AP236" s="924"/>
      <c r="AQ236" s="924"/>
      <c r="AR236" s="915"/>
    </row>
    <row r="237" spans="1:44" s="90" customFormat="1" ht="31.15" customHeight="1">
      <c r="A237" s="240"/>
      <c r="B237" s="941"/>
      <c r="C237" s="942"/>
      <c r="D237" s="943"/>
      <c r="E237" s="943"/>
      <c r="F237" s="241" t="s">
        <v>584</v>
      </c>
      <c r="G237" s="199" t="str">
        <f>IF(B235="Лікар загальної практики - сімейний лікар"," ",IF(B235="Лікар-педіатр"," ",IF(B235="Лікар-терапевт","х",0)))</f>
        <v>х</v>
      </c>
      <c r="H237" s="199" t="str">
        <f>IF(B235="Лікар загальної практики - сімейний лікар"," ",IF(B235="Лікар-педіатр"," ",IF(B235="Лікар-терапевт","х",0)))</f>
        <v>х</v>
      </c>
      <c r="I237" s="196">
        <f>561+84</f>
        <v>645</v>
      </c>
      <c r="J237" s="196">
        <f>895+75</f>
        <v>970</v>
      </c>
      <c r="K237" s="196">
        <f>544+25</f>
        <v>569</v>
      </c>
      <c r="L237" s="558">
        <f>SUM(I237:K237)</f>
        <v>2184</v>
      </c>
      <c r="M237" s="945"/>
      <c r="N237" s="199" t="str">
        <f>IF(B235="Лікар загальної практики - сімейний лікар"," ",IF(B235="Лікар-педіатр"," ",IF(B235="Лікар-терапевт","х",0)))</f>
        <v>х</v>
      </c>
      <c r="O237" s="199" t="str">
        <f>IF(B235="Лікар загальної практики - сімейний лікар"," ",IF(B235="Лікар-педіатр"," ",IF(B235="Лікар-терапевт","х",0)))</f>
        <v>х</v>
      </c>
      <c r="P237" s="196">
        <f>561+84</f>
        <v>645</v>
      </c>
      <c r="Q237" s="196">
        <f>895+75</f>
        <v>970</v>
      </c>
      <c r="R237" s="196">
        <f>544+25</f>
        <v>569</v>
      </c>
      <c r="S237" s="558">
        <f>SUM(P237:R237)</f>
        <v>2184</v>
      </c>
      <c r="T237" s="945"/>
      <c r="U237" s="199" t="str">
        <f>IF(B235="Лікар загальної практики - сімейний лікар"," ",IF(B235="Лікар-педіатр"," ",IF(B235="Лікар-терапевт","х",0)))</f>
        <v>х</v>
      </c>
      <c r="V237" s="199" t="str">
        <f>IF(B235="Лікар загальної практики - сімейний лікар"," ",IF(B235="Лікар-педіатр"," ",IF(B235="Лікар-терапевт","х",0)))</f>
        <v>х</v>
      </c>
      <c r="W237" s="196">
        <f>561+84</f>
        <v>645</v>
      </c>
      <c r="X237" s="196">
        <f>895+75</f>
        <v>970</v>
      </c>
      <c r="Y237" s="196">
        <f>544+25</f>
        <v>569</v>
      </c>
      <c r="Z237" s="558">
        <f>SUM(W237:Y237)</f>
        <v>2184</v>
      </c>
      <c r="AA237" s="945"/>
      <c r="AB237" s="199" t="str">
        <f>IF(B235="Лікар загальної практики - сімейний лікар"," ",IF(B235="Лікар-педіатр"," ",IF(B235="Лікар-терапевт","х",0)))</f>
        <v>х</v>
      </c>
      <c r="AC237" s="199" t="str">
        <f>IF(B235="Лікар загальної практики - сімейний лікар"," ",IF(B235="Лікар-педіатр"," ",IF(B235="Лікар-терапевт","х",0)))</f>
        <v>х</v>
      </c>
      <c r="AD237" s="196">
        <f>561+84</f>
        <v>645</v>
      </c>
      <c r="AE237" s="196">
        <f>895+75</f>
        <v>970</v>
      </c>
      <c r="AF237" s="196">
        <f>544+25</f>
        <v>569</v>
      </c>
      <c r="AG237" s="558">
        <f>SUM(AD237:AF237)</f>
        <v>2184</v>
      </c>
      <c r="AH237" s="945"/>
      <c r="AI237" s="242"/>
      <c r="AJ237" s="933"/>
      <c r="AK237" s="927"/>
      <c r="AL237" s="927"/>
      <c r="AM237" s="902"/>
      <c r="AN237" s="924"/>
      <c r="AO237" s="924"/>
      <c r="AP237" s="924"/>
      <c r="AQ237" s="924"/>
      <c r="AR237" s="915"/>
    </row>
    <row r="238" spans="1:44" s="50" customFormat="1" ht="31.9" customHeight="1" thickBot="1">
      <c r="A238" s="197"/>
      <c r="B238" s="941"/>
      <c r="C238" s="942"/>
      <c r="D238" s="943"/>
      <c r="E238" s="943"/>
      <c r="F238" s="236" t="s">
        <v>349</v>
      </c>
      <c r="G238" s="203" t="str">
        <f>IF($B$235="Лікар-педіатр",G237/L237,IF($B$235="Лікар-терапевт","х",IF($B$235="Лікар загальної практики - сімейний лікар",G237/L237,0)))</f>
        <v>х</v>
      </c>
      <c r="H238" s="203" t="str">
        <f>IF($B$235="Лікар-педіатр",H237/L237,IF($B$235="Лікар-терапевт","х",IF($B$235="Лікар загальної практики - сімейний лікар",H237/L237,0)))</f>
        <v>х</v>
      </c>
      <c r="I238" s="203">
        <f>IF($B$235="Лікар-педіатр","x",IF($B$235="Лікар-терапевт",I237/L237,IF($B$235="Лікар загальної практики - сімейний лікар",I237/L237,0)))</f>
        <v>0.29532967032967034</v>
      </c>
      <c r="J238" s="203">
        <f>IF($B$235="Лікар-педіатр","x",IF($B$235="Лікар-терапевт",J237/L237,IF($B$235="Лікар загальної практики - сімейний лікар",J237/L237,0)))</f>
        <v>0.44413919413919412</v>
      </c>
      <c r="K238" s="203">
        <f>IF($B$235="Лікар-педіатр","x",IF($B$235="Лікар-терапевт",K237/L237,IF($B$235="Лікар загальної практики - сімейний лікар",K237/L237,0)))</f>
        <v>0.26053113553113555</v>
      </c>
      <c r="L238" s="203">
        <f>SUM(G238:K238)</f>
        <v>1</v>
      </c>
      <c r="M238" s="945"/>
      <c r="N238" s="203" t="str">
        <f>IF($B$235="Лікар-педіатр",N237/S237,IF($B$235="Лікар-терапевт","х",IF($B$235="Лікар загальної практики - сімейний лікар",N237/S237,0)))</f>
        <v>х</v>
      </c>
      <c r="O238" s="203" t="str">
        <f>IF($B$235="Лікар-педіатр",O237/S237,IF($B$235="Лікар-терапевт","х",IF($B$235="Лікар загальної практики - сімейний лікар",O237/S237,0)))</f>
        <v>х</v>
      </c>
      <c r="P238" s="203">
        <f>IF($B$235="Лікар-педіатр","x",IF($B$235="Лікар-терапевт",P237/S237,IF($B$235="Лікар загальної практики - сімейний лікар",P237/S237,0)))</f>
        <v>0.29532967032967034</v>
      </c>
      <c r="Q238" s="203">
        <f>IF($B$235="Лікар-педіатр","x",IF($B$235="Лікар-терапевт",Q237/S237,IF($B$235="Лікар загальної практики - сімейний лікар",Q237/S237,0)))</f>
        <v>0.44413919413919412</v>
      </c>
      <c r="R238" s="203">
        <f>IF($B$235="Лікар-педіатр","x",IF($B$235="Лікар-терапевт",R237/S237,IF($B$235="Лікар загальної практики - сімейний лікар",R237/S237,0)))</f>
        <v>0.26053113553113555</v>
      </c>
      <c r="S238" s="203">
        <f>SUM(N238:R238)</f>
        <v>1</v>
      </c>
      <c r="T238" s="945"/>
      <c r="U238" s="203" t="str">
        <f>IF($B$235="Лікар-педіатр",U237/Z237,IF($B$235="Лікар-терапевт","х",IF($B$235="Лікар загальної практики - сімейний лікар",U237/Z237,0)))</f>
        <v>х</v>
      </c>
      <c r="V238" s="203" t="str">
        <f>IF($B$235="Лікар-педіатр",V237/Z237,IF($B$235="Лікар-терапевт","х",IF($B$235="Лікар загальної практики - сімейний лікар",V237/Z237,0)))</f>
        <v>х</v>
      </c>
      <c r="W238" s="203">
        <f>IF($B$235="Лікар-педіатр","x",IF($B$235="Лікар-терапевт",W237/Z237,IF($B$235="Лікар загальної практики - сімейний лікар",W237/Z237,0)))</f>
        <v>0.29532967032967034</v>
      </c>
      <c r="X238" s="203">
        <f>IF($B$235="Лікар-педіатр","x",IF($B$235="Лікар-терапевт",X237/Z237,IF($B$235="Лікар загальної практики - сімейний лікар",X237/Z237,0)))</f>
        <v>0.44413919413919412</v>
      </c>
      <c r="Y238" s="203">
        <f>IF($B$235="Лікар-педіатр","x",IF($B$235="Лікар-терапевт",Y237/Z237,IF($B$235="Лікар загальної практики - сімейний лікар",Y237/Z237,0)))</f>
        <v>0.26053113553113555</v>
      </c>
      <c r="Z238" s="203">
        <f>SUM(U238:Y238)</f>
        <v>1</v>
      </c>
      <c r="AA238" s="945"/>
      <c r="AB238" s="203" t="str">
        <f>IF($B$235="Лікар-педіатр",AB237/AG237,IF($B$235="Лікар-терапевт","х",IF($B$235="Лікар загальної практики - сімейний лікар",AB237/AG237,0)))</f>
        <v>х</v>
      </c>
      <c r="AC238" s="203" t="str">
        <f>IF($B$235="Лікар-педіатр",AC237/AG237,IF($B$235="Лікар-терапевт","х",IF($B$235="Лікар загальної практики - сімейний лікар",AC237/AG237,0)))</f>
        <v>х</v>
      </c>
      <c r="AD238" s="203">
        <f>IF($B$235="Лікар-педіатр","x",IF($B$235="Лікар-терапевт",AD237/AG237,IF($B$235="Лікар загальної практики - сімейний лікар",AD237/AG237,0)))</f>
        <v>0.29532967032967034</v>
      </c>
      <c r="AE238" s="203">
        <f>IF($B$235="Лікар-педіатр","x",IF($B$235="Лікар-терапевт",AE237/AG237,IF($B$235="Лікар загальної практики - сімейний лікар",AE237/AG237,0)))</f>
        <v>0.44413919413919412</v>
      </c>
      <c r="AF238" s="203">
        <f>IF($B$235="Лікар-педіатр","x",IF($B$235="Лікар-терапевт",AF237/AG237,IF($B$235="Лікар загальної практики - сімейний лікар",AF237/AG237,0)))</f>
        <v>0.26053113553113555</v>
      </c>
      <c r="AG238" s="203">
        <f>SUM(AB238:AF238)</f>
        <v>1</v>
      </c>
      <c r="AH238" s="945"/>
      <c r="AI238" s="201"/>
      <c r="AJ238" s="933"/>
      <c r="AK238" s="927"/>
      <c r="AL238" s="927"/>
      <c r="AM238" s="902"/>
      <c r="AN238" s="924"/>
      <c r="AO238" s="924"/>
      <c r="AP238" s="924"/>
      <c r="AQ238" s="924"/>
      <c r="AR238" s="915"/>
    </row>
    <row r="239" spans="1:44" s="50" customFormat="1" ht="45" customHeight="1" thickBot="1">
      <c r="A239" s="197"/>
      <c r="B239" s="941"/>
      <c r="C239" s="942"/>
      <c r="D239" s="943"/>
      <c r="E239" s="944"/>
      <c r="F239" s="204" t="s">
        <v>585</v>
      </c>
      <c r="G239" s="205" t="str">
        <f>IF($B$235="Лікар загальної практики - сімейний лікар",AVERAGE(G235:G237),IF($B$235="Лікар-педіатр",AVERAGE(G235:G237),IF($B$235="Лікар-терапевт","х",0)))</f>
        <v>х</v>
      </c>
      <c r="H239" s="205" t="str">
        <f>IF($B$235="Лікар загальної практики - сімейний лікар",AVERAGE(H235:H237),IF($B$235="Лікар-педіатр",AVERAGE(H235:H237),IF($B$235="Лікар-терапевт","х",0)))</f>
        <v>х</v>
      </c>
      <c r="I239" s="205">
        <f>IF($B$235="Лікар загальної практики - сімейний лікар",AVERAGE(I235:I237),IF($B$235="Лікар-педіатр","x",IF($B$235="Лікар-терапевт",AVERAGE(I235:I237),0)))</f>
        <v>645</v>
      </c>
      <c r="J239" s="205">
        <f>IF($B$235="Лікар загальної практики - сімейний лікар",AVERAGE(J235:J237),IF($B$235="Лікар-педіатр","x",IF($B$235="Лікар-терапевт",AVERAGE(J235:J237),0)))</f>
        <v>970</v>
      </c>
      <c r="K239" s="205">
        <f>IF($B$235="Лікар загальної практики - сімейний лікар",AVERAGE(K235:K237),IF($B$235="Лікар-педіатр","x",IF($B$235="Лікар-терапевт",AVERAGE(K235:K237),0)))</f>
        <v>569</v>
      </c>
      <c r="L239" s="206">
        <f>SUM(G239:K239)</f>
        <v>2184</v>
      </c>
      <c r="M239" s="946"/>
      <c r="N239" s="205" t="str">
        <f>IF($B$235="Лікар загальної практики - сімейний лікар",AVERAGE(N235:N237),IF($B$235="Лікар-педіатр",AVERAGE(N235:N237),IF($B$235="Лікар-терапевт","х",0)))</f>
        <v>х</v>
      </c>
      <c r="O239" s="205" t="str">
        <f>IF($B$235="Лікар загальної практики - сімейний лікар",AVERAGE(O235:O237),IF($B$235="Лікар-педіатр",AVERAGE(O235:O237),IF($B$235="Лікар-терапевт","х",0)))</f>
        <v>х</v>
      </c>
      <c r="P239" s="205">
        <f>IF($B$235="Лікар загальної практики - сімейний лікар",AVERAGE(P235:P237),IF($B$235="Лікар-педіатр","x",IF($B$235="Лікар-терапевт",AVERAGE(P235:P237),0)))</f>
        <v>645</v>
      </c>
      <c r="Q239" s="205">
        <f>IF($B$235="Лікар загальної практики - сімейний лікар",AVERAGE(Q235:Q237),IF($B$235="Лікар-педіатр","x",IF($B$235="Лікар-терапевт",AVERAGE(Q235:Q237),0)))</f>
        <v>970</v>
      </c>
      <c r="R239" s="205">
        <f>IF($B$235="Лікар загальної практики - сімейний лікар",AVERAGE(R235:R237),IF($B$235="Лікар-педіатр","x",IF($B$235="Лікар-терапевт",AVERAGE(R235:R237),0)))</f>
        <v>569</v>
      </c>
      <c r="S239" s="206">
        <f>SUM(N239:R239)</f>
        <v>2184</v>
      </c>
      <c r="T239" s="946"/>
      <c r="U239" s="205" t="str">
        <f>IF($B$235="Лікар загальної практики - сімейний лікар",AVERAGE(U235:U237),IF($B$235="Лікар-педіатр",AVERAGE(U235:U237),IF($B$235="Лікар-терапевт","х",0)))</f>
        <v>х</v>
      </c>
      <c r="V239" s="205" t="str">
        <f>IF($B$235="Лікар загальної практики - сімейний лікар",AVERAGE(V235:V237),IF($B$235="Лікар-педіатр",AVERAGE(V235:V237),IF($B$235="Лікар-терапевт","х",0)))</f>
        <v>х</v>
      </c>
      <c r="W239" s="205">
        <f>IF($B$235="Лікар загальної практики - сімейний лікар",AVERAGE(W235:W237),IF($B$235="Лікар-педіатр","x",IF($B$235="Лікар-терапевт",AVERAGE(W235:W237),0)))</f>
        <v>645</v>
      </c>
      <c r="X239" s="205">
        <f>IF($B$235="Лікар загальної практики - сімейний лікар",AVERAGE(X235:X237),IF($B$235="Лікар-педіатр","x",IF($B$235="Лікар-терапевт",AVERAGE(X235:X237),0)))</f>
        <v>970</v>
      </c>
      <c r="Y239" s="205">
        <f>IF($B$235="Лікар загальної практики - сімейний лікар",AVERAGE(Y235:Y237),IF($B$235="Лікар-педіатр","x",IF($B$235="Лікар-терапевт",AVERAGE(Y235:Y237),0)))</f>
        <v>569</v>
      </c>
      <c r="Z239" s="206">
        <f>SUM(U239:Y239)</f>
        <v>2184</v>
      </c>
      <c r="AA239" s="946"/>
      <c r="AB239" s="205" t="str">
        <f>IF($B$235="Лікар загальної практики - сімейний лікар",AVERAGE(AB235:AB237),IF($B$235="Лікар-педіатр",AVERAGE(AB235:AB237),IF($B$235="Лікар-терапевт","х",0)))</f>
        <v>х</v>
      </c>
      <c r="AC239" s="205" t="str">
        <f>IF($B$235="Лікар загальної практики - сімейний лікар",AVERAGE(AC235:AC237),IF($B$235="Лікар-педіатр",AVERAGE(AC235:AC237),IF($B$235="Лікар-терапевт","х",0)))</f>
        <v>х</v>
      </c>
      <c r="AD239" s="205">
        <f>IF($B$235="Лікар загальної практики - сімейний лікар",AVERAGE(AD235:AD237),IF($B$235="Лікар-педіатр","x",IF($B$235="Лікар-терапевт",AVERAGE(AD235:AD237),0)))</f>
        <v>645</v>
      </c>
      <c r="AE239" s="205">
        <f>IF($B$235="Лікар загальної практики - сімейний лікар",AVERAGE(AE235:AE237),IF($B$235="Лікар-педіатр","x",IF($B$235="Лікар-терапевт",AVERAGE(AE235:AE237),0)))</f>
        <v>970</v>
      </c>
      <c r="AF239" s="205">
        <f>IF($B$235="Лікар загальної практики - сімейний лікар",AVERAGE(AF235:AF237),IF($B$235="Лікар-педіатр","x",IF($B$235="Лікар-терапевт",AVERAGE(AF235:AF237),0)))</f>
        <v>569</v>
      </c>
      <c r="AG239" s="206">
        <f>SUM(AB239:AF239)</f>
        <v>2184</v>
      </c>
      <c r="AH239" s="947"/>
      <c r="AI239" s="201"/>
      <c r="AJ239" s="933"/>
      <c r="AK239" s="927"/>
      <c r="AL239" s="927"/>
      <c r="AM239" s="903"/>
      <c r="AN239" s="925"/>
      <c r="AO239" s="925"/>
      <c r="AP239" s="925"/>
      <c r="AQ239" s="925"/>
      <c r="AR239" s="916"/>
    </row>
    <row r="240" spans="1:44" s="50" customFormat="1" ht="40.5">
      <c r="A240" s="197"/>
      <c r="B240" s="941"/>
      <c r="C240" s="942"/>
      <c r="D240" s="943"/>
      <c r="E240" s="943"/>
      <c r="F240" s="237" t="str">
        <f ca="1">IF(B235="Лікар-педіатр",Законод!$C$17,IF(B235="Лікар загальної практики - сімейний лікар",Законод!$C$21,IF(B235="Лікар-терапевт",Законод!$C$25,"х")))</f>
        <v>ліміт (до 2000)</v>
      </c>
      <c r="G240" s="208" t="str">
        <f ca="1">IF($B$235="Лікар загальної практики - сімейний лікар",IF(L239&lt;=Законод!$C$22,G239,Законод!$C$22*'01_Доходи'!G238),IF($B$235="Лікар-педіатр",IF(L239&lt;=Законод!$C$18,G239,Законод!$C$18*'01_Доходи'!G238),IF($B$235="Лікар-терапевт","x",0)))</f>
        <v>x</v>
      </c>
      <c r="H240" s="208" t="str">
        <f ca="1">IF($B$235="Лікар загальної практики - сімейний лікар",IF(L239&lt;=Законод!$C$22,H239,Законод!$C$22*'01_Доходи'!H238),IF($B$235="Лікар-педіатр",IF(L239&lt;=Законод!$C$18,H239,Законод!$C$18*'01_Доходи'!H238),IF($B$235="Лікар-терапевт","x",0)))</f>
        <v>x</v>
      </c>
      <c r="I240" s="208">
        <f ca="1">IF($B$235="Лікар загальної практики - сімейний лікар",IF(L239&lt;=Законод!$C$22,I239,Законод!$C$22*'01_Доходи'!I238),IF($B$235="Лікар-педіатр","x",IF($B$235="Лікар-терапевт",IF(L239&lt;=Законод!$C$26,I239,Законод!$C$26*'01_Доходи'!I238),0)))</f>
        <v>590.65934065934061</v>
      </c>
      <c r="J240" s="208">
        <f ca="1">IF($B$235="Лікар загальної практики - сімейний лікар",IF(L239&lt;=Законод!$C$22,J239,Законод!$C$22*'01_Доходи'!J238),IF($B$235="Лікар-педіатр","x",IF($B$235="Лікар-терапевт",IF(L239&lt;=Законод!$C$26,J239,Законод!$C$26*'01_Доходи'!J238),0)))</f>
        <v>888.27838827838821</v>
      </c>
      <c r="K240" s="208">
        <f ca="1">IF($B$235="Лікар загальної практики - сімейний лікар",IF(L239&lt;=Законод!$C$22,K239,Законод!$C$22*'01_Доходи'!K238),IF($B$235="Лікар-педіатр","x",IF($B$235="Лікар-терапевт",IF(L239&lt;=Законод!$C$26,K239,Законод!$C$26*'01_Доходи'!K238),0)))</f>
        <v>521.06227106227107</v>
      </c>
      <c r="L240" s="209">
        <f ca="1">SUM(G240:K240)</f>
        <v>2000</v>
      </c>
      <c r="M240" s="945"/>
      <c r="N240" s="208" t="str">
        <f ca="1">IF($B$235="Лікар загальної практики - сімейний лікар",IF(S239&lt;=Законод!$C$22,N239,Законод!$C$22*'01_Доходи'!N238),IF($B$235="Лікар-педіатр",IF(S239&lt;=Законод!$C$18,N239,Законод!$C$18*'01_Доходи'!N238),IF($B$235="Лікар-терапевт","x",0)))</f>
        <v>x</v>
      </c>
      <c r="O240" s="208" t="str">
        <f ca="1">IF($B$235="Лікар загальної практики - сімейний лікар",IF(S239&lt;=Законод!$C$22,O239,Законод!$C$22*'01_Доходи'!O238),IF($B$235="Лікар-педіатр",IF(S239&lt;=Законод!$C$18,O239,Законод!$C$18*'01_Доходи'!O238),IF($B$235="Лікар-терапевт","x",0)))</f>
        <v>x</v>
      </c>
      <c r="P240" s="208">
        <f ca="1">IF($B$235="Лікар загальної практики - сімейний лікар",IF(S239&lt;=Законод!$C$22,P239,Законод!$C$22*'01_Доходи'!P238),IF($B$235="Лікар-педіатр","x",IF($B$235="Лікар-терапевт",IF(S239&lt;=Законод!$C$26,P239,Законод!$C$26*'01_Доходи'!P238),0)))</f>
        <v>590.65934065934061</v>
      </c>
      <c r="Q240" s="208">
        <f ca="1">IF($B$235="Лікар загальної практики - сімейний лікар",IF(S239&lt;=Законод!$C$22,Q239,Законод!$C$22*'01_Доходи'!Q238),IF($B$235="Лікар-педіатр","x",IF($B$235="Лікар-терапевт",IF(S239&lt;=Законод!$C$26,Q239,Законод!$C$26*'01_Доходи'!Q238),0)))</f>
        <v>888.27838827838821</v>
      </c>
      <c r="R240" s="208">
        <f ca="1">IF($B$235="Лікар загальної практики - сімейний лікар",IF(S239&lt;=Законод!$C$22,R239,Законод!$C$22*'01_Доходи'!R238),IF($B$235="Лікар-педіатр","x",IF($B$235="Лікар-терапевт",IF(S239&lt;=Законод!$C$26,R239,Законод!$C$26*'01_Доходи'!R238),0)))</f>
        <v>521.06227106227107</v>
      </c>
      <c r="S240" s="209">
        <f ca="1">SUM(N240:R240)</f>
        <v>2000</v>
      </c>
      <c r="T240" s="945"/>
      <c r="U240" s="208" t="str">
        <f ca="1">IF($B$235="Лікар загальної практики - сімейний лікар",IF(Z239&lt;=Законод!$C$22,U239,Законод!$C$22*'01_Доходи'!U238),IF($B$235="Лікар-педіатр",IF(Z239&lt;=Законод!$C$18,U239,Законод!$C$18*'01_Доходи'!U238),IF($B$235="Лікар-терапевт","x",0)))</f>
        <v>x</v>
      </c>
      <c r="V240" s="208" t="str">
        <f ca="1">IF($B$235="Лікар загальної практики - сімейний лікар",IF(Z239&lt;=Законод!$C$22,V239,Законод!$C$22*'01_Доходи'!V238),IF($B$235="Лікар-педіатр",IF(Z239&lt;=Законод!$C$18,V239,Законод!$C$18*'01_Доходи'!V238),IF($B$235="Лікар-терапевт","x",0)))</f>
        <v>x</v>
      </c>
      <c r="W240" s="208">
        <f ca="1">IF($B$235="Лікар загальної практики - сімейний лікар",IF(Z239&lt;=Законод!$C$22,W239,Законод!$C$22*'01_Доходи'!W238),IF($B$235="Лікар-педіатр","x",IF($B$235="Лікар-терапевт",IF(Z239&lt;=Законод!$C$26,W239,Законод!$C$26*'01_Доходи'!W238),0)))</f>
        <v>590.65934065934061</v>
      </c>
      <c r="X240" s="208">
        <f ca="1">IF($B$235="Лікар загальної практики - сімейний лікар",IF(Z239&lt;=Законод!$C$22,X239,Законод!$C$22*'01_Доходи'!X238),IF($B$235="Лікар-педіатр","x",IF($B$235="Лікар-терапевт",IF(Z239&lt;=Законод!$C$26,X239,Законод!$C$26*'01_Доходи'!X238),0)))</f>
        <v>888.27838827838821</v>
      </c>
      <c r="Y240" s="208">
        <f ca="1">IF($B$235="Лікар загальної практики - сімейний лікар",IF(Z239&lt;=Законод!$C$22,Y239,Законод!$C$22*'01_Доходи'!Y238),IF($B$235="Лікар-педіатр","x",IF($B$235="Лікар-терапевт",IF(Z239&lt;=Законод!$C$26,Y239,Законод!$C$26*'01_Доходи'!Y238),0)))</f>
        <v>521.06227106227107</v>
      </c>
      <c r="Z240" s="209">
        <f ca="1">SUM(U240:Y240)</f>
        <v>2000</v>
      </c>
      <c r="AA240" s="945"/>
      <c r="AB240" s="208" t="str">
        <f ca="1">IF($B$235="Лікар загальної практики - сімейний лікар",IF(AG239&lt;=Законод!$C$22,AB239,Законод!$C$22*'01_Доходи'!AB238),IF($B$235="Лікар-педіатр",IF(AG239&lt;=Законод!$C$18,AB239,Законод!$C$18*'01_Доходи'!AB238),IF($B$235="Лікар-терапевт","x",0)))</f>
        <v>x</v>
      </c>
      <c r="AC240" s="208" t="str">
        <f ca="1">IF($B$235="Лікар загальної практики - сімейний лікар",IF(AG239&lt;=Законод!$C$22,AC239,Законод!$C$22*'01_Доходи'!AC238),IF($B$235="Лікар-педіатр",IF(AG239&lt;=Законод!$C$18,AC239,Законод!$C$18*'01_Доходи'!AC238),IF($B$235="Лікар-терапевт","x",0)))</f>
        <v>x</v>
      </c>
      <c r="AD240" s="208">
        <f ca="1">IF($B$235="Лікар загальної практики - сімейний лікар",IF(AG239&lt;=Законод!$C$22,AD239,Законод!$C$22*'01_Доходи'!AD238),IF($B$235="Лікар-педіатр","x",IF($B$235="Лікар-терапевт",IF(AG239&lt;=Законод!$C$26,AD239,Законод!$C$26*'01_Доходи'!AD238),0)))</f>
        <v>590.65934065934061</v>
      </c>
      <c r="AE240" s="208">
        <f ca="1">IF($B$235="Лікар загальної практики - сімейний лікар",IF(AG239&lt;=Законод!$C$22,AE239,Законод!$C$22*'01_Доходи'!AE238),IF($B$235="Лікар-педіатр","x",IF($B$235="Лікар-терапевт",IF(AG239&lt;=Законод!$C$26,AE239,Законод!$C$26*'01_Доходи'!AE238),0)))</f>
        <v>888.27838827838821</v>
      </c>
      <c r="AF240" s="208">
        <f ca="1">IF($B$235="Лікар загальної практики - сімейний лікар",IF(AG239&lt;=Законод!$C$22,AF239,Законод!$C$22*'01_Доходи'!AF238),IF($B$235="Лікар-педіатр","x",IF($B$235="Лікар-терапевт",IF(AG239&lt;=Законод!$C$26,AF239,Законод!$C$26*'01_Доходи'!AF238),0)))</f>
        <v>521.06227106227107</v>
      </c>
      <c r="AG240" s="209">
        <f ca="1">SUM(AB240:AF240)</f>
        <v>2000</v>
      </c>
      <c r="AH240" s="945"/>
      <c r="AI240" s="201"/>
      <c r="AJ240" s="933"/>
      <c r="AK240" s="927"/>
      <c r="AL240" s="927"/>
      <c r="AM240" s="348" t="s">
        <v>374</v>
      </c>
      <c r="AN240" s="210">
        <f ca="1">IF(B235="Лікар загальної практики - сімейний лікар",G240*Законод!$C$11+'01_Доходи'!H240*Законод!$D$11+'01_Доходи'!I240*Законод!$E$11+'01_Доходи'!J240*Законод!$F$11+'01_Доходи'!K240*Законод!$G$11,IF(B235="Лікар-педіатр",G240*Законод!$C$11+'01_Доходи'!H240*Законод!$D$11,IF(B235="Лікар-терапевт",'01_Доходи'!I240*Законод!$E$11+'01_Доходи'!J240*Законод!$F$11+'01_Доходи'!K240*Законод!$G$11,0)))</f>
        <v>326898.81884157506</v>
      </c>
      <c r="AO240" s="210">
        <f ca="1">IF(B235="Лікар загальної практики - сімейний лікар",N240*Законод!$C$11+'01_Доходи'!O240*Законод!$D$11+'01_Доходи'!P240*Законод!$E$11+'01_Доходи'!Q240*Законод!$F$11+'01_Доходи'!R240*Законод!$G$11,IF(B235="Лікар-педіатр",N240*Законод!$C$11+'01_Доходи'!O240*Законод!$D$11,IF(B235="Лікар-терапевт",'01_Доходи'!P240*Законод!$E$11+'01_Доходи'!Q240*Законод!$F$11+'01_Доходи'!R240*Законод!$G$11,0)))</f>
        <v>326898.81884157506</v>
      </c>
      <c r="AP240" s="210">
        <f ca="1">IF(B235="Лікар загальної практики - сімейний лікар",U240*Законод!$C$11+'01_Доходи'!V240*Законод!$D$11+'01_Доходи'!W240*Законод!$E$11+'01_Доходи'!X240*Законод!$F$11+'01_Доходи'!Y240*Законод!$G$11,IF(B235="Лікар-педіатр",U240*Законод!$C$11+'01_Доходи'!V240*Законод!$D$11,IF(B235="Лікар-терапевт",'01_Доходи'!W240*Законод!$E$11+'01_Доходи'!X240*Законод!$F$11+'01_Доходи'!Y240*Законод!$G$11,0)))</f>
        <v>326898.81884157506</v>
      </c>
      <c r="AQ240" s="210">
        <f ca="1">IF(B235="Лікар загальної практики - сімейний лікар",AB240*Законод!$C$11+'01_Доходи'!AC240*Законод!$D$11+'01_Доходи'!AD240*Законод!$E$11+'01_Доходи'!AE240*Законод!$F$11+'01_Доходи'!AF240*Законод!$G$11,IF(B235="Лікар-педіатр",AB240*Законод!$C$11+'01_Доходи'!AC240*Законод!$D$11,IF(B235="Лікар-терапевт",'01_Доходи'!AD240*Законод!$E$11+'01_Доходи'!AE240*Законод!$F$11+'01_Доходи'!AF240*Законод!$G$11,0)))</f>
        <v>326898.81884157506</v>
      </c>
      <c r="AR240" s="211">
        <f t="shared" ref="AR240:AR246" si="33">SUM(AN240:AQ240)</f>
        <v>1307595.2753663003</v>
      </c>
    </row>
    <row r="241" spans="1:44" s="50" customFormat="1" ht="31.9" customHeight="1">
      <c r="A241" s="197"/>
      <c r="B241" s="941"/>
      <c r="C241" s="942"/>
      <c r="D241" s="943"/>
      <c r="E241" s="943"/>
      <c r="F241" s="238" t="str">
        <f ca="1">IF(B235="Лікар-педіатр",Законод!$E$17,IF(B235="Лікар загальної практики - сімейний лікар",Законод!$E$21,IF(B235="Лікар-терапевт",Законод!$E$25,"х")))</f>
        <v>понад ліміт (2001-2200)</v>
      </c>
      <c r="G241" s="940" t="s">
        <v>346</v>
      </c>
      <c r="H241" s="940"/>
      <c r="I241" s="940"/>
      <c r="J241" s="940"/>
      <c r="K241" s="940"/>
      <c r="L241" s="196">
        <f ca="1">IF($B$235="Лікар загальної практики - сімейний лікар",IF(L239&lt;Законод!$C$22,0,(IF(AND(L239&gt;=Законод!$E$22,L239&lt;=Законод!$E$23),L239-Законод!$C$22,IF('01_Доходи'!L239&gt;=Законод!$F$22,Законод!$E$24,0)))),IF($B$235="Лікар-педіатр",IF(L239&lt;Законод!$C$18,0,(IF(AND(L239&gt;=Законод!$E$18,L239&lt;=Законод!$E$19),L239-Законод!$C$18,IF('01_Доходи'!L239&gt;=Законод!$F$18,Законод!$E$20,0)))),IF($B$235="Лікар-терапевт",IF(L239&lt;Законод!$C$26,0,(IF(AND(L239&gt;=Законод!$E$26,L239&lt;=Законод!$E$27),L239-Законод!$C$26,IF('01_Доходи'!L239&gt;=Законод!$F$26,Законод!$E$28,0)))),0)))</f>
        <v>184</v>
      </c>
      <c r="M241" s="945"/>
      <c r="N241" s="940" t="s">
        <v>346</v>
      </c>
      <c r="O241" s="940"/>
      <c r="P241" s="940"/>
      <c r="Q241" s="940"/>
      <c r="R241" s="940"/>
      <c r="S241" s="196">
        <f ca="1">IF($B$235="Лікар загальної практики - сімейний лікар",IF(S239&lt;Законод!$C$22,0,(IF(AND(S239&gt;=Законод!$E$22,S239&lt;=Законод!$E$23),S239-Законод!$C$22,IF('01_Доходи'!S239&gt;=Законод!$F$22,Законод!$E$24,0)))),IF($B$235="Лікар-педіатр",IF(S239&lt;Законод!$C$18,0,(IF(AND(S239&gt;=Законод!$E$18,S239&lt;=Законод!$E$19),S239-Законод!$C$18,IF('01_Доходи'!S239&gt;=Законод!$F$18,Законод!$E$20,0)))),IF($B$235="Лікар-терапевт",IF(S239&lt;Законод!$C$26,0,(IF(AND(S239&gt;=Законод!$E$26,S239&lt;=Законод!$E$27),S239-Законод!$C$26,IF('01_Доходи'!S239&gt;=Законод!$F$26,Законод!$E$28,0)))),0)))</f>
        <v>184</v>
      </c>
      <c r="T241" s="945"/>
      <c r="U241" s="940" t="s">
        <v>346</v>
      </c>
      <c r="V241" s="940"/>
      <c r="W241" s="940"/>
      <c r="X241" s="940"/>
      <c r="Y241" s="940"/>
      <c r="Z241" s="196">
        <f ca="1">IF($B$235="Лікар загальної практики - сімейний лікар",IF(Z239&lt;Законод!$C$22,0,(IF(AND(Z239&gt;=Законод!$E$22,Z239&lt;=Законод!$E$23),Z239-Законод!$C$22,IF('01_Доходи'!Z239&gt;=Законод!$F$22,Законод!$E$24,0)))),IF($B$235="Лікар-педіатр",IF(Z239&lt;Законод!$C$18,0,(IF(AND(Z239&gt;=Законод!$E$18,Z239&lt;=Законод!$E$19),Z239-Законод!$C$18,IF('01_Доходи'!Z239&gt;=Законод!$F$18,Законод!$E$20,0)))),IF($B$235="Лікар-терапевт",IF(Z239&lt;Законод!$C$26,0,(IF(AND(Z239&gt;=Законод!$E$26,Z239&lt;=Законод!$E$27),Z239-Законод!$C$26,IF('01_Доходи'!Z239&gt;=Законод!$F$26,Законод!$E$28,0)))),0)))</f>
        <v>184</v>
      </c>
      <c r="AA241" s="945"/>
      <c r="AB241" s="940" t="s">
        <v>346</v>
      </c>
      <c r="AC241" s="940"/>
      <c r="AD241" s="940"/>
      <c r="AE241" s="940"/>
      <c r="AF241" s="940"/>
      <c r="AG241" s="196">
        <f ca="1">IF($B$235="Лікар загальної практики - сімейний лікар",IF(AG239&lt;Законод!$C$22,0,(IF(AND(AG239&gt;=Законод!$E$22,AG239&lt;=Законод!$E$23),AG239-Законод!$C$22,IF('01_Доходи'!AG239&gt;=Законод!$F$22,Законод!$E$24,0)))),IF($B$235="Лікар-педіатр",IF(AG239&lt;Законод!$C$18,0,(IF(AND(AG239&gt;=Законод!$E$18,AG239&lt;=Законод!$E$19),AG239-Законод!$C$18,IF('01_Доходи'!AG239&gt;=Законод!$F$18,Законод!$E$20,0)))),IF($B$235="Лікар-терапевт",IF(AG239&lt;Законод!$C$26,0,(IF(AND(AG239&gt;=Законод!$E$26,AG239&lt;=Законод!$E$27),AG239-Законод!$C$26,IF('01_Доходи'!AG239&gt;=Законод!$F$26,Законод!$E$28,0)))),0)))</f>
        <v>184</v>
      </c>
      <c r="AH241" s="945"/>
      <c r="AI241" s="201"/>
      <c r="AJ241" s="933"/>
      <c r="AK241" s="927"/>
      <c r="AL241" s="927"/>
      <c r="AM241" s="898" t="s">
        <v>375</v>
      </c>
      <c r="AN241" s="210">
        <f ca="1">IF(B235="Лікар загальної практики - сімейний лікар",L241*Законод!$C$9/4*Законод!$E$16,IF(B235="Лікар-педіатр",L241*Законод!$C$9/4*Законод!$E$16,IF(B235="Лікар-терапевт",L241*Законод!$C$9/4*Законод!$E$16,0)))</f>
        <v>22290.5144</v>
      </c>
      <c r="AO241" s="210">
        <f ca="1">IF(B235="Лікар загальної практики - сімейний лікар",S241*Законод!$C$9/4*Законод!$E$16,IF(B235="Лікар-педіатр",S241*Законод!$C$9/4*Законод!$E$16,IF(B235="Лікар-терапевт",S241*Законод!$C$9/4*Законод!$E$16,0)))</f>
        <v>22290.5144</v>
      </c>
      <c r="AP241" s="210">
        <f ca="1">IF(B235="Лікар загальної практики - сімейний лікар",Z241*Законод!$C$9/4*Законод!$E$16,IF(B235="Лікар-педіатр",Z241*Законод!$C$9/4*Законод!$E$16,IF(B235="Лікар-терапевт",Z241*Законод!$C$9/4*Законод!$E$16,0)))</f>
        <v>22290.5144</v>
      </c>
      <c r="AQ241" s="210">
        <f ca="1">IF(B235="Лікар загальної практики - сімейний лікар",AG241*Законод!$C$9/4*Законод!$E$16,IF(B235="Лікар-педіатр",AG241*Законод!$C$9/4*Законод!$E$16,IF(B235="Лікар-терапевт",AG241*Законод!$C$9/4*Законод!$E$16,0)))</f>
        <v>22290.5144</v>
      </c>
      <c r="AR241" s="211">
        <f t="shared" si="33"/>
        <v>89162.0576</v>
      </c>
    </row>
    <row r="242" spans="1:44" s="50" customFormat="1" ht="31.9" customHeight="1">
      <c r="A242" s="197"/>
      <c r="B242" s="941"/>
      <c r="C242" s="942"/>
      <c r="D242" s="943"/>
      <c r="E242" s="943"/>
      <c r="F242" s="238" t="str">
        <f ca="1">IF(B235="Лікар-педіатр",Законод!$F$17,IF(B235="Лікар загальної практики - сімейний лікар",Законод!$F$21,IF(B235="Лікар-терапевт",Законод!$F$25,"х")))</f>
        <v>понад ліміт (2201-2400)</v>
      </c>
      <c r="G242" s="940" t="s">
        <v>346</v>
      </c>
      <c r="H242" s="940"/>
      <c r="I242" s="940"/>
      <c r="J242" s="940"/>
      <c r="K242" s="940"/>
      <c r="L242" s="196">
        <f ca="1">IF($B$235="Лікар загальної практики - сімейний лікар",IF(L239&lt;Законод!$C$22,0,(IF(AND(L239&gt;=Законод!$F$22,L239&lt;=Законод!$F$23),L239-Законод!$E$23,IF('01_Доходи'!L239&gt;=Законод!$G$22,Законод!$F$24,0)))),IF($B$235="Лікар-педіатр",IF(L239&lt;Законод!$C$18,0,(IF(AND(L239&gt;=Законод!$F$18,L239&lt;=Законод!$F$19),L239-Законод!$E$19,IF('01_Доходи'!L239&gt;=Законод!$G$18,Законод!$F$20,0)))),IF($B$235="Лікар-терапевт",IF(L239&lt;Законод!$C$26,0,(IF(AND(L239&gt;=Законод!$F$26,L239&lt;=Законод!$F$27),L239-Законод!$E$27,IF('01_Доходи'!L239&gt;=Законод!$G$26,Законод!$F$28,0)))),0)))</f>
        <v>0</v>
      </c>
      <c r="M242" s="945"/>
      <c r="N242" s="940" t="s">
        <v>346</v>
      </c>
      <c r="O242" s="940"/>
      <c r="P242" s="940"/>
      <c r="Q242" s="940"/>
      <c r="R242" s="940"/>
      <c r="S242" s="196">
        <f ca="1">IF($B$235="Лікар загальної практики - сімейний лікар",IF(S239&lt;Законод!$C$22,0,(IF(AND(S239&gt;=Законод!$F$22,S239&lt;=Законод!$F$23),S239-Законод!$E$23,IF('01_Доходи'!S239&gt;=Законод!$G$22,Законод!$F$24,0)))),IF($B$235="Лікар-педіатр",IF(S239&lt;Законод!$C$18,0,(IF(AND(S239&gt;=Законод!$F$18,S239&lt;=Законод!$F$19),S239-Законод!$E$19,IF('01_Доходи'!S239&gt;=Законод!$G$18,Законод!$F$20,0)))),IF($B$235="Лікар-терапевт",IF(S239&lt;Законод!$C$26,0,(IF(AND(S239&gt;=Законод!$F$26,S239&lt;=Законод!$F$27),S239-Законод!$E$27,IF('01_Доходи'!S239&gt;=Законод!$G$26,Законод!$F$28,0)))),0)))</f>
        <v>0</v>
      </c>
      <c r="T242" s="945"/>
      <c r="U242" s="940" t="s">
        <v>346</v>
      </c>
      <c r="V242" s="940"/>
      <c r="W242" s="940"/>
      <c r="X242" s="940"/>
      <c r="Y242" s="940"/>
      <c r="Z242" s="196">
        <f ca="1">IF($B$235="Лікар загальної практики - сімейний лікар",IF(Z239&lt;Законод!$C$22,0,(IF(AND(Z239&gt;=Законод!$F$22,Z239&lt;=Законод!$F$23),Z239-Законод!$E$23,IF('01_Доходи'!Z239&gt;=Законод!$G$22,Законод!$F$24,0)))),IF($B$235="Лікар-педіатр",IF(Z239&lt;Законод!$C$18,0,(IF(AND(Z239&gt;=Законод!$F$18,Z239&lt;=Законод!$F$19),Z239-Законод!$E$19,IF('01_Доходи'!Z239&gt;=Законод!$G$18,Законод!$F$20,0)))),IF($B$235="Лікар-терапевт",IF(Z239&lt;Законод!$C$26,0,(IF(AND(Z239&gt;=Законод!$F$26,Z239&lt;=Законод!$F$27),Z239-Законод!$E$27,IF('01_Доходи'!Z239&gt;=Законод!$G$26,Законод!$F$28,0)))),0)))</f>
        <v>0</v>
      </c>
      <c r="AA242" s="945"/>
      <c r="AB242" s="940" t="s">
        <v>346</v>
      </c>
      <c r="AC242" s="940"/>
      <c r="AD242" s="940"/>
      <c r="AE242" s="940"/>
      <c r="AF242" s="940"/>
      <c r="AG242" s="196">
        <f ca="1">IF($B$235="Лікар загальної практики - сімейний лікар",IF(AG239&lt;Законод!$C$22,0,(IF(AND(AG239&gt;=Законод!$F$22,AG239&lt;=Законод!$F$23),AG239-Законод!$E$23,IF('01_Доходи'!AG239&gt;=Законод!$G$22,Законод!$F$24,0)))),IF($B$235="Лікар-педіатр",IF(AG239&lt;Законод!$C$18,0,(IF(AND(AG239&gt;=Законод!$F$18,AG239&lt;=Законод!$F$19),AG239-Законод!$E$19,IF('01_Доходи'!AG239&gt;=Законод!$G$18,Законод!$F$20,0)))),IF($B$235="Лікар-терапевт",IF(AG239&lt;Законод!$C$26,0,(IF(AND(AG239&gt;=Законод!$F$26,AG239&lt;=Законод!$F$27),AG239-Законод!$E$27,IF('01_Доходи'!AG239&gt;=Законод!$G$26,Законод!$F$28,0)))),0)))</f>
        <v>0</v>
      </c>
      <c r="AH242" s="945"/>
      <c r="AI242" s="201"/>
      <c r="AJ242" s="933"/>
      <c r="AK242" s="927"/>
      <c r="AL242" s="927"/>
      <c r="AM242" s="899"/>
      <c r="AN242" s="210">
        <f ca="1">IF(B235="Лікар загальної практики - сімейний лікар",L242*Законод!$C$9/4*Законод!$F$16,IF(B235="Лікар-педіатр",L242*Законод!$C$9/4*Законод!$F$16,IF(B235="Лікар-терапевт",L242*Законод!$C$9/4*Законод!$F$16,0)))</f>
        <v>0</v>
      </c>
      <c r="AO242" s="210">
        <f ca="1">IF(B235="Лікар загальної практики - сімейний лікар",S242*Законод!$C$9/4*Законод!$F$16,IF(B235="Лікар-педіатр",S242*Законод!$C$9/4*Законод!$F$16,IF(B235="Лікар-терапевт",S242*Законод!$C$9/4*Законод!$F$16,0)))</f>
        <v>0</v>
      </c>
      <c r="AP242" s="210">
        <f ca="1">IF(B235="Лікар загальної практики - сімейний лікар",Z242*Законод!$C$9/4*Законод!$F$16,IF(B235="Лікар-педіатр",Z242*Законод!$C$9/4*Законод!$F$16,IF(B235="Лікар-терапевт",Z242*Законод!$C$9/4*Законод!$F$16,0)))</f>
        <v>0</v>
      </c>
      <c r="AQ242" s="210">
        <f ca="1">IF(B235="Лікар загальної практики - сімейний лікар",AG242*Законод!$C$9/4*Законод!$F$16,IF(B235="Лікар-педіатр",AG242*Законод!$C$9/4*Законод!$F$16,IF(B235="Лікар-терапевт",AG242*Законод!$C$9/4*Законод!$F$16,0)))</f>
        <v>0</v>
      </c>
      <c r="AR242" s="211">
        <f t="shared" si="33"/>
        <v>0</v>
      </c>
    </row>
    <row r="243" spans="1:44" s="50" customFormat="1" ht="31.9" customHeight="1">
      <c r="A243" s="197"/>
      <c r="B243" s="941"/>
      <c r="C243" s="942"/>
      <c r="D243" s="943"/>
      <c r="E243" s="943"/>
      <c r="F243" s="238" t="str">
        <f ca="1">IF(B235="Лікар-педіатр",Законод!$G$17,IF(B235="Лікар загальної практики - сімейний лікар",Законод!$G$21,IF(B235="Лікар-терапевт",Законод!$G$25,"х")))</f>
        <v>понад ліміт (2401-2600)</v>
      </c>
      <c r="G243" s="940" t="s">
        <v>346</v>
      </c>
      <c r="H243" s="940"/>
      <c r="I243" s="940"/>
      <c r="J243" s="940"/>
      <c r="K243" s="940"/>
      <c r="L243" s="196">
        <f ca="1">IF($B$235="Лікар загальної практики - сімейний лікар",IF(L239&lt;Законод!$C$22,0,(IF(AND(L239&gt;=Законод!$G$22,L239&lt;=Законод!$G$23),L239-Законод!$F$23,IF('01_Доходи'!L239&gt;=Законод!$H$22,Законод!$G$24,0)))),IF($B$235="Лікар-педіатр",IF(L239&lt;Законод!$C$18,0,(IF(AND(L239&gt;=Законод!$G$18,L239&lt;=Законод!$G$19),L239-Законод!$F$19,IF('01_Доходи'!L239&gt;=Законод!$H$18,Законод!$G$20,0)))),IF($B$235="Лікар-терапевт",IF(L239&lt;Законод!$C$26,0,(IF(AND(L239&gt;=Законод!$G$26,L239&lt;=Законод!$G$27),L239-Законод!$F$27,IF('01_Доходи'!L239&gt;=Законод!$H$26,Законод!$G$28,0)))),0)))</f>
        <v>0</v>
      </c>
      <c r="M243" s="945"/>
      <c r="N243" s="940" t="s">
        <v>346</v>
      </c>
      <c r="O243" s="940"/>
      <c r="P243" s="940"/>
      <c r="Q243" s="940"/>
      <c r="R243" s="940"/>
      <c r="S243" s="196">
        <f ca="1">IF($B$235="Лікар загальної практики - сімейний лікар",IF(S239&lt;Законод!$C$22,0,(IF(AND(S239&gt;=Законод!$G$22,S239&lt;=Законод!$G$23),S239-Законод!$F$23,IF('01_Доходи'!S239&gt;=Законод!$H$22,Законод!$G$24,0)))),IF($B$235="Лікар-педіатр",IF(S239&lt;Законод!$C$18,0,(IF(AND(S239&gt;=Законод!$G$18,S239&lt;=Законод!$G$19),S239-Законод!$F$19,IF('01_Доходи'!S239&gt;=Законод!$H$18,Законод!$G$20,0)))),IF($B$235="Лікар-терапевт",IF(S239&lt;Законод!$C$26,0,(IF(AND(S239&gt;=Законод!$G$26,S239&lt;=Законод!$G$27),S239-Законод!$F$27,IF('01_Доходи'!S239&gt;=Законод!$H$26,Законод!$G$28,0)))),0)))</f>
        <v>0</v>
      </c>
      <c r="T243" s="945"/>
      <c r="U243" s="940" t="s">
        <v>346</v>
      </c>
      <c r="V243" s="940"/>
      <c r="W243" s="940"/>
      <c r="X243" s="940"/>
      <c r="Y243" s="940"/>
      <c r="Z243" s="196">
        <f ca="1">IF($B$235="Лікар загальної практики - сімейний лікар",IF(Z239&lt;Законод!$C$22,0,(IF(AND(Z239&gt;=Законод!$G$22,Z239&lt;=Законод!$G$23),Z239-Законод!$F$23,IF('01_Доходи'!Z239&gt;=Законод!$H$22,Законод!$G$24,0)))),IF($B$235="Лікар-педіатр",IF(Z239&lt;Законод!$C$18,0,(IF(AND(Z239&gt;=Законод!$G$18,Z239&lt;=Законод!$G$19),Z239-Законод!$F$19,IF('01_Доходи'!Z239&gt;=Законод!$H$18,Законод!$G$20,0)))),IF($B$235="Лікар-терапевт",IF(Z239&lt;Законод!$C$26,0,(IF(AND(Z239&gt;=Законод!$G$26,Z239&lt;=Законод!$G$27),Z239-Законод!$F$27,IF('01_Доходи'!Z239&gt;=Законод!$H$26,Законод!$G$28,0)))),0)))</f>
        <v>0</v>
      </c>
      <c r="AA243" s="945"/>
      <c r="AB243" s="940" t="s">
        <v>346</v>
      </c>
      <c r="AC243" s="940"/>
      <c r="AD243" s="940"/>
      <c r="AE243" s="940"/>
      <c r="AF243" s="940"/>
      <c r="AG243" s="196">
        <f ca="1">IF($B$235="Лікар загальної практики - сімейний лікар",IF(AG239&lt;Законод!$C$22,0,(IF(AND(AG239&gt;=Законод!$G$22,AG239&lt;=Законод!$G$23),AG239-Законод!$F$23,IF('01_Доходи'!AG239&gt;=Законод!$H$22,Законод!$G$24,0)))),IF($B$235="Лікар-педіатр",IF(AG239&lt;Законод!$C$18,0,(IF(AND(AG239&gt;=Законод!$G$18,AG239&lt;=Законод!$G$19),AG239-Законод!$F$19,IF('01_Доходи'!AG239&gt;=Законод!$H$18,Законод!$G$20,0)))),IF($B$235="Лікар-терапевт",IF(AG239&lt;Законод!$C$26,0,(IF(AND(AG239&gt;=Законод!$G$26,AG239&lt;=Законод!$G$27),AG239-Законод!$F$27,IF('01_Доходи'!AG239&gt;=Законод!$H$26,Законод!$G$28,0)))),0)))</f>
        <v>0</v>
      </c>
      <c r="AH243" s="945"/>
      <c r="AI243" s="201"/>
      <c r="AJ243" s="933"/>
      <c r="AK243" s="927"/>
      <c r="AL243" s="927"/>
      <c r="AM243" s="899"/>
      <c r="AN243" s="210">
        <f ca="1">IF(B235="Лікар загальної практики - сімейний лікар",L243*Законод!$C$9/4*Законод!$G$16,IF(B235="Лікар-педіатр",L243*Законод!$C$9/4*Законод!$G$16,IF(B235="Лікар-терапевт",L243*Законод!$C$9/4*Законод!$G$16,0)))</f>
        <v>0</v>
      </c>
      <c r="AO243" s="210">
        <f ca="1">IF(B235="Лікар загальної практики - сімейний лікар",S243*Законод!$C$9/4*Законод!$G$16,IF(B235="Лікар-педіатр",S243*Законод!$C$9/4*Законод!$G$16,IF(B235="Лікар-терапевт",S243*Законод!$C$9/4*Законод!$G$16,0)))</f>
        <v>0</v>
      </c>
      <c r="AP243" s="210">
        <f ca="1">IF(B235="Лікар загальної практики - сімейний лікар",Z243*Законод!$C$9/4*Законод!$G$16,IF(B235="Лікар-педіатр",Z243*Законод!$C$9/4*Законод!$G$16,IF(B235="Лікар-терапевт",Z243*Законод!$C$9/4*Законод!$G$16,0)))</f>
        <v>0</v>
      </c>
      <c r="AQ243" s="210">
        <f ca="1">IF(B235="Лікар загальної практики - сімейний лікар",AG243*Законод!$C$9/4*Законод!$G$16,IF(B235="Лікар-педіатр",AG243*Законод!$C$9/4*Законод!$G$16,IF(B235="Лікар-терапевт",AG243*Законод!$C$9/4*Законод!$G$16,0)))</f>
        <v>0</v>
      </c>
      <c r="AR243" s="211">
        <f t="shared" si="33"/>
        <v>0</v>
      </c>
    </row>
    <row r="244" spans="1:44" s="50" customFormat="1" ht="31.9" customHeight="1">
      <c r="A244" s="197"/>
      <c r="B244" s="941"/>
      <c r="C244" s="942"/>
      <c r="D244" s="943"/>
      <c r="E244" s="943"/>
      <c r="F244" s="238" t="str">
        <f ca="1">IF(B235="Лікар-педіатр",Законод!$H$17,IF(B235="Лікар загальної практики - сімейний лікар",Законод!$H$21,IF(B235="Лікар-терапевт",Законод!$H$25,"х")))</f>
        <v>понад ліміт (2601-2800)</v>
      </c>
      <c r="G244" s="940" t="s">
        <v>346</v>
      </c>
      <c r="H244" s="940"/>
      <c r="I244" s="940"/>
      <c r="J244" s="940"/>
      <c r="K244" s="940"/>
      <c r="L244" s="196">
        <f ca="1">IF($B$235="Лікар загальної практики - сімейний лікар",IF(L239&lt;Законод!$C$22,0,(IF(AND(L239&gt;=Законод!$H$22,L239&lt;=Законод!$H$23),L239-Законод!$G$23,IF('01_Доходи'!L239&gt;=Законод!$I$22,Законод!$H$24,0)))),IF($B$235="Лікар-педіатр",IF(L239&lt;Законод!$C$18,0,(IF(AND(L239&gt;=Законод!$H$18,L239&lt;=Законод!$H$19),L239-Законод!$G$19,IF('01_Доходи'!L239&gt;=Законод!$I$18,Законод!$H$20,0)))),IF($B$235="Лікар-терапевт",IF(L239&lt;Законод!$C$26,0,(IF(AND(L239&gt;=Законод!$H$26,L239&lt;=Законод!$H$27),L239-Законод!$G$27,IF(L239&gt;=Законод!$I$26,Законод!$H$28,0)))),0)))</f>
        <v>0</v>
      </c>
      <c r="M244" s="945"/>
      <c r="N244" s="940" t="s">
        <v>346</v>
      </c>
      <c r="O244" s="940"/>
      <c r="P244" s="940"/>
      <c r="Q244" s="940"/>
      <c r="R244" s="940"/>
      <c r="S244" s="196">
        <f ca="1">IF($B$235="Лікар загальної практики - сімейний лікар",IF(S239&lt;Законод!$C$22,0,(IF(AND(S239&gt;=Законод!$H$22,S239&lt;=Законод!$H$23),S239-Законод!$G$23,IF('01_Доходи'!S239&gt;=Законод!$I$22,Законод!$H$24,0)))),IF($B$235="Лікар-педіатр",IF(S239&lt;Законод!$C$18,0,(IF(AND(S239&gt;=Законод!$H$18,S239&lt;=Законод!$H$19),S239-Законод!$G$19,IF('01_Доходи'!S239&gt;=Законод!$I$18,Законод!$H$20,0)))),IF($B$235="Лікар-терапевт",IF(S239&lt;Законод!$C$26,0,(IF(AND(S239&gt;=Законод!$H$26,S239&lt;=Законод!$H$27),S239-Законод!$G$27,IF(S239&gt;=Законод!$I$26,Законод!$H$28,0)))),0)))</f>
        <v>0</v>
      </c>
      <c r="T244" s="945"/>
      <c r="U244" s="940" t="s">
        <v>346</v>
      </c>
      <c r="V244" s="940"/>
      <c r="W244" s="940"/>
      <c r="X244" s="940"/>
      <c r="Y244" s="940"/>
      <c r="Z244" s="196">
        <f ca="1">IF($B$235="Лікар загальної практики - сімейний лікар",IF(Z239&lt;Законод!$C$22,0,(IF(AND(Z239&gt;=Законод!$H$22,Z239&lt;=Законод!$H$23),Z239-Законод!$G$23,IF('01_Доходи'!Z239&gt;=Законод!$I$22,Законод!$H$24,0)))),IF($B$235="Лікар-педіатр",IF(Z239&lt;Законод!$C$18,0,(IF(AND(Z239&gt;=Законод!$H$18,Z239&lt;=Законод!$H$19),Z239-Законод!$G$19,IF('01_Доходи'!Z239&gt;=Законод!$I$18,Законод!$H$20,0)))),IF($B$235="Лікар-терапевт",IF(Z239&lt;Законод!$C$26,0,(IF(AND(Z239&gt;=Законод!$H$26,Z239&lt;=Законод!$H$27),Z239-Законод!$G$27,IF(Z239&gt;=Законод!$I$26,Законод!$H$28,0)))),0)))</f>
        <v>0</v>
      </c>
      <c r="AA244" s="945"/>
      <c r="AB244" s="940" t="s">
        <v>346</v>
      </c>
      <c r="AC244" s="940"/>
      <c r="AD244" s="940"/>
      <c r="AE244" s="940"/>
      <c r="AF244" s="940"/>
      <c r="AG244" s="196">
        <f ca="1">IF($B$235="Лікар загальної практики - сімейний лікар",IF(AG239&lt;Законод!$C$22,0,(IF(AND(AG239&gt;=Законод!$H$22,AG239&lt;=Законод!$H$23),AG239-Законод!$G$23,IF('01_Доходи'!AG239&gt;=Законод!$I$22,Законод!$H$24,0)))),IF($B$235="Лікар-педіатр",IF(AG239&lt;Законод!$C$18,0,(IF(AND(AG239&gt;=Законод!$H$18,AG239&lt;=Законод!$H$19),AG239-Законод!$G$19,IF('01_Доходи'!AG239&gt;=Законод!$I$18,Законод!$H$20,0)))),IF($B$235="Лікар-терапевт",IF(AG239&lt;Законод!$C$26,0,(IF(AND(AG239&gt;=Законод!$H$26,AG239&lt;=Законод!$H$27),AG239-Законод!$G$27,IF(AG239&gt;=Законод!$I$26,Законод!$H$28,0)))),0)))</f>
        <v>0</v>
      </c>
      <c r="AH244" s="945"/>
      <c r="AI244" s="201"/>
      <c r="AJ244" s="933"/>
      <c r="AK244" s="927"/>
      <c r="AL244" s="927"/>
      <c r="AM244" s="899"/>
      <c r="AN244" s="210">
        <f ca="1">IF(B235="Лікар загальної практики - сімейний лікар",L244*Законод!$C$9/4*Законод!$H$16,IF(B235="Лікар-педіатр",L244*Законод!$C$9/4*Законод!$H$16,IF(B235="Лікар-терапевт",L244*Законод!$C$9/4*Законод!$H$16,0)))</f>
        <v>0</v>
      </c>
      <c r="AO244" s="210">
        <f ca="1">IF(B235="Лікар загальної практики - сімейний лікар",S244*Законод!$C$9/4*Законод!$H$16,IF(B235="Лікар-педіатр",S244*Законод!$C$9/4*Законод!$H$16,IF(B235="Лікар-терапевт",S244*Законод!$C$9/4*Законод!$H$16,0)))</f>
        <v>0</v>
      </c>
      <c r="AP244" s="210">
        <f ca="1">IF(B235="Лікар загальної практики - сімейний лікар",Z244*Законод!$C$9/4*Законод!$H$16,IF(B235="Лікар-педіатр",Z244*Законод!$C$9/4*Законод!$H$16,IF(B235="Лікар-терапевт",Z244*Законод!$C$9/4*Законод!$H$16,0)))</f>
        <v>0</v>
      </c>
      <c r="AQ244" s="210">
        <f ca="1">IF(B235="Лікар загальної практики - сімейний лікар",AG244*Законод!$C$9/4*Законод!$H$16,IF(B235="Лікар-педіатр",AG244*Законод!$C$9/4*Законод!$H$16,IF(B235="Лікар-терапевт",AG244*Законод!$C$9/4*Законод!$H$16,0)))</f>
        <v>0</v>
      </c>
      <c r="AR244" s="211">
        <f t="shared" si="33"/>
        <v>0</v>
      </c>
    </row>
    <row r="245" spans="1:44" s="50" customFormat="1" ht="31.9" customHeight="1">
      <c r="A245" s="197"/>
      <c r="B245" s="941"/>
      <c r="C245" s="942"/>
      <c r="D245" s="943"/>
      <c r="E245" s="943"/>
      <c r="F245" s="238" t="str">
        <f ca="1">IF(B235="Лікар-педіатр",Законод!$I$17,IF(B235="Лікар загальної практики - сімейний лікар",Законод!$I$21,IF(B235="Лікар-терапевт",Законод!$I$25,"х")))</f>
        <v>понад ліміт (2801-3000)</v>
      </c>
      <c r="G245" s="940" t="s">
        <v>346</v>
      </c>
      <c r="H245" s="940"/>
      <c r="I245" s="940"/>
      <c r="J245" s="940"/>
      <c r="K245" s="940"/>
      <c r="L245" s="196">
        <f ca="1">IF($B$235="Лікар загальної практики - сімейний лікар",IF(L239&lt;Законод!$C$22,0,(IF(AND(L239&gt;=Законод!$I$22,L239&lt;=Законод!$I$23),L239-Законод!$H$23,IF('01_Доходи'!L239&gt;=Законод!$I$22,Законод!$I$24,0)))),IF($B$235="Лікар-педіатр",IF(L239&lt;Законод!$C$18,0,(IF(AND(L239&gt;=Законод!$I$18,L239&lt;=Законод!$I$19),L239-Законод!$H$19,IF('01_Доходи'!L239&gt;=Законод!$I$18,Законод!$H$20,0)))),IF($B$235="Лікар-терапевт",IF(L239&lt;Законод!$C$26,0,(IF(AND(L239&gt;=Законод!$I$26,L239&lt;=Законод!$I$27),L239-Законод!$H$27,IF('01_Доходи'!L239&gt;=Законод!$I$26,Законод!$H$28,0)))),0)))</f>
        <v>0</v>
      </c>
      <c r="M245" s="945"/>
      <c r="N245" s="940" t="s">
        <v>346</v>
      </c>
      <c r="O245" s="940"/>
      <c r="P245" s="940"/>
      <c r="Q245" s="940"/>
      <c r="R245" s="940"/>
      <c r="S245" s="196">
        <f ca="1">IF($B$235="Лікар загальної практики - сімейний лікар",IF(S239&lt;Законод!$C$22,0,(IF(AND(S239&gt;=Законод!$I$22,S239&lt;=Законод!$I$23),S239-Законод!$H$23,IF('01_Доходи'!S239&gt;=Законод!$I$22,Законод!$I$24,0)))),IF($B$235="Лікар-педіатр",IF(S239&lt;Законод!$C$18,0,(IF(AND(S239&gt;=Законод!$I$18,S239&lt;=Законод!$I$19),S239-Законод!$H$19,IF('01_Доходи'!S239&gt;=Законод!$I$18,Законод!$H$20,0)))),IF($B$235="Лікар-терапевт",IF(S239&lt;Законод!$C$26,0,(IF(AND(S239&gt;=Законод!$I$26,S239&lt;=Законод!$I$27),S239-Законод!$H$27,IF('01_Доходи'!S239&gt;=Законод!$I$26,Законод!$H$28,0)))),0)))</f>
        <v>0</v>
      </c>
      <c r="T245" s="945"/>
      <c r="U245" s="940" t="s">
        <v>346</v>
      </c>
      <c r="V245" s="940"/>
      <c r="W245" s="940"/>
      <c r="X245" s="940"/>
      <c r="Y245" s="940"/>
      <c r="Z245" s="196">
        <f ca="1">IF($B$235="Лікар загальної практики - сімейний лікар",IF(Z239&lt;Законод!$C$22,0,(IF(AND(Z239&gt;=Законод!$I$22,Z239&lt;=Законод!$I$23),Z239-Законод!$H$23,IF('01_Доходи'!Z239&gt;=Законод!$I$22,Законод!$I$24,0)))),IF($B$235="Лікар-педіатр",IF(Z239&lt;Законод!$C$18,0,(IF(AND(Z239&gt;=Законод!$I$18,Z239&lt;=Законод!$I$19),Z239-Законод!$H$19,IF('01_Доходи'!Z239&gt;=Законод!$I$18,Законод!$H$20,0)))),IF($B$235="Лікар-терапевт",IF(Z239&lt;Законод!$C$26,0,(IF(AND(Z239&gt;=Законод!$I$26,Z239&lt;=Законод!$I$27),Z239-Законод!$H$27,IF('01_Доходи'!Z239&gt;=Законод!$I$26,Законод!$H$28,0)))),0)))</f>
        <v>0</v>
      </c>
      <c r="AA245" s="945"/>
      <c r="AB245" s="940" t="s">
        <v>346</v>
      </c>
      <c r="AC245" s="940"/>
      <c r="AD245" s="940"/>
      <c r="AE245" s="940"/>
      <c r="AF245" s="940"/>
      <c r="AG245" s="196">
        <f ca="1">IF($B$235="Лікар загальної практики - сімейний лікар",IF(AG239&lt;Законод!$C$22,0,(IF(AND(AG239&gt;=Законод!$I$22,AG239&lt;=Законод!$I$23),AG239-Законод!$H$23,IF('01_Доходи'!AG239&gt;=Законод!$I$22,Законод!$I$24,0)))),IF($B$235="Лікар-педіатр",IF(AG239&lt;Законод!$C$18,0,(IF(AND(AG239&gt;=Законод!$I$18,AG239&lt;=Законод!$I$19),AG239-Законод!$H$19,IF('01_Доходи'!AG239&gt;=Законод!$I$18,Законод!$H$20,0)))),IF($B$235="Лікар-терапевт",IF(AG239&lt;Законод!$C$26,0,(IF(AND(AG239&gt;=Законод!$I$26,AG239&lt;=Законод!$I$27),AG239-Законод!$H$27,IF('01_Доходи'!AG239&gt;=Законод!$I$26,Законод!$H$28,0)))),0)))</f>
        <v>0</v>
      </c>
      <c r="AH245" s="945"/>
      <c r="AI245" s="201"/>
      <c r="AJ245" s="933"/>
      <c r="AK245" s="927"/>
      <c r="AL245" s="927"/>
      <c r="AM245" s="899"/>
      <c r="AN245" s="210">
        <f ca="1">IF(B235="Лікар загальної практики - сімейний лікар",L245*Законод!$C$9/4*Законод!$I$16,IF(B235="Лікар-педіатр",L245*Законод!$C$9/4*Законод!$I$16,IF(B235="Лікар-терапевт",L245*Законод!$C$9/4*Законод!$I$16,0)))</f>
        <v>0</v>
      </c>
      <c r="AO245" s="210">
        <f ca="1">IF(B235="Лікар загальної практики - сімейний лікар",S245*Законод!$C$9/4*Законод!$I$16,IF(B235="Лікар-педіатр",S245*Законод!$C$9/4*Законод!$I$16,IF(B235="Лікар-терапевт",S245*Законод!$C$9/4*Законод!$I$16,0)))</f>
        <v>0</v>
      </c>
      <c r="AP245" s="210">
        <f ca="1">IF(B235="Лікар загальної практики - сімейний лікар",Z245*Законод!$C$9/4*Законод!$I$16,IF(B235="Лікар-педіатр",Z245*Законод!$C$9/4*Законод!$I$16,IF(B235="Лікар-терапевт",Z245*Законод!$C$9/4*Законод!$I$16,0)))</f>
        <v>0</v>
      </c>
      <c r="AQ245" s="210">
        <f ca="1">IF(B235="Лікар загальної практики - сімейний лікар",AG245*Законод!$C$9/4*Законод!$I$16,IF(B235="Лікар-педіатр",AG245*Законод!$C$9/4*Законод!$I$16,IF(B235="Лікар-терапевт",AG245*Законод!$C$9/4*Законод!$I$16,0)))</f>
        <v>0</v>
      </c>
      <c r="AR245" s="211">
        <f t="shared" si="33"/>
        <v>0</v>
      </c>
    </row>
    <row r="246" spans="1:44" s="218" customFormat="1" ht="31.9" customHeight="1" thickBot="1">
      <c r="A246" s="213"/>
      <c r="B246" s="941"/>
      <c r="C246" s="942"/>
      <c r="D246" s="943"/>
      <c r="E246" s="943"/>
      <c r="F246" s="239" t="str">
        <f ca="1">IF(B235="Лікар-педіатр",Законод!$J$17,IF(B235="Лікар загальної практики - сімейний лікар",Законод!$J$21,IF(B235="Лікар-терапевт",Законод!$J$25,"х")))</f>
        <v>понад ліміт (&gt;=3001)</v>
      </c>
      <c r="G246" s="939" t="s">
        <v>346</v>
      </c>
      <c r="H246" s="939"/>
      <c r="I246" s="939"/>
      <c r="J246" s="939"/>
      <c r="K246" s="939"/>
      <c r="L246" s="196">
        <f ca="1">IF($B$235="Лікар загальної практики - сімейний лікар",IF(L239&gt;=Законод!$J$22,'01_Доходи'!L239-('01_Доходи'!L240+'01_Доходи'!L241+'01_Доходи'!L242+'01_Доходи'!L243+'01_Доходи'!L244+'01_Доходи'!L245),0),IF($B$235="Лікар-педіатр",IF(L239&gt;=Законод!$J$18,'01_Доходи'!L239-('01_Доходи'!L240+'01_Доходи'!L241+'01_Доходи'!L242+'01_Доходи'!L243+'01_Доходи'!L244+'01_Доходи'!L245),0),IF($B$235="Лікар-терапевт",IF('01_Доходи'!L239&gt;=Законод!$J$26,L239-Законод!$I$27,0),0)))</f>
        <v>0</v>
      </c>
      <c r="M246" s="945"/>
      <c r="N246" s="939" t="s">
        <v>346</v>
      </c>
      <c r="O246" s="939"/>
      <c r="P246" s="939"/>
      <c r="Q246" s="939"/>
      <c r="R246" s="939"/>
      <c r="S246" s="196">
        <f ca="1">IF($B$235="Лікар загальної практики - сімейний лікар",IF(S239&gt;=Законод!$J$22,'01_Доходи'!S239-('01_Доходи'!S240+'01_Доходи'!S241+'01_Доходи'!S242+'01_Доходи'!S243+'01_Доходи'!S244+'01_Доходи'!S245),0),IF($B$235="Лікар-педіатр",IF(S239&gt;=Законод!$J$18,'01_Доходи'!S239-('01_Доходи'!S240+'01_Доходи'!S241+'01_Доходи'!S242+'01_Доходи'!S243+'01_Доходи'!S244+'01_Доходи'!S245),0),IF($B$235="Лікар-терапевт",IF('01_Доходи'!S239&gt;=Законод!$J$26,S239-Законод!$I$27,0),0)))</f>
        <v>0</v>
      </c>
      <c r="T246" s="945"/>
      <c r="U246" s="939" t="s">
        <v>346</v>
      </c>
      <c r="V246" s="939"/>
      <c r="W246" s="939"/>
      <c r="X246" s="939"/>
      <c r="Y246" s="939"/>
      <c r="Z246" s="196">
        <f ca="1">IF($B$235="Лікар загальної практики - сімейний лікар",IF(Z239&gt;=Законод!$J$22,'01_Доходи'!Z239-('01_Доходи'!Z240+'01_Доходи'!Z241+'01_Доходи'!Z242+'01_Доходи'!Z243+'01_Доходи'!Z244+'01_Доходи'!Z245),0),IF($B$235="Лікар-педіатр",IF(Z239&gt;=Законод!$J$18,'01_Доходи'!Z239-('01_Доходи'!Z240+'01_Доходи'!Z241+'01_Доходи'!Z242+'01_Доходи'!Z243+'01_Доходи'!Z244+'01_Доходи'!Z245),0),IF($B$235="Лікар-терапевт",IF('01_Доходи'!Z239&gt;=Законод!$J$26,Z239-Законод!$I$27,0),0)))</f>
        <v>0</v>
      </c>
      <c r="AA246" s="945"/>
      <c r="AB246" s="939" t="s">
        <v>346</v>
      </c>
      <c r="AC246" s="939"/>
      <c r="AD246" s="939"/>
      <c r="AE246" s="939"/>
      <c r="AF246" s="939"/>
      <c r="AG246" s="196">
        <f ca="1">IF($B$235="Лікар загальної практики - сімейний лікар",IF(AG239&gt;=Законод!$J$22,'01_Доходи'!AG239-('01_Доходи'!AG240+'01_Доходи'!AG241+'01_Доходи'!AG242+'01_Доходи'!AG243+'01_Доходи'!AG244+'01_Доходи'!AG245),0),IF($B$235="Лікар-педіатр",IF(AG239&gt;=Законод!$J$18,'01_Доходи'!AG239-('01_Доходи'!AG240+'01_Доходи'!AG241+'01_Доходи'!AG242+'01_Доходи'!AG243+'01_Доходи'!AG244+'01_Доходи'!AG245),0),IF($B$235="Лікар-терапевт",IF('01_Доходи'!AG239&gt;=Законод!$J$26,AG239-Законод!$I$27,0),0)))</f>
        <v>0</v>
      </c>
      <c r="AH246" s="945"/>
      <c r="AI246" s="215"/>
      <c r="AJ246" s="934"/>
      <c r="AK246" s="928"/>
      <c r="AL246" s="928"/>
      <c r="AM246" s="900"/>
      <c r="AN246" s="216">
        <f ca="1">IF(B235="Лікар загальної практики - сімейний лікар",L246*Законод!$C$9/4*Законод!$J$16,IF(B235="Лікар-педіатр",L246*Законод!$C$9/4*Законод!$J$16,IF(B235="Лікар-терапевт",L246*Законод!$C$9/4*Законод!$J$16,0)))</f>
        <v>0</v>
      </c>
      <c r="AO246" s="216">
        <f ca="1">IF(B235="Лікар загальної практики - сімейний лікар",S246*Законод!$C$9/4*Законод!$J$16,IF(B235="Лікар-педіатр",S246*Законод!$C$9/4*Законод!$J$16,IF(B235="Лікар-терапевт",S246*Законод!$C$9/4*Законод!$J$16,0)))</f>
        <v>0</v>
      </c>
      <c r="AP246" s="216">
        <f ca="1">IF(B235="Лікар загальної практики - сімейний лікар",S246*Законод!$C$9/4*Законод!$J$16,IF(B235="Лікар-педіатр",S246*Законод!$C$9/4*Законод!$J$16,IF(B235="Лікар-терапевт",S246*Законод!$C$9/4*Законод!$J$16,0)))</f>
        <v>0</v>
      </c>
      <c r="AQ246" s="216">
        <f ca="1">IF(B235="Лікар загальної практики - сімейний лікар",AG246*Законод!$C$9/4*Законод!$J$16,IF(B235="Лікар-педіатр",AG246*Законод!$C$9/4*Законод!$J$16,IF(B235="Лікар-терапевт",AG246*Законод!$C$9/4*Законод!$J$16,0)))</f>
        <v>0</v>
      </c>
      <c r="AR246" s="217">
        <f t="shared" si="33"/>
        <v>0</v>
      </c>
    </row>
    <row r="247" spans="1:44" s="247" customFormat="1" ht="23.45" customHeight="1" thickBot="1">
      <c r="A247" s="243"/>
      <c r="B247" s="244"/>
      <c r="C247" s="244"/>
      <c r="D247" s="244"/>
      <c r="E247" s="244"/>
      <c r="F247" s="245"/>
      <c r="G247" s="246"/>
      <c r="H247" s="246"/>
      <c r="L247" s="248"/>
      <c r="S247" s="248"/>
      <c r="Z247" s="248"/>
      <c r="AG247" s="248"/>
      <c r="AM247" s="249"/>
      <c r="AR247" s="250"/>
    </row>
    <row r="248" spans="1:44" s="191" customFormat="1" ht="27.6" customHeight="1">
      <c r="A248" s="194">
        <f>A235+1</f>
        <v>17</v>
      </c>
      <c r="B248" s="941" t="s">
        <v>237</v>
      </c>
      <c r="C248" s="942" t="s">
        <v>119</v>
      </c>
      <c r="D248" s="943"/>
      <c r="E248" s="943" t="str">
        <f>E235</f>
        <v>Рожищенська АЗПСМ №1</v>
      </c>
      <c r="F248" s="234" t="s">
        <v>582</v>
      </c>
      <c r="G248" s="196">
        <v>130</v>
      </c>
      <c r="H248" s="196">
        <v>161</v>
      </c>
      <c r="I248" s="196">
        <v>0</v>
      </c>
      <c r="J248" s="196">
        <v>0</v>
      </c>
      <c r="K248" s="196">
        <v>0</v>
      </c>
      <c r="L248" s="558">
        <f t="shared" ref="L248:L253" si="34">SUM(G248:K248)</f>
        <v>291</v>
      </c>
      <c r="M248" s="945">
        <v>1</v>
      </c>
      <c r="N248" s="196">
        <v>114</v>
      </c>
      <c r="O248" s="196">
        <v>161</v>
      </c>
      <c r="P248" s="196">
        <v>0</v>
      </c>
      <c r="Q248" s="196">
        <v>0</v>
      </c>
      <c r="R248" s="196">
        <v>0</v>
      </c>
      <c r="S248" s="558">
        <f t="shared" ref="S248:S253" si="35">SUM(N248:R248)</f>
        <v>275</v>
      </c>
      <c r="T248" s="945">
        <v>1</v>
      </c>
      <c r="U248" s="196">
        <v>114</v>
      </c>
      <c r="V248" s="196">
        <v>161</v>
      </c>
      <c r="W248" s="196">
        <v>0</v>
      </c>
      <c r="X248" s="196">
        <v>0</v>
      </c>
      <c r="Y248" s="196">
        <v>0</v>
      </c>
      <c r="Z248" s="558">
        <f t="shared" ref="Z248:Z253" si="36">SUM(U248:Y248)</f>
        <v>275</v>
      </c>
      <c r="AA248" s="945">
        <v>1</v>
      </c>
      <c r="AB248" s="196">
        <v>114</v>
      </c>
      <c r="AC248" s="196">
        <v>161</v>
      </c>
      <c r="AD248" s="196">
        <v>0</v>
      </c>
      <c r="AE248" s="196">
        <v>0</v>
      </c>
      <c r="AF248" s="196">
        <v>0</v>
      </c>
      <c r="AG248" s="558">
        <f t="shared" ref="AG248:AG253" si="37">SUM(AB248:AF248)</f>
        <v>275</v>
      </c>
      <c r="AH248" s="945">
        <v>1</v>
      </c>
      <c r="AI248" s="541">
        <f>A248</f>
        <v>17</v>
      </c>
      <c r="AJ248" s="932" t="str">
        <f>B248</f>
        <v>Лікар-педіатр</v>
      </c>
      <c r="AK248" s="926" t="str">
        <f>C248</f>
        <v>Ющук Ксенія Вікторівна</v>
      </c>
      <c r="AL248" s="926">
        <f>D248</f>
        <v>0</v>
      </c>
      <c r="AM248" s="901" t="s">
        <v>785</v>
      </c>
      <c r="AN248" s="923">
        <f>SUM(AN253:AN259)</f>
        <v>100784.15580833334</v>
      </c>
      <c r="AO248" s="923">
        <f>SUM(AO253:AO259)</f>
        <v>98198.699475000001</v>
      </c>
      <c r="AP248" s="923">
        <f>SUM(AP253:AP259)</f>
        <v>98198.699475000001</v>
      </c>
      <c r="AQ248" s="923">
        <f>SUM(AQ253:AQ259)</f>
        <v>98198.699475000001</v>
      </c>
      <c r="AR248" s="914">
        <f>SUM(AN248:AQ252)</f>
        <v>395380.2542333334</v>
      </c>
    </row>
    <row r="249" spans="1:44" s="50" customFormat="1" ht="28.15" customHeight="1">
      <c r="A249" s="197"/>
      <c r="B249" s="941"/>
      <c r="C249" s="942"/>
      <c r="D249" s="943"/>
      <c r="E249" s="943"/>
      <c r="F249" s="234" t="s">
        <v>583</v>
      </c>
      <c r="G249" s="196">
        <v>114</v>
      </c>
      <c r="H249" s="196">
        <v>161</v>
      </c>
      <c r="I249" s="196">
        <v>0</v>
      </c>
      <c r="J249" s="196">
        <v>0</v>
      </c>
      <c r="K249" s="196">
        <v>0</v>
      </c>
      <c r="L249" s="558">
        <f t="shared" si="34"/>
        <v>275</v>
      </c>
      <c r="M249" s="945"/>
      <c r="N249" s="196">
        <v>114</v>
      </c>
      <c r="O249" s="196">
        <v>161</v>
      </c>
      <c r="P249" s="196">
        <v>0</v>
      </c>
      <c r="Q249" s="196">
        <v>0</v>
      </c>
      <c r="R249" s="196">
        <v>0</v>
      </c>
      <c r="S249" s="558">
        <f t="shared" si="35"/>
        <v>275</v>
      </c>
      <c r="T249" s="945"/>
      <c r="U249" s="196">
        <v>114</v>
      </c>
      <c r="V249" s="196">
        <v>161</v>
      </c>
      <c r="W249" s="196">
        <v>0</v>
      </c>
      <c r="X249" s="196">
        <v>0</v>
      </c>
      <c r="Y249" s="196">
        <v>0</v>
      </c>
      <c r="Z249" s="558">
        <f t="shared" si="36"/>
        <v>275</v>
      </c>
      <c r="AA249" s="945"/>
      <c r="AB249" s="196">
        <v>114</v>
      </c>
      <c r="AC249" s="196">
        <v>161</v>
      </c>
      <c r="AD249" s="196">
        <v>0</v>
      </c>
      <c r="AE249" s="196">
        <v>0</v>
      </c>
      <c r="AF249" s="196">
        <v>0</v>
      </c>
      <c r="AG249" s="558">
        <f t="shared" si="37"/>
        <v>275</v>
      </c>
      <c r="AH249" s="945"/>
      <c r="AI249" s="198"/>
      <c r="AJ249" s="933"/>
      <c r="AK249" s="927"/>
      <c r="AL249" s="927"/>
      <c r="AM249" s="902"/>
      <c r="AN249" s="924"/>
      <c r="AO249" s="924"/>
      <c r="AP249" s="924"/>
      <c r="AQ249" s="924"/>
      <c r="AR249" s="915"/>
    </row>
    <row r="250" spans="1:44" s="90" customFormat="1" ht="31.15" customHeight="1">
      <c r="A250" s="240"/>
      <c r="B250" s="941"/>
      <c r="C250" s="942"/>
      <c r="D250" s="943"/>
      <c r="E250" s="943"/>
      <c r="F250" s="241" t="s">
        <v>584</v>
      </c>
      <c r="G250" s="196">
        <v>114</v>
      </c>
      <c r="H250" s="196">
        <v>161</v>
      </c>
      <c r="I250" s="196">
        <v>0</v>
      </c>
      <c r="J250" s="196">
        <v>0</v>
      </c>
      <c r="K250" s="196">
        <v>0</v>
      </c>
      <c r="L250" s="558">
        <f t="shared" si="34"/>
        <v>275</v>
      </c>
      <c r="M250" s="945"/>
      <c r="N250" s="196">
        <v>114</v>
      </c>
      <c r="O250" s="196">
        <v>161</v>
      </c>
      <c r="P250" s="196">
        <v>0</v>
      </c>
      <c r="Q250" s="196">
        <v>0</v>
      </c>
      <c r="R250" s="196">
        <v>0</v>
      </c>
      <c r="S250" s="558">
        <f t="shared" si="35"/>
        <v>275</v>
      </c>
      <c r="T250" s="945"/>
      <c r="U250" s="196">
        <v>114</v>
      </c>
      <c r="V250" s="196">
        <v>161</v>
      </c>
      <c r="W250" s="196">
        <v>0</v>
      </c>
      <c r="X250" s="196">
        <v>0</v>
      </c>
      <c r="Y250" s="196">
        <v>0</v>
      </c>
      <c r="Z250" s="200">
        <f t="shared" si="36"/>
        <v>275</v>
      </c>
      <c r="AA250" s="945"/>
      <c r="AB250" s="196">
        <v>114</v>
      </c>
      <c r="AC250" s="196">
        <v>161</v>
      </c>
      <c r="AD250" s="199">
        <v>0</v>
      </c>
      <c r="AE250" s="199">
        <v>0</v>
      </c>
      <c r="AF250" s="199">
        <v>0</v>
      </c>
      <c r="AG250" s="558">
        <f t="shared" si="37"/>
        <v>275</v>
      </c>
      <c r="AH250" s="945"/>
      <c r="AI250" s="242"/>
      <c r="AJ250" s="933"/>
      <c r="AK250" s="927"/>
      <c r="AL250" s="927"/>
      <c r="AM250" s="902"/>
      <c r="AN250" s="924"/>
      <c r="AO250" s="924"/>
      <c r="AP250" s="924"/>
      <c r="AQ250" s="924"/>
      <c r="AR250" s="915"/>
    </row>
    <row r="251" spans="1:44" s="50" customFormat="1" ht="31.9" customHeight="1" thickBot="1">
      <c r="A251" s="197"/>
      <c r="B251" s="941"/>
      <c r="C251" s="942"/>
      <c r="D251" s="943"/>
      <c r="E251" s="943"/>
      <c r="F251" s="236" t="s">
        <v>349</v>
      </c>
      <c r="G251" s="203">
        <f>IF($B$248="Лікар-педіатр",G250/L250,IF($B$248="Лікар-терапевт","х",IF($B$248="Лікар загальної практики - сімейний лікар",G250/L250,0)))</f>
        <v>0.41454545454545455</v>
      </c>
      <c r="H251" s="203">
        <f>IF($B$248="Лікар-педіатр",H250/L250,IF($B$248="Лікар-терапевт","х",IF($B$248="Лікар загальної практики - сімейний лікар",H250/L250,0)))</f>
        <v>0.58545454545454545</v>
      </c>
      <c r="I251" s="203" t="str">
        <f>IF($B$248="Лікар-педіатр","x",IF($B$248="Лікар-терапевт",I250/L250,IF($B$248="Лікар загальної практики - сімейний лікар",I250/L250,0)))</f>
        <v>x</v>
      </c>
      <c r="J251" s="203" t="str">
        <f>IF($B$248="Лікар-педіатр","x",IF($B$248="Лікар-терапевт",J250/L250,IF($B$248="Лікар загальної практики - сімейний лікар",J250/L250,0)))</f>
        <v>x</v>
      </c>
      <c r="K251" s="203" t="str">
        <f>IF($B$248="Лікар-педіатр","x",IF($B$248="Лікар-терапевт",K250/L250,IF($B$248="Лікар загальної практики - сімейний лікар",K250/L250,0)))</f>
        <v>x</v>
      </c>
      <c r="L251" s="203">
        <f t="shared" si="34"/>
        <v>1</v>
      </c>
      <c r="M251" s="945"/>
      <c r="N251" s="203">
        <f>IF($B$248="Лікар-педіатр",N250/S250,IF($B$248="Лікар-терапевт","х",IF($B$248="Лікар загальної практики - сімейний лікар",N250/S250,0)))</f>
        <v>0.41454545454545455</v>
      </c>
      <c r="O251" s="203">
        <f>IF($B$248="Лікар-педіатр",O250/S250,IF($B$248="Лікар-терапевт","х",IF($B$248="Лікар загальної практики - сімейний лікар",O250/S250,0)))</f>
        <v>0.58545454545454545</v>
      </c>
      <c r="P251" s="203" t="str">
        <f>IF($B$248="Лікар-педіатр","x",IF($B$248="Лікар-терапевт",P250/S250,IF($B$248="Лікар загальної практики - сімейний лікар",P250/S250,0)))</f>
        <v>x</v>
      </c>
      <c r="Q251" s="203" t="str">
        <f>IF($B$248="Лікар-педіатр","x",IF($B$248="Лікар-терапевт",Q250/S250,IF($B$248="Лікар загальної практики - сімейний лікар",Q250/S250,0)))</f>
        <v>x</v>
      </c>
      <c r="R251" s="203" t="str">
        <f>IF($B$248="Лікар-педіатр","x",IF($B$248="Лікар-терапевт",R250/S250,IF($B$248="Лікар загальної практики - сімейний лікар",R250/S250,0)))</f>
        <v>x</v>
      </c>
      <c r="S251" s="203">
        <f t="shared" si="35"/>
        <v>1</v>
      </c>
      <c r="T251" s="945"/>
      <c r="U251" s="203">
        <f>IF($B$248="Лікар-педіатр",U250/Z250,IF($B$248="Лікар-терапевт","х",IF($B$248="Лікар загальної практики - сімейний лікар",U250/Z250,0)))</f>
        <v>0.41454545454545455</v>
      </c>
      <c r="V251" s="203">
        <f>IF($B$248="Лікар-педіатр",V250/Z250,IF($B$248="Лікар-терапевт","х",IF($B$248="Лікар загальної практики - сімейний лікар",V250/Z250,0)))</f>
        <v>0.58545454545454545</v>
      </c>
      <c r="W251" s="203" t="str">
        <f>IF($B$248="Лікар-педіатр","x",IF($B$248="Лікар-терапевт",W250/Z250,IF($B$248="Лікар загальної практики - сімейний лікар",W250/Z250,0)))</f>
        <v>x</v>
      </c>
      <c r="X251" s="203" t="str">
        <f>IF($B$248="Лікар-педіатр","x",IF($B$248="Лікар-терапевт",X250/Z250,IF($B$248="Лікар загальної практики - сімейний лікар",X250/Z250,0)))</f>
        <v>x</v>
      </c>
      <c r="Y251" s="203" t="str">
        <f>IF($B$248="Лікар-педіатр","x",IF($B$248="Лікар-терапевт",Y250/Z250,IF($B$248="Лікар загальної практики - сімейний лікар",Y250/Z250,0)))</f>
        <v>x</v>
      </c>
      <c r="Z251" s="203">
        <f t="shared" si="36"/>
        <v>1</v>
      </c>
      <c r="AA251" s="945"/>
      <c r="AB251" s="203">
        <f>IF($B$248="Лікар-педіатр",AB250/AG250,IF($B$248="Лікар-терапевт","х",IF($B$248="Лікар загальної практики - сімейний лікар",AB250/AG250,0)))</f>
        <v>0.41454545454545455</v>
      </c>
      <c r="AC251" s="203">
        <f>IF($B$248="Лікар-педіатр",AC250/AG250,IF($B$248="Лікар-терапевт","х",IF($B$248="Лікар загальної практики - сімейний лікар",AC250/AG250,0)))</f>
        <v>0.58545454545454545</v>
      </c>
      <c r="AD251" s="203" t="str">
        <f>IF($B$248="Лікар-педіатр","x",IF($B$248="Лікар-терапевт",AD250/AG250,IF($B$248="Лікар загальної практики - сімейний лікар",AD250/AG250,0)))</f>
        <v>x</v>
      </c>
      <c r="AE251" s="203" t="str">
        <f>IF($B$248="Лікар-педіатр","x",IF($B$248="Лікар-терапевт",AE250/AG250,IF($B$248="Лікар загальної практики - сімейний лікар",AE250/AG250,0)))</f>
        <v>x</v>
      </c>
      <c r="AF251" s="203" t="str">
        <f>IF($B$248="Лікар-педіатр","x",IF($B$248="Лікар-терапевт",AF250/AG250,IF($B$248="Лікар загальної практики - сімейний лікар",AF250/AG250,0)))</f>
        <v>x</v>
      </c>
      <c r="AG251" s="203">
        <f t="shared" si="37"/>
        <v>1</v>
      </c>
      <c r="AH251" s="945"/>
      <c r="AI251" s="201"/>
      <c r="AJ251" s="933"/>
      <c r="AK251" s="927"/>
      <c r="AL251" s="927"/>
      <c r="AM251" s="902"/>
      <c r="AN251" s="924"/>
      <c r="AO251" s="924"/>
      <c r="AP251" s="924"/>
      <c r="AQ251" s="924"/>
      <c r="AR251" s="915"/>
    </row>
    <row r="252" spans="1:44" s="50" customFormat="1" ht="45" customHeight="1" thickBot="1">
      <c r="A252" s="197"/>
      <c r="B252" s="941"/>
      <c r="C252" s="942"/>
      <c r="D252" s="943"/>
      <c r="E252" s="944"/>
      <c r="F252" s="204" t="s">
        <v>585</v>
      </c>
      <c r="G252" s="205">
        <f>IF($B$248="Лікар загальної практики - сімейний лікар",AVERAGE(G248:G250),IF($B$248="Лікар-педіатр",AVERAGE(G248:G250),IF($B$248="Лікар-терапевт","х",0)))</f>
        <v>119.33333333333333</v>
      </c>
      <c r="H252" s="205">
        <f>IF($B$248="Лікар загальної практики - сімейний лікар",AVERAGE(H248:H250),IF($B$248="Лікар-педіатр",AVERAGE(H248:H250),IF($B$248="Лікар-терапевт","х",0)))</f>
        <v>161</v>
      </c>
      <c r="I252" s="205" t="str">
        <f>IF($B$248="Лікар загальної практики - сімейний лікар",AVERAGE(I248:I250),IF($B$248="Лікар-педіатр","x",IF($B$248="Лікар-терапевт",AVERAGE(I248:I250),0)))</f>
        <v>x</v>
      </c>
      <c r="J252" s="205" t="str">
        <f>IF($B$248="Лікар загальної практики - сімейний лікар",AVERAGE(J248:J250),IF($B$248="Лікар-педіатр","x",IF($B$248="Лікар-терапевт",AVERAGE(J248:J250),0)))</f>
        <v>x</v>
      </c>
      <c r="K252" s="205" t="str">
        <f>IF($B$248="Лікар загальної практики - сімейний лікар",AVERAGE(K248:K250),IF($B$248="Лікар-педіатр","x",IF($B$248="Лікар-терапевт",AVERAGE(K248:K250),0)))</f>
        <v>x</v>
      </c>
      <c r="L252" s="206">
        <f t="shared" si="34"/>
        <v>280.33333333333331</v>
      </c>
      <c r="M252" s="946"/>
      <c r="N252" s="205">
        <f>IF($B$248="Лікар загальної практики - сімейний лікар",AVERAGE(N248:N250),IF($B$248="Лікар-педіатр",AVERAGE(N248:N250),IF($B$248="Лікар-терапевт","х",0)))</f>
        <v>114</v>
      </c>
      <c r="O252" s="205">
        <f>IF($B$248="Лікар загальної практики - сімейний лікар",AVERAGE(O248:O250),IF($B$248="Лікар-педіатр",AVERAGE(O248:O250),IF($B$248="Лікар-терапевт","х",0)))</f>
        <v>161</v>
      </c>
      <c r="P252" s="205" t="str">
        <f>IF($B$248="Лікар загальної практики - сімейний лікар",AVERAGE(P248:P250),IF($B$248="Лікар-педіатр","x",IF($B$248="Лікар-терапевт",AVERAGE(P248:P250),0)))</f>
        <v>x</v>
      </c>
      <c r="Q252" s="205" t="str">
        <f>IF($B$248="Лікар загальної практики - сімейний лікар",AVERAGE(Q248:Q250),IF($B$248="Лікар-педіатр","x",IF($B$248="Лікар-терапевт",AVERAGE(Q248:Q250),0)))</f>
        <v>x</v>
      </c>
      <c r="R252" s="205" t="str">
        <f>IF($B$248="Лікар загальної практики - сімейний лікар",AVERAGE(R248:R250),IF($B$248="Лікар-педіатр","x",IF($B$248="Лікар-терапевт",AVERAGE(R248:R250),0)))</f>
        <v>x</v>
      </c>
      <c r="S252" s="206">
        <f t="shared" si="35"/>
        <v>275</v>
      </c>
      <c r="T252" s="946"/>
      <c r="U252" s="205">
        <f>IF($B$248="Лікар загальної практики - сімейний лікар",AVERAGE(U248:U250),IF($B$248="Лікар-педіатр",AVERAGE(U248:U250),IF($B$248="Лікар-терапевт","х",0)))</f>
        <v>114</v>
      </c>
      <c r="V252" s="205">
        <f>IF($B$248="Лікар загальної практики - сімейний лікар",AVERAGE(V248:V250),IF($B$248="Лікар-педіатр",AVERAGE(V248:V250),IF($B$248="Лікар-терапевт","х",0)))</f>
        <v>161</v>
      </c>
      <c r="W252" s="205" t="str">
        <f>IF($B$248="Лікар загальної практики - сімейний лікар",AVERAGE(W248:W250),IF($B$248="Лікар-педіатр","x",IF($B$248="Лікар-терапевт",AVERAGE(W248:W250),0)))</f>
        <v>x</v>
      </c>
      <c r="X252" s="205" t="str">
        <f>IF($B$248="Лікар загальної практики - сімейний лікар",AVERAGE(X248:X250),IF($B$248="Лікар-педіатр","x",IF($B$248="Лікар-терапевт",AVERAGE(X248:X250),0)))</f>
        <v>x</v>
      </c>
      <c r="Y252" s="205" t="str">
        <f>IF($B$248="Лікар загальної практики - сімейний лікар",AVERAGE(Y248:Y250),IF($B$248="Лікар-педіатр","x",IF($B$248="Лікар-терапевт",AVERAGE(Y248:Y250),0)))</f>
        <v>x</v>
      </c>
      <c r="Z252" s="206">
        <f t="shared" si="36"/>
        <v>275</v>
      </c>
      <c r="AA252" s="946"/>
      <c r="AB252" s="205">
        <f>IF($B$248="Лікар загальної практики - сімейний лікар",AVERAGE(AB248:AB250),IF($B$248="Лікар-педіатр",AVERAGE(AB248:AB250),IF($B$248="Лікар-терапевт","х",0)))</f>
        <v>114</v>
      </c>
      <c r="AC252" s="205">
        <f>IF($B$248="Лікар загальної практики - сімейний лікар",AVERAGE(AC248:AC250),IF($B$248="Лікар-педіатр",AVERAGE(AC248:AC250),IF($B$248="Лікар-терапевт","х",0)))</f>
        <v>161</v>
      </c>
      <c r="AD252" s="205" t="str">
        <f>IF($B$248="Лікар загальної практики - сімейний лікар",AVERAGE(AD248:AD250),IF($B$248="Лікар-педіатр","x",IF($B$248="Лікар-терапевт",AVERAGE(AD248:AD250),0)))</f>
        <v>x</v>
      </c>
      <c r="AE252" s="205" t="str">
        <f>IF($B$248="Лікар загальної практики - сімейний лікар",AVERAGE(AE248:AE250),IF($B$248="Лікар-педіатр","x",IF($B$248="Лікар-терапевт",AVERAGE(AE248:AE250),0)))</f>
        <v>x</v>
      </c>
      <c r="AF252" s="205" t="str">
        <f>IF($B$248="Лікар загальної практики - сімейний лікар",AVERAGE(AF248:AF250),IF($B$248="Лікар-педіатр","x",IF($B$248="Лікар-терапевт",AVERAGE(AF248:AF250),0)))</f>
        <v>x</v>
      </c>
      <c r="AG252" s="206">
        <f t="shared" si="37"/>
        <v>275</v>
      </c>
      <c r="AH252" s="947"/>
      <c r="AI252" s="201"/>
      <c r="AJ252" s="933"/>
      <c r="AK252" s="927"/>
      <c r="AL252" s="927"/>
      <c r="AM252" s="903"/>
      <c r="AN252" s="925"/>
      <c r="AO252" s="925"/>
      <c r="AP252" s="925"/>
      <c r="AQ252" s="925"/>
      <c r="AR252" s="916"/>
    </row>
    <row r="253" spans="1:44" s="50" customFormat="1" ht="40.5">
      <c r="A253" s="197"/>
      <c r="B253" s="941"/>
      <c r="C253" s="942"/>
      <c r="D253" s="943"/>
      <c r="E253" s="943"/>
      <c r="F253" s="237" t="str">
        <f ca="1">IF(B248="Лікар-педіатр",Законод!$C$17,IF(B248="Лікар загальної практики - сімейний лікар",Законод!$C$21,IF(B248="Лікар-терапевт",Законод!$C$25,"х")))</f>
        <v>ліміт (до 900)</v>
      </c>
      <c r="G253" s="208">
        <f ca="1">IF($B$248="Лікар загальної практики - сімейний лікар",IF(L252&lt;=Законод!$C$22,G252,Законод!$C$22*'01_Доходи'!G251),IF($B$248="Лікар-педіатр",IF(L252&lt;=Законод!$C$18,G252,Законод!$C$18*'01_Доходи'!G251),IF($B$248="Лікар-терапевт","x",0)))</f>
        <v>119.33333333333333</v>
      </c>
      <c r="H253" s="208">
        <f ca="1">IF($B$248="Лікар загальної практики - сімейний лікар",IF(L252&lt;=Законод!$C$22,H252,Законод!$C$22*'01_Доходи'!H251),IF($B$248="Лікар-педіатр",IF(L252&lt;=Законод!$C$18,H252,Законод!$C$18*'01_Доходи'!H251),IF($B$248="Лікар-терапевт","x",0)))</f>
        <v>161</v>
      </c>
      <c r="I253" s="208" t="str">
        <f ca="1">IF($B$248="Лікар загальної практики - сімейний лікар",IF(L252&lt;=Законод!$C$22,I252,Законод!$C$22*'01_Доходи'!I251),IF($B$248="Лікар-педіатр","x",IF($B$248="Лікар-терапевт",IF(L252&lt;=Законод!$C$26,I252,Законод!$C$26*'01_Доходи'!I251),0)))</f>
        <v>x</v>
      </c>
      <c r="J253" s="208" t="str">
        <f ca="1">IF($B$248="Лікар загальної практики - сімейний лікар",IF(L252&lt;=Законод!$C$22,J252,Законод!$C$22*'01_Доходи'!J251),IF($B$248="Лікар-педіатр","x",IF($B$248="Лікар-терапевт",IF(L252&lt;=Законод!$C$26,J252,Законод!$C$26*'01_Доходи'!J251),0)))</f>
        <v>x</v>
      </c>
      <c r="K253" s="208" t="str">
        <f ca="1">IF($B$248="Лікар загальної практики - сімейний лікар",IF(L252&lt;=Законод!$C$22,K252,Законод!$C$22*'01_Доходи'!K251),IF($B$248="Лікар-педіатр","x",IF($B$248="Лікар-терапевт",IF(L252&lt;=Законод!$C$26,K252,Законод!$C$26*'01_Доходи'!K251),0)))</f>
        <v>x</v>
      </c>
      <c r="L253" s="209">
        <f t="shared" si="34"/>
        <v>280.33333333333331</v>
      </c>
      <c r="M253" s="945"/>
      <c r="N253" s="208">
        <f ca="1">IF($B$248="Лікар загальної практики - сімейний лікар",IF(S252&lt;=Законод!$C$22,N252,Законод!$C$22*'01_Доходи'!N251),IF($B$248="Лікар-педіатр",IF(S252&lt;=Законод!$C$18,N252,Законод!$C$18*'01_Доходи'!N251),IF($B$248="Лікар-терапевт","x",0)))</f>
        <v>114</v>
      </c>
      <c r="O253" s="208">
        <f ca="1">IF($B$248="Лікар загальної практики - сімейний лікар",IF(S252&lt;=Законод!$C$22,O252,Законод!$C$22*'01_Доходи'!O251),IF($B$248="Лікар-педіатр",IF(S252&lt;=Законод!$C$18,O252,Законод!$C$18*'01_Доходи'!O251),IF($B$248="Лікар-терапевт","x",0)))</f>
        <v>161</v>
      </c>
      <c r="P253" s="208" t="str">
        <f ca="1">IF($B$248="Лікар загальної практики - сімейний лікар",IF(S252&lt;=Законод!$C$22,P252,Законод!$C$22*'01_Доходи'!P251),IF($B$248="Лікар-педіатр","x",IF($B$248="Лікар-терапевт",IF(S252&lt;=Законод!$C$26,P252,Законод!$C$26*'01_Доходи'!P251),0)))</f>
        <v>x</v>
      </c>
      <c r="Q253" s="208" t="str">
        <f ca="1">IF($B$248="Лікар загальної практики - сімейний лікар",IF(S252&lt;=Законод!$C$22,Q252,Законод!$C$22*'01_Доходи'!Q251),IF($B$248="Лікар-педіатр","x",IF($B$248="Лікар-терапевт",IF(S252&lt;=Законод!$C$26,Q252,Законод!$C$26*'01_Доходи'!Q251),0)))</f>
        <v>x</v>
      </c>
      <c r="R253" s="208" t="str">
        <f ca="1">IF($B$248="Лікар загальної практики - сімейний лікар",IF(S252&lt;=Законод!$C$22,R252,Законод!$C$22*'01_Доходи'!R251),IF($B$248="Лікар-педіатр","x",IF($B$248="Лікар-терапевт",IF(S252&lt;=Законод!$C$26,R252,Законод!$C$26*'01_Доходи'!R251),0)))</f>
        <v>x</v>
      </c>
      <c r="S253" s="209">
        <f t="shared" si="35"/>
        <v>275</v>
      </c>
      <c r="T253" s="945"/>
      <c r="U253" s="208">
        <f ca="1">IF($B$248="Лікар загальної практики - сімейний лікар",IF(Z252&lt;=Законод!$C$22,U252,Законод!$C$22*'01_Доходи'!U251),IF($B$248="Лікар-педіатр",IF(Z252&lt;=Законод!$C$18,U252,Законод!$C$18*'01_Доходи'!U251),IF($B$248="Лікар-терапевт","x",0)))</f>
        <v>114</v>
      </c>
      <c r="V253" s="208">
        <f ca="1">IF($B$248="Лікар загальної практики - сімейний лікар",IF(Z252&lt;=Законод!$C$22,V252,Законод!$C$22*'01_Доходи'!V251),IF($B$248="Лікар-педіатр",IF(Z252&lt;=Законод!$C$18,V252,Законод!$C$18*'01_Доходи'!V251),IF($B$248="Лікар-терапевт","x",0)))</f>
        <v>161</v>
      </c>
      <c r="W253" s="208" t="str">
        <f ca="1">IF($B$248="Лікар загальної практики - сімейний лікар",IF(Z252&lt;=Законод!$C$22,W252,Законод!$C$22*'01_Доходи'!W251),IF($B$248="Лікар-педіатр","x",IF($B$248="Лікар-терапевт",IF(Z252&lt;=Законод!$C$26,W252,Законод!$C$26*'01_Доходи'!W251),0)))</f>
        <v>x</v>
      </c>
      <c r="X253" s="208" t="str">
        <f ca="1">IF($B$248="Лікар загальної практики - сімейний лікар",IF(Z252&lt;=Законод!$C$22,X252,Законод!$C$22*'01_Доходи'!X251),IF($B$248="Лікар-педіатр","x",IF($B$248="Лікар-терапевт",IF(Z252&lt;=Законод!$C$26,X252,Законод!$C$26*'01_Доходи'!X251),0)))</f>
        <v>x</v>
      </c>
      <c r="Y253" s="208" t="str">
        <f ca="1">IF($B$248="Лікар загальної практики - сімейний лікар",IF(Z252&lt;=Законод!$C$22,Y252,Законод!$C$22*'01_Доходи'!Y251),IF($B$248="Лікар-педіатр","x",IF($B$248="Лікар-терапевт",IF(Z252&lt;=Законод!$C$26,Y252,Законод!$C$26*'01_Доходи'!Y251),0)))</f>
        <v>x</v>
      </c>
      <c r="Z253" s="209">
        <f t="shared" si="36"/>
        <v>275</v>
      </c>
      <c r="AA253" s="945"/>
      <c r="AB253" s="208">
        <f ca="1">IF($B$248="Лікар загальної практики - сімейний лікар",IF(AG252&lt;=Законод!$C$22,AB252,Законод!$C$22*'01_Доходи'!AB251),IF($B$248="Лікар-педіатр",IF(AG252&lt;=Законод!$C$18,AB252,Законод!$C$18*'01_Доходи'!AB251),IF($B$248="Лікар-терапевт","x",0)))</f>
        <v>114</v>
      </c>
      <c r="AC253" s="208">
        <f ca="1">IF($B$248="Лікар загальної практики - сімейний лікар",IF(AG252&lt;=Законод!$C$22,AC252,Законод!$C$22*'01_Доходи'!AC251),IF($B$248="Лікар-педіатр",IF(AG252&lt;=Законод!$C$18,AC252,Законод!$C$18*'01_Доходи'!AC251),IF($B$248="Лікар-терапевт","x",0)))</f>
        <v>161</v>
      </c>
      <c r="AD253" s="208" t="str">
        <f ca="1">IF($B$248="Лікар загальної практики - сімейний лікар",IF(AG252&lt;=Законод!$C$22,AD252,Законод!$C$22*'01_Доходи'!AD251),IF($B$248="Лікар-педіатр","x",IF($B$248="Лікар-терапевт",IF(AG252&lt;=Законод!$C$26,AD252,Законод!$C$26*'01_Доходи'!AD251),0)))</f>
        <v>x</v>
      </c>
      <c r="AE253" s="208" t="str">
        <f ca="1">IF($B$248="Лікар загальної практики - сімейний лікар",IF(AG252&lt;=Законод!$C$22,AE252,Законод!$C$22*'01_Доходи'!AE251),IF($B$248="Лікар-педіатр","x",IF($B$248="Лікар-терапевт",IF(AG252&lt;=Законод!$C$26,AE252,Законод!$C$26*'01_Доходи'!AE251),0)))</f>
        <v>x</v>
      </c>
      <c r="AF253" s="208" t="str">
        <f ca="1">IF($B$248="Лікар загальної практики - сімейний лікар",IF(AG252&lt;=Законод!$C$22,AF252,Законод!$C$22*'01_Доходи'!AF251),IF($B$248="Лікар-педіатр","x",IF($B$248="Лікар-терапевт",IF(AG252&lt;=Законод!$C$26,AF252,Законод!$C$26*'01_Доходи'!AF251),0)))</f>
        <v>x</v>
      </c>
      <c r="AG253" s="209">
        <f t="shared" si="37"/>
        <v>275</v>
      </c>
      <c r="AH253" s="945"/>
      <c r="AI253" s="201"/>
      <c r="AJ253" s="933"/>
      <c r="AK253" s="927"/>
      <c r="AL253" s="927"/>
      <c r="AM253" s="348" t="s">
        <v>374</v>
      </c>
      <c r="AN253" s="210">
        <f ca="1">IF(B248="Лікар загальної практики - сімейний лікар",G253*Законод!$C$11+'01_Доходи'!H253*Законод!$D$11+'01_Доходи'!I253*Законод!$E$11+'01_Доходи'!J253*Законод!$F$11+'01_Доходи'!K253*Законод!$G$11,IF(B248="Лікар-педіатр",G253*Законод!$C$11+'01_Доходи'!H253*Законод!$D$11,IF(B248="Лікар-терапевт",'01_Доходи'!I253*Законод!$E$11+'01_Доходи'!J253*Законод!$F$11+'01_Доходи'!K253*Законод!$G$11,0)))</f>
        <v>100784.15580833334</v>
      </c>
      <c r="AO253" s="210">
        <f ca="1">IF(B248="Лікар загальної практики - сімейний лікар",N253*Законод!$C$11+'01_Доходи'!O253*Законод!$D$11+'01_Доходи'!P253*Законод!$E$11+'01_Доходи'!Q253*Законод!$F$11+'01_Доходи'!R253*Законод!$G$11,IF(B248="Лікар-педіатр",N253*Законод!$C$11+'01_Доходи'!O253*Законод!$D$11,IF(B248="Лікар-терапевт",'01_Доходи'!P253*Законод!$E$11+'01_Доходи'!Q253*Законод!$F$11+'01_Доходи'!R253*Законод!$G$11,0)))</f>
        <v>98198.699475000001</v>
      </c>
      <c r="AP253" s="210">
        <f ca="1">IF(B248="Лікар загальної практики - сімейний лікар",U253*Законод!$C$11+'01_Доходи'!V253*Законод!$D$11+'01_Доходи'!W253*Законод!$E$11+'01_Доходи'!X253*Законод!$F$11+'01_Доходи'!Y253*Законод!$G$11,IF(B248="Лікар-педіатр",U253*Законод!$C$11+'01_Доходи'!V253*Законод!$D$11,IF(B248="Лікар-терапевт",'01_Доходи'!W253*Законод!$E$11+'01_Доходи'!X253*Законод!$F$11+'01_Доходи'!Y253*Законод!$G$11,0)))</f>
        <v>98198.699475000001</v>
      </c>
      <c r="AQ253" s="210">
        <f ca="1">IF(B248="Лікар загальної практики - сімейний лікар",AB253*Законод!$C$11+'01_Доходи'!AC253*Законод!$D$11+'01_Доходи'!AD253*Законод!$E$11+'01_Доходи'!AE253*Законод!$F$11+'01_Доходи'!AF253*Законод!$G$11,IF(B248="Лікар-педіатр",AB253*Законод!$C$11+'01_Доходи'!AC253*Законод!$D$11,IF(B248="Лікар-терапевт",'01_Доходи'!AD253*Законод!$E$11+'01_Доходи'!AE253*Законод!$F$11+'01_Доходи'!AF253*Законод!$G$11,0)))</f>
        <v>98198.699475000001</v>
      </c>
      <c r="AR253" s="211">
        <f t="shared" ref="AR253:AR259" si="38">SUM(AN253:AQ253)</f>
        <v>395380.2542333334</v>
      </c>
    </row>
    <row r="254" spans="1:44" s="50" customFormat="1" ht="31.9" customHeight="1">
      <c r="A254" s="197"/>
      <c r="B254" s="941"/>
      <c r="C254" s="942"/>
      <c r="D254" s="943"/>
      <c r="E254" s="943"/>
      <c r="F254" s="238" t="str">
        <f ca="1">IF(B248="Лікар-педіатр",Законод!$E$17,IF(B248="Лікар загальної практики - сімейний лікар",Законод!$E$21,IF(B248="Лікар-терапевт",Законод!$E$25,"х")))</f>
        <v>понад ліміт (901-990)</v>
      </c>
      <c r="G254" s="940" t="s">
        <v>346</v>
      </c>
      <c r="H254" s="940"/>
      <c r="I254" s="940"/>
      <c r="J254" s="940"/>
      <c r="K254" s="940"/>
      <c r="L254" s="196">
        <f ca="1">IF($B$248="Лікар загальної практики - сімейний лікар",IF(L252&lt;Законод!$C$22,0,(IF(AND(L252&gt;=Законод!$E$22,L252&lt;=Законод!$E$23),L252-Законод!$C$22,IF('01_Доходи'!L252&gt;=Законод!$F$22,Законод!$E$24,0)))),IF($B$248="Лікар-педіатр",IF(L252&lt;Законод!$C$18,0,(IF(AND(L252&gt;=Законод!$E$18,L252&lt;=Законод!$E$19),L252-Законод!$C$18,IF('01_Доходи'!L252&gt;=Законод!$F$18,Законод!$E$20,0)))),IF($B$248="Лікар-терапевт",IF(L252&lt;Законод!$C$26,0,(IF(AND(L252&gt;=Законод!$E$26,L252&lt;=Законод!$E$27),L252-Законод!$C$26,IF('01_Доходи'!L252&gt;=Законод!$F$26,Законод!$E$28,0)))),0)))</f>
        <v>0</v>
      </c>
      <c r="M254" s="945"/>
      <c r="N254" s="940" t="s">
        <v>346</v>
      </c>
      <c r="O254" s="940"/>
      <c r="P254" s="940"/>
      <c r="Q254" s="940"/>
      <c r="R254" s="940"/>
      <c r="S254" s="196">
        <f ca="1">IF($B$248="Лікар загальної практики - сімейний лікар",IF(S252&lt;Законод!$C$22,0,(IF(AND(S252&gt;=Законод!$E$22,S252&lt;=Законод!$E$23),S252-Законод!$C$22,IF('01_Доходи'!S252&gt;=Законод!$F$22,Законод!$E$24,0)))),IF($B$248="Лікар-педіатр",IF(S252&lt;Законод!$C$18,0,(IF(AND(S252&gt;=Законод!$E$18,S252&lt;=Законод!$E$19),S252-Законод!$C$18,IF('01_Доходи'!S252&gt;=Законод!$F$18,Законод!$E$20,0)))),IF($B$248="Лікар-терапевт",IF(S252&lt;Законод!$C$26,0,(IF(AND(S252&gt;=Законод!$E$26,S252&lt;=Законод!$E$27),S252-Законод!$C$26,IF('01_Доходи'!S252&gt;=Законод!$F$26,Законод!$E$28,0)))),0)))</f>
        <v>0</v>
      </c>
      <c r="T254" s="945"/>
      <c r="U254" s="940" t="s">
        <v>346</v>
      </c>
      <c r="V254" s="940"/>
      <c r="W254" s="940"/>
      <c r="X254" s="940"/>
      <c r="Y254" s="940"/>
      <c r="Z254" s="196">
        <f ca="1">IF($B$248="Лікар загальної практики - сімейний лікар",IF(Z252&lt;Законод!$C$22,0,(IF(AND(Z252&gt;=Законод!$E$22,Z252&lt;=Законод!$E$23),Z252-Законод!$C$22,IF('01_Доходи'!Z252&gt;=Законод!$F$22,Законод!$E$24,0)))),IF($B$248="Лікар-педіатр",IF(Z252&lt;Законод!$C$18,0,(IF(AND(Z252&gt;=Законод!$E$18,Z252&lt;=Законод!$E$19),Z252-Законод!$C$18,IF('01_Доходи'!Z252&gt;=Законод!$F$18,Законод!$E$20,0)))),IF($B$248="Лікар-терапевт",IF(Z252&lt;Законод!$C$26,0,(IF(AND(Z252&gt;=Законод!$E$26,Z252&lt;=Законод!$E$27),Z252-Законод!$C$26,IF('01_Доходи'!Z252&gt;=Законод!$F$26,Законод!$E$28,0)))),0)))</f>
        <v>0</v>
      </c>
      <c r="AA254" s="945"/>
      <c r="AB254" s="940" t="s">
        <v>346</v>
      </c>
      <c r="AC254" s="940"/>
      <c r="AD254" s="940"/>
      <c r="AE254" s="940"/>
      <c r="AF254" s="940"/>
      <c r="AG254" s="196">
        <f ca="1">IF($B$248="Лікар загальної практики - сімейний лікар",IF(AG252&lt;Законод!$C$22,0,(IF(AND(AG252&gt;=Законод!$E$22,AG252&lt;=Законод!$E$23),AG252-Законод!$C$22,IF('01_Доходи'!AG252&gt;=Законод!$F$22,Законод!$E$24,0)))),IF($B$248="Лікар-педіатр",IF(AG252&lt;Законод!$C$18,0,(IF(AND(AG252&gt;=Законод!$E$18,AG252&lt;=Законод!$E$19),AG252-Законод!$C$18,IF('01_Доходи'!AG252&gt;=Законод!$F$18,Законод!$E$20,0)))),IF($B$248="Лікар-терапевт",IF(AG252&lt;Законод!$C$26,0,(IF(AND(AG252&gt;=Законод!$E$26,AG252&lt;=Законод!$E$27),AG252-Законод!$C$26,IF('01_Доходи'!AG252&gt;=Законод!$F$26,Законод!$E$28,0)))),0)))</f>
        <v>0</v>
      </c>
      <c r="AH254" s="945"/>
      <c r="AI254" s="201"/>
      <c r="AJ254" s="933"/>
      <c r="AK254" s="927"/>
      <c r="AL254" s="927"/>
      <c r="AM254" s="898" t="s">
        <v>375</v>
      </c>
      <c r="AN254" s="210">
        <f ca="1">IF(B248="Лікар загальної практики - сімейний лікар",L254*Законод!$C$9/4*Законод!$E$16,IF(B248="Лікар-педіатр",L254*Законод!$C$9/4*Законод!$E$16,IF(B248="Лікар-терапевт",L254*Законод!$C$9/4*Законод!$E$16,0)))</f>
        <v>0</v>
      </c>
      <c r="AO254" s="210">
        <f ca="1">IF(B248="Лікар загальної практики - сімейний лікар",S254*Законод!$C$9/4*Законод!$E$16,IF(B248="Лікар-педіатр",S254*Законод!$C$9/4*Законод!$E$16,IF(B248="Лікар-терапевт",S254*Законод!$C$9/4*Законод!$E$16,0)))</f>
        <v>0</v>
      </c>
      <c r="AP254" s="210">
        <f ca="1">IF(B248="Лікар загальної практики - сімейний лікар",Z254*Законод!$C$9/4*Законод!$E$16,IF(B248="Лікар-педіатр",Z254*Законод!$C$9/4*Законод!$E$16,IF(B248="Лікар-терапевт",Z254*Законод!$C$9/4*Законод!$E$16,0)))</f>
        <v>0</v>
      </c>
      <c r="AQ254" s="210">
        <f ca="1">IF(B248="Лікар загальної практики - сімейний лікар",AG254*Законод!$C$9/4*Законод!$E$16,IF(B248="Лікар-педіатр",AG254*Законод!$C$9/4*Законод!$E$16,IF(B248="Лікар-терапевт",AG254*Законод!$C$9/4*Законод!$E$16,0)))</f>
        <v>0</v>
      </c>
      <c r="AR254" s="211">
        <f t="shared" si="38"/>
        <v>0</v>
      </c>
    </row>
    <row r="255" spans="1:44" s="50" customFormat="1" ht="31.9" customHeight="1">
      <c r="A255" s="197"/>
      <c r="B255" s="941"/>
      <c r="C255" s="942"/>
      <c r="D255" s="943"/>
      <c r="E255" s="943"/>
      <c r="F255" s="238" t="str">
        <f ca="1">IF(B248="Лікар-педіатр",Законод!$F$17,IF(B248="Лікар загальної практики - сімейний лікар",Законод!$F$21,IF(B248="Лікар-терапевт",Законод!$F$25,"х")))</f>
        <v>понад ліміт (991-1080)</v>
      </c>
      <c r="G255" s="940" t="s">
        <v>346</v>
      </c>
      <c r="H255" s="940"/>
      <c r="I255" s="940"/>
      <c r="J255" s="940"/>
      <c r="K255" s="940"/>
      <c r="L255" s="196">
        <f ca="1">IF($B$248="Лікар загальної практики - сімейний лікар",IF(L252&lt;Законод!$C$22,0,(IF(AND(L252&gt;=Законод!$F$22,L252&lt;=Законод!$F$23),L252-Законод!$E$23,IF('01_Доходи'!L252&gt;=Законод!$G$22,Законод!$F$24,0)))),IF($B$248="Лікар-педіатр",IF(L252&lt;Законод!$C$18,0,(IF(AND(L252&gt;=Законод!$F$18,L252&lt;=Законод!$F$19),L252-Законод!$E$19,IF('01_Доходи'!L252&gt;=Законод!$G$18,Законод!$F$20,0)))),IF($B$248="Лікар-терапевт",IF(L252&lt;Законод!$C$26,0,(IF(AND(L252&gt;=Законод!$F$26,L252&lt;=Законод!$F$27),L252-Законод!$E$27,IF('01_Доходи'!L252&gt;=Законод!$G$26,Законод!$F$28,0)))),0)))</f>
        <v>0</v>
      </c>
      <c r="M255" s="945"/>
      <c r="N255" s="940" t="s">
        <v>346</v>
      </c>
      <c r="O255" s="940"/>
      <c r="P255" s="940"/>
      <c r="Q255" s="940"/>
      <c r="R255" s="940"/>
      <c r="S255" s="196">
        <f ca="1">IF($B$248="Лікар загальної практики - сімейний лікар",IF(S252&lt;Законод!$C$22,0,(IF(AND(S252&gt;=Законод!$F$22,S252&lt;=Законод!$F$23),S252-Законод!$E$23,IF('01_Доходи'!S252&gt;=Законод!$G$22,Законод!$F$24,0)))),IF($B$248="Лікар-педіатр",IF(S252&lt;Законод!$C$18,0,(IF(AND(S252&gt;=Законод!$F$18,S252&lt;=Законод!$F$19),S252-Законод!$E$19,IF('01_Доходи'!S252&gt;=Законод!$G$18,Законод!$F$20,0)))),IF($B$248="Лікар-терапевт",IF(S252&lt;Законод!$C$26,0,(IF(AND(S252&gt;=Законод!$F$26,S252&lt;=Законод!$F$27),S252-Законод!$E$27,IF('01_Доходи'!S252&gt;=Законод!$G$26,Законод!$F$28,0)))),0)))</f>
        <v>0</v>
      </c>
      <c r="T255" s="945"/>
      <c r="U255" s="940" t="s">
        <v>346</v>
      </c>
      <c r="V255" s="940"/>
      <c r="W255" s="940"/>
      <c r="X255" s="940"/>
      <c r="Y255" s="940"/>
      <c r="Z255" s="196">
        <f ca="1">IF($B$248="Лікар загальної практики - сімейний лікар",IF(Z252&lt;Законод!$C$22,0,(IF(AND(Z252&gt;=Законод!$F$22,Z252&lt;=Законод!$F$23),Z252-Законод!$E$23,IF('01_Доходи'!Z252&gt;=Законод!$G$22,Законод!$F$24,0)))),IF($B$248="Лікар-педіатр",IF(Z252&lt;Законод!$C$18,0,(IF(AND(Z252&gt;=Законод!$F$18,Z252&lt;=Законод!$F$19),Z252-Законод!$E$19,IF('01_Доходи'!Z252&gt;=Законод!$G$18,Законод!$F$20,0)))),IF($B$248="Лікар-терапевт",IF(Z252&lt;Законод!$C$26,0,(IF(AND(Z252&gt;=Законод!$F$26,Z252&lt;=Законод!$F$27),Z252-Законод!$E$27,IF('01_Доходи'!Z252&gt;=Законод!$G$26,Законод!$F$28,0)))),0)))</f>
        <v>0</v>
      </c>
      <c r="AA255" s="945"/>
      <c r="AB255" s="940" t="s">
        <v>346</v>
      </c>
      <c r="AC255" s="940"/>
      <c r="AD255" s="940"/>
      <c r="AE255" s="940"/>
      <c r="AF255" s="940"/>
      <c r="AG255" s="196">
        <f ca="1">IF($B$248="Лікар загальної практики - сімейний лікар",IF(AG252&lt;Законод!$C$22,0,(IF(AND(AG252&gt;=Законод!$F$22,AG252&lt;=Законод!$F$23),AG252-Законод!$E$23,IF('01_Доходи'!AG252&gt;=Законод!$G$22,Законод!$F$24,0)))),IF($B$248="Лікар-педіатр",IF(AG252&lt;Законод!$C$18,0,(IF(AND(AG252&gt;=Законод!$F$18,AG252&lt;=Законод!$F$19),AG252-Законод!$E$19,IF('01_Доходи'!AG252&gt;=Законод!$G$18,Законод!$F$20,0)))),IF($B$248="Лікар-терапевт",IF(AG252&lt;Законод!$C$26,0,(IF(AND(AG252&gt;=Законод!$F$26,AG252&lt;=Законод!$F$27),AG252-Законод!$E$27,IF('01_Доходи'!AG252&gt;=Законод!$G$26,Законод!$F$28,0)))),0)))</f>
        <v>0</v>
      </c>
      <c r="AH255" s="945"/>
      <c r="AI255" s="201"/>
      <c r="AJ255" s="933"/>
      <c r="AK255" s="927"/>
      <c r="AL255" s="927"/>
      <c r="AM255" s="899"/>
      <c r="AN255" s="210">
        <f ca="1">IF(B248="Лікар загальної практики - сімейний лікар",L255*Законод!$C$9/4*Законод!$F$16,IF(B248="Лікар-педіатр",L255*Законод!$C$9/4*Законод!$F$16,IF(B248="Лікар-терапевт",L255*Законод!$C$9/4*Законод!$F$16,0)))</f>
        <v>0</v>
      </c>
      <c r="AO255" s="210">
        <f ca="1">IF(B248="Лікар загальної практики - сімейний лікар",S255*Законод!$C$9/4*Законод!$F$16,IF(B248="Лікар-педіатр",S255*Законод!$C$9/4*Законод!$F$16,IF(B248="Лікар-терапевт",S255*Законод!$C$9/4*Законод!$F$16,0)))</f>
        <v>0</v>
      </c>
      <c r="AP255" s="210">
        <f ca="1">IF(B248="Лікар загальної практики - сімейний лікар",Z255*Законод!$C$9/4*Законод!$F$16,IF(B248="Лікар-педіатр",Z255*Законод!$C$9/4*Законод!$F$16,IF(B248="Лікар-терапевт",Z255*Законод!$C$9/4*Законод!$F$16,0)))</f>
        <v>0</v>
      </c>
      <c r="AQ255" s="210">
        <f ca="1">IF(B248="Лікар загальної практики - сімейний лікар",AG255*Законод!$C$9/4*Законод!$F$16,IF(B248="Лікар-педіатр",AG255*Законод!$C$9/4*Законод!$F$16,IF(B248="Лікар-терапевт",AG255*Законод!$C$9/4*Законод!$F$16,0)))</f>
        <v>0</v>
      </c>
      <c r="AR255" s="211">
        <f t="shared" si="38"/>
        <v>0</v>
      </c>
    </row>
    <row r="256" spans="1:44" s="50" customFormat="1" ht="31.9" customHeight="1">
      <c r="A256" s="197"/>
      <c r="B256" s="941"/>
      <c r="C256" s="942"/>
      <c r="D256" s="943"/>
      <c r="E256" s="943"/>
      <c r="F256" s="238" t="str">
        <f ca="1">IF(B248="Лікар-педіатр",Законод!$G$17,IF(B248="Лікар загальної практики - сімейний лікар",Законод!$G$21,IF(B248="Лікар-терапевт",Законод!$G$25,"х")))</f>
        <v>понад ліміт (1081-1170)</v>
      </c>
      <c r="G256" s="940" t="s">
        <v>346</v>
      </c>
      <c r="H256" s="940"/>
      <c r="I256" s="940"/>
      <c r="J256" s="940"/>
      <c r="K256" s="940"/>
      <c r="L256" s="196">
        <f ca="1">IF($B$248="Лікар загальної практики - сімейний лікар",IF(L252&lt;Законод!$C$22,0,(IF(AND(L252&gt;=Законод!$G$22,L252&lt;=Законод!$G$23),L252-Законод!$F$23,IF('01_Доходи'!L252&gt;=Законод!$H$22,Законод!$G$24,0)))),IF($B$248="Лікар-педіатр",IF(L252&lt;Законод!$C$18,0,(IF(AND(L252&gt;=Законод!$G$18,L252&lt;=Законод!$G$19),L252-Законод!$F$19,IF('01_Доходи'!L252&gt;=Законод!$H$18,Законод!$G$20,0)))),IF($B$248="Лікар-терапевт",IF(L252&lt;Законод!$C$26,0,(IF(AND(L252&gt;=Законод!$G$26,L252&lt;=Законод!$G$27),L252-Законод!$F$27,IF('01_Доходи'!L252&gt;=Законод!$H$26,Законод!$G$28,0)))),0)))</f>
        <v>0</v>
      </c>
      <c r="M256" s="945"/>
      <c r="N256" s="940" t="s">
        <v>346</v>
      </c>
      <c r="O256" s="940"/>
      <c r="P256" s="940"/>
      <c r="Q256" s="940"/>
      <c r="R256" s="940"/>
      <c r="S256" s="196">
        <f ca="1">IF($B$248="Лікар загальної практики - сімейний лікар",IF(S252&lt;Законод!$C$22,0,(IF(AND(S252&gt;=Законод!$G$22,S252&lt;=Законод!$G$23),S252-Законод!$F$23,IF('01_Доходи'!S252&gt;=Законод!$H$22,Законод!$G$24,0)))),IF($B$248="Лікар-педіатр",IF(S252&lt;Законод!$C$18,0,(IF(AND(S252&gt;=Законод!$G$18,S252&lt;=Законод!$G$19),S252-Законод!$F$19,IF('01_Доходи'!S252&gt;=Законод!$H$18,Законод!$G$20,0)))),IF($B$248="Лікар-терапевт",IF(S252&lt;Законод!$C$26,0,(IF(AND(S252&gt;=Законод!$G$26,S252&lt;=Законод!$G$27),S252-Законод!$F$27,IF('01_Доходи'!S252&gt;=Законод!$H$26,Законод!$G$28,0)))),0)))</f>
        <v>0</v>
      </c>
      <c r="T256" s="945"/>
      <c r="U256" s="940" t="s">
        <v>346</v>
      </c>
      <c r="V256" s="940"/>
      <c r="W256" s="940"/>
      <c r="X256" s="940"/>
      <c r="Y256" s="940"/>
      <c r="Z256" s="196">
        <f ca="1">IF($B$248="Лікар загальної практики - сімейний лікар",IF(Z252&lt;Законод!$C$22,0,(IF(AND(Z252&gt;=Законод!$G$22,Z252&lt;=Законод!$G$23),Z252-Законод!$F$23,IF('01_Доходи'!Z252&gt;=Законод!$H$22,Законод!$G$24,0)))),IF($B$248="Лікар-педіатр",IF(Z252&lt;Законод!$C$18,0,(IF(AND(Z252&gt;=Законод!$G$18,Z252&lt;=Законод!$G$19),Z252-Законод!$F$19,IF('01_Доходи'!Z252&gt;=Законод!$H$18,Законод!$G$20,0)))),IF($B$248="Лікар-терапевт",IF(Z252&lt;Законод!$C$26,0,(IF(AND(Z252&gt;=Законод!$G$26,Z252&lt;=Законод!$G$27),Z252-Законод!$F$27,IF('01_Доходи'!Z252&gt;=Законод!$H$26,Законод!$G$28,0)))),0)))</f>
        <v>0</v>
      </c>
      <c r="AA256" s="945"/>
      <c r="AB256" s="940" t="s">
        <v>346</v>
      </c>
      <c r="AC256" s="940"/>
      <c r="AD256" s="940"/>
      <c r="AE256" s="940"/>
      <c r="AF256" s="940"/>
      <c r="AG256" s="196">
        <f ca="1">IF($B$248="Лікар загальної практики - сімейний лікар",IF(AG252&lt;Законод!$C$22,0,(IF(AND(AG252&gt;=Законод!$G$22,AG252&lt;=Законод!$G$23),AG252-Законод!$F$23,IF('01_Доходи'!AG252&gt;=Законод!$H$22,Законод!$G$24,0)))),IF($B$248="Лікар-педіатр",IF(AG252&lt;Законод!$C$18,0,(IF(AND(AG252&gt;=Законод!$G$18,AG252&lt;=Законод!$G$19),AG252-Законод!$F$19,IF('01_Доходи'!AG252&gt;=Законод!$H$18,Законод!$G$20,0)))),IF($B$248="Лікар-терапевт",IF(AG252&lt;Законод!$C$26,0,(IF(AND(AG252&gt;=Законод!$G$26,AG252&lt;=Законод!$G$27),AG252-Законод!$F$27,IF('01_Доходи'!AG252&gt;=Законод!$H$26,Законод!$G$28,0)))),0)))</f>
        <v>0</v>
      </c>
      <c r="AH256" s="945"/>
      <c r="AI256" s="201"/>
      <c r="AJ256" s="933"/>
      <c r="AK256" s="927"/>
      <c r="AL256" s="927"/>
      <c r="AM256" s="899"/>
      <c r="AN256" s="210">
        <f ca="1">IF(B248="Лікар загальної практики - сімейний лікар",L256*Законод!$C$9/4*Законод!$G$16,IF(B248="Лікар-педіатр",L256*Законод!$C$9/4*Законод!$G$16,IF(B248="Лікар-терапевт",L256*Законод!$C$9/4*Законод!$G$16,0)))</f>
        <v>0</v>
      </c>
      <c r="AO256" s="210">
        <f ca="1">IF(B248="Лікар загальної практики - сімейний лікар",S256*Законод!$C$9/4*Законод!$G$16,IF(B248="Лікар-педіатр",S256*Законод!$C$9/4*Законод!$G$16,IF(B248="Лікар-терапевт",S256*Законод!$C$9/4*Законод!$G$16,0)))</f>
        <v>0</v>
      </c>
      <c r="AP256" s="210">
        <f ca="1">IF(B248="Лікар загальної практики - сімейний лікар",Z256*Законод!$C$9/4*Законод!$G$16,IF(B248="Лікар-педіатр",Z256*Законод!$C$9/4*Законод!$G$16,IF(B248="Лікар-терапевт",Z256*Законод!$C$9/4*Законод!$G$16,0)))</f>
        <v>0</v>
      </c>
      <c r="AQ256" s="210">
        <f ca="1">IF(B248="Лікар загальної практики - сімейний лікар",AG256*Законод!$C$9/4*Законод!$G$16,IF(B248="Лікар-педіатр",AG256*Законод!$C$9/4*Законод!$G$16,IF(B248="Лікар-терапевт",AG256*Законод!$C$9/4*Законод!$G$16,0)))</f>
        <v>0</v>
      </c>
      <c r="AR256" s="211">
        <f t="shared" si="38"/>
        <v>0</v>
      </c>
    </row>
    <row r="257" spans="1:44" s="50" customFormat="1" ht="31.9" customHeight="1">
      <c r="A257" s="197"/>
      <c r="B257" s="941"/>
      <c r="C257" s="942"/>
      <c r="D257" s="943"/>
      <c r="E257" s="943"/>
      <c r="F257" s="238" t="str">
        <f ca="1">IF(B248="Лікар-педіатр",Законод!$H$17,IF(B248="Лікар загальної практики - сімейний лікар",Законод!$H$21,IF(B248="Лікар-терапевт",Законод!$H$25,"х")))</f>
        <v>понад ліміт (1171-1260)</v>
      </c>
      <c r="G257" s="940" t="s">
        <v>346</v>
      </c>
      <c r="H257" s="940"/>
      <c r="I257" s="940"/>
      <c r="J257" s="940"/>
      <c r="K257" s="940"/>
      <c r="L257" s="196">
        <f ca="1">IF($B$248="Лікар загальної практики - сімейний лікар",IF(L252&lt;Законод!$C$22,0,(IF(AND(L252&gt;=Законод!$H$22,L252&lt;=Законод!$H$23),L252-Законод!$G$23,IF('01_Доходи'!L252&gt;=Законод!$I$22,Законод!$H$24,0)))),IF($B$248="Лікар-педіатр",IF(L252&lt;Законод!$C$18,0,(IF(AND(L252&gt;=Законод!$H$18,L252&lt;=Законод!$H$19),L252-Законод!$G$19,IF('01_Доходи'!L252&gt;=Законод!$I$18,Законод!$H$20,0)))),IF($B$248="Лікар-терапевт",IF(L252&lt;Законод!$C$26,0,(IF(AND(L252&gt;=Законод!$H$26,L252&lt;=Законод!$H$27),L252-Законод!$G$27,IF(L252&gt;=Законод!$I$26,Законод!$H$28,0)))),0)))</f>
        <v>0</v>
      </c>
      <c r="M257" s="945"/>
      <c r="N257" s="940" t="s">
        <v>346</v>
      </c>
      <c r="O257" s="940"/>
      <c r="P257" s="940"/>
      <c r="Q257" s="940"/>
      <c r="R257" s="940"/>
      <c r="S257" s="196">
        <f ca="1">IF($B$248="Лікар загальної практики - сімейний лікар",IF(S252&lt;Законод!$C$22,0,(IF(AND(S252&gt;=Законод!$H$22,S252&lt;=Законод!$H$23),S252-Законод!$G$23,IF('01_Доходи'!S252&gt;=Законод!$I$22,Законод!$H$24,0)))),IF($B$248="Лікар-педіатр",IF(S252&lt;Законод!$C$18,0,(IF(AND(S252&gt;=Законод!$H$18,S252&lt;=Законод!$H$19),S252-Законод!$G$19,IF('01_Доходи'!S252&gt;=Законод!$I$18,Законод!$H$20,0)))),IF($B$248="Лікар-терапевт",IF(S252&lt;Законод!$C$26,0,(IF(AND(S252&gt;=Законод!$H$26,S252&lt;=Законод!$H$27),S252-Законод!$G$27,IF(S252&gt;=Законод!$I$26,Законод!$H$28,0)))),0)))</f>
        <v>0</v>
      </c>
      <c r="T257" s="945"/>
      <c r="U257" s="940" t="s">
        <v>346</v>
      </c>
      <c r="V257" s="940"/>
      <c r="W257" s="940"/>
      <c r="X257" s="940"/>
      <c r="Y257" s="940"/>
      <c r="Z257" s="196">
        <f ca="1">IF($B$248="Лікар загальної практики - сімейний лікар",IF(Z252&lt;Законод!$C$22,0,(IF(AND(Z252&gt;=Законод!$H$22,Z252&lt;=Законод!$H$23),Z252-Законод!$G$23,IF('01_Доходи'!Z252&gt;=Законод!$I$22,Законод!$H$24,0)))),IF($B$248="Лікар-педіатр",IF(Z252&lt;Законод!$C$18,0,(IF(AND(Z252&gt;=Законод!$H$18,Z252&lt;=Законод!$H$19),Z252-Законод!$G$19,IF('01_Доходи'!Z252&gt;=Законод!$I$18,Законод!$H$20,0)))),IF($B$248="Лікар-терапевт",IF(Z252&lt;Законод!$C$26,0,(IF(AND(Z252&gt;=Законод!$H$26,Z252&lt;=Законод!$H$27),Z252-Законод!$G$27,IF(Z252&gt;=Законод!$I$26,Законод!$H$28,0)))),0)))</f>
        <v>0</v>
      </c>
      <c r="AA257" s="945"/>
      <c r="AB257" s="940" t="s">
        <v>346</v>
      </c>
      <c r="AC257" s="940"/>
      <c r="AD257" s="940"/>
      <c r="AE257" s="940"/>
      <c r="AF257" s="940"/>
      <c r="AG257" s="196">
        <f ca="1">IF($B$248="Лікар загальної практики - сімейний лікар",IF(AG252&lt;Законод!$C$22,0,(IF(AND(AG252&gt;=Законод!$H$22,AG252&lt;=Законод!$H$23),AG252-Законод!$G$23,IF('01_Доходи'!AG252&gt;=Законод!$I$22,Законод!$H$24,0)))),IF($B$248="Лікар-педіатр",IF(AG252&lt;Законод!$C$18,0,(IF(AND(AG252&gt;=Законод!$H$18,AG252&lt;=Законод!$H$19),AG252-Законод!$G$19,IF('01_Доходи'!AG252&gt;=Законод!$I$18,Законод!$H$20,0)))),IF($B$248="Лікар-терапевт",IF(AG252&lt;Законод!$C$26,0,(IF(AND(AG252&gt;=Законод!$H$26,AG252&lt;=Законод!$H$27),AG252-Законод!$G$27,IF(AG252&gt;=Законод!$I$26,Законод!$H$28,0)))),0)))</f>
        <v>0</v>
      </c>
      <c r="AH257" s="945"/>
      <c r="AI257" s="201"/>
      <c r="AJ257" s="933"/>
      <c r="AK257" s="927"/>
      <c r="AL257" s="927"/>
      <c r="AM257" s="899"/>
      <c r="AN257" s="210">
        <f ca="1">IF(B248="Лікар загальної практики - сімейний лікар",L257*Законод!$C$9/4*Законод!$H$16,IF(B248="Лікар-педіатр",L257*Законод!$C$9/4*Законод!$H$16,IF(B248="Лікар-терапевт",L257*Законод!$C$9/4*Законод!$H$16,0)))</f>
        <v>0</v>
      </c>
      <c r="AO257" s="210">
        <f ca="1">IF(B248="Лікар загальної практики - сімейний лікар",S257*Законод!$C$9/4*Законод!$H$16,IF(B248="Лікар-педіатр",S257*Законод!$C$9/4*Законод!$H$16,IF(B248="Лікар-терапевт",S257*Законод!$C$9/4*Законод!$H$16,0)))</f>
        <v>0</v>
      </c>
      <c r="AP257" s="210">
        <f ca="1">IF(B248="Лікар загальної практики - сімейний лікар",Z257*Законод!$C$9/4*Законод!$H$16,IF(B248="Лікар-педіатр",Z257*Законод!$C$9/4*Законод!$H$16,IF(B248="Лікар-терапевт",Z257*Законод!$C$9/4*Законод!$H$16,0)))</f>
        <v>0</v>
      </c>
      <c r="AQ257" s="210">
        <f ca="1">IF(B248="Лікар загальної практики - сімейний лікар",AG257*Законод!$C$9/4*Законод!$H$16,IF(B248="Лікар-педіатр",AG257*Законод!$C$9/4*Законод!$H$16,IF(B248="Лікар-терапевт",AG257*Законод!$C$9/4*Законод!$H$16,0)))</f>
        <v>0</v>
      </c>
      <c r="AR257" s="211">
        <f t="shared" si="38"/>
        <v>0</v>
      </c>
    </row>
    <row r="258" spans="1:44" s="50" customFormat="1" ht="31.9" customHeight="1">
      <c r="A258" s="197"/>
      <c r="B258" s="941"/>
      <c r="C258" s="942"/>
      <c r="D258" s="943"/>
      <c r="E258" s="943"/>
      <c r="F258" s="238" t="str">
        <f ca="1">IF(B248="Лікар-педіатр",Законод!$I$17,IF(B248="Лікар загальної практики - сімейний лікар",Законод!$I$21,IF(B248="Лікар-терапевт",Законод!$I$25,"х")))</f>
        <v>понад ліміт (1261-1350)</v>
      </c>
      <c r="G258" s="940" t="s">
        <v>346</v>
      </c>
      <c r="H258" s="940"/>
      <c r="I258" s="940"/>
      <c r="J258" s="940"/>
      <c r="K258" s="940"/>
      <c r="L258" s="196">
        <f ca="1">IF($B$248="Лікар загальної практики - сімейний лікар",IF(L252&lt;Законод!$C$22,0,(IF(AND(L252&gt;=Законод!$I$22,L252&lt;=Законод!$I$23),L252-Законод!$H$23,IF('01_Доходи'!L252&gt;=Законод!$I$22,Законод!$I$24,0)))),IF($B$248="Лікар-педіатр",IF(L252&lt;Законод!$C$18,0,(IF(AND(L252&gt;=Законод!$I$18,L252&lt;=Законод!$I$19),L252-Законод!$H$19,IF('01_Доходи'!L252&gt;=Законод!$I$18,Законод!$H$20,0)))),IF($B$248="Лікар-терапевт",IF(L252&lt;Законод!$C$26,0,(IF(AND(L252&gt;=Законод!$I$26,L252&lt;=Законод!$I$27),L252-Законод!$H$27,IF('01_Доходи'!L252&gt;=Законод!$I$26,Законод!$H$28,0)))),0)))</f>
        <v>0</v>
      </c>
      <c r="M258" s="945"/>
      <c r="N258" s="940" t="s">
        <v>346</v>
      </c>
      <c r="O258" s="940"/>
      <c r="P258" s="940"/>
      <c r="Q258" s="940"/>
      <c r="R258" s="940"/>
      <c r="S258" s="196">
        <f ca="1">IF($B$248="Лікар загальної практики - сімейний лікар",IF(S252&lt;Законод!$C$22,0,(IF(AND(S252&gt;=Законод!$I$22,S252&lt;=Законод!$I$23),S252-Законод!$H$23,IF('01_Доходи'!S252&gt;=Законод!$I$22,Законод!$I$24,0)))),IF($B$248="Лікар-педіатр",IF(S252&lt;Законод!$C$18,0,(IF(AND(S252&gt;=Законод!$I$18,S252&lt;=Законод!$I$19),S252-Законод!$H$19,IF('01_Доходи'!S252&gt;=Законод!$I$18,Законод!$H$20,0)))),IF($B$248="Лікар-терапевт",IF(S252&lt;Законод!$C$26,0,(IF(AND(S252&gt;=Законод!$I$26,S252&lt;=Законод!$I$27),S252-Законод!$H$27,IF('01_Доходи'!S252&gt;=Законод!$I$26,Законод!$H$28,0)))),0)))</f>
        <v>0</v>
      </c>
      <c r="T258" s="945"/>
      <c r="U258" s="940" t="s">
        <v>346</v>
      </c>
      <c r="V258" s="940"/>
      <c r="W258" s="940"/>
      <c r="X258" s="940"/>
      <c r="Y258" s="940"/>
      <c r="Z258" s="196">
        <f ca="1">IF($B$248="Лікар загальної практики - сімейний лікар",IF(Z252&lt;Законод!$C$22,0,(IF(AND(Z252&gt;=Законод!$I$22,Z252&lt;=Законод!$I$23),Z252-Законод!$H$23,IF('01_Доходи'!Z252&gt;=Законод!$I$22,Законод!$I$24,0)))),IF($B$248="Лікар-педіатр",IF(Z252&lt;Законод!$C$18,0,(IF(AND(Z252&gt;=Законод!$I$18,Z252&lt;=Законод!$I$19),Z252-Законод!$H$19,IF('01_Доходи'!Z252&gt;=Законод!$I$18,Законод!$H$20,0)))),IF($B$248="Лікар-терапевт",IF(Z252&lt;Законод!$C$26,0,(IF(AND(Z252&gt;=Законод!$I$26,Z252&lt;=Законод!$I$27),Z252-Законод!$H$27,IF('01_Доходи'!Z252&gt;=Законод!$I$26,Законод!$H$28,0)))),0)))</f>
        <v>0</v>
      </c>
      <c r="AA258" s="945"/>
      <c r="AB258" s="940" t="s">
        <v>346</v>
      </c>
      <c r="AC258" s="940"/>
      <c r="AD258" s="940"/>
      <c r="AE258" s="940"/>
      <c r="AF258" s="940"/>
      <c r="AG258" s="196">
        <f ca="1">IF($B$248="Лікар загальної практики - сімейний лікар",IF(AG252&lt;Законод!$C$22,0,(IF(AND(AG252&gt;=Законод!$I$22,AG252&lt;=Законод!$I$23),AG252-Законод!$H$23,IF('01_Доходи'!AG252&gt;=Законод!$I$22,Законод!$I$24,0)))),IF($B$248="Лікар-педіатр",IF(AG252&lt;Законод!$C$18,0,(IF(AND(AG252&gt;=Законод!$I$18,AG252&lt;=Законод!$I$19),AG252-Законод!$H$19,IF('01_Доходи'!AG252&gt;=Законод!$I$18,Законод!$H$20,0)))),IF($B$248="Лікар-терапевт",IF(AG252&lt;Законод!$C$26,0,(IF(AND(AG252&gt;=Законод!$I$26,AG252&lt;=Законод!$I$27),AG252-Законод!$H$27,IF('01_Доходи'!AG252&gt;=Законод!$I$26,Законод!$H$28,0)))),0)))</f>
        <v>0</v>
      </c>
      <c r="AH258" s="945"/>
      <c r="AI258" s="201"/>
      <c r="AJ258" s="933"/>
      <c r="AK258" s="927"/>
      <c r="AL258" s="927"/>
      <c r="AM258" s="899"/>
      <c r="AN258" s="210">
        <f ca="1">IF(B248="Лікар загальної практики - сімейний лікар",L258*Законод!$C$9/4*Законод!$I$16,IF(B248="Лікар-педіатр",L258*Законод!$C$9/4*Законод!$I$16,IF(B248="Лікар-терапевт",L258*Законод!$C$9/4*Законод!$I$16,0)))</f>
        <v>0</v>
      </c>
      <c r="AO258" s="210">
        <f ca="1">IF(B248="Лікар загальної практики - сімейний лікар",S258*Законод!$C$9/4*Законод!$I$16,IF(B248="Лікар-педіатр",S258*Законод!$C$9/4*Законод!$I$16,IF(B248="Лікар-терапевт",S258*Законод!$C$9/4*Законод!$I$16,0)))</f>
        <v>0</v>
      </c>
      <c r="AP258" s="210">
        <f ca="1">IF(B248="Лікар загальної практики - сімейний лікар",Z258*Законод!$C$9/4*Законод!$I$16,IF(B248="Лікар-педіатр",Z258*Законод!$C$9/4*Законод!$I$16,IF(B248="Лікар-терапевт",Z258*Законод!$C$9/4*Законод!$I$16,0)))</f>
        <v>0</v>
      </c>
      <c r="AQ258" s="210">
        <f ca="1">IF(B248="Лікар загальної практики - сімейний лікар",AG258*Законод!$C$9/4*Законод!$I$16,IF(B248="Лікар-педіатр",AG258*Законод!$C$9/4*Законод!$I$16,IF(B248="Лікар-терапевт",AG258*Законод!$C$9/4*Законод!$I$16,0)))</f>
        <v>0</v>
      </c>
      <c r="AR258" s="211">
        <f t="shared" si="38"/>
        <v>0</v>
      </c>
    </row>
    <row r="259" spans="1:44" s="218" customFormat="1" ht="31.9" customHeight="1" thickBot="1">
      <c r="A259" s="213"/>
      <c r="B259" s="941"/>
      <c r="C259" s="942"/>
      <c r="D259" s="943"/>
      <c r="E259" s="943"/>
      <c r="F259" s="239" t="str">
        <f ca="1">IF(B248="Лікар-педіатр",Законод!$J$17,IF(B248="Лікар загальної практики - сімейний лікар",Законод!$J$21,IF(B248="Лікар-терапевт",Законод!$J$25,"х")))</f>
        <v>понад ліміт (&gt;=1351)</v>
      </c>
      <c r="G259" s="939" t="s">
        <v>346</v>
      </c>
      <c r="H259" s="939"/>
      <c r="I259" s="939"/>
      <c r="J259" s="939"/>
      <c r="K259" s="939"/>
      <c r="L259" s="196">
        <f ca="1">IF($B$248="Лікар загальної практики - сімейний лікар",IF(L252&gt;=Законод!$J$22,'01_Доходи'!L252-('01_Доходи'!L253+'01_Доходи'!L254+'01_Доходи'!L255+'01_Доходи'!L256+'01_Доходи'!L257+'01_Доходи'!L258),0),IF($B$248="Лікар-педіатр",IF(L252&gt;=Законод!$J$18,'01_Доходи'!L252-('01_Доходи'!L253+'01_Доходи'!L254+'01_Доходи'!L255+'01_Доходи'!L256+'01_Доходи'!L257+'01_Доходи'!L258),0),IF($B$248="Лікар-терапевт",IF('01_Доходи'!L252&gt;=Законод!$J$26,L252-Законод!$I$27,0),0)))</f>
        <v>0</v>
      </c>
      <c r="M259" s="945"/>
      <c r="N259" s="939" t="s">
        <v>346</v>
      </c>
      <c r="O259" s="939"/>
      <c r="P259" s="939"/>
      <c r="Q259" s="939"/>
      <c r="R259" s="939"/>
      <c r="S259" s="196">
        <f ca="1">IF($B$248="Лікар загальної практики - сімейний лікар",IF(S252&gt;=Законод!$J$22,'01_Доходи'!S252-('01_Доходи'!S253+'01_Доходи'!S254+'01_Доходи'!S255+'01_Доходи'!S256+'01_Доходи'!S257+'01_Доходи'!S258),0),IF($B$248="Лікар-педіатр",IF(S252&gt;=Законод!$J$18,'01_Доходи'!S252-('01_Доходи'!S253+'01_Доходи'!S254+'01_Доходи'!S255+'01_Доходи'!S256+'01_Доходи'!S257+'01_Доходи'!S258),0),IF($B$248="Лікар-терапевт",IF('01_Доходи'!S252&gt;=Законод!$J$26,S252-Законод!$I$27,0),0)))</f>
        <v>0</v>
      </c>
      <c r="T259" s="945"/>
      <c r="U259" s="939" t="s">
        <v>346</v>
      </c>
      <c r="V259" s="939"/>
      <c r="W259" s="939"/>
      <c r="X259" s="939"/>
      <c r="Y259" s="939"/>
      <c r="Z259" s="196">
        <f ca="1">IF($B$248="Лікар загальної практики - сімейний лікар",IF(Z252&gt;=Законод!$J$22,'01_Доходи'!Z252-('01_Доходи'!Z253+'01_Доходи'!Z254+'01_Доходи'!Z255+'01_Доходи'!Z256+'01_Доходи'!Z257+'01_Доходи'!Z258),0),IF($B$248="Лікар-педіатр",IF(Z252&gt;=Законод!$J$18,'01_Доходи'!Z252-('01_Доходи'!Z253+'01_Доходи'!Z254+'01_Доходи'!Z255+'01_Доходи'!Z256+'01_Доходи'!Z257+'01_Доходи'!Z258),0),IF($B$248="Лікар-терапевт",IF('01_Доходи'!Z252&gt;=Законод!$J$26,Z252-Законод!$I$27,0),0)))</f>
        <v>0</v>
      </c>
      <c r="AA259" s="945"/>
      <c r="AB259" s="939" t="s">
        <v>346</v>
      </c>
      <c r="AC259" s="939"/>
      <c r="AD259" s="939"/>
      <c r="AE259" s="939"/>
      <c r="AF259" s="939"/>
      <c r="AG259" s="196">
        <f ca="1">IF($B$248="Лікар загальної практики - сімейний лікар",IF(AG252&gt;=Законод!$J$22,'01_Доходи'!AG252-('01_Доходи'!AG253+'01_Доходи'!AG254+'01_Доходи'!AG255+'01_Доходи'!AG256+'01_Доходи'!AG257+'01_Доходи'!AG258),0),IF($B$248="Лікар-педіатр",IF(AG252&gt;=Законод!$J$18,'01_Доходи'!AG252-('01_Доходи'!AG253+'01_Доходи'!AG254+'01_Доходи'!AG255+'01_Доходи'!AG256+'01_Доходи'!AG257+'01_Доходи'!AG258),0),IF($B$248="Лікар-терапевт",IF('01_Доходи'!AG252&gt;=Законод!$J$26,AG252-Законод!$I$27,0),0)))</f>
        <v>0</v>
      </c>
      <c r="AH259" s="945"/>
      <c r="AI259" s="215"/>
      <c r="AJ259" s="934"/>
      <c r="AK259" s="928"/>
      <c r="AL259" s="928"/>
      <c r="AM259" s="900"/>
      <c r="AN259" s="216">
        <f ca="1">IF(B248="Лікар загальної практики - сімейний лікар",L259*Законод!$C$9/4*Законод!$J$16,IF(B248="Лікар-педіатр",L259*Законод!$C$9/4*Законод!$J$16,IF(B248="Лікар-терапевт",L259*Законод!$C$9/4*Законод!$J$16,0)))</f>
        <v>0</v>
      </c>
      <c r="AO259" s="216">
        <f ca="1">IF(B248="Лікар загальної практики - сімейний лікар",S259*Законод!$C$9/4*Законод!$J$16,IF(B248="Лікар-педіатр",S259*Законод!$C$9/4*Законод!$J$16,IF(B248="Лікар-терапевт",S259*Законод!$C$9/4*Законод!$J$16,0)))</f>
        <v>0</v>
      </c>
      <c r="AP259" s="216">
        <f ca="1">IF(B248="Лікар загальної практики - сімейний лікар",S259*Законод!$C$9/4*Законод!$J$16,IF(B248="Лікар-педіатр",S259*Законод!$C$9/4*Законод!$J$16,IF(B248="Лікар-терапевт",S259*Законод!$C$9/4*Законод!$J$16,0)))</f>
        <v>0</v>
      </c>
      <c r="AQ259" s="216">
        <f ca="1">IF(B248="Лікар загальної практики - сімейний лікар",AG259*Законод!$C$9/4*Законод!$J$16,IF(B248="Лікар-педіатр",AG259*Законод!$C$9/4*Законод!$J$16,IF(B248="Лікар-терапевт",AG259*Законод!$C$9/4*Законод!$J$16,0)))</f>
        <v>0</v>
      </c>
      <c r="AR259" s="217">
        <f t="shared" si="38"/>
        <v>0</v>
      </c>
    </row>
    <row r="260" spans="1:44" s="247" customFormat="1" ht="23.45" customHeight="1" thickBot="1">
      <c r="A260" s="243"/>
      <c r="B260" s="244"/>
      <c r="C260" s="244"/>
      <c r="D260" s="244"/>
      <c r="E260" s="244"/>
      <c r="F260" s="245"/>
      <c r="G260" s="246"/>
      <c r="H260" s="246"/>
      <c r="L260" s="248"/>
      <c r="S260" s="248"/>
      <c r="Z260" s="248"/>
      <c r="AG260" s="248"/>
      <c r="AM260" s="249"/>
      <c r="AR260" s="250"/>
    </row>
    <row r="261" spans="1:44" s="191" customFormat="1" ht="27.6" customHeight="1">
      <c r="A261" s="194">
        <f>A248+1</f>
        <v>18</v>
      </c>
      <c r="B261" s="941" t="s">
        <v>237</v>
      </c>
      <c r="C261" s="942" t="s">
        <v>85</v>
      </c>
      <c r="D261" s="943"/>
      <c r="E261" s="943" t="str">
        <f>E248</f>
        <v>Рожищенська АЗПСМ №1</v>
      </c>
      <c r="F261" s="234" t="s">
        <v>582</v>
      </c>
      <c r="G261" s="196">
        <f>321+121</f>
        <v>442</v>
      </c>
      <c r="H261" s="196">
        <f>578+23</f>
        <v>601</v>
      </c>
      <c r="I261" s="196" t="str">
        <f>IF($B$261="Лікар-педіатр","x",IF($B$261="Лікар-терапевт",I264*L261,IF($B$261="Лікар загальної практики - сімейний лікар",I264*L261,0)))</f>
        <v>x</v>
      </c>
      <c r="J261" s="196" t="str">
        <f>IF($B$261="Лікар-педіатр","x",IF($B$261="Лікар-терапевт",J264*L261,IF($B$261="Лікар загальної практики - сімейний лікар",J264*L261,0)))</f>
        <v>x</v>
      </c>
      <c r="K261" s="196" t="str">
        <f>IF($B$261="Лікар-педіатр","x",IF($B$261="Лікар-терапевт",K264*L261,IF($B$261="Лікар загальної практики - сімейний лікар",K264*L261,0)))</f>
        <v>x</v>
      </c>
      <c r="L261" s="558">
        <f>SUM(G261:H261)</f>
        <v>1043</v>
      </c>
      <c r="M261" s="945">
        <v>1</v>
      </c>
      <c r="N261" s="196">
        <f>321+121</f>
        <v>442</v>
      </c>
      <c r="O261" s="196">
        <f>578+23</f>
        <v>601</v>
      </c>
      <c r="P261" s="196" t="str">
        <f>IF($B$261="Лікар-педіатр","x",IF($B$261="Лікар-терапевт",P264*S261,IF($B$261="Лікар загальної практики - сімейний лікар",P264*S261,0)))</f>
        <v>x</v>
      </c>
      <c r="Q261" s="196" t="str">
        <f>IF($B$261="Лікар-педіатр","x",IF($B$261="Лікар-терапевт",Q264*S261,IF($B$261="Лікар загальної практики - сімейний лікар",Q264*S261,0)))</f>
        <v>x</v>
      </c>
      <c r="R261" s="196" t="str">
        <f>IF($B$261="Лікар-педіатр","x",IF($B$261="Лікар-терапевт",R264*S261,IF($B$261="Лікар загальної практики - сімейний лікар",R264*S261,0)))</f>
        <v>x</v>
      </c>
      <c r="S261" s="558">
        <f>SUM(N261:O261)</f>
        <v>1043</v>
      </c>
      <c r="T261" s="945">
        <v>1</v>
      </c>
      <c r="U261" s="196">
        <f>321+121</f>
        <v>442</v>
      </c>
      <c r="V261" s="196">
        <f>578+23</f>
        <v>601</v>
      </c>
      <c r="W261" s="196" t="str">
        <f>IF($B$261="Лікар-педіатр","x",IF($B$261="Лікар-терапевт",W264*Z261,IF($B$261="Лікар загальної практики - сімейний лікар",W264*Z261,0)))</f>
        <v>x</v>
      </c>
      <c r="X261" s="196" t="str">
        <f>IF($B$261="Лікар-педіатр","x",IF($B$261="Лікар-терапевт",X264*Z261,IF($B$261="Лікар загальної практики - сімейний лікар",X264*Z261,0)))</f>
        <v>x</v>
      </c>
      <c r="Y261" s="196" t="str">
        <f>IF($B$261="Лікар-педіатр","x",IF($B$261="Лікар-терапевт",Y264*Z261,IF($B$261="Лікар загальної практики - сімейний лікар",Y264*Z261,0)))</f>
        <v>x</v>
      </c>
      <c r="Z261" s="558">
        <f>SUM(U261+V261)</f>
        <v>1043</v>
      </c>
      <c r="AA261" s="945">
        <v>1</v>
      </c>
      <c r="AB261" s="196">
        <f>321+121</f>
        <v>442</v>
      </c>
      <c r="AC261" s="196">
        <f>578+23</f>
        <v>601</v>
      </c>
      <c r="AD261" s="196" t="str">
        <f>IF($B$261="Лікар-педіатр","x",IF($B$261="Лікар-терапевт",AD264*AG261,IF($B$261="Лікар загальної практики - сімейний лікар",AD264*AG261,0)))</f>
        <v>x</v>
      </c>
      <c r="AE261" s="196" t="str">
        <f>IF($B$261="Лікар-педіатр","x",IF($B$261="Лікар-терапевт",AE264*AG261,IF($B$261="Лікар загальної практики - сімейний лікар",AE264*AG261,0)))</f>
        <v>x</v>
      </c>
      <c r="AF261" s="196" t="str">
        <f>IF($B$261="Лікар-педіатр","x",IF($B$261="Лікар-терапевт",AF264*AG261,IF($B$261="Лікар загальної практики - сімейний лікар",AF264*AG261,0)))</f>
        <v>x</v>
      </c>
      <c r="AG261" s="558">
        <f>SUM(AB261+AC261)</f>
        <v>1043</v>
      </c>
      <c r="AH261" s="945">
        <v>1</v>
      </c>
      <c r="AI261" s="541">
        <f>A261</f>
        <v>18</v>
      </c>
      <c r="AJ261" s="932" t="str">
        <f>B261</f>
        <v>Лікар-педіатр</v>
      </c>
      <c r="AK261" s="926" t="str">
        <f>C261</f>
        <v>Соловей Святослав Миколайович</v>
      </c>
      <c r="AL261" s="926">
        <f>D261</f>
        <v>0</v>
      </c>
      <c r="AM261" s="901" t="s">
        <v>785</v>
      </c>
      <c r="AN261" s="923">
        <f>SUM(AN266:AN272)</f>
        <v>339231.28558857873</v>
      </c>
      <c r="AO261" s="923">
        <f>SUM(AO266:AO272)</f>
        <v>339231.28558857873</v>
      </c>
      <c r="AP261" s="923">
        <f>SUM(AP266:AP272)</f>
        <v>339231.28558857873</v>
      </c>
      <c r="AQ261" s="923">
        <f>SUM(AQ266:AQ272)</f>
        <v>339231.28558857873</v>
      </c>
      <c r="AR261" s="914">
        <f>SUM(AN261:AQ265)</f>
        <v>1356925.1423543149</v>
      </c>
    </row>
    <row r="262" spans="1:44" s="50" customFormat="1" ht="28.15" customHeight="1">
      <c r="A262" s="197"/>
      <c r="B262" s="941"/>
      <c r="C262" s="942"/>
      <c r="D262" s="943"/>
      <c r="E262" s="943"/>
      <c r="F262" s="234" t="s">
        <v>583</v>
      </c>
      <c r="G262" s="196">
        <f>321+121</f>
        <v>442</v>
      </c>
      <c r="H262" s="196">
        <f>578+23</f>
        <v>601</v>
      </c>
      <c r="I262" s="196" t="str">
        <f>IF($B$261="Лікар-педіатр","x",IF($B$261="Лікар-терапевт",I264*L262,IF($B$261="Лікар загальної практики - сімейний лікар",I264*L262,0)))</f>
        <v>x</v>
      </c>
      <c r="J262" s="196" t="str">
        <f>IF($B$261="Лікар-педіатр","x",IF($B$261="Лікар-терапевт",J264*L262,IF($B$261="Лікар загальної практики - сімейний лікар",J264*L262,0)))</f>
        <v>x</v>
      </c>
      <c r="K262" s="196" t="str">
        <f>IF($B$261="Лікар-педіатр","x",IF($B$261="Лікар-терапевт",K264*L262,IF($B$261="Лікар загальної практики - сімейний лікар",K264*L262,0)))</f>
        <v>x</v>
      </c>
      <c r="L262" s="558">
        <f>SUM(G262:H262)</f>
        <v>1043</v>
      </c>
      <c r="M262" s="945"/>
      <c r="N262" s="196">
        <f>321+121</f>
        <v>442</v>
      </c>
      <c r="O262" s="196">
        <f>578+23</f>
        <v>601</v>
      </c>
      <c r="P262" s="196" t="str">
        <f>IF($B$261="Лікар-педіатр","x",IF($B$261="Лікар-терапевт",P264*S262,IF($B$261="Лікар загальної практики - сімейний лікар",P264*S262,0)))</f>
        <v>x</v>
      </c>
      <c r="Q262" s="196" t="str">
        <f>IF($B$261="Лікар-педіатр","x",IF($B$261="Лікар-терапевт",Q264*S262,IF($B$261="Лікар загальної практики - сімейний лікар",Q264*S262,0)))</f>
        <v>x</v>
      </c>
      <c r="R262" s="196" t="str">
        <f>IF($B$261="Лікар-педіатр","x",IF($B$261="Лікар-терапевт",R264*S262,IF($B$261="Лікар загальної практики - сімейний лікар",R264*S262,0)))</f>
        <v>x</v>
      </c>
      <c r="S262" s="558">
        <f>SUM(N262:O262)</f>
        <v>1043</v>
      </c>
      <c r="T262" s="945"/>
      <c r="U262" s="196">
        <f>321+121</f>
        <v>442</v>
      </c>
      <c r="V262" s="196">
        <f>578+23</f>
        <v>601</v>
      </c>
      <c r="W262" s="196" t="str">
        <f>IF($B$261="Лікар-педіатр","x",IF($B$261="Лікар-терапевт",W264*Z262,IF($B$261="Лікар загальної практики - сімейний лікар",W264*Z262,0)))</f>
        <v>x</v>
      </c>
      <c r="X262" s="196" t="str">
        <f>IF($B$261="Лікар-педіатр","x",IF($B$261="Лікар-терапевт",X264*Z262,IF($B$261="Лікар загальної практики - сімейний лікар",X264*Z262,0)))</f>
        <v>x</v>
      </c>
      <c r="Y262" s="196" t="str">
        <f>IF($B$261="Лікар-педіатр","x",IF($B$261="Лікар-терапевт",Y264*Z262,IF($B$261="Лікар загальної практики - сімейний лікар",Y264*Z262,0)))</f>
        <v>x</v>
      </c>
      <c r="Z262" s="558">
        <f>SUM(U262+V262)</f>
        <v>1043</v>
      </c>
      <c r="AA262" s="945"/>
      <c r="AB262" s="196">
        <f>321+121</f>
        <v>442</v>
      </c>
      <c r="AC262" s="196">
        <f>578+23</f>
        <v>601</v>
      </c>
      <c r="AD262" s="196" t="str">
        <f>IF($B$261="Лікар-педіатр","x",IF($B$261="Лікар-терапевт",AD264*AG262,IF($B$261="Лікар загальної практики - сімейний лікар",AD264*AG262,0)))</f>
        <v>x</v>
      </c>
      <c r="AE262" s="196" t="str">
        <f>IF($B$261="Лікар-педіатр","x",IF($B$261="Лікар-терапевт",AE264*AG262,IF($B$261="Лікар загальної практики - сімейний лікар",AE264*AG262,0)))</f>
        <v>x</v>
      </c>
      <c r="AF262" s="196" t="str">
        <f>IF($B$261="Лікар-педіатр","x",IF($B$261="Лікар-терапевт",AF264*AG262,IF($B$261="Лікар загальної практики - сімейний лікар",AF264*AG262,0)))</f>
        <v>x</v>
      </c>
      <c r="AG262" s="558">
        <f>SUM(AB262+AC262)</f>
        <v>1043</v>
      </c>
      <c r="AH262" s="945"/>
      <c r="AI262" s="198"/>
      <c r="AJ262" s="933"/>
      <c r="AK262" s="927"/>
      <c r="AL262" s="927"/>
      <c r="AM262" s="902"/>
      <c r="AN262" s="924"/>
      <c r="AO262" s="924"/>
      <c r="AP262" s="924"/>
      <c r="AQ262" s="924"/>
      <c r="AR262" s="915"/>
    </row>
    <row r="263" spans="1:44" s="90" customFormat="1" ht="31.15" customHeight="1">
      <c r="A263" s="240"/>
      <c r="B263" s="941"/>
      <c r="C263" s="942"/>
      <c r="D263" s="943"/>
      <c r="E263" s="943"/>
      <c r="F263" s="241" t="s">
        <v>584</v>
      </c>
      <c r="G263" s="196">
        <f>321+121</f>
        <v>442</v>
      </c>
      <c r="H263" s="196">
        <f>578+23</f>
        <v>601</v>
      </c>
      <c r="I263" s="199" t="str">
        <f>IF(B261="Лікар загальної практики - сімейний лікар"," ",IF(B261="Лікар-педіатр","х",IF(B261="Лікар-терапевт"," ",0)))</f>
        <v>х</v>
      </c>
      <c r="J263" s="199" t="str">
        <f>IF(B261="Лікар загальної практики - сімейний лікар"," ",IF(B261="Лікар-педіатр","х",IF(B261="Лікар-терапевт"," ",0)))</f>
        <v>х</v>
      </c>
      <c r="K263" s="199" t="str">
        <f>IF(B261="Лікар загальної практики - сімейний лікар"," ",IF(B261="Лікар-педіатр","х",IF(B261="Лікар-терапевт"," ",0)))</f>
        <v>х</v>
      </c>
      <c r="L263" s="200">
        <f>SUM(G263:K263)</f>
        <v>1043</v>
      </c>
      <c r="M263" s="945"/>
      <c r="N263" s="196">
        <f>321+121</f>
        <v>442</v>
      </c>
      <c r="O263" s="196">
        <f>578+23</f>
        <v>601</v>
      </c>
      <c r="P263" s="199" t="str">
        <f>IF(B261="Лікар загальної практики - сімейний лікар"," ",IF(B261="Лікар-педіатр","х",IF(B261="Лікар-терапевт"," ",0)))</f>
        <v>х</v>
      </c>
      <c r="Q263" s="199" t="str">
        <f>IF(B261="Лікар загальної практики - сімейний лікар"," ",IF(B261="Лікар-педіатр","х",IF(B261="Лікар-терапевт"," ",0)))</f>
        <v>х</v>
      </c>
      <c r="R263" s="199" t="str">
        <f>IF(B261="Лікар загальної практики - сімейний лікар"," ",IF(B261="Лікар-педіатр","х",IF(B261="Лікар-терапевт"," ",0)))</f>
        <v>х</v>
      </c>
      <c r="S263" s="200">
        <f>SUM(N263:R263)</f>
        <v>1043</v>
      </c>
      <c r="T263" s="945"/>
      <c r="U263" s="196">
        <f>321+121</f>
        <v>442</v>
      </c>
      <c r="V263" s="196">
        <f>578+23</f>
        <v>601</v>
      </c>
      <c r="W263" s="199" t="str">
        <f>IF(B261="Лікар загальної практики - сімейний лікар"," ",IF(B261="Лікар-педіатр","х",IF(B261="Лікар-терапевт"," ",0)))</f>
        <v>х</v>
      </c>
      <c r="X263" s="199" t="str">
        <f>IF(B261="Лікар загальної практики - сімейний лікар"," ",IF(B261="Лікар-педіатр","х",IF(B261="Лікар-терапевт"," ",0)))</f>
        <v>х</v>
      </c>
      <c r="Y263" s="199" t="str">
        <f>IF(B261="Лікар загальної практики - сімейний лікар"," ",IF(B261="Лікар-педіатр","х",IF(B261="Лікар-терапевт"," ",0)))</f>
        <v>х</v>
      </c>
      <c r="Z263" s="200">
        <f>SUM(U263:Y263)</f>
        <v>1043</v>
      </c>
      <c r="AA263" s="945"/>
      <c r="AB263" s="196">
        <f>321+121</f>
        <v>442</v>
      </c>
      <c r="AC263" s="196">
        <f>578+23</f>
        <v>601</v>
      </c>
      <c r="AD263" s="199" t="str">
        <f>IF(B261="Лікар загальної практики - сімейний лікар"," ",IF(B261="Лікар-педіатр","х",IF(B261="Лікар-терапевт"," ",0)))</f>
        <v>х</v>
      </c>
      <c r="AE263" s="199" t="str">
        <f>IF(B261="Лікар загальної практики - сімейний лікар"," ",IF(B261="Лікар-педіатр","х",IF(B261="Лікар-терапевт"," ",0)))</f>
        <v>х</v>
      </c>
      <c r="AF263" s="199" t="str">
        <f>IF(B261="Лікар загальної практики - сімейний лікар"," ",IF(B261="Лікар-педіатр","х",IF(B261="Лікар-терапевт"," ",0)))</f>
        <v>х</v>
      </c>
      <c r="AG263" s="200">
        <f>SUM(AB263:AF263)</f>
        <v>1043</v>
      </c>
      <c r="AH263" s="945"/>
      <c r="AI263" s="242"/>
      <c r="AJ263" s="933"/>
      <c r="AK263" s="927"/>
      <c r="AL263" s="927"/>
      <c r="AM263" s="902"/>
      <c r="AN263" s="924"/>
      <c r="AO263" s="924"/>
      <c r="AP263" s="924"/>
      <c r="AQ263" s="924"/>
      <c r="AR263" s="915"/>
    </row>
    <row r="264" spans="1:44" s="50" customFormat="1" ht="31.9" customHeight="1" thickBot="1">
      <c r="A264" s="197"/>
      <c r="B264" s="941"/>
      <c r="C264" s="942"/>
      <c r="D264" s="943"/>
      <c r="E264" s="943"/>
      <c r="F264" s="236" t="s">
        <v>349</v>
      </c>
      <c r="G264" s="203">
        <f>IF($B$261="Лікар-педіатр",G263/L263,IF($B$261="Лікар-терапевт","х",IF($B$261="Лікар загальної практики - сімейний лікар",G263/L263,0)))</f>
        <v>0.42377756471716205</v>
      </c>
      <c r="H264" s="203">
        <f>IF($B$261="Лікар-педіатр",H263/L263,IF($B$261="Лікар-терапевт","х",IF($B$261="Лікар загальної практики - сімейний лікар",H263/L263,0)))</f>
        <v>0.57622243528283801</v>
      </c>
      <c r="I264" s="203" t="str">
        <f>IF($B$261="Лікар-педіатр","x",IF($B$261="Лікар-терапевт",I263/L263,IF($B$261="Лікар загальної практики - сімейний лікар",I263/L263,0)))</f>
        <v>x</v>
      </c>
      <c r="J264" s="203" t="str">
        <f>IF($B$261="Лікар-педіатр","x",IF($B$261="Лікар-терапевт",J263/L263,IF($B$261="Лікар загальної практики - сімейний лікар",J263/L263,0)))</f>
        <v>x</v>
      </c>
      <c r="K264" s="203" t="str">
        <f>IF($B$261="Лікар-педіатр","x",IF($B$261="Лікар-терапевт",K263/L263,IF($B$261="Лікар загальної практики - сімейний лікар",K263/L263,0)))</f>
        <v>x</v>
      </c>
      <c r="L264" s="203">
        <f>SUM(G264:K264)</f>
        <v>1</v>
      </c>
      <c r="M264" s="945"/>
      <c r="N264" s="203">
        <f>IF($B$261="Лікар-педіатр",N263/S263,IF($B$261="Лікар-терапевт","х",IF($B$261="Лікар загальної практики - сімейний лікар",N263/S263,0)))</f>
        <v>0.42377756471716205</v>
      </c>
      <c r="O264" s="203">
        <f>IF($B$261="Лікар-педіатр",O263/S263,IF($B$261="Лікар-терапевт","х",IF($B$261="Лікар загальної практики - сімейний лікар",O263/S263,0)))</f>
        <v>0.57622243528283801</v>
      </c>
      <c r="P264" s="203" t="str">
        <f>IF($B$261="Лікар-педіатр","x",IF($B$261="Лікар-терапевт",P263/S263,IF($B$261="Лікар загальної практики - сімейний лікар",P263/S263,0)))</f>
        <v>x</v>
      </c>
      <c r="Q264" s="203" t="str">
        <f>IF($B$261="Лікар-педіатр","x",IF($B$261="Лікар-терапевт",Q263/S263,IF($B$261="Лікар загальної практики - сімейний лікар",Q263/S263,0)))</f>
        <v>x</v>
      </c>
      <c r="R264" s="203" t="str">
        <f>IF($B$261="Лікар-педіатр","x",IF($B$261="Лікар-терапевт",R263/S263,IF($B$261="Лікар загальної практики - сімейний лікар",R263/S263,0)))</f>
        <v>x</v>
      </c>
      <c r="S264" s="203">
        <f>SUM(N264:R264)</f>
        <v>1</v>
      </c>
      <c r="T264" s="945"/>
      <c r="U264" s="203">
        <f>IF($B$261="Лікар-педіатр",U263/Z263,IF($B$261="Лікар-терапевт","х",IF($B$261="Лікар загальної практики - сімейний лікар",U263/Z263,0)))</f>
        <v>0.42377756471716205</v>
      </c>
      <c r="V264" s="203">
        <f>IF($B$261="Лікар-педіатр",V263/Z263,IF($B$261="Лікар-терапевт","х",IF($B$261="Лікар загальної практики - сімейний лікар",V263/Z263,0)))</f>
        <v>0.57622243528283801</v>
      </c>
      <c r="W264" s="203" t="str">
        <f>IF($B$261="Лікар-педіатр","x",IF($B$261="Лікар-терапевт",W263/Z263,IF($B$261="Лікар загальної практики - сімейний лікар",W263/Z263,0)))</f>
        <v>x</v>
      </c>
      <c r="X264" s="203" t="str">
        <f>IF($B$261="Лікар-педіатр","x",IF($B$261="Лікар-терапевт",X263/Z263,IF($B$261="Лікар загальної практики - сімейний лікар",X263/Z263,0)))</f>
        <v>x</v>
      </c>
      <c r="Y264" s="203" t="str">
        <f>IF($B$261="Лікар-педіатр","x",IF($B$261="Лікар-терапевт",Y263/Z263,IF($B$261="Лікар загальної практики - сімейний лікар",Y263/Z263,0)))</f>
        <v>x</v>
      </c>
      <c r="Z264" s="203">
        <f>SUM(U264:Y264)</f>
        <v>1</v>
      </c>
      <c r="AA264" s="945"/>
      <c r="AB264" s="203">
        <f>IF($B$261="Лікар-педіатр",AB263/AG263,IF($B$261="Лікар-терапевт","х",IF($B$261="Лікар загальної практики - сімейний лікар",AB263/AG263,0)))</f>
        <v>0.42377756471716205</v>
      </c>
      <c r="AC264" s="203">
        <f>IF($B$261="Лікар-педіатр",AC263/AG263,IF($B$261="Лікар-терапевт","х",IF($B$261="Лікар загальної практики - сімейний лікар",AC263/AG263,0)))</f>
        <v>0.57622243528283801</v>
      </c>
      <c r="AD264" s="203" t="str">
        <f>IF($B$261="Лікар-педіатр","x",IF($B$261="Лікар-терапевт",AD263/AG263,IF($B$261="Лікар загальної практики - сімейний лікар",AD263/AG263,0)))</f>
        <v>x</v>
      </c>
      <c r="AE264" s="203" t="str">
        <f>IF($B$261="Лікар-педіатр","x",IF($B$261="Лікар-терапевт",AE263/AG263,IF($B$261="Лікар загальної практики - сімейний лікар",AE263/AG263,0)))</f>
        <v>x</v>
      </c>
      <c r="AF264" s="203" t="str">
        <f>IF($B$261="Лікар-педіатр","x",IF($B$261="Лікар-терапевт",AF263/AG263,IF($B$261="Лікар загальної практики - сімейний лікар",AF263/AG263,0)))</f>
        <v>x</v>
      </c>
      <c r="AG264" s="203">
        <f>SUM(AB264:AF264)</f>
        <v>1</v>
      </c>
      <c r="AH264" s="945"/>
      <c r="AI264" s="201"/>
      <c r="AJ264" s="933"/>
      <c r="AK264" s="927"/>
      <c r="AL264" s="927"/>
      <c r="AM264" s="902"/>
      <c r="AN264" s="924"/>
      <c r="AO264" s="924"/>
      <c r="AP264" s="924"/>
      <c r="AQ264" s="924"/>
      <c r="AR264" s="915"/>
    </row>
    <row r="265" spans="1:44" s="50" customFormat="1" ht="45" customHeight="1" thickBot="1">
      <c r="A265" s="197"/>
      <c r="B265" s="941"/>
      <c r="C265" s="942"/>
      <c r="D265" s="943"/>
      <c r="E265" s="944"/>
      <c r="F265" s="204" t="s">
        <v>585</v>
      </c>
      <c r="G265" s="205">
        <f>IF($B$261="Лікар загальної практики - сімейний лікар",AVERAGE(G261:G263),IF($B$261="Лікар-педіатр",AVERAGE(G261:G263),IF($B$261="Лікар-терапевт","х",0)))</f>
        <v>442</v>
      </c>
      <c r="H265" s="205">
        <f>IF($B$261="Лікар загальної практики - сімейний лікар",AVERAGE(H261:H263),IF($B$261="Лікар-педіатр",AVERAGE(H261:H263),IF($B$261="Лікар-терапевт","х",0)))</f>
        <v>601</v>
      </c>
      <c r="I265" s="205" t="str">
        <f>IF($B$261="Лікар загальної практики - сімейний лікар",AVERAGE(I261:I263),IF($B$261="Лікар-педіатр","x",IF($B$261="Лікар-терапевт",AVERAGE(I261:I263),0)))</f>
        <v>x</v>
      </c>
      <c r="J265" s="205" t="str">
        <f>IF($B$261="Лікар загальної практики - сімейний лікар",AVERAGE(J261:J263),IF($B$261="Лікар-педіатр","x",IF($B$261="Лікар-терапевт",AVERAGE(J261:J263),0)))</f>
        <v>x</v>
      </c>
      <c r="K265" s="205" t="str">
        <f>IF($B$261="Лікар загальної практики - сімейний лікар",AVERAGE(K261:K263),IF($B$261="Лікар-педіатр","x",IF($B$261="Лікар-терапевт",AVERAGE(K261:K263),0)))</f>
        <v>x</v>
      </c>
      <c r="L265" s="206">
        <f>SUM(G265:K265)</f>
        <v>1043</v>
      </c>
      <c r="M265" s="946"/>
      <c r="N265" s="205">
        <f>IF($B$261="Лікар загальної практики - сімейний лікар",AVERAGE(N261:N263),IF($B$261="Лікар-педіатр",AVERAGE(N261:N263),IF($B$261="Лікар-терапевт","х",0)))</f>
        <v>442</v>
      </c>
      <c r="O265" s="205">
        <f>IF($B$261="Лікар загальної практики - сімейний лікар",AVERAGE(O261:O263),IF($B$261="Лікар-педіатр",AVERAGE(O261:O263),IF($B$261="Лікар-терапевт","х",0)))</f>
        <v>601</v>
      </c>
      <c r="P265" s="205" t="str">
        <f>IF($B$261="Лікар загальної практики - сімейний лікар",AVERAGE(P261:P263),IF($B$261="Лікар-педіатр","x",IF($B$261="Лікар-терапевт",AVERAGE(P261:P263),0)))</f>
        <v>x</v>
      </c>
      <c r="Q265" s="205" t="str">
        <f>IF($B$261="Лікар загальної практики - сімейний лікар",AVERAGE(Q261:Q263),IF($B$261="Лікар-педіатр","x",IF($B$261="Лікар-терапевт",AVERAGE(Q261:Q263),0)))</f>
        <v>x</v>
      </c>
      <c r="R265" s="205" t="str">
        <f>IF($B$261="Лікар загальної практики - сімейний лікар",AVERAGE(R261:R263),IF($B$261="Лікар-педіатр","x",IF($B$261="Лікар-терапевт",AVERAGE(R261:R263),0)))</f>
        <v>x</v>
      </c>
      <c r="S265" s="206">
        <f>SUM(N265:R265)</f>
        <v>1043</v>
      </c>
      <c r="T265" s="946"/>
      <c r="U265" s="205">
        <f>IF($B$261="Лікар загальної практики - сімейний лікар",AVERAGE(U261:U263),IF($B$261="Лікар-педіатр",AVERAGE(U261:U263),IF($B$261="Лікар-терапевт","х",0)))</f>
        <v>442</v>
      </c>
      <c r="V265" s="205">
        <f>IF($B$261="Лікар загальної практики - сімейний лікар",AVERAGE(V261:V263),IF($B$261="Лікар-педіатр",AVERAGE(V261:V263),IF($B$261="Лікар-терапевт","х",0)))</f>
        <v>601</v>
      </c>
      <c r="W265" s="205" t="str">
        <f>IF($B$261="Лікар загальної практики - сімейний лікар",AVERAGE(W261:W263),IF($B$261="Лікар-педіатр","x",IF($B$261="Лікар-терапевт",AVERAGE(W261:W263),0)))</f>
        <v>x</v>
      </c>
      <c r="X265" s="205" t="str">
        <f>IF($B$261="Лікар загальної практики - сімейний лікар",AVERAGE(X261:X263),IF($B$261="Лікар-педіатр","x",IF($B$261="Лікар-терапевт",AVERAGE(X261:X263),0)))</f>
        <v>x</v>
      </c>
      <c r="Y265" s="205" t="str">
        <f>IF($B$261="Лікар загальної практики - сімейний лікар",AVERAGE(Y261:Y263),IF($B$261="Лікар-педіатр","x",IF($B$261="Лікар-терапевт",AVERAGE(Y261:Y263),0)))</f>
        <v>x</v>
      </c>
      <c r="Z265" s="206">
        <f>SUM(U265:Y265)</f>
        <v>1043</v>
      </c>
      <c r="AA265" s="946"/>
      <c r="AB265" s="205">
        <f>IF($B$261="Лікар загальної практики - сімейний лікар",AVERAGE(AB261:AB263),IF($B$261="Лікар-педіатр",AVERAGE(AB261:AB263),IF($B$261="Лікар-терапевт","х",0)))</f>
        <v>442</v>
      </c>
      <c r="AC265" s="205">
        <f>IF($B$261="Лікар загальної практики - сімейний лікар",AVERAGE(AC261:AC263),IF($B$261="Лікар-педіатр",AVERAGE(AC261:AC263),IF($B$261="Лікар-терапевт","х",0)))</f>
        <v>601</v>
      </c>
      <c r="AD265" s="205" t="str">
        <f>IF($B$261="Лікар загальної практики - сімейний лікар",AVERAGE(AD261:AD263),IF($B$261="Лікар-педіатр","x",IF($B$261="Лікар-терапевт",AVERAGE(AD261:AD263),0)))</f>
        <v>x</v>
      </c>
      <c r="AE265" s="205" t="str">
        <f>IF($B$261="Лікар загальної практики - сімейний лікар",AVERAGE(AE261:AE263),IF($B$261="Лікар-педіатр","x",IF($B$261="Лікар-терапевт",AVERAGE(AE261:AE263),0)))</f>
        <v>x</v>
      </c>
      <c r="AF265" s="205" t="str">
        <f>IF($B$261="Лікар загальної практики - сімейний лікар",AVERAGE(AF261:AF263),IF($B$261="Лікар-педіатр","x",IF($B$261="Лікар-терапевт",AVERAGE(AF261:AF263),0)))</f>
        <v>x</v>
      </c>
      <c r="AG265" s="206">
        <f>SUM(AB265:AF265)</f>
        <v>1043</v>
      </c>
      <c r="AH265" s="947"/>
      <c r="AI265" s="201"/>
      <c r="AJ265" s="933"/>
      <c r="AK265" s="927"/>
      <c r="AL265" s="927"/>
      <c r="AM265" s="903"/>
      <c r="AN265" s="925"/>
      <c r="AO265" s="925"/>
      <c r="AP265" s="925"/>
      <c r="AQ265" s="925"/>
      <c r="AR265" s="916"/>
    </row>
    <row r="266" spans="1:44" s="50" customFormat="1" ht="40.5">
      <c r="A266" s="197"/>
      <c r="B266" s="941"/>
      <c r="C266" s="942"/>
      <c r="D266" s="943"/>
      <c r="E266" s="943"/>
      <c r="F266" s="237" t="str">
        <f ca="1">IF(B261="Лікар-педіатр",Законод!$C$17,IF(B261="Лікар загальної практики - сімейний лікар",Законод!$C$21,IF(B261="Лікар-терапевт",Законод!$C$25,"х")))</f>
        <v>ліміт (до 900)</v>
      </c>
      <c r="G266" s="208">
        <f ca="1">IF($B$261="Лікар загальної практики - сімейний лікар",IF(L265&lt;=Законод!$C$22,G265,Законод!$C$22*'01_Доходи'!G264),IF($B$261="Лікар-педіатр",IF(L265&lt;=Законод!$C$18,G265,Законод!$C$18*'01_Доходи'!G264),IF($B$261="Лікар-терапевт","x",0)))</f>
        <v>381.39980824544585</v>
      </c>
      <c r="H266" s="208">
        <f ca="1">IF($B$261="Лікар загальної практики - сімейний лікар",IF(L265&lt;=Законод!$C$22,H265,Законод!$C$22*'01_Доходи'!H264),IF($B$261="Лікар-педіатр",IF(L265&lt;=Законод!$C$18,H265,Законод!$C$18*'01_Доходи'!H264),IF($B$261="Лікар-терапевт","x",0)))</f>
        <v>518.6001917545542</v>
      </c>
      <c r="I266" s="208" t="str">
        <f ca="1">IF($B$261="Лікар загальної практики - сімейний лікар",IF(L265&lt;=Законод!$C$22,I265,Законод!$C$22*'01_Доходи'!I264),IF($B$261="Лікар-педіатр","x",IF($B$261="Лікар-терапевт",IF(L265&lt;=Законод!$C$26,I265,Законод!$C$26*'01_Доходи'!I264),0)))</f>
        <v>x</v>
      </c>
      <c r="J266" s="208" t="str">
        <f ca="1">IF($B$261="Лікар загальної практики - сімейний лікар",IF(L265&lt;=Законод!$C$22,J265,Законод!$C$22*'01_Доходи'!J264),IF($B$261="Лікар-педіатр","x",IF($B$261="Лікар-терапевт",IF(L265&lt;=Законод!$C$26,J265,Законод!$C$26*'01_Доходи'!J264),0)))</f>
        <v>x</v>
      </c>
      <c r="K266" s="208" t="str">
        <f ca="1">IF($B$261="Лікар загальної практики - сімейний лікар",IF(L265&lt;=Законод!$C$22,K265,Законод!$C$22*'01_Доходи'!K264),IF($B$261="Лікар-педіатр","x",IF($B$261="Лікар-терапевт",IF(L265&lt;=Законод!$C$26,K265,Законод!$C$26*'01_Доходи'!K264),0)))</f>
        <v>x</v>
      </c>
      <c r="L266" s="209">
        <f ca="1">SUM(G266:K266)</f>
        <v>900</v>
      </c>
      <c r="M266" s="945"/>
      <c r="N266" s="208">
        <f ca="1">IF($B$261="Лікар загальної практики - сімейний лікар",IF(S265&lt;=Законод!$C$22,N265,Законод!$C$22*'01_Доходи'!N264),IF($B$261="Лікар-педіатр",IF(S265&lt;=Законод!$C$18,N265,Законод!$C$18*'01_Доходи'!N264),IF($B$261="Лікар-терапевт","x",0)))</f>
        <v>381.39980824544585</v>
      </c>
      <c r="O266" s="208">
        <f ca="1">IF($B$261="Лікар загальної практики - сімейний лікар",IF(S265&lt;=Законод!$C$22,O265,Законод!$C$22*'01_Доходи'!O264),IF($B$261="Лікар-педіатр",IF(S265&lt;=Законод!$C$18,O265,Законод!$C$18*'01_Доходи'!O264),IF($B$261="Лікар-терапевт","x",0)))</f>
        <v>518.6001917545542</v>
      </c>
      <c r="P266" s="208" t="str">
        <f ca="1">IF($B$261="Лікар загальної практики - сімейний лікар",IF(S265&lt;=Законод!$C$22,P265,Законод!$C$22*'01_Доходи'!P264),IF($B$261="Лікар-педіатр","x",IF($B$261="Лікар-терапевт",IF(S265&lt;=Законод!$C$26,P265,Законод!$C$26*'01_Доходи'!P264),0)))</f>
        <v>x</v>
      </c>
      <c r="Q266" s="208" t="str">
        <f ca="1">IF($B$261="Лікар загальної практики - сімейний лікар",IF(S265&lt;=Законод!$C$22,Q265,Законод!$C$22*'01_Доходи'!Q264),IF($B$261="Лікар-педіатр","x",IF($B$261="Лікар-терапевт",IF(S265&lt;=Законод!$C$26,Q265,Законод!$C$26*'01_Доходи'!Q264),0)))</f>
        <v>x</v>
      </c>
      <c r="R266" s="208" t="str">
        <f ca="1">IF($B$261="Лікар загальної практики - сімейний лікар",IF(S265&lt;=Законод!$C$22,R265,Законод!$C$22*'01_Доходи'!R264),IF($B$261="Лікар-педіатр","x",IF($B$261="Лікар-терапевт",IF(S265&lt;=Законод!$C$26,R265,Законод!$C$26*'01_Доходи'!R264),0)))</f>
        <v>x</v>
      </c>
      <c r="S266" s="209">
        <f ca="1">SUM(N266:R266)</f>
        <v>900</v>
      </c>
      <c r="T266" s="945"/>
      <c r="U266" s="208">
        <f ca="1">IF($B$261="Лікар загальної практики - сімейний лікар",IF(Z265&lt;=Законод!$C$22,U265,Законод!$C$22*'01_Доходи'!U264),IF($B$261="Лікар-педіатр",IF(Z265&lt;=Законод!$C$18,U265,Законод!$C$18*'01_Доходи'!U264),IF($B$261="Лікар-терапевт","x",0)))</f>
        <v>381.39980824544585</v>
      </c>
      <c r="V266" s="208">
        <f ca="1">IF($B$261="Лікар загальної практики - сімейний лікар",IF(Z265&lt;=Законод!$C$22,V265,Законод!$C$22*'01_Доходи'!V264),IF($B$261="Лікар-педіатр",IF(Z265&lt;=Законод!$C$18,V265,Законод!$C$18*'01_Доходи'!V264),IF($B$261="Лікар-терапевт","x",0)))</f>
        <v>518.6001917545542</v>
      </c>
      <c r="W266" s="208" t="str">
        <f ca="1">IF($B$261="Лікар загальної практики - сімейний лікар",IF(Z265&lt;=Законод!$C$22,W265,Законод!$C$22*'01_Доходи'!W264),IF($B$261="Лікар-педіатр","x",IF($B$261="Лікар-терапевт",IF(Z265&lt;=Законод!$C$26,W265,Законод!$C$26*'01_Доходи'!W264),0)))</f>
        <v>x</v>
      </c>
      <c r="X266" s="208" t="str">
        <f ca="1">IF($B$261="Лікар загальної практики - сімейний лікар",IF(Z265&lt;=Законод!$C$22,X265,Законод!$C$22*'01_Доходи'!X264),IF($B$261="Лікар-педіатр","x",IF($B$261="Лікар-терапевт",IF(Z265&lt;=Законод!$C$26,X265,Законод!$C$26*'01_Доходи'!X264),0)))</f>
        <v>x</v>
      </c>
      <c r="Y266" s="208" t="str">
        <f ca="1">IF($B$261="Лікар загальної практики - сімейний лікар",IF(Z265&lt;=Законод!$C$22,Y265,Законод!$C$22*'01_Доходи'!Y264),IF($B$261="Лікар-педіатр","x",IF($B$261="Лікар-терапевт",IF(Z265&lt;=Законод!$C$26,Y265,Законод!$C$26*'01_Доходи'!Y264),0)))</f>
        <v>x</v>
      </c>
      <c r="Z266" s="209">
        <f ca="1">SUM(U266:Y266)</f>
        <v>900</v>
      </c>
      <c r="AA266" s="945"/>
      <c r="AB266" s="208">
        <f ca="1">IF($B$261="Лікар загальної практики - сімейний лікар",IF(AG265&lt;=Законод!$C$22,AB265,Законод!$C$22*'01_Доходи'!AB264),IF($B$261="Лікар-педіатр",IF(AG265&lt;=Законод!$C$18,AB265,Законод!$C$18*'01_Доходи'!AB264),IF($B$261="Лікар-терапевт","x",0)))</f>
        <v>381.39980824544585</v>
      </c>
      <c r="AC266" s="208">
        <f ca="1">IF($B$261="Лікар загальної практики - сімейний лікар",IF(AG265&lt;=Законод!$C$22,AC265,Законод!$C$22*'01_Доходи'!AC264),IF($B$261="Лікар-педіатр",IF(AG265&lt;=Законод!$C$18,AC265,Законод!$C$18*'01_Доходи'!AC264),IF($B$261="Лікар-терапевт","x",0)))</f>
        <v>518.6001917545542</v>
      </c>
      <c r="AD266" s="208" t="str">
        <f ca="1">IF($B$261="Лікар загальної практики - сімейний лікар",IF(AG265&lt;=Законод!$C$22,AD265,Законод!$C$22*'01_Доходи'!AD264),IF($B$261="Лікар-педіатр","x",IF($B$261="Лікар-терапевт",IF(AG265&lt;=Законод!$C$26,AD265,Законод!$C$26*'01_Доходи'!AD264),0)))</f>
        <v>x</v>
      </c>
      <c r="AE266" s="208" t="str">
        <f ca="1">IF($B$261="Лікар загальної практики - сімейний лікар",IF(AG265&lt;=Законод!$C$22,AE265,Законод!$C$22*'01_Доходи'!AE264),IF($B$261="Лікар-педіатр","x",IF($B$261="Лікар-терапевт",IF(AG265&lt;=Законод!$C$26,AE265,Законод!$C$26*'01_Доходи'!AE264),0)))</f>
        <v>x</v>
      </c>
      <c r="AF266" s="208" t="str">
        <f ca="1">IF($B$261="Лікар загальної практики - сімейний лікар",IF(AG265&lt;=Законод!$C$22,AF265,Законод!$C$22*'01_Доходи'!AF264),IF($B$261="Лікар-педіатр","x",IF($B$261="Лікар-терапевт",IF(AG265&lt;=Законод!$C$26,AF265,Законод!$C$26*'01_Доходи'!AF264),0)))</f>
        <v>x</v>
      </c>
      <c r="AG266" s="209">
        <f ca="1">SUM(AB266:AF266)</f>
        <v>900</v>
      </c>
      <c r="AH266" s="945"/>
      <c r="AI266" s="201"/>
      <c r="AJ266" s="933"/>
      <c r="AK266" s="927"/>
      <c r="AL266" s="927"/>
      <c r="AM266" s="348" t="s">
        <v>374</v>
      </c>
      <c r="AN266" s="210">
        <f ca="1">IF(B261="Лікар загальної практики - сімейний лікар",G266*Законод!$C$11+'01_Доходи'!H266*Законод!$D$11+'01_Доходи'!I266*Законод!$E$11+'01_Доходи'!J266*Законод!$F$11+'01_Доходи'!K266*Законод!$G$11,IF(B261="Лікар-педіатр",G266*Законод!$C$11+'01_Доходи'!H266*Законод!$D$11,IF(B261="Лікар-терапевт",'01_Доходи'!I266*Законод!$E$11+'01_Доходи'!J266*Законод!$F$11+'01_Доходи'!K266*Законод!$G$11,0)))</f>
        <v>323189.72212607868</v>
      </c>
      <c r="AO266" s="210">
        <f ca="1">IF(B261="Лікар загальної практики - сімейний лікар",N266*Законод!$C$11+'01_Доходи'!O266*Законод!$D$11+'01_Доходи'!P266*Законод!$E$11+'01_Доходи'!Q266*Законод!$F$11+'01_Доходи'!R266*Законод!$G$11,IF(B261="Лікар-педіатр",N266*Законод!$C$11+'01_Доходи'!O266*Законод!$D$11,IF(B261="Лікар-терапевт",'01_Доходи'!P266*Законод!$E$11+'01_Доходи'!Q266*Законод!$F$11+'01_Доходи'!R266*Законод!$G$11,0)))</f>
        <v>323189.72212607868</v>
      </c>
      <c r="AP266" s="210">
        <f ca="1">IF(B261="Лікар загальної практики - сімейний лікар",U266*Законод!$C$11+'01_Доходи'!V266*Законод!$D$11+'01_Доходи'!W266*Законод!$E$11+'01_Доходи'!X266*Законод!$F$11+'01_Доходи'!Y266*Законод!$G$11,IF(B261="Лікар-педіатр",U266*Законод!$C$11+'01_Доходи'!V266*Законод!$D$11,IF(B261="Лікар-терапевт",'01_Доходи'!W266*Законод!$E$11+'01_Доходи'!X266*Законод!$F$11+'01_Доходи'!Y266*Законод!$G$11,0)))</f>
        <v>323189.72212607868</v>
      </c>
      <c r="AQ266" s="210">
        <f ca="1">IF(B261="Лікар загальної практики - сімейний лікар",AB266*Законод!$C$11+'01_Доходи'!AC266*Законод!$D$11+'01_Доходи'!AD266*Законод!$E$11+'01_Доходи'!AE266*Законод!$F$11+'01_Доходи'!AF266*Законод!$G$11,IF(B261="Лікар-педіатр",AB266*Законод!$C$11+'01_Доходи'!AC266*Законод!$D$11,IF(B261="Лікар-терапевт",'01_Доходи'!AD266*Законод!$E$11+'01_Доходи'!AE266*Законод!$F$11+'01_Доходи'!AF266*Законод!$G$11,0)))</f>
        <v>323189.72212607868</v>
      </c>
      <c r="AR266" s="211">
        <f t="shared" ref="AR266:AR272" si="39">SUM(AN266:AQ266)</f>
        <v>1292758.8885043147</v>
      </c>
    </row>
    <row r="267" spans="1:44" s="50" customFormat="1" ht="31.9" customHeight="1">
      <c r="A267" s="197"/>
      <c r="B267" s="941"/>
      <c r="C267" s="942"/>
      <c r="D267" s="943"/>
      <c r="E267" s="943"/>
      <c r="F267" s="238" t="str">
        <f ca="1">IF(B261="Лікар-педіатр",Законод!$E$17,IF(B261="Лікар загальної практики - сімейний лікар",Законод!$E$21,IF(B261="Лікар-терапевт",Законод!$E$25,"х")))</f>
        <v>понад ліміт (901-990)</v>
      </c>
      <c r="G267" s="940" t="s">
        <v>346</v>
      </c>
      <c r="H267" s="940"/>
      <c r="I267" s="940"/>
      <c r="J267" s="940"/>
      <c r="K267" s="940"/>
      <c r="L267" s="196">
        <f ca="1">IF($B$261="Лікар загальної практики - сімейний лікар",IF(L265&lt;Законод!$C$22,0,(IF(AND(L265&gt;=Законод!$E$22,L265&lt;=Законод!$E$23),L265-Законод!$C$22,IF('01_Доходи'!L265&gt;=Законод!$F$22,Законод!$E$24,0)))),IF($B$261="Лікар-педіатр",IF(L265&lt;Законод!$C$18,0,(IF(AND(L265&gt;=Законод!$E$18,L265&lt;=Законод!$E$19),L265-Законод!$C$18,IF('01_Доходи'!L265&gt;=Законод!$F$18,Законод!$E$20,0)))),IF($B$261="Лікар-терапевт",IF(L265&lt;Законод!$C$26,0,(IF(AND(L265&gt;=Законод!$E$26,L265&lt;=Законод!$E$27),L265-Законод!$C$26,IF('01_Доходи'!L265&gt;=Законод!$F$26,Законод!$E$28,0)))),0)))</f>
        <v>90.000000000000114</v>
      </c>
      <c r="M267" s="945"/>
      <c r="N267" s="940" t="s">
        <v>346</v>
      </c>
      <c r="O267" s="940"/>
      <c r="P267" s="940"/>
      <c r="Q267" s="940"/>
      <c r="R267" s="940"/>
      <c r="S267" s="196">
        <f ca="1">IF($B$261="Лікар загальної практики - сімейний лікар",IF(S265&lt;Законод!$C$22,0,(IF(AND(S265&gt;=Законод!$E$22,S265&lt;=Законод!$E$23),S265-Законод!$C$22,IF('01_Доходи'!S265&gt;=Законод!$F$22,Законод!$E$24,0)))),IF($B$261="Лікар-педіатр",IF(S265&lt;Законод!$C$18,0,(IF(AND(S265&gt;=Законод!$E$18,S265&lt;=Законод!$E$19),S265-Законод!$C$18,IF('01_Доходи'!S265&gt;=Законод!$F$18,Законод!$E$20,0)))),IF($B$261="Лікар-терапевт",IF(S265&lt;Законод!$C$26,0,(IF(AND(S265&gt;=Законод!$E$26,S265&lt;=Законод!$E$27),S265-Законод!$C$26,IF('01_Доходи'!S265&gt;=Законод!$F$26,Законод!$E$28,0)))),0)))</f>
        <v>90.000000000000114</v>
      </c>
      <c r="T267" s="945"/>
      <c r="U267" s="940" t="s">
        <v>346</v>
      </c>
      <c r="V267" s="940"/>
      <c r="W267" s="940"/>
      <c r="X267" s="940"/>
      <c r="Y267" s="940"/>
      <c r="Z267" s="196">
        <f ca="1">IF($B$261="Лікар загальної практики - сімейний лікар",IF(Z265&lt;Законод!$C$22,0,(IF(AND(Z265&gt;=Законод!$E$22,Z265&lt;=Законод!$E$23),Z265-Законод!$C$22,IF('01_Доходи'!Z265&gt;=Законод!$F$22,Законод!$E$24,0)))),IF($B$261="Лікар-педіатр",IF(Z265&lt;Законод!$C$18,0,(IF(AND(Z265&gt;=Законод!$E$18,Z265&lt;=Законод!$E$19),Z265-Законод!$C$18,IF('01_Доходи'!Z265&gt;=Законод!$F$18,Законод!$E$20,0)))),IF($B$261="Лікар-терапевт",IF(Z265&lt;Законод!$C$26,0,(IF(AND(Z265&gt;=Законод!$E$26,Z265&lt;=Законод!$E$27),Z265-Законод!$C$26,IF('01_Доходи'!Z265&gt;=Законод!$F$26,Законод!$E$28,0)))),0)))</f>
        <v>90.000000000000114</v>
      </c>
      <c r="AA267" s="945"/>
      <c r="AB267" s="940" t="s">
        <v>346</v>
      </c>
      <c r="AC267" s="940"/>
      <c r="AD267" s="940"/>
      <c r="AE267" s="940"/>
      <c r="AF267" s="940"/>
      <c r="AG267" s="196">
        <f ca="1">IF($B$261="Лікар загальної практики - сімейний лікар",IF(AG265&lt;Законод!$C$22,0,(IF(AND(AG265&gt;=Законод!$E$22,AG265&lt;=Законод!$E$23),AG265-Законод!$C$22,IF('01_Доходи'!AG265&gt;=Законод!$F$22,Законод!$E$24,0)))),IF($B$261="Лікар-педіатр",IF(AG265&lt;Законод!$C$18,0,(IF(AND(AG265&gt;=Законод!$E$18,AG265&lt;=Законод!$E$19),AG265-Законод!$C$18,IF('01_Доходи'!AG265&gt;=Законод!$F$18,Законод!$E$20,0)))),IF($B$261="Лікар-терапевт",IF(AG265&lt;Законод!$C$26,0,(IF(AND(AG265&gt;=Законод!$E$26,AG265&lt;=Законод!$E$27),AG265-Законод!$C$26,IF('01_Доходи'!AG265&gt;=Законод!$F$26,Законод!$E$28,0)))),0)))</f>
        <v>90.000000000000114</v>
      </c>
      <c r="AH267" s="945"/>
      <c r="AI267" s="201"/>
      <c r="AJ267" s="933"/>
      <c r="AK267" s="927"/>
      <c r="AL267" s="927"/>
      <c r="AM267" s="898" t="s">
        <v>375</v>
      </c>
      <c r="AN267" s="210">
        <f ca="1">IF(B261="Лікар загальної практики - сімейний лікар",L267*Законод!$C$9/4*Законод!$E$16,IF(B261="Лікар-педіатр",L267*Законод!$C$9/4*Законод!$E$16,IF(B261="Лікар-терапевт",L267*Законод!$C$9/4*Законод!$E$16,0)))</f>
        <v>10902.969000000014</v>
      </c>
      <c r="AO267" s="210">
        <f ca="1">IF(B261="Лікар загальної практики - сімейний лікар",S267*Законод!$C$9/4*Законод!$E$16,IF(B261="Лікар-педіатр",S267*Законод!$C$9/4*Законод!$E$16,IF(B261="Лікар-терапевт",S267*Законод!$C$9/4*Законод!$E$16,0)))</f>
        <v>10902.969000000014</v>
      </c>
      <c r="AP267" s="210">
        <f ca="1">IF(B261="Лікар загальної практики - сімейний лікар",Z267*Законод!$C$9/4*Законод!$E$16,IF(B261="Лікар-педіатр",Z267*Законод!$C$9/4*Законод!$E$16,IF(B261="Лікар-терапевт",Z267*Законод!$C$9/4*Законод!$E$16,0)))</f>
        <v>10902.969000000014</v>
      </c>
      <c r="AQ267" s="210">
        <f ca="1">IF(B261="Лікар загальної практики - сімейний лікар",AG267*Законод!$C$9/4*Законод!$E$16,IF(B261="Лікар-педіатр",AG267*Законод!$C$9/4*Законод!$E$16,IF(B261="Лікар-терапевт",AG267*Законод!$C$9/4*Законод!$E$16,0)))</f>
        <v>10902.969000000014</v>
      </c>
      <c r="AR267" s="211">
        <f t="shared" si="39"/>
        <v>43611.876000000055</v>
      </c>
    </row>
    <row r="268" spans="1:44" s="50" customFormat="1" ht="31.9" customHeight="1">
      <c r="A268" s="197"/>
      <c r="B268" s="941"/>
      <c r="C268" s="942"/>
      <c r="D268" s="943"/>
      <c r="E268" s="943"/>
      <c r="F268" s="238" t="str">
        <f ca="1">IF(B261="Лікар-педіатр",Законод!$F$17,IF(B261="Лікар загальної практики - сімейний лікар",Законод!$F$21,IF(B261="Лікар-терапевт",Законод!$F$25,"х")))</f>
        <v>понад ліміт (991-1080)</v>
      </c>
      <c r="G268" s="940" t="s">
        <v>346</v>
      </c>
      <c r="H268" s="940"/>
      <c r="I268" s="940"/>
      <c r="J268" s="940"/>
      <c r="K268" s="940"/>
      <c r="L268" s="196">
        <f ca="1">IF($B$261="Лікар загальної практики - сімейний лікар",IF(L265&lt;Законод!$C$22,0,(IF(AND(L265&gt;=Законод!$F$22,L265&lt;=Законод!$F$23),L265-Законод!$E$23,IF('01_Доходи'!L265&gt;=Законод!$G$22,Законод!$F$24,0)))),IF($B$261="Лікар-педіатр",IF(L265&lt;Законод!$C$18,0,(IF(AND(L265&gt;=Законод!$F$18,L265&lt;=Законод!$F$19),L265-Законод!$E$19,IF('01_Доходи'!L265&gt;=Законод!$G$18,Законод!$F$20,0)))),IF($B$261="Лікар-терапевт",IF(L265&lt;Законод!$C$26,0,(IF(AND(L265&gt;=Законод!$F$26,L265&lt;=Законод!$F$27),L265-Законод!$E$27,IF('01_Доходи'!L265&gt;=Законод!$G$26,Законод!$F$28,0)))),0)))</f>
        <v>52.999999999999886</v>
      </c>
      <c r="M268" s="945"/>
      <c r="N268" s="940" t="s">
        <v>346</v>
      </c>
      <c r="O268" s="940"/>
      <c r="P268" s="940"/>
      <c r="Q268" s="940"/>
      <c r="R268" s="940"/>
      <c r="S268" s="196">
        <f ca="1">IF($B$261="Лікар загальної практики - сімейний лікар",IF(S265&lt;Законод!$C$22,0,(IF(AND(S265&gt;=Законод!$F$22,S265&lt;=Законод!$F$23),S265-Законод!$E$23,IF('01_Доходи'!S265&gt;=Законод!$G$22,Законод!$F$24,0)))),IF($B$261="Лікар-педіатр",IF(S265&lt;Законод!$C$18,0,(IF(AND(S265&gt;=Законод!$F$18,S265&lt;=Законод!$F$19),S265-Законод!$E$19,IF('01_Доходи'!S265&gt;=Законод!$G$18,Законод!$F$20,0)))),IF($B$261="Лікар-терапевт",IF(S265&lt;Законод!$C$26,0,(IF(AND(S265&gt;=Законод!$F$26,S265&lt;=Законод!$F$27),S265-Законод!$E$27,IF('01_Доходи'!S265&gt;=Законод!$G$26,Законод!$F$28,0)))),0)))</f>
        <v>52.999999999999886</v>
      </c>
      <c r="T268" s="945"/>
      <c r="U268" s="940" t="s">
        <v>346</v>
      </c>
      <c r="V268" s="940"/>
      <c r="W268" s="940"/>
      <c r="X268" s="940"/>
      <c r="Y268" s="940"/>
      <c r="Z268" s="196">
        <f ca="1">IF($B$261="Лікар загальної практики - сімейний лікар",IF(Z265&lt;Законод!$C$22,0,(IF(AND(Z265&gt;=Законод!$F$22,Z265&lt;=Законод!$F$23),Z265-Законод!$E$23,IF('01_Доходи'!Z265&gt;=Законод!$G$22,Законод!$F$24,0)))),IF($B$261="Лікар-педіатр",IF(Z265&lt;Законод!$C$18,0,(IF(AND(Z265&gt;=Законод!$F$18,Z265&lt;=Законод!$F$19),Z265-Законод!$E$19,IF('01_Доходи'!Z265&gt;=Законод!$G$18,Законод!$F$20,0)))),IF($B$261="Лікар-терапевт",IF(Z265&lt;Законод!$C$26,0,(IF(AND(Z265&gt;=Законод!$F$26,Z265&lt;=Законод!$F$27),Z265-Законод!$E$27,IF('01_Доходи'!Z265&gt;=Законод!$G$26,Законод!$F$28,0)))),0)))</f>
        <v>52.999999999999886</v>
      </c>
      <c r="AA268" s="945"/>
      <c r="AB268" s="940" t="s">
        <v>346</v>
      </c>
      <c r="AC268" s="940"/>
      <c r="AD268" s="940"/>
      <c r="AE268" s="940"/>
      <c r="AF268" s="940"/>
      <c r="AG268" s="196">
        <f ca="1">IF($B$261="Лікар загальної практики - сімейний лікар",IF(AG265&lt;Законод!$C$22,0,(IF(AND(AG265&gt;=Законод!$F$22,AG265&lt;=Законод!$F$23),AG265-Законод!$E$23,IF('01_Доходи'!AG265&gt;=Законод!$G$22,Законод!$F$24,0)))),IF($B$261="Лікар-педіатр",IF(AG265&lt;Законод!$C$18,0,(IF(AND(AG265&gt;=Законод!$F$18,AG265&lt;=Законод!$F$19),AG265-Законод!$E$19,IF('01_Доходи'!AG265&gt;=Законод!$G$18,Законод!$F$20,0)))),IF($B$261="Лікар-терапевт",IF(AG265&lt;Законод!$C$26,0,(IF(AND(AG265&gt;=Законод!$F$26,AG265&lt;=Законод!$F$27),AG265-Законод!$E$27,IF('01_Доходи'!AG265&gt;=Законод!$G$26,Законод!$F$28,0)))),0)))</f>
        <v>52.999999999999886</v>
      </c>
      <c r="AH268" s="945"/>
      <c r="AI268" s="201"/>
      <c r="AJ268" s="933"/>
      <c r="AK268" s="927"/>
      <c r="AL268" s="927"/>
      <c r="AM268" s="899"/>
      <c r="AN268" s="210">
        <f ca="1">IF(B261="Лікар загальної практики - сімейний лікар",L268*Законод!$C$9/4*Законод!$F$16,IF(B261="Лікар-педіатр",L268*Законод!$C$9/4*Законод!$F$16,IF(B261="Лікар-терапевт",L268*Законод!$C$9/4*Законод!$F$16,0)))</f>
        <v>5138.5944624999884</v>
      </c>
      <c r="AO268" s="210">
        <f ca="1">IF(B261="Лікар загальної практики - сімейний лікар",S268*Законод!$C$9/4*Законод!$F$16,IF(B261="Лікар-педіатр",S268*Законод!$C$9/4*Законод!$F$16,IF(B261="Лікар-терапевт",S268*Законод!$C$9/4*Законод!$F$16,0)))</f>
        <v>5138.5944624999884</v>
      </c>
      <c r="AP268" s="210">
        <f ca="1">IF(B261="Лікар загальної практики - сімейний лікар",Z268*Законод!$C$9/4*Законод!$F$16,IF(B261="Лікар-педіатр",Z268*Законод!$C$9/4*Законод!$F$16,IF(B261="Лікар-терапевт",Z268*Законод!$C$9/4*Законод!$F$16,0)))</f>
        <v>5138.5944624999884</v>
      </c>
      <c r="AQ268" s="210">
        <f ca="1">IF(B261="Лікар загальної практики - сімейний лікар",AG268*Законод!$C$9/4*Законод!$F$16,IF(B261="Лікар-педіатр",AG268*Законод!$C$9/4*Законод!$F$16,IF(B261="Лікар-терапевт",AG268*Законод!$C$9/4*Законод!$F$16,0)))</f>
        <v>5138.5944624999884</v>
      </c>
      <c r="AR268" s="211">
        <f t="shared" si="39"/>
        <v>20554.377849999953</v>
      </c>
    </row>
    <row r="269" spans="1:44" s="50" customFormat="1" ht="31.9" customHeight="1">
      <c r="A269" s="197"/>
      <c r="B269" s="941"/>
      <c r="C269" s="942"/>
      <c r="D269" s="943"/>
      <c r="E269" s="943"/>
      <c r="F269" s="238" t="str">
        <f ca="1">IF(B261="Лікар-педіатр",Законод!$G$17,IF(B261="Лікар загальної практики - сімейний лікар",Законод!$G$21,IF(B261="Лікар-терапевт",Законод!$G$25,"х")))</f>
        <v>понад ліміт (1081-1170)</v>
      </c>
      <c r="G269" s="940" t="s">
        <v>346</v>
      </c>
      <c r="H269" s="940"/>
      <c r="I269" s="940"/>
      <c r="J269" s="940"/>
      <c r="K269" s="940"/>
      <c r="L269" s="196">
        <f ca="1">IF($B$261="Лікар загальної практики - сімейний лікар",IF(L265&lt;Законод!$C$22,0,(IF(AND(L265&gt;=Законод!$G$22,L265&lt;=Законод!$G$23),L265-Законод!$F$23,IF('01_Доходи'!L265&gt;=Законод!$H$22,Законод!$G$24,0)))),IF($B$261="Лікар-педіатр",IF(L265&lt;Законод!$C$18,0,(IF(AND(L265&gt;=Законод!$G$18,L265&lt;=Законод!$G$19),L265-Законод!$F$19,IF('01_Доходи'!L265&gt;=Законод!$H$18,Законод!$G$20,0)))),IF($B$261="Лікар-терапевт",IF(L265&lt;Законод!$C$26,0,(IF(AND(L265&gt;=Законод!$G$26,L265&lt;=Законод!$G$27),L265-Законод!$F$27,IF('01_Доходи'!L265&gt;=Законод!$H$26,Законод!$G$28,0)))),0)))</f>
        <v>0</v>
      </c>
      <c r="M269" s="945"/>
      <c r="N269" s="940" t="s">
        <v>346</v>
      </c>
      <c r="O269" s="940"/>
      <c r="P269" s="940"/>
      <c r="Q269" s="940"/>
      <c r="R269" s="940"/>
      <c r="S269" s="196">
        <f ca="1">IF($B$261="Лікар загальної практики - сімейний лікар",IF(S265&lt;Законод!$C$22,0,(IF(AND(S265&gt;=Законод!$G$22,S265&lt;=Законод!$G$23),S265-Законод!$F$23,IF('01_Доходи'!S265&gt;=Законод!$H$22,Законод!$G$24,0)))),IF($B$261="Лікар-педіатр",IF(S265&lt;Законод!$C$18,0,(IF(AND(S265&gt;=Законод!$G$18,S265&lt;=Законод!$G$19),S265-Законод!$F$19,IF('01_Доходи'!S265&gt;=Законод!$H$18,Законод!$G$20,0)))),IF($B$261="Лікар-терапевт",IF(S265&lt;Законод!$C$26,0,(IF(AND(S265&gt;=Законод!$G$26,S265&lt;=Законод!$G$27),S265-Законод!$F$27,IF('01_Доходи'!S265&gt;=Законод!$H$26,Законод!$G$28,0)))),0)))</f>
        <v>0</v>
      </c>
      <c r="T269" s="945"/>
      <c r="U269" s="940" t="s">
        <v>346</v>
      </c>
      <c r="V269" s="940"/>
      <c r="W269" s="940"/>
      <c r="X269" s="940"/>
      <c r="Y269" s="940"/>
      <c r="Z269" s="196">
        <f ca="1">IF($B$261="Лікар загальної практики - сімейний лікар",IF(Z265&lt;Законод!$C$22,0,(IF(AND(Z265&gt;=Законод!$G$22,Z265&lt;=Законод!$G$23),Z265-Законод!$F$23,IF('01_Доходи'!Z265&gt;=Законод!$H$22,Законод!$G$24,0)))),IF($B$261="Лікар-педіатр",IF(Z265&lt;Законод!$C$18,0,(IF(AND(Z265&gt;=Законод!$G$18,Z265&lt;=Законод!$G$19),Z265-Законод!$F$19,IF('01_Доходи'!Z265&gt;=Законод!$H$18,Законод!$G$20,0)))),IF($B$261="Лікар-терапевт",IF(Z265&lt;Законод!$C$26,0,(IF(AND(Z265&gt;=Законод!$G$26,Z265&lt;=Законод!$G$27),Z265-Законод!$F$27,IF('01_Доходи'!Z265&gt;=Законод!$H$26,Законод!$G$28,0)))),0)))</f>
        <v>0</v>
      </c>
      <c r="AA269" s="945"/>
      <c r="AB269" s="940" t="s">
        <v>346</v>
      </c>
      <c r="AC269" s="940"/>
      <c r="AD269" s="940"/>
      <c r="AE269" s="940"/>
      <c r="AF269" s="940"/>
      <c r="AG269" s="196">
        <f ca="1">IF($B$261="Лікар загальної практики - сімейний лікар",IF(AG265&lt;Законод!$C$22,0,(IF(AND(AG265&gt;=Законод!$G$22,AG265&lt;=Законод!$G$23),AG265-Законод!$F$23,IF('01_Доходи'!AG265&gt;=Законод!$H$22,Законод!$G$24,0)))),IF($B$261="Лікар-педіатр",IF(AG265&lt;Законод!$C$18,0,(IF(AND(AG265&gt;=Законод!$G$18,AG265&lt;=Законод!$G$19),AG265-Законод!$F$19,IF('01_Доходи'!AG265&gt;=Законод!$H$18,Законод!$G$20,0)))),IF($B$261="Лікар-терапевт",IF(AG265&lt;Законод!$C$26,0,(IF(AND(AG265&gt;=Законод!$G$26,AG265&lt;=Законод!$G$27),AG265-Законод!$F$27,IF('01_Доходи'!AG265&gt;=Законод!$H$26,Законод!$G$28,0)))),0)))</f>
        <v>0</v>
      </c>
      <c r="AH269" s="945"/>
      <c r="AI269" s="201"/>
      <c r="AJ269" s="933"/>
      <c r="AK269" s="927"/>
      <c r="AL269" s="927"/>
      <c r="AM269" s="899"/>
      <c r="AN269" s="210">
        <f ca="1">IF(B261="Лікар загальної практики - сімейний лікар",L269*Законод!$C$9/4*Законод!$G$16,IF(B261="Лікар-педіатр",L269*Законод!$C$9/4*Законод!$G$16,IF(B261="Лікар-терапевт",L269*Законод!$C$9/4*Законод!$G$16,0)))</f>
        <v>0</v>
      </c>
      <c r="AO269" s="210">
        <f ca="1">IF(B261="Лікар загальної практики - сімейний лікар",S269*Законод!$C$9/4*Законод!$G$16,IF(B261="Лікар-педіатр",S269*Законод!$C$9/4*Законод!$G$16,IF(B261="Лікар-терапевт",S269*Законод!$C$9/4*Законод!$G$16,0)))</f>
        <v>0</v>
      </c>
      <c r="AP269" s="210">
        <f ca="1">IF(B261="Лікар загальної практики - сімейний лікар",Z269*Законод!$C$9/4*Законод!$G$16,IF(B261="Лікар-педіатр",Z269*Законод!$C$9/4*Законод!$G$16,IF(B261="Лікар-терапевт",Z269*Законод!$C$9/4*Законод!$G$16,0)))</f>
        <v>0</v>
      </c>
      <c r="AQ269" s="210">
        <f ca="1">IF(B261="Лікар загальної практики - сімейний лікар",AG269*Законод!$C$9/4*Законод!$G$16,IF(B261="Лікар-педіатр",AG269*Законод!$C$9/4*Законод!$G$16,IF(B261="Лікар-терапевт",AG269*Законод!$C$9/4*Законод!$G$16,0)))</f>
        <v>0</v>
      </c>
      <c r="AR269" s="211">
        <f t="shared" si="39"/>
        <v>0</v>
      </c>
    </row>
    <row r="270" spans="1:44" s="50" customFormat="1" ht="31.9" customHeight="1">
      <c r="A270" s="197"/>
      <c r="B270" s="941"/>
      <c r="C270" s="942"/>
      <c r="D270" s="943"/>
      <c r="E270" s="943"/>
      <c r="F270" s="238" t="str">
        <f ca="1">IF(B261="Лікар-педіатр",Законод!$H$17,IF(B261="Лікар загальної практики - сімейний лікар",Законод!$H$21,IF(B261="Лікар-терапевт",Законод!$H$25,"х")))</f>
        <v>понад ліміт (1171-1260)</v>
      </c>
      <c r="G270" s="940" t="s">
        <v>346</v>
      </c>
      <c r="H270" s="940"/>
      <c r="I270" s="940"/>
      <c r="J270" s="940"/>
      <c r="K270" s="940"/>
      <c r="L270" s="196">
        <f ca="1">IF($B$261="Лікар загальної практики - сімейний лікар",IF(L265&lt;Законод!$C$22,0,(IF(AND(L265&gt;=Законод!$H$22,L265&lt;=Законод!$H$23),L265-Законод!$G$23,IF('01_Доходи'!L265&gt;=Законод!$I$22,Законод!$H$24,0)))),IF($B$261="Лікар-педіатр",IF(L265&lt;Законод!$C$18,0,(IF(AND(L265&gt;=Законод!$H$18,L265&lt;=Законод!$H$19),L265-Законод!$G$19,IF('01_Доходи'!L265&gt;=Законод!$I$18,Законод!$H$20,0)))),IF($B$261="Лікар-терапевт",IF(L265&lt;Законод!$C$26,0,(IF(AND(L265&gt;=Законод!$H$26,L265&lt;=Законод!$H$27),L265-Законод!$G$27,IF(L265&gt;=Законод!$I$26,Законод!$H$28,0)))),0)))</f>
        <v>0</v>
      </c>
      <c r="M270" s="945"/>
      <c r="N270" s="940" t="s">
        <v>346</v>
      </c>
      <c r="O270" s="940"/>
      <c r="P270" s="940"/>
      <c r="Q270" s="940"/>
      <c r="R270" s="940"/>
      <c r="S270" s="196">
        <f ca="1">IF($B$261="Лікар загальної практики - сімейний лікар",IF(S265&lt;Законод!$C$22,0,(IF(AND(S265&gt;=Законод!$H$22,S265&lt;=Законод!$H$23),S265-Законод!$G$23,IF('01_Доходи'!S265&gt;=Законод!$I$22,Законод!$H$24,0)))),IF($B$261="Лікар-педіатр",IF(S265&lt;Законод!$C$18,0,(IF(AND(S265&gt;=Законод!$H$18,S265&lt;=Законод!$H$19),S265-Законод!$G$19,IF('01_Доходи'!S265&gt;=Законод!$I$18,Законод!$H$20,0)))),IF($B$261="Лікар-терапевт",IF(S265&lt;Законод!$C$26,0,(IF(AND(S265&gt;=Законод!$H$26,S265&lt;=Законод!$H$27),S265-Законод!$G$27,IF(S265&gt;=Законод!$I$26,Законод!$H$28,0)))),0)))</f>
        <v>0</v>
      </c>
      <c r="T270" s="945"/>
      <c r="U270" s="940" t="s">
        <v>346</v>
      </c>
      <c r="V270" s="940"/>
      <c r="W270" s="940"/>
      <c r="X270" s="940"/>
      <c r="Y270" s="940"/>
      <c r="Z270" s="196">
        <f ca="1">IF($B$261="Лікар загальної практики - сімейний лікар",IF(Z265&lt;Законод!$C$22,0,(IF(AND(Z265&gt;=Законод!$H$22,Z265&lt;=Законод!$H$23),Z265-Законод!$G$23,IF('01_Доходи'!Z265&gt;=Законод!$I$22,Законод!$H$24,0)))),IF($B$261="Лікар-педіатр",IF(Z265&lt;Законод!$C$18,0,(IF(AND(Z265&gt;=Законод!$H$18,Z265&lt;=Законод!$H$19),Z265-Законод!$G$19,IF('01_Доходи'!Z265&gt;=Законод!$I$18,Законод!$H$20,0)))),IF($B$261="Лікар-терапевт",IF(Z265&lt;Законод!$C$26,0,(IF(AND(Z265&gt;=Законод!$H$26,Z265&lt;=Законод!$H$27),Z265-Законод!$G$27,IF(Z265&gt;=Законод!$I$26,Законод!$H$28,0)))),0)))</f>
        <v>0</v>
      </c>
      <c r="AA270" s="945"/>
      <c r="AB270" s="940" t="s">
        <v>346</v>
      </c>
      <c r="AC270" s="940"/>
      <c r="AD270" s="940"/>
      <c r="AE270" s="940"/>
      <c r="AF270" s="940"/>
      <c r="AG270" s="196">
        <f ca="1">IF($B$261="Лікар загальної практики - сімейний лікар",IF(AG265&lt;Законод!$C$22,0,(IF(AND(AG265&gt;=Законод!$H$22,AG265&lt;=Законод!$H$23),AG265-Законод!$G$23,IF('01_Доходи'!AG265&gt;=Законод!$I$22,Законод!$H$24,0)))),IF($B$261="Лікар-педіатр",IF(AG265&lt;Законод!$C$18,0,(IF(AND(AG265&gt;=Законод!$H$18,AG265&lt;=Законод!$H$19),AG265-Законод!$G$19,IF('01_Доходи'!AG265&gt;=Законод!$I$18,Законод!$H$20,0)))),IF($B$261="Лікар-терапевт",IF(AG265&lt;Законод!$C$26,0,(IF(AND(AG265&gt;=Законод!$H$26,AG265&lt;=Законод!$H$27),AG265-Законод!$G$27,IF(AG265&gt;=Законод!$I$26,Законод!$H$28,0)))),0)))</f>
        <v>0</v>
      </c>
      <c r="AH270" s="945"/>
      <c r="AI270" s="201"/>
      <c r="AJ270" s="933"/>
      <c r="AK270" s="927"/>
      <c r="AL270" s="927"/>
      <c r="AM270" s="899"/>
      <c r="AN270" s="210">
        <f ca="1">IF(B261="Лікар загальної практики - сімейний лікар",L270*Законод!$C$9/4*Законод!$H$16,IF(B261="Лікар-педіатр",L270*Законод!$C$9/4*Законод!$H$16,IF(B261="Лікар-терапевт",L270*Законод!$C$9/4*Законод!$H$16,0)))</f>
        <v>0</v>
      </c>
      <c r="AO270" s="210">
        <f ca="1">IF(B261="Лікар загальної практики - сімейний лікар",S270*Законод!$C$9/4*Законод!$H$16,IF(B261="Лікар-педіатр",S270*Законод!$C$9/4*Законод!$H$16,IF(B261="Лікар-терапевт",S270*Законод!$C$9/4*Законод!$H$16,0)))</f>
        <v>0</v>
      </c>
      <c r="AP270" s="210">
        <f ca="1">IF(B261="Лікар загальної практики - сімейний лікар",Z270*Законод!$C$9/4*Законод!$H$16,IF(B261="Лікар-педіатр",Z270*Законод!$C$9/4*Законод!$H$16,IF(B261="Лікар-терапевт",Z270*Законод!$C$9/4*Законод!$H$16,0)))</f>
        <v>0</v>
      </c>
      <c r="AQ270" s="210">
        <f ca="1">IF(B261="Лікар загальної практики - сімейний лікар",AG270*Законод!$C$9/4*Законод!$H$16,IF(B261="Лікар-педіатр",AG270*Законод!$C$9/4*Законод!$H$16,IF(B261="Лікар-терапевт",AG270*Законод!$C$9/4*Законод!$H$16,0)))</f>
        <v>0</v>
      </c>
      <c r="AR270" s="211">
        <f t="shared" si="39"/>
        <v>0</v>
      </c>
    </row>
    <row r="271" spans="1:44" s="50" customFormat="1" ht="31.9" customHeight="1">
      <c r="A271" s="197"/>
      <c r="B271" s="941"/>
      <c r="C271" s="942"/>
      <c r="D271" s="943"/>
      <c r="E271" s="943"/>
      <c r="F271" s="238" t="str">
        <f ca="1">IF(B261="Лікар-педіатр",Законод!$I$17,IF(B261="Лікар загальної практики - сімейний лікар",Законод!$I$21,IF(B261="Лікар-терапевт",Законод!$I$25,"х")))</f>
        <v>понад ліміт (1261-1350)</v>
      </c>
      <c r="G271" s="940" t="s">
        <v>346</v>
      </c>
      <c r="H271" s="940"/>
      <c r="I271" s="940"/>
      <c r="J271" s="940"/>
      <c r="K271" s="940"/>
      <c r="L271" s="196">
        <f ca="1">IF($B$261="Лікар загальної практики - сімейний лікар",IF(L265&lt;Законод!$C$22,0,(IF(AND(L265&gt;=Законод!$I$22,L265&lt;=Законод!$I$23),L265-Законод!$H$23,IF('01_Доходи'!L265&gt;=Законод!$I$22,Законод!$I$24,0)))),IF($B$261="Лікар-педіатр",IF(L265&lt;Законод!$C$18,0,(IF(AND(L265&gt;=Законод!$I$18,L265&lt;=Законод!$I$19),L265-Законод!$H$19,IF('01_Доходи'!L265&gt;=Законод!$I$18,Законод!$H$20,0)))),IF($B$261="Лікар-терапевт",IF(L265&lt;Законод!$C$26,0,(IF(AND(L265&gt;=Законод!$I$26,L265&lt;=Законод!$I$27),L265-Законод!$H$27,IF('01_Доходи'!L265&gt;=Законод!$I$26,Законод!$H$28,0)))),0)))</f>
        <v>0</v>
      </c>
      <c r="M271" s="945"/>
      <c r="N271" s="940" t="s">
        <v>346</v>
      </c>
      <c r="O271" s="940"/>
      <c r="P271" s="940"/>
      <c r="Q271" s="940"/>
      <c r="R271" s="940"/>
      <c r="S271" s="196">
        <f ca="1">IF($B$261="Лікар загальної практики - сімейний лікар",IF(S265&lt;Законод!$C$22,0,(IF(AND(S265&gt;=Законод!$I$22,S265&lt;=Законод!$I$23),S265-Законод!$H$23,IF('01_Доходи'!S265&gt;=Законод!$I$22,Законод!$I$24,0)))),IF($B$261="Лікар-педіатр",IF(S265&lt;Законод!$C$18,0,(IF(AND(S265&gt;=Законод!$I$18,S265&lt;=Законод!$I$19),S265-Законод!$H$19,IF('01_Доходи'!S265&gt;=Законод!$I$18,Законод!$H$20,0)))),IF($B$261="Лікар-терапевт",IF(S265&lt;Законод!$C$26,0,(IF(AND(S265&gt;=Законод!$I$26,S265&lt;=Законод!$I$27),S265-Законод!$H$27,IF('01_Доходи'!S265&gt;=Законод!$I$26,Законод!$H$28,0)))),0)))</f>
        <v>0</v>
      </c>
      <c r="T271" s="945"/>
      <c r="U271" s="940" t="s">
        <v>346</v>
      </c>
      <c r="V271" s="940"/>
      <c r="W271" s="940"/>
      <c r="X271" s="940"/>
      <c r="Y271" s="940"/>
      <c r="Z271" s="196">
        <f ca="1">IF($B$261="Лікар загальної практики - сімейний лікар",IF(Z265&lt;Законод!$C$22,0,(IF(AND(Z265&gt;=Законод!$I$22,Z265&lt;=Законод!$I$23),Z265-Законод!$H$23,IF('01_Доходи'!Z265&gt;=Законод!$I$22,Законод!$I$24,0)))),IF($B$261="Лікар-педіатр",IF(Z265&lt;Законод!$C$18,0,(IF(AND(Z265&gt;=Законод!$I$18,Z265&lt;=Законод!$I$19),Z265-Законод!$H$19,IF('01_Доходи'!Z265&gt;=Законод!$I$18,Законод!$H$20,0)))),IF($B$261="Лікар-терапевт",IF(Z265&lt;Законод!$C$26,0,(IF(AND(Z265&gt;=Законод!$I$26,Z265&lt;=Законод!$I$27),Z265-Законод!$H$27,IF('01_Доходи'!Z265&gt;=Законод!$I$26,Законод!$H$28,0)))),0)))</f>
        <v>0</v>
      </c>
      <c r="AA271" s="945"/>
      <c r="AB271" s="940" t="s">
        <v>346</v>
      </c>
      <c r="AC271" s="940"/>
      <c r="AD271" s="940"/>
      <c r="AE271" s="940"/>
      <c r="AF271" s="940"/>
      <c r="AG271" s="196">
        <f ca="1">IF($B$261="Лікар загальної практики - сімейний лікар",IF(AG265&lt;Законод!$C$22,0,(IF(AND(AG265&gt;=Законод!$I$22,AG265&lt;=Законод!$I$23),AG265-Законод!$H$23,IF('01_Доходи'!AG265&gt;=Законод!$I$22,Законод!$I$24,0)))),IF($B$261="Лікар-педіатр",IF(AG265&lt;Законод!$C$18,0,(IF(AND(AG265&gt;=Законод!$I$18,AG265&lt;=Законод!$I$19),AG265-Законод!$H$19,IF('01_Доходи'!AG265&gt;=Законод!$I$18,Законод!$H$20,0)))),IF($B$261="Лікар-терапевт",IF(AG265&lt;Законод!$C$26,0,(IF(AND(AG265&gt;=Законод!$I$26,AG265&lt;=Законод!$I$27),AG265-Законод!$H$27,IF('01_Доходи'!AG265&gt;=Законод!$I$26,Законод!$H$28,0)))),0)))</f>
        <v>0</v>
      </c>
      <c r="AH271" s="945"/>
      <c r="AI271" s="201"/>
      <c r="AJ271" s="933"/>
      <c r="AK271" s="927"/>
      <c r="AL271" s="927"/>
      <c r="AM271" s="899"/>
      <c r="AN271" s="210">
        <f ca="1">IF(B261="Лікар загальної практики - сімейний лікар",L271*Законод!$C$9/4*Законод!$I$16,IF(B261="Лікар-педіатр",L271*Законод!$C$9/4*Законод!$I$16,IF(B261="Лікар-терапевт",L271*Законод!$C$9/4*Законод!$I$16,0)))</f>
        <v>0</v>
      </c>
      <c r="AO271" s="210">
        <f ca="1">IF(B261="Лікар загальної практики - сімейний лікар",S271*Законод!$C$9/4*Законод!$I$16,IF(B261="Лікар-педіатр",S271*Законод!$C$9/4*Законод!$I$16,IF(B261="Лікар-терапевт",S271*Законод!$C$9/4*Законод!$I$16,0)))</f>
        <v>0</v>
      </c>
      <c r="AP271" s="210">
        <f ca="1">IF(B261="Лікар загальної практики - сімейний лікар",Z271*Законод!$C$9/4*Законод!$I$16,IF(B261="Лікар-педіатр",Z271*Законод!$C$9/4*Законод!$I$16,IF(B261="Лікар-терапевт",Z271*Законод!$C$9/4*Законод!$I$16,0)))</f>
        <v>0</v>
      </c>
      <c r="AQ271" s="210">
        <f ca="1">IF(B261="Лікар загальної практики - сімейний лікар",AG271*Законод!$C$9/4*Законод!$I$16,IF(B261="Лікар-педіатр",AG271*Законод!$C$9/4*Законод!$I$16,IF(B261="Лікар-терапевт",AG271*Законод!$C$9/4*Законод!$I$16,0)))</f>
        <v>0</v>
      </c>
      <c r="AR271" s="211">
        <f t="shared" si="39"/>
        <v>0</v>
      </c>
    </row>
    <row r="272" spans="1:44" s="218" customFormat="1" ht="31.9" customHeight="1" thickBot="1">
      <c r="A272" s="213"/>
      <c r="B272" s="941"/>
      <c r="C272" s="942"/>
      <c r="D272" s="943"/>
      <c r="E272" s="943"/>
      <c r="F272" s="239" t="str">
        <f ca="1">IF(B261="Лікар-педіатр",Законод!$J$17,IF(B261="Лікар загальної практики - сімейний лікар",Законод!$J$21,IF(B261="Лікар-терапевт",Законод!$J$25,"х")))</f>
        <v>понад ліміт (&gt;=1351)</v>
      </c>
      <c r="G272" s="939" t="s">
        <v>346</v>
      </c>
      <c r="H272" s="939"/>
      <c r="I272" s="939"/>
      <c r="J272" s="939"/>
      <c r="K272" s="939"/>
      <c r="L272" s="196">
        <f ca="1">IF($B$261="Лікар загальної практики - сімейний лікар",IF(L265&gt;=Законод!$J$22,'01_Доходи'!L265-('01_Доходи'!L266+'01_Доходи'!L267+'01_Доходи'!L268+'01_Доходи'!L269+'01_Доходи'!L270+'01_Доходи'!L271),0),IF($B$261="Лікар-педіатр",IF(L265&gt;=Законод!$J$18,'01_Доходи'!L265-('01_Доходи'!L266+'01_Доходи'!L267+'01_Доходи'!L268+'01_Доходи'!L269+'01_Доходи'!L270+'01_Доходи'!L271),0),IF($B$261="Лікар-терапевт",IF('01_Доходи'!L265&gt;=Законод!$J$26,L265-Законод!$I$27,0),0)))</f>
        <v>0</v>
      </c>
      <c r="M272" s="945"/>
      <c r="N272" s="939" t="s">
        <v>346</v>
      </c>
      <c r="O272" s="939"/>
      <c r="P272" s="939"/>
      <c r="Q272" s="939"/>
      <c r="R272" s="939"/>
      <c r="S272" s="196">
        <f ca="1">IF($B$261="Лікар загальної практики - сімейний лікар",IF(S265&gt;=Законод!$J$22,'01_Доходи'!S265-('01_Доходи'!S266+'01_Доходи'!S267+'01_Доходи'!S268+'01_Доходи'!S269+'01_Доходи'!S270+'01_Доходи'!S271),0),IF($B$261="Лікар-педіатр",IF(S265&gt;=Законод!$J$18,'01_Доходи'!S265-('01_Доходи'!S266+'01_Доходи'!S267+'01_Доходи'!S268+'01_Доходи'!S269+'01_Доходи'!S270+'01_Доходи'!S271),0),IF($B$261="Лікар-терапевт",IF('01_Доходи'!S265&gt;=Законод!$J$26,S265-Законод!$I$27,0),0)))</f>
        <v>0</v>
      </c>
      <c r="T272" s="945"/>
      <c r="U272" s="939" t="s">
        <v>346</v>
      </c>
      <c r="V272" s="939"/>
      <c r="W272" s="939"/>
      <c r="X272" s="939"/>
      <c r="Y272" s="939"/>
      <c r="Z272" s="196">
        <f ca="1">IF($B$261="Лікар загальної практики - сімейний лікар",IF(Z265&gt;=Законод!$J$22,'01_Доходи'!Z265-('01_Доходи'!Z266+'01_Доходи'!Z267+'01_Доходи'!Z268+'01_Доходи'!Z269+'01_Доходи'!Z270+'01_Доходи'!Z271),0),IF($B$261="Лікар-педіатр",IF(Z265&gt;=Законод!$J$18,'01_Доходи'!Z265-('01_Доходи'!Z266+'01_Доходи'!Z267+'01_Доходи'!Z268+'01_Доходи'!Z269+'01_Доходи'!Z270+'01_Доходи'!Z271),0),IF($B$261="Лікар-терапевт",IF('01_Доходи'!Z265&gt;=Законод!$J$26,Z265-Законод!$I$27,0),0)))</f>
        <v>0</v>
      </c>
      <c r="AA272" s="945"/>
      <c r="AB272" s="939" t="s">
        <v>346</v>
      </c>
      <c r="AC272" s="939"/>
      <c r="AD272" s="939"/>
      <c r="AE272" s="939"/>
      <c r="AF272" s="939"/>
      <c r="AG272" s="196">
        <f ca="1">IF($B$261="Лікар загальної практики - сімейний лікар",IF(AG265&gt;=Законод!$J$22,'01_Доходи'!AG265-('01_Доходи'!AG266+'01_Доходи'!AG267+'01_Доходи'!AG268+'01_Доходи'!AG269+'01_Доходи'!AG270+'01_Доходи'!AG271),0),IF($B$261="Лікар-педіатр",IF(AG265&gt;=Законод!$J$18,'01_Доходи'!AG265-('01_Доходи'!AG266+'01_Доходи'!AG267+'01_Доходи'!AG268+'01_Доходи'!AG269+'01_Доходи'!AG270+'01_Доходи'!AG271),0),IF($B$261="Лікар-терапевт",IF('01_Доходи'!AG265&gt;=Законод!$J$26,AG265-Законод!$I$27,0),0)))</f>
        <v>0</v>
      </c>
      <c r="AH272" s="945"/>
      <c r="AI272" s="215"/>
      <c r="AJ272" s="934"/>
      <c r="AK272" s="928"/>
      <c r="AL272" s="928"/>
      <c r="AM272" s="900"/>
      <c r="AN272" s="216">
        <f ca="1">IF(B261="Лікар загальної практики - сімейний лікар",L272*Законод!$C$9/4*Законод!$J$16,IF(B261="Лікар-педіатр",L272*Законод!$C$9/4*Законод!$J$16,IF(B261="Лікар-терапевт",L272*Законод!$C$9/4*Законод!$J$16,0)))</f>
        <v>0</v>
      </c>
      <c r="AO272" s="216">
        <f ca="1">IF(B261="Лікар загальної практики - сімейний лікар",S272*Законод!$C$9/4*Законод!$J$16,IF(B261="Лікар-педіатр",S272*Законод!$C$9/4*Законод!$J$16,IF(B261="Лікар-терапевт",S272*Законод!$C$9/4*Законод!$J$16,0)))</f>
        <v>0</v>
      </c>
      <c r="AP272" s="216">
        <f ca="1">IF(B261="Лікар загальної практики - сімейний лікар",S272*Законод!$C$9/4*Законод!$J$16,IF(B261="Лікар-педіатр",S272*Законод!$C$9/4*Законод!$J$16,IF(B261="Лікар-терапевт",S272*Законод!$C$9/4*Законод!$J$16,0)))</f>
        <v>0</v>
      </c>
      <c r="AQ272" s="216">
        <f ca="1">IF(B261="Лікар загальної практики - сімейний лікар",AG272*Законод!$C$9/4*Законод!$J$16,IF(B261="Лікар-педіатр",AG272*Законод!$C$9/4*Законод!$J$16,IF(B261="Лікар-терапевт",AG272*Законод!$C$9/4*Законод!$J$16,0)))</f>
        <v>0</v>
      </c>
      <c r="AR272" s="217">
        <f t="shared" si="39"/>
        <v>0</v>
      </c>
    </row>
    <row r="273" spans="1:44" s="247" customFormat="1" ht="23.45" customHeight="1" thickBot="1">
      <c r="A273" s="243"/>
      <c r="B273" s="244"/>
      <c r="C273" s="244"/>
      <c r="D273" s="244"/>
      <c r="E273" s="244"/>
      <c r="F273" s="245"/>
      <c r="G273" s="246"/>
      <c r="H273" s="246"/>
      <c r="L273" s="248"/>
      <c r="S273" s="248"/>
      <c r="Z273" s="248"/>
      <c r="AG273" s="248"/>
      <c r="AM273" s="249"/>
      <c r="AR273" s="250"/>
    </row>
    <row r="274" spans="1:44" s="191" customFormat="1" ht="27.6" customHeight="1">
      <c r="A274" s="194">
        <f>A261+1</f>
        <v>19</v>
      </c>
      <c r="B274" s="941" t="s">
        <v>237</v>
      </c>
      <c r="C274" s="1077" t="s">
        <v>86</v>
      </c>
      <c r="D274" s="943"/>
      <c r="E274" s="943" t="str">
        <f>E261</f>
        <v>Рожищенська АЗПСМ №1</v>
      </c>
      <c r="F274" s="234" t="s">
        <v>582</v>
      </c>
      <c r="G274" s="196">
        <v>0</v>
      </c>
      <c r="H274" s="196">
        <v>0</v>
      </c>
      <c r="I274" s="196" t="str">
        <f>IF($B$274="Лікар-педіатр","x",IF($B$274="Лікар-терапевт",I277*L274,IF($B$274="Лікар загальної практики - сімейний лікар",I277*L274,0)))</f>
        <v>x</v>
      </c>
      <c r="J274" s="196" t="str">
        <f>IF($B$274="Лікар-педіатр","x",IF($B$274="Лікар-терапевт",J277*L274,IF($B$274="Лікар загальної практики - сімейний лікар",J277*L274,0)))</f>
        <v>x</v>
      </c>
      <c r="K274" s="196" t="str">
        <f>IF($B$274="Лікар-педіатр","x",IF($B$274="Лікар-терапевт",K277*L274,IF($B$274="Лікар загальної практики - сімейний лікар",K277*L274,0)))</f>
        <v>x</v>
      </c>
      <c r="L274" s="558">
        <v>0</v>
      </c>
      <c r="M274" s="945">
        <v>1</v>
      </c>
      <c r="N274" s="196">
        <v>0</v>
      </c>
      <c r="O274" s="196">
        <v>0</v>
      </c>
      <c r="P274" s="196" t="str">
        <f>IF($B$274="Лікар-педіатр","x",IF($B$274="Лікар-терапевт",P277*S274,IF($B$274="Лікар загальної практики - сімейний лікар",P277*S274,0)))</f>
        <v>x</v>
      </c>
      <c r="Q274" s="196" t="str">
        <f>IF($B$274="Лікар-педіатр","x",IF($B$274="Лікар-терапевт",Q277*S274,IF($B$274="Лікар загальної практики - сімейний лікар",Q277*S274,0)))</f>
        <v>x</v>
      </c>
      <c r="R274" s="196" t="str">
        <f>IF($B$274="Лікар-педіатр","x",IF($B$274="Лікар-терапевт",R277*S274,IF($B$274="Лікар загальної практики - сімейний лікар",R277*S274,0)))</f>
        <v>x</v>
      </c>
      <c r="S274" s="558">
        <v>0</v>
      </c>
      <c r="T274" s="945">
        <v>1</v>
      </c>
      <c r="U274" s="196">
        <v>0</v>
      </c>
      <c r="V274" s="196">
        <v>0</v>
      </c>
      <c r="W274" s="196" t="str">
        <f>IF($B$274="Лікар-педіатр","x",IF($B$274="Лікар-терапевт",W277*Z274,IF($B$274="Лікар загальної практики - сімейний лікар",W277*Z274,0)))</f>
        <v>x</v>
      </c>
      <c r="X274" s="196" t="str">
        <f>IF($B$274="Лікар-педіатр","x",IF($B$274="Лікар-терапевт",X277*Z274,IF($B$274="Лікар загальної практики - сімейний лікар",X277*Z274,0)))</f>
        <v>x</v>
      </c>
      <c r="Y274" s="196" t="str">
        <f>IF($B$274="Лікар-педіатр","x",IF($B$274="Лікар-терапевт",Y277*Z274,IF($B$274="Лікар загальної практики - сімейний лікар",Y277*Z274,0)))</f>
        <v>x</v>
      </c>
      <c r="Z274" s="558">
        <v>0</v>
      </c>
      <c r="AA274" s="945">
        <v>1</v>
      </c>
      <c r="AB274" s="196">
        <v>0</v>
      </c>
      <c r="AC274" s="196">
        <v>0</v>
      </c>
      <c r="AD274" s="196" t="str">
        <f>IF($B$274="Лікар-педіатр","x",IF($B$274="Лікар-терапевт",AD277*AG274,IF($B$274="Лікар загальної практики - сімейний лікар",AD277*AG274,0)))</f>
        <v>x</v>
      </c>
      <c r="AE274" s="196" t="str">
        <f>IF($B$274="Лікар-педіатр","x",IF($B$274="Лікар-терапевт",AE277*AG274,IF($B$274="Лікар загальної практики - сімейний лікар",AE277*AG274,0)))</f>
        <v>x</v>
      </c>
      <c r="AF274" s="196" t="str">
        <f>IF($B$274="Лікар-педіатр","x",IF($B$274="Лікар-терапевт",AF277*AG274,IF($B$274="Лікар загальної практики - сімейний лікар",AF277*AG274,0)))</f>
        <v>x</v>
      </c>
      <c r="AG274" s="558">
        <v>0</v>
      </c>
      <c r="AH274" s="945">
        <v>1</v>
      </c>
      <c r="AI274" s="541">
        <f>A274</f>
        <v>19</v>
      </c>
      <c r="AJ274" s="932" t="str">
        <f>B274</f>
        <v>Лікар-педіатр</v>
      </c>
      <c r="AK274" s="926" t="str">
        <f>C274</f>
        <v>Ткачук Оксана Петрівна</v>
      </c>
      <c r="AL274" s="926">
        <f>D274</f>
        <v>0</v>
      </c>
      <c r="AM274" s="901" t="s">
        <v>785</v>
      </c>
      <c r="AN274" s="923">
        <f>SUM(AN279:AN285)</f>
        <v>0</v>
      </c>
      <c r="AO274" s="923">
        <f>SUM(AO279:AO285)</f>
        <v>0</v>
      </c>
      <c r="AP274" s="923">
        <f>SUM(AP279:AP285)</f>
        <v>0</v>
      </c>
      <c r="AQ274" s="923">
        <f>SUM(AQ279:AQ285)</f>
        <v>0</v>
      </c>
      <c r="AR274" s="914">
        <f>SUM(AN274:AQ278)</f>
        <v>0</v>
      </c>
    </row>
    <row r="275" spans="1:44" s="50" customFormat="1" ht="28.15" customHeight="1">
      <c r="A275" s="197"/>
      <c r="B275" s="941"/>
      <c r="C275" s="1077"/>
      <c r="D275" s="943"/>
      <c r="E275" s="943"/>
      <c r="F275" s="234" t="s">
        <v>583</v>
      </c>
      <c r="G275" s="196">
        <v>0</v>
      </c>
      <c r="H275" s="196">
        <v>0</v>
      </c>
      <c r="I275" s="196" t="str">
        <f>IF($B$274="Лікар-педіатр","x",IF($B$274="Лікар-терапевт",I277*L275,IF($B$274="Лікар загальної практики - сімейний лікар",I277*L275,0)))</f>
        <v>x</v>
      </c>
      <c r="J275" s="196" t="str">
        <f>IF($B$274="Лікар-педіатр","x",IF($B$274="Лікар-терапевт",J277*L275,IF($B$274="Лікар загальної практики - сімейний лікар",J277*L275,0)))</f>
        <v>x</v>
      </c>
      <c r="K275" s="196" t="str">
        <f>IF($B$274="Лікар-педіатр","x",IF($B$274="Лікар-терапевт",K277*L275,IF($B$274="Лікар загальної практики - сімейний лікар",K277*L275,0)))</f>
        <v>x</v>
      </c>
      <c r="L275" s="558">
        <v>0</v>
      </c>
      <c r="M275" s="945"/>
      <c r="N275" s="196">
        <v>0</v>
      </c>
      <c r="O275" s="196">
        <v>0</v>
      </c>
      <c r="P275" s="196" t="str">
        <f>IF($B$274="Лікар-педіатр","x",IF($B$274="Лікар-терапевт",P277*S275,IF($B$274="Лікар загальної практики - сімейний лікар",P277*S275,0)))</f>
        <v>x</v>
      </c>
      <c r="Q275" s="196" t="str">
        <f>IF($B$274="Лікар-педіатр","x",IF($B$274="Лікар-терапевт",Q277*S275,IF($B$274="Лікар загальної практики - сімейний лікар",Q277*S275,0)))</f>
        <v>x</v>
      </c>
      <c r="R275" s="196" t="str">
        <f>IF($B$274="Лікар-педіатр","x",IF($B$274="Лікар-терапевт",R277*S275,IF($B$274="Лікар загальної практики - сімейний лікар",R277*S275,0)))</f>
        <v>x</v>
      </c>
      <c r="S275" s="558">
        <v>0</v>
      </c>
      <c r="T275" s="945"/>
      <c r="U275" s="196">
        <v>0</v>
      </c>
      <c r="V275" s="196">
        <v>0</v>
      </c>
      <c r="W275" s="196" t="str">
        <f>IF($B$274="Лікар-педіатр","x",IF($B$274="Лікар-терапевт",W277*Z275,IF($B$274="Лікар загальної практики - сімейний лікар",W277*Z275,0)))</f>
        <v>x</v>
      </c>
      <c r="X275" s="196" t="str">
        <f>IF($B$274="Лікар-педіатр","x",IF($B$274="Лікар-терапевт",X277*Z275,IF($B$274="Лікар загальної практики - сімейний лікар",X277*Z275,0)))</f>
        <v>x</v>
      </c>
      <c r="Y275" s="196" t="str">
        <f>IF($B$274="Лікар-педіатр","x",IF($B$274="Лікар-терапевт",Y277*Z275,IF($B$274="Лікар загальної практики - сімейний лікар",Y277*Z275,0)))</f>
        <v>x</v>
      </c>
      <c r="Z275" s="558">
        <v>0</v>
      </c>
      <c r="AA275" s="945"/>
      <c r="AB275" s="196">
        <v>0</v>
      </c>
      <c r="AC275" s="196">
        <v>0</v>
      </c>
      <c r="AD275" s="196" t="str">
        <f>IF($B$274="Лікар-педіатр","x",IF($B$274="Лікар-терапевт",AD277*AG275,IF($B$274="Лікар загальної практики - сімейний лікар",AD277*AG275,0)))</f>
        <v>x</v>
      </c>
      <c r="AE275" s="196" t="str">
        <f>IF($B$274="Лікар-педіатр","x",IF($B$274="Лікар-терапевт",AE277*AG275,IF($B$274="Лікар загальної практики - сімейний лікар",AE277*AG275,0)))</f>
        <v>x</v>
      </c>
      <c r="AF275" s="196" t="str">
        <f>IF($B$274="Лікар-педіатр","x",IF($B$274="Лікар-терапевт",AF277*AG275,IF($B$274="Лікар загальної практики - сімейний лікар",AF277*AG275,0)))</f>
        <v>x</v>
      </c>
      <c r="AG275" s="558">
        <v>0</v>
      </c>
      <c r="AH275" s="945"/>
      <c r="AI275" s="198"/>
      <c r="AJ275" s="933"/>
      <c r="AK275" s="927"/>
      <c r="AL275" s="927"/>
      <c r="AM275" s="902"/>
      <c r="AN275" s="924"/>
      <c r="AO275" s="924"/>
      <c r="AP275" s="924"/>
      <c r="AQ275" s="924"/>
      <c r="AR275" s="915"/>
    </row>
    <row r="276" spans="1:44" s="90" customFormat="1" ht="31.15" customHeight="1">
      <c r="A276" s="240"/>
      <c r="B276" s="941"/>
      <c r="C276" s="1077"/>
      <c r="D276" s="943"/>
      <c r="E276" s="943"/>
      <c r="F276" s="241" t="s">
        <v>584</v>
      </c>
      <c r="G276" s="199">
        <v>0</v>
      </c>
      <c r="H276" s="199">
        <v>0</v>
      </c>
      <c r="I276" s="199" t="str">
        <f>IF(B274="Лікар загальної практики - сімейний лікар"," ",IF(B274="Лікар-педіатр","х",IF(B274="Лікар-терапевт"," ",0)))</f>
        <v>х</v>
      </c>
      <c r="J276" s="199" t="str">
        <f>IF(B274="Лікар загальної практики - сімейний лікар"," ",IF(B274="Лікар-педіатр","х",IF(B274="Лікар-терапевт"," ",0)))</f>
        <v>х</v>
      </c>
      <c r="K276" s="199" t="str">
        <f>IF(B274="Лікар загальної практики - сімейний лікар"," ",IF(B274="Лікар-педіатр","х",IF(B274="Лікар-терапевт"," ",0)))</f>
        <v>х</v>
      </c>
      <c r="L276" s="200">
        <f>SUM(G276:K276)</f>
        <v>0</v>
      </c>
      <c r="M276" s="945"/>
      <c r="N276" s="199">
        <v>0</v>
      </c>
      <c r="O276" s="199">
        <v>0</v>
      </c>
      <c r="P276" s="199" t="str">
        <f>IF(B274="Лікар загальної практики - сімейний лікар"," ",IF(B274="Лікар-педіатр","х",IF(B274="Лікар-терапевт"," ",0)))</f>
        <v>х</v>
      </c>
      <c r="Q276" s="199" t="str">
        <f>IF(B274="Лікар загальної практики - сімейний лікар"," ",IF(B274="Лікар-педіатр","х",IF(B274="Лікар-терапевт"," ",0)))</f>
        <v>х</v>
      </c>
      <c r="R276" s="199" t="str">
        <f>IF(B274="Лікар загальної практики - сімейний лікар"," ",IF(B274="Лікар-педіатр","х",IF(B274="Лікар-терапевт"," ",0)))</f>
        <v>х</v>
      </c>
      <c r="S276" s="200">
        <f>SUM(N276:R276)</f>
        <v>0</v>
      </c>
      <c r="T276" s="945"/>
      <c r="U276" s="199">
        <v>0</v>
      </c>
      <c r="V276" s="199">
        <v>0</v>
      </c>
      <c r="W276" s="199" t="str">
        <f>IF(B274="Лікар загальної практики - сімейний лікар"," ",IF(B274="Лікар-педіатр","х",IF(B274="Лікар-терапевт"," ",0)))</f>
        <v>х</v>
      </c>
      <c r="X276" s="199" t="str">
        <f>IF(B274="Лікар загальної практики - сімейний лікар"," ",IF(B274="Лікар-педіатр","х",IF(B274="Лікар-терапевт"," ",0)))</f>
        <v>х</v>
      </c>
      <c r="Y276" s="199" t="str">
        <f>IF(B274="Лікар загальної практики - сімейний лікар"," ",IF(B274="Лікар-педіатр","х",IF(B274="Лікар-терапевт"," ",0)))</f>
        <v>х</v>
      </c>
      <c r="Z276" s="200">
        <f>SUM(U276:Y276)</f>
        <v>0</v>
      </c>
      <c r="AA276" s="945"/>
      <c r="AB276" s="199">
        <v>0</v>
      </c>
      <c r="AC276" s="199">
        <v>0</v>
      </c>
      <c r="AD276" s="199" t="str">
        <f>IF(B274="Лікар загальної практики - сімейний лікар"," ",IF(B274="Лікар-педіатр","х",IF(B274="Лікар-терапевт"," ",0)))</f>
        <v>х</v>
      </c>
      <c r="AE276" s="199" t="str">
        <f>IF(B274="Лікар загальної практики - сімейний лікар"," ",IF(B274="Лікар-педіатр","х",IF(B274="Лікар-терапевт"," ",0)))</f>
        <v>х</v>
      </c>
      <c r="AF276" s="199" t="str">
        <f>IF(B274="Лікар загальної практики - сімейний лікар"," ",IF(B274="Лікар-педіатр","х",IF(B274="Лікар-терапевт"," ",0)))</f>
        <v>х</v>
      </c>
      <c r="AG276" s="200">
        <f>SUM(AB276:AF276)</f>
        <v>0</v>
      </c>
      <c r="AH276" s="945"/>
      <c r="AI276" s="242"/>
      <c r="AJ276" s="933"/>
      <c r="AK276" s="927"/>
      <c r="AL276" s="927"/>
      <c r="AM276" s="902"/>
      <c r="AN276" s="924"/>
      <c r="AO276" s="924"/>
      <c r="AP276" s="924"/>
      <c r="AQ276" s="924"/>
      <c r="AR276" s="915"/>
    </row>
    <row r="277" spans="1:44" s="50" customFormat="1" ht="31.9" customHeight="1" thickBot="1">
      <c r="A277" s="197"/>
      <c r="B277" s="941"/>
      <c r="C277" s="1077"/>
      <c r="D277" s="943"/>
      <c r="E277" s="943"/>
      <c r="F277" s="236" t="s">
        <v>349</v>
      </c>
      <c r="G277" s="203" t="e">
        <f>IF($B$274="Лікар-педіатр",G276/L276,IF($B$274="Лікар-терапевт","х",IF($B$274="Лікар загальної практики - сімейний лікар",G276/L276,0)))</f>
        <v>#DIV/0!</v>
      </c>
      <c r="H277" s="203" t="e">
        <f>IF($B$274="Лікар-педіатр",H276/L276,IF($B$274="Лікар-терапевт","х",IF($B$274="Лікар загальної практики - сімейний лікар",H276/L276,0)))</f>
        <v>#DIV/0!</v>
      </c>
      <c r="I277" s="203" t="str">
        <f>IF($B$274="Лікар-педіатр","x",IF($B$274="Лікар-терапевт",I276/L276,IF($B$274="Лікар загальної практики - сімейний лікар",I276/L276,0)))</f>
        <v>x</v>
      </c>
      <c r="J277" s="203" t="str">
        <f>IF($B$274="Лікар-педіатр","x",IF($B$274="Лікар-терапевт",J276/L276,IF($B$274="Лікар загальної практики - сімейний лікар",J276/L276,0)))</f>
        <v>x</v>
      </c>
      <c r="K277" s="203" t="str">
        <f>IF($B$274="Лікар-педіатр","x",IF($B$274="Лікар-терапевт",K276/L276,IF($B$274="Лікар загальної практики - сімейний лікар",K276/L276,0)))</f>
        <v>x</v>
      </c>
      <c r="L277" s="203" t="e">
        <f>SUM(G277:K277)</f>
        <v>#DIV/0!</v>
      </c>
      <c r="M277" s="945"/>
      <c r="N277" s="203" t="e">
        <f>IF($B$274="Лікар-педіатр",N276/S276,IF($B$274="Лікар-терапевт","х",IF($B$274="Лікар загальної практики - сімейний лікар",N276/S276,0)))</f>
        <v>#DIV/0!</v>
      </c>
      <c r="O277" s="203" t="e">
        <f>IF($B$274="Лікар-педіатр",O276/S276,IF($B$274="Лікар-терапевт","х",IF($B$274="Лікар загальної практики - сімейний лікар",O276/S276,0)))</f>
        <v>#DIV/0!</v>
      </c>
      <c r="P277" s="203" t="str">
        <f>IF($B$274="Лікар-педіатр","x",IF($B$274="Лікар-терапевт",P276/S276,IF($B$274="Лікар загальної практики - сімейний лікар",P276/S276,0)))</f>
        <v>x</v>
      </c>
      <c r="Q277" s="203" t="str">
        <f>IF($B$274="Лікар-педіатр","x",IF($B$274="Лікар-терапевт",Q276/S276,IF($B$274="Лікар загальної практики - сімейний лікар",Q276/S276,0)))</f>
        <v>x</v>
      </c>
      <c r="R277" s="203" t="str">
        <f>IF($B$274="Лікар-педіатр","x",IF($B$274="Лікар-терапевт",R276/S276,IF($B$274="Лікар загальної практики - сімейний лікар",R276/S276,0)))</f>
        <v>x</v>
      </c>
      <c r="S277" s="203" t="e">
        <f>SUM(N277:R277)</f>
        <v>#DIV/0!</v>
      </c>
      <c r="T277" s="945"/>
      <c r="U277" s="203" t="e">
        <f>IF($B$274="Лікар-педіатр",U276/Z276,IF($B$274="Лікар-терапевт","х",IF($B$274="Лікар загальної практики - сімейний лікар",U276/Z276,0)))</f>
        <v>#DIV/0!</v>
      </c>
      <c r="V277" s="203" t="e">
        <f>IF($B$274="Лікар-педіатр",V276/Z276,IF($B$274="Лікар-терапевт","х",IF($B$274="Лікар загальної практики - сімейний лікар",V276/Z276,0)))</f>
        <v>#DIV/0!</v>
      </c>
      <c r="W277" s="203" t="str">
        <f>IF($B$274="Лікар-педіатр","x",IF($B$274="Лікар-терапевт",W276/Z276,IF($B$274="Лікар загальної практики - сімейний лікар",W276/Z276,0)))</f>
        <v>x</v>
      </c>
      <c r="X277" s="203" t="str">
        <f>IF($B$274="Лікар-педіатр","x",IF($B$274="Лікар-терапевт",X276/Z276,IF($B$274="Лікар загальної практики - сімейний лікар",X276/Z276,0)))</f>
        <v>x</v>
      </c>
      <c r="Y277" s="203" t="str">
        <f>IF($B$274="Лікар-педіатр","x",IF($B$274="Лікар-терапевт",Y276/Z276,IF($B$274="Лікар загальної практики - сімейний лікар",Y276/Z276,0)))</f>
        <v>x</v>
      </c>
      <c r="Z277" s="203" t="e">
        <f>SUM(U277:Y277)</f>
        <v>#DIV/0!</v>
      </c>
      <c r="AA277" s="945"/>
      <c r="AB277" s="203" t="e">
        <f>IF($B$274="Лікар-педіатр",AB276/AG276,IF($B$274="Лікар-терапевт","х",IF($B$274="Лікар загальної практики - сімейний лікар",AB276/AG276,0)))</f>
        <v>#DIV/0!</v>
      </c>
      <c r="AC277" s="203" t="e">
        <f>IF($B$274="Лікар-педіатр",AC276/AG276,IF($B$274="Лікар-терапевт","х",IF($B$274="Лікар загальної практики - сімейний лікар",AC276/AG276,0)))</f>
        <v>#DIV/0!</v>
      </c>
      <c r="AD277" s="203" t="str">
        <f>IF($B$274="Лікар-педіатр","x",IF($B$274="Лікар-терапевт",AD276/AG276,IF($B$274="Лікар загальної практики - сімейний лікар",AD276/AG276,0)))</f>
        <v>x</v>
      </c>
      <c r="AE277" s="203" t="str">
        <f>IF($B$274="Лікар-педіатр","x",IF($B$274="Лікар-терапевт",AE276/AG276,IF($B$274="Лікар загальної практики - сімейний лікар",AE276/AG276,0)))</f>
        <v>x</v>
      </c>
      <c r="AF277" s="203" t="str">
        <f>IF($B$274="Лікар-педіатр","x",IF($B$274="Лікар-терапевт",AF276/AG276,IF($B$274="Лікар загальної практики - сімейний лікар",AF276/AG276,0)))</f>
        <v>x</v>
      </c>
      <c r="AG277" s="203" t="e">
        <f>SUM(AB277:AF277)</f>
        <v>#DIV/0!</v>
      </c>
      <c r="AH277" s="945"/>
      <c r="AI277" s="201"/>
      <c r="AJ277" s="933"/>
      <c r="AK277" s="927"/>
      <c r="AL277" s="927"/>
      <c r="AM277" s="902"/>
      <c r="AN277" s="924"/>
      <c r="AO277" s="924"/>
      <c r="AP277" s="924"/>
      <c r="AQ277" s="924"/>
      <c r="AR277" s="915"/>
    </row>
    <row r="278" spans="1:44" s="50" customFormat="1" ht="45" customHeight="1" thickBot="1">
      <c r="A278" s="197"/>
      <c r="B278" s="941"/>
      <c r="C278" s="1077"/>
      <c r="D278" s="943"/>
      <c r="E278" s="944"/>
      <c r="F278" s="204" t="s">
        <v>585</v>
      </c>
      <c r="G278" s="205">
        <f>IF($B$274="Лікар загальної практики - сімейний лікар",AVERAGE(G274:G276),IF($B$274="Лікар-педіатр",AVERAGE(G274:G276),IF($B$274="Лікар-терапевт","х",0)))</f>
        <v>0</v>
      </c>
      <c r="H278" s="205">
        <f>IF($B$274="Лікар загальної практики - сімейний лікар",AVERAGE(H274:H276),IF($B$274="Лікар-педіатр",AVERAGE(H274:H276),IF($B$274="Лікар-терапевт","х",0)))</f>
        <v>0</v>
      </c>
      <c r="I278" s="205" t="str">
        <f>IF($B$274="Лікар загальної практики - сімейний лікар",AVERAGE(I274:I276),IF($B$274="Лікар-педіатр","x",IF($B$274="Лікар-терапевт",AVERAGE(I274:I276),0)))</f>
        <v>x</v>
      </c>
      <c r="J278" s="205" t="str">
        <f>IF($B$274="Лікар загальної практики - сімейний лікар",AVERAGE(J274:J276),IF($B$274="Лікар-педіатр","x",IF($B$274="Лікар-терапевт",AVERAGE(J274:J276),0)))</f>
        <v>x</v>
      </c>
      <c r="K278" s="205" t="str">
        <f>IF($B$274="Лікар загальної практики - сімейний лікар",AVERAGE(K274:K276),IF($B$274="Лікар-педіатр","x",IF($B$274="Лікар-терапевт",AVERAGE(K274:K276),0)))</f>
        <v>x</v>
      </c>
      <c r="L278" s="206">
        <f>SUM(G278:K278)</f>
        <v>0</v>
      </c>
      <c r="M278" s="946"/>
      <c r="N278" s="205">
        <f>IF($B$274="Лікар загальної практики - сімейний лікар",AVERAGE(N274:N276),IF($B$274="Лікар-педіатр",AVERAGE(N274:N276),IF($B$274="Лікар-терапевт","х",0)))</f>
        <v>0</v>
      </c>
      <c r="O278" s="205">
        <f>IF($B$274="Лікар загальної практики - сімейний лікар",AVERAGE(O274:O276),IF($B$274="Лікар-педіатр",AVERAGE(O274:O276),IF($B$274="Лікар-терапевт","х",0)))</f>
        <v>0</v>
      </c>
      <c r="P278" s="205" t="str">
        <f>IF($B$274="Лікар загальної практики - сімейний лікар",AVERAGE(P274:P276),IF($B$274="Лікар-педіатр","x",IF($B$274="Лікар-терапевт",AVERAGE(P274:P276),0)))</f>
        <v>x</v>
      </c>
      <c r="Q278" s="205" t="str">
        <f>IF($B$274="Лікар загальної практики - сімейний лікар",AVERAGE(Q274:Q276),IF($B$274="Лікар-педіатр","x",IF($B$274="Лікар-терапевт",AVERAGE(Q274:Q276),0)))</f>
        <v>x</v>
      </c>
      <c r="R278" s="205" t="str">
        <f>IF($B$274="Лікар загальної практики - сімейний лікар",AVERAGE(R274:R276),IF($B$274="Лікар-педіатр","x",IF($B$274="Лікар-терапевт",AVERAGE(R274:R276),0)))</f>
        <v>x</v>
      </c>
      <c r="S278" s="206">
        <f>SUM(N278:R278)</f>
        <v>0</v>
      </c>
      <c r="T278" s="946"/>
      <c r="U278" s="205">
        <f>IF($B$274="Лікар загальної практики - сімейний лікар",AVERAGE(U274:U276),IF($B$274="Лікар-педіатр",AVERAGE(U274:U276),IF($B$274="Лікар-терапевт","х",0)))</f>
        <v>0</v>
      </c>
      <c r="V278" s="205">
        <f>IF($B$274="Лікар загальної практики - сімейний лікар",AVERAGE(V274:V276),IF($B$274="Лікар-педіатр",AVERAGE(V274:V276),IF($B$274="Лікар-терапевт","х",0)))</f>
        <v>0</v>
      </c>
      <c r="W278" s="205" t="str">
        <f>IF($B$274="Лікар загальної практики - сімейний лікар",AVERAGE(W274:W276),IF($B$274="Лікар-педіатр","x",IF($B$274="Лікар-терапевт",AVERAGE(W274:W276),0)))</f>
        <v>x</v>
      </c>
      <c r="X278" s="205" t="str">
        <f>IF($B$274="Лікар загальної практики - сімейний лікар",AVERAGE(X274:X276),IF($B$274="Лікар-педіатр","x",IF($B$274="Лікар-терапевт",AVERAGE(X274:X276),0)))</f>
        <v>x</v>
      </c>
      <c r="Y278" s="205" t="str">
        <f>IF($B$274="Лікар загальної практики - сімейний лікар",AVERAGE(Y274:Y276),IF($B$274="Лікар-педіатр","x",IF($B$274="Лікар-терапевт",AVERAGE(Y274:Y276),0)))</f>
        <v>x</v>
      </c>
      <c r="Z278" s="206">
        <f>SUM(U278:Y278)</f>
        <v>0</v>
      </c>
      <c r="AA278" s="946"/>
      <c r="AB278" s="205">
        <f>IF($B$274="Лікар загальної практики - сімейний лікар",AVERAGE(AB274:AB276),IF($B$274="Лікар-педіатр",AVERAGE(AB274:AB276),IF($B$274="Лікар-терапевт","х",0)))</f>
        <v>0</v>
      </c>
      <c r="AC278" s="205">
        <f>IF($B$274="Лікар загальної практики - сімейний лікар",AVERAGE(AC274:AC276),IF($B$274="Лікар-педіатр",AVERAGE(AC274:AC276),IF($B$274="Лікар-терапевт","х",0)))</f>
        <v>0</v>
      </c>
      <c r="AD278" s="205" t="str">
        <f>IF($B$274="Лікар загальної практики - сімейний лікар",AVERAGE(AD274:AD276),IF($B$274="Лікар-педіатр","x",IF($B$274="Лікар-терапевт",AVERAGE(AD274:AD276),0)))</f>
        <v>x</v>
      </c>
      <c r="AE278" s="205" t="str">
        <f>IF($B$274="Лікар загальної практики - сімейний лікар",AVERAGE(AE274:AE276),IF($B$274="Лікар-педіатр","x",IF($B$274="Лікар-терапевт",AVERAGE(AE274:AE276),0)))</f>
        <v>x</v>
      </c>
      <c r="AF278" s="205" t="str">
        <f>IF($B$274="Лікар загальної практики - сімейний лікар",AVERAGE(AF274:AF276),IF($B$274="Лікар-педіатр","x",IF($B$274="Лікар-терапевт",AVERAGE(AF274:AF276),0)))</f>
        <v>x</v>
      </c>
      <c r="AG278" s="206">
        <f>SUM(AB278:AF278)</f>
        <v>0</v>
      </c>
      <c r="AH278" s="947"/>
      <c r="AI278" s="201"/>
      <c r="AJ278" s="933"/>
      <c r="AK278" s="927"/>
      <c r="AL278" s="927"/>
      <c r="AM278" s="903"/>
      <c r="AN278" s="925"/>
      <c r="AO278" s="925"/>
      <c r="AP278" s="925"/>
      <c r="AQ278" s="925"/>
      <c r="AR278" s="916"/>
    </row>
    <row r="279" spans="1:44" s="50" customFormat="1" ht="40.5">
      <c r="A279" s="197"/>
      <c r="B279" s="941"/>
      <c r="C279" s="1077"/>
      <c r="D279" s="943"/>
      <c r="E279" s="943"/>
      <c r="F279" s="237" t="str">
        <f ca="1">IF(B274="Лікар-педіатр",Законод!$C$17,IF(B274="Лікар загальної практики - сімейний лікар",Законод!$C$21,IF(B274="Лікар-терапевт",Законод!$C$25,"х")))</f>
        <v>ліміт (до 900)</v>
      </c>
      <c r="G279" s="208">
        <f ca="1">IF($B$274="Лікар загальної практики - сімейний лікар",IF(L278&lt;=Законод!$C$22,G278,Законод!$C$22*'01_Доходи'!G277),IF($B$274="Лікар-педіатр",IF(L278&lt;=Законод!$C$18,G278,Законод!$C$18*'01_Доходи'!G277),IF($B$274="Лікар-терапевт","x",0)))</f>
        <v>0</v>
      </c>
      <c r="H279" s="208">
        <f ca="1">IF($B$274="Лікар загальної практики - сімейний лікар",IF(L278&lt;=Законод!$C$22,H278,Законод!$C$22*'01_Доходи'!H277),IF($B$274="Лікар-педіатр",IF(L278&lt;=Законод!$C$18,H278,Законод!$C$18*'01_Доходи'!H277),IF($B$274="Лікар-терапевт","x",0)))</f>
        <v>0</v>
      </c>
      <c r="I279" s="208" t="str">
        <f ca="1">IF($B$274="Лікар загальної практики - сімейний лікар",IF(L278&lt;=Законод!$C$22,I278,Законод!$C$22*'01_Доходи'!I277),IF($B$274="Лікар-педіатр","x",IF($B$274="Лікар-терапевт",IF(L278&lt;=Законод!$C$26,I278,Законод!$C$26*'01_Доходи'!I277),0)))</f>
        <v>x</v>
      </c>
      <c r="J279" s="208" t="str">
        <f ca="1">IF($B$274="Лікар загальної практики - сімейний лікар",IF(L278&lt;=Законод!$C$22,J278,Законод!$C$22*'01_Доходи'!J277),IF($B$274="Лікар-педіатр","x",IF($B$274="Лікар-терапевт",IF(L278&lt;=Законод!$C$26,J278,Законод!$C$26*'01_Доходи'!J277),0)))</f>
        <v>x</v>
      </c>
      <c r="K279" s="208" t="str">
        <f ca="1">IF($B$274="Лікар загальної практики - сімейний лікар",IF(L278&lt;=Законод!$C$22,K278,Законод!$C$22*'01_Доходи'!K277),IF($B$274="Лікар-педіатр","x",IF($B$274="Лікар-терапевт",IF(L278&lt;=Законод!$C$26,K278,Законод!$C$26*'01_Доходи'!K277),0)))</f>
        <v>x</v>
      </c>
      <c r="L279" s="209">
        <f ca="1">SUM(G279:K279)</f>
        <v>0</v>
      </c>
      <c r="M279" s="945"/>
      <c r="N279" s="208">
        <f ca="1">IF($B$274="Лікар загальної практики - сімейний лікар",IF(S278&lt;=Законод!$C$22,N278,Законод!$C$22*'01_Доходи'!N277),IF($B$274="Лікар-педіатр",IF(S278&lt;=Законод!$C$18,N278,Законод!$C$18*'01_Доходи'!N277),IF($B$274="Лікар-терапевт","x",0)))</f>
        <v>0</v>
      </c>
      <c r="O279" s="208">
        <f ca="1">IF($B$274="Лікар загальної практики - сімейний лікар",IF(S278&lt;=Законод!$C$22,O278,Законод!$C$22*'01_Доходи'!O277),IF($B$274="Лікар-педіатр",IF(S278&lt;=Законод!$C$18,O278,Законод!$C$18*'01_Доходи'!O277),IF($B$274="Лікар-терапевт","x",0)))</f>
        <v>0</v>
      </c>
      <c r="P279" s="208" t="str">
        <f ca="1">IF($B$274="Лікар загальної практики - сімейний лікар",IF(S278&lt;=Законод!$C$22,P278,Законод!$C$22*'01_Доходи'!P277),IF($B$274="Лікар-педіатр","x",IF($B$274="Лікар-терапевт",IF(S278&lt;=Законод!$C$26,P278,Законод!$C$26*'01_Доходи'!P277),0)))</f>
        <v>x</v>
      </c>
      <c r="Q279" s="208" t="str">
        <f ca="1">IF($B$274="Лікар загальної практики - сімейний лікар",IF(S278&lt;=Законод!$C$22,Q278,Законод!$C$22*'01_Доходи'!Q277),IF($B$274="Лікар-педіатр","x",IF($B$274="Лікар-терапевт",IF(S278&lt;=Законод!$C$26,Q278,Законод!$C$26*'01_Доходи'!Q277),0)))</f>
        <v>x</v>
      </c>
      <c r="R279" s="208" t="str">
        <f ca="1">IF($B$274="Лікар загальної практики - сімейний лікар",IF(S278&lt;=Законод!$C$22,R278,Законод!$C$22*'01_Доходи'!R277),IF($B$274="Лікар-педіатр","x",IF($B$274="Лікар-терапевт",IF(S278&lt;=Законод!$C$26,R278,Законод!$C$26*'01_Доходи'!R277),0)))</f>
        <v>x</v>
      </c>
      <c r="S279" s="209">
        <f ca="1">SUM(N279:R279)</f>
        <v>0</v>
      </c>
      <c r="T279" s="945"/>
      <c r="U279" s="208">
        <f ca="1">IF($B$274="Лікар загальної практики - сімейний лікар",IF(Z278&lt;=Законод!$C$22,U278,Законод!$C$22*'01_Доходи'!U277),IF($B$274="Лікар-педіатр",IF(Z278&lt;=Законод!$C$18,U278,Законод!$C$18*'01_Доходи'!U277),IF($B$274="Лікар-терапевт","x",0)))</f>
        <v>0</v>
      </c>
      <c r="V279" s="208">
        <f ca="1">IF($B$274="Лікар загальної практики - сімейний лікар",IF(Z278&lt;=Законод!$C$22,V278,Законод!$C$22*'01_Доходи'!V277),IF($B$274="Лікар-педіатр",IF(Z278&lt;=Законод!$C$18,V278,Законод!$C$18*'01_Доходи'!V277),IF($B$274="Лікар-терапевт","x",0)))</f>
        <v>0</v>
      </c>
      <c r="W279" s="208" t="str">
        <f ca="1">IF($B$274="Лікар загальної практики - сімейний лікар",IF(Z278&lt;=Законод!$C$22,W278,Законод!$C$22*'01_Доходи'!W277),IF($B$274="Лікар-педіатр","x",IF($B$274="Лікар-терапевт",IF(Z278&lt;=Законод!$C$26,W278,Законод!$C$26*'01_Доходи'!W277),0)))</f>
        <v>x</v>
      </c>
      <c r="X279" s="208" t="str">
        <f ca="1">IF($B$274="Лікар загальної практики - сімейний лікар",IF(Z278&lt;=Законод!$C$22,X278,Законод!$C$22*'01_Доходи'!X277),IF($B$274="Лікар-педіатр","x",IF($B$274="Лікар-терапевт",IF(Z278&lt;=Законод!$C$26,X278,Законод!$C$26*'01_Доходи'!X277),0)))</f>
        <v>x</v>
      </c>
      <c r="Y279" s="208" t="str">
        <f ca="1">IF($B$274="Лікар загальної практики - сімейний лікар",IF(Z278&lt;=Законод!$C$22,Y278,Законод!$C$22*'01_Доходи'!Y277),IF($B$274="Лікар-педіатр","x",IF($B$274="Лікар-терапевт",IF(Z278&lt;=Законод!$C$26,Y278,Законод!$C$26*'01_Доходи'!Y277),0)))</f>
        <v>x</v>
      </c>
      <c r="Z279" s="209">
        <f ca="1">SUM(U279:Y279)</f>
        <v>0</v>
      </c>
      <c r="AA279" s="945"/>
      <c r="AB279" s="208">
        <f ca="1">IF($B$274="Лікар загальної практики - сімейний лікар",IF(AG278&lt;=Законод!$C$22,AB278,Законод!$C$22*'01_Доходи'!AB277),IF($B$274="Лікар-педіатр",IF(AG278&lt;=Законод!$C$18,AB278,Законод!$C$18*'01_Доходи'!AB277),IF($B$274="Лікар-терапевт","x",0)))</f>
        <v>0</v>
      </c>
      <c r="AC279" s="208">
        <f ca="1">IF($B$274="Лікар загальної практики - сімейний лікар",IF(AG278&lt;=Законод!$C$22,AC278,Законод!$C$22*'01_Доходи'!AC277),IF($B$274="Лікар-педіатр",IF(AG278&lt;=Законод!$C$18,AC278,Законод!$C$18*'01_Доходи'!AC277),IF($B$274="Лікар-терапевт","x",0)))</f>
        <v>0</v>
      </c>
      <c r="AD279" s="208" t="str">
        <f ca="1">IF($B$274="Лікар загальної практики - сімейний лікар",IF(AG278&lt;=Законод!$C$22,AD278,Законод!$C$22*'01_Доходи'!AD277),IF($B$274="Лікар-педіатр","x",IF($B$274="Лікар-терапевт",IF(AG278&lt;=Законод!$C$26,AD278,Законод!$C$26*'01_Доходи'!AD277),0)))</f>
        <v>x</v>
      </c>
      <c r="AE279" s="208" t="str">
        <f ca="1">IF($B$274="Лікар загальної практики - сімейний лікар",IF(AG278&lt;=Законод!$C$22,AE278,Законод!$C$22*'01_Доходи'!AE277),IF($B$274="Лікар-педіатр","x",IF($B$274="Лікар-терапевт",IF(AG278&lt;=Законод!$C$26,AE278,Законод!$C$26*'01_Доходи'!AE277),0)))</f>
        <v>x</v>
      </c>
      <c r="AF279" s="208" t="str">
        <f ca="1">IF($B$274="Лікар загальної практики - сімейний лікар",IF(AG278&lt;=Законод!$C$22,AF278,Законод!$C$22*'01_Доходи'!AF277),IF($B$274="Лікар-педіатр","x",IF($B$274="Лікар-терапевт",IF(AG278&lt;=Законод!$C$26,AF278,Законод!$C$26*'01_Доходи'!AF277),0)))</f>
        <v>x</v>
      </c>
      <c r="AG279" s="209">
        <f ca="1">SUM(AB279:AF279)</f>
        <v>0</v>
      </c>
      <c r="AH279" s="945"/>
      <c r="AI279" s="201"/>
      <c r="AJ279" s="933"/>
      <c r="AK279" s="927"/>
      <c r="AL279" s="927"/>
      <c r="AM279" s="348" t="s">
        <v>374</v>
      </c>
      <c r="AN279" s="210">
        <f ca="1">IF(B274="Лікар загальної практики - сімейний лікар",G279*Законод!$C$11+'01_Доходи'!H279*Законод!$D$11+'01_Доходи'!I279*Законод!$E$11+'01_Доходи'!J279*Законод!$F$11+'01_Доходи'!K279*Законод!$G$11,IF(B274="Лікар-педіатр",G279*Законод!$C$11+'01_Доходи'!H279*Законод!$D$11,IF(B274="Лікар-терапевт",'01_Доходи'!I279*Законод!$E$11+'01_Доходи'!J279*Законод!$F$11+'01_Доходи'!K279*Законод!$G$11,0)))</f>
        <v>0</v>
      </c>
      <c r="AO279" s="210">
        <f ca="1">IF(B274="Лікар загальної практики - сімейний лікар",N279*Законод!$C$11+'01_Доходи'!O279*Законод!$D$11+'01_Доходи'!P279*Законод!$E$11+'01_Доходи'!Q279*Законод!$F$11+'01_Доходи'!R279*Законод!$G$11,IF(B274="Лікар-педіатр",N279*Законод!$C$11+'01_Доходи'!O279*Законод!$D$11,IF(B274="Лікар-терапевт",'01_Доходи'!P279*Законод!$E$11+'01_Доходи'!Q279*Законод!$F$11+'01_Доходи'!R279*Законод!$G$11,0)))</f>
        <v>0</v>
      </c>
      <c r="AP279" s="210">
        <f ca="1">IF(B274="Лікар загальної практики - сімейний лікар",U279*Законод!$C$11+'01_Доходи'!V279*Законод!$D$11+'01_Доходи'!W279*Законод!$E$11+'01_Доходи'!X279*Законод!$F$11+'01_Доходи'!Y279*Законод!$G$11,IF(B274="Лікар-педіатр",U279*Законод!$C$11+'01_Доходи'!V279*Законод!$D$11,IF(B274="Лікар-терапевт",'01_Доходи'!W279*Законод!$E$11+'01_Доходи'!X279*Законод!$F$11+'01_Доходи'!Y279*Законод!$G$11,0)))</f>
        <v>0</v>
      </c>
      <c r="AQ279" s="210">
        <f ca="1">IF(B274="Лікар загальної практики - сімейний лікар",AB279*Законод!$C$11+'01_Доходи'!AC279*Законод!$D$11+'01_Доходи'!AD279*Законод!$E$11+'01_Доходи'!AE279*Законод!$F$11+'01_Доходи'!AF279*Законод!$G$11,IF(B274="Лікар-педіатр",AB279*Законод!$C$11+'01_Доходи'!AC279*Законод!$D$11,IF(B274="Лікар-терапевт",'01_Доходи'!AD279*Законод!$E$11+'01_Доходи'!AE279*Законод!$F$11+'01_Доходи'!AF279*Законод!$G$11,0)))</f>
        <v>0</v>
      </c>
      <c r="AR279" s="211">
        <f t="shared" ref="AR279:AR285" si="40">SUM(AN279:AQ279)</f>
        <v>0</v>
      </c>
    </row>
    <row r="280" spans="1:44" s="50" customFormat="1" ht="31.9" customHeight="1">
      <c r="A280" s="197"/>
      <c r="B280" s="941"/>
      <c r="C280" s="1077"/>
      <c r="D280" s="943"/>
      <c r="E280" s="943"/>
      <c r="F280" s="238" t="str">
        <f ca="1">IF(B274="Лікар-педіатр",Законод!$E$17,IF(B274="Лікар загальної практики - сімейний лікар",Законод!$E$21,IF(B274="Лікар-терапевт",Законод!$E$25,"х")))</f>
        <v>понад ліміт (901-990)</v>
      </c>
      <c r="G280" s="940" t="s">
        <v>346</v>
      </c>
      <c r="H280" s="940"/>
      <c r="I280" s="940"/>
      <c r="J280" s="940"/>
      <c r="K280" s="940"/>
      <c r="L280" s="196">
        <f ca="1">IF($B$274="Лікар загальної практики - сімейний лікар",IF(L278&lt;Законод!$C$22,0,(IF(AND(L278&gt;=Законод!$E$22,L278&lt;=Законод!$E$23),L278-Законод!$C$22,IF('01_Доходи'!L278&gt;=Законод!$F$22,Законод!$E$24,0)))),IF($B$274="Лікар-педіатр",IF(L278&lt;Законод!$C$18,0,(IF(AND(L278&gt;=Законод!$E$18,L278&lt;=Законод!$E$19),L278-Законод!$C$18,IF('01_Доходи'!L278&gt;=Законод!$F$18,Законод!$E$20,0)))),IF($B$274="Лікар-терапевт",IF(L278&lt;Законод!$C$26,0,(IF(AND(L278&gt;=Законод!$E$26,L278&lt;=Законод!$E$27),L278-Законод!$C$26,IF('01_Доходи'!L278&gt;=Законод!$F$26,Законод!$E$28,0)))),0)))</f>
        <v>0</v>
      </c>
      <c r="M280" s="945"/>
      <c r="N280" s="940" t="s">
        <v>346</v>
      </c>
      <c r="O280" s="940"/>
      <c r="P280" s="940"/>
      <c r="Q280" s="940"/>
      <c r="R280" s="940"/>
      <c r="S280" s="196">
        <f ca="1">IF($B$274="Лікар загальної практики - сімейний лікар",IF(S278&lt;Законод!$C$22,0,(IF(AND(S278&gt;=Законод!$E$22,S278&lt;=Законод!$E$23),S278-Законод!$C$22,IF('01_Доходи'!S278&gt;=Законод!$F$22,Законод!$E$24,0)))),IF($B$274="Лікар-педіатр",IF(S278&lt;Законод!$C$18,0,(IF(AND(S278&gt;=Законод!$E$18,S278&lt;=Законод!$E$19),S278-Законод!$C$18,IF('01_Доходи'!S278&gt;=Законод!$F$18,Законод!$E$20,0)))),IF($B$274="Лікар-терапевт",IF(S278&lt;Законод!$C$26,0,(IF(AND(S278&gt;=Законод!$E$26,S278&lt;=Законод!$E$27),S278-Законод!$C$26,IF('01_Доходи'!S278&gt;=Законод!$F$26,Законод!$E$28,0)))),0)))</f>
        <v>0</v>
      </c>
      <c r="T280" s="945"/>
      <c r="U280" s="940" t="s">
        <v>346</v>
      </c>
      <c r="V280" s="940"/>
      <c r="W280" s="940"/>
      <c r="X280" s="940"/>
      <c r="Y280" s="940"/>
      <c r="Z280" s="196">
        <f ca="1">IF($B$274="Лікар загальної практики - сімейний лікар",IF(Z278&lt;Законод!$C$22,0,(IF(AND(Z278&gt;=Законод!$E$22,Z278&lt;=Законод!$E$23),Z278-Законод!$C$22,IF('01_Доходи'!Z278&gt;=Законод!$F$22,Законод!$E$24,0)))),IF($B$274="Лікар-педіатр",IF(Z278&lt;Законод!$C$18,0,(IF(AND(Z278&gt;=Законод!$E$18,Z278&lt;=Законод!$E$19),Z278-Законод!$C$18,IF('01_Доходи'!Z278&gt;=Законод!$F$18,Законод!$E$20,0)))),IF($B$274="Лікар-терапевт",IF(Z278&lt;Законод!$C$26,0,(IF(AND(Z278&gt;=Законод!$E$26,Z278&lt;=Законод!$E$27),Z278-Законод!$C$26,IF('01_Доходи'!Z278&gt;=Законод!$F$26,Законод!$E$28,0)))),0)))</f>
        <v>0</v>
      </c>
      <c r="AA280" s="945"/>
      <c r="AB280" s="940" t="s">
        <v>346</v>
      </c>
      <c r="AC280" s="940"/>
      <c r="AD280" s="940"/>
      <c r="AE280" s="940"/>
      <c r="AF280" s="940"/>
      <c r="AG280" s="196">
        <f ca="1">IF($B$274="Лікар загальної практики - сімейний лікар",IF(AG278&lt;Законод!$C$22,0,(IF(AND(AG278&gt;=Законод!$E$22,AG278&lt;=Законод!$E$23),AG278-Законод!$C$22,IF('01_Доходи'!AG278&gt;=Законод!$F$22,Законод!$E$24,0)))),IF($B$274="Лікар-педіатр",IF(AG278&lt;Законод!$C$18,0,(IF(AND(AG278&gt;=Законод!$E$18,AG278&lt;=Законод!$E$19),AG278-Законод!$C$18,IF('01_Доходи'!AG278&gt;=Законод!$F$18,Законод!$E$20,0)))),IF($B$274="Лікар-терапевт",IF(AG278&lt;Законод!$C$26,0,(IF(AND(AG278&gt;=Законод!$E$26,AG278&lt;=Законод!$E$27),AG278-Законод!$C$26,IF('01_Доходи'!AG278&gt;=Законод!$F$26,Законод!$E$28,0)))),0)))</f>
        <v>0</v>
      </c>
      <c r="AH280" s="945"/>
      <c r="AI280" s="201"/>
      <c r="AJ280" s="933"/>
      <c r="AK280" s="927"/>
      <c r="AL280" s="927"/>
      <c r="AM280" s="898" t="s">
        <v>375</v>
      </c>
      <c r="AN280" s="210">
        <f ca="1">IF(B274="Лікар загальної практики - сімейний лікар",L280*Законод!$C$9/4*Законод!$E$16,IF(B274="Лікар-педіатр",L280*Законод!$C$9/4*Законод!$E$16,IF(B274="Лікар-терапевт",L280*Законод!$C$9/4*Законод!$E$16,0)))</f>
        <v>0</v>
      </c>
      <c r="AO280" s="210">
        <f ca="1">IF(B274="Лікар загальної практики - сімейний лікар",S280*Законод!$C$9/4*Законод!$E$16,IF(B274="Лікар-педіатр",S280*Законод!$C$9/4*Законод!$E$16,IF(B274="Лікар-терапевт",S280*Законод!$C$9/4*Законод!$E$16,0)))</f>
        <v>0</v>
      </c>
      <c r="AP280" s="210">
        <f ca="1">IF(B274="Лікар загальної практики - сімейний лікар",Z280*Законод!$C$9/4*Законод!$E$16,IF(B274="Лікар-педіатр",Z280*Законод!$C$9/4*Законод!$E$16,IF(B274="Лікар-терапевт",Z280*Законод!$C$9/4*Законод!$E$16,0)))</f>
        <v>0</v>
      </c>
      <c r="AQ280" s="210">
        <f ca="1">IF(B274="Лікар загальної практики - сімейний лікар",AG280*Законод!$C$9/4*Законод!$E$16,IF(B274="Лікар-педіатр",AG280*Законод!$C$9/4*Законод!$E$16,IF(B274="Лікар-терапевт",AG280*Законод!$C$9/4*Законод!$E$16,0)))</f>
        <v>0</v>
      </c>
      <c r="AR280" s="211">
        <f t="shared" si="40"/>
        <v>0</v>
      </c>
    </row>
    <row r="281" spans="1:44" s="50" customFormat="1" ht="31.9" customHeight="1">
      <c r="A281" s="197"/>
      <c r="B281" s="941"/>
      <c r="C281" s="1077"/>
      <c r="D281" s="943"/>
      <c r="E281" s="943"/>
      <c r="F281" s="238" t="str">
        <f ca="1">IF(B274="Лікар-педіатр",Законод!$F$17,IF(B274="Лікар загальної практики - сімейний лікар",Законод!$F$21,IF(B274="Лікар-терапевт",Законод!$F$25,"х")))</f>
        <v>понад ліміт (991-1080)</v>
      </c>
      <c r="G281" s="940" t="s">
        <v>346</v>
      </c>
      <c r="H281" s="940"/>
      <c r="I281" s="940"/>
      <c r="J281" s="940"/>
      <c r="K281" s="940"/>
      <c r="L281" s="196">
        <f ca="1">IF($B$274="Лікар загальної практики - сімейний лікар",IF(L278&lt;Законод!$C$22,0,(IF(AND(L278&gt;=Законод!$F$22,L278&lt;=Законод!$F$23),L278-Законод!$E$23,IF('01_Доходи'!L278&gt;=Законод!$G$22,Законод!$F$24,0)))),IF($B$274="Лікар-педіатр",IF(L278&lt;Законод!$C$18,0,(IF(AND(L278&gt;=Законод!$F$18,L278&lt;=Законод!$F$19),L278-Законод!$E$19,IF('01_Доходи'!L278&gt;=Законод!$G$18,Законод!$F$20,0)))),IF($B$274="Лікар-терапевт",IF(L278&lt;Законод!$C$26,0,(IF(AND(L278&gt;=Законод!$F$26,L278&lt;=Законод!$F$27),L278-Законод!$E$27,IF('01_Доходи'!L278&gt;=Законод!$G$26,Законод!$F$28,0)))),0)))</f>
        <v>0</v>
      </c>
      <c r="M281" s="945"/>
      <c r="N281" s="940" t="s">
        <v>346</v>
      </c>
      <c r="O281" s="940"/>
      <c r="P281" s="940"/>
      <c r="Q281" s="940"/>
      <c r="R281" s="940"/>
      <c r="S281" s="196">
        <f ca="1">IF($B$274="Лікар загальної практики - сімейний лікар",IF(S278&lt;Законод!$C$22,0,(IF(AND(S278&gt;=Законод!$F$22,S278&lt;=Законод!$F$23),S278-Законод!$E$23,IF('01_Доходи'!S278&gt;=Законод!$G$22,Законод!$F$24,0)))),IF($B$274="Лікар-педіатр",IF(S278&lt;Законод!$C$18,0,(IF(AND(S278&gt;=Законод!$F$18,S278&lt;=Законод!$F$19),S278-Законод!$E$19,IF('01_Доходи'!S278&gt;=Законод!$G$18,Законод!$F$20,0)))),IF($B$274="Лікар-терапевт",IF(S278&lt;Законод!$C$26,0,(IF(AND(S278&gt;=Законод!$F$26,S278&lt;=Законод!$F$27),S278-Законод!$E$27,IF('01_Доходи'!S278&gt;=Законод!$G$26,Законод!$F$28,0)))),0)))</f>
        <v>0</v>
      </c>
      <c r="T281" s="945"/>
      <c r="U281" s="940" t="s">
        <v>346</v>
      </c>
      <c r="V281" s="940"/>
      <c r="W281" s="940"/>
      <c r="X281" s="940"/>
      <c r="Y281" s="940"/>
      <c r="Z281" s="196">
        <f ca="1">IF($B$274="Лікар загальної практики - сімейний лікар",IF(Z278&lt;Законод!$C$22,0,(IF(AND(Z278&gt;=Законод!$F$22,Z278&lt;=Законод!$F$23),Z278-Законод!$E$23,IF('01_Доходи'!Z278&gt;=Законод!$G$22,Законод!$F$24,0)))),IF($B$274="Лікар-педіатр",IF(Z278&lt;Законод!$C$18,0,(IF(AND(Z278&gt;=Законод!$F$18,Z278&lt;=Законод!$F$19),Z278-Законод!$E$19,IF('01_Доходи'!Z278&gt;=Законод!$G$18,Законод!$F$20,0)))),IF($B$274="Лікар-терапевт",IF(Z278&lt;Законод!$C$26,0,(IF(AND(Z278&gt;=Законод!$F$26,Z278&lt;=Законод!$F$27),Z278-Законод!$E$27,IF('01_Доходи'!Z278&gt;=Законод!$G$26,Законод!$F$28,0)))),0)))</f>
        <v>0</v>
      </c>
      <c r="AA281" s="945"/>
      <c r="AB281" s="940" t="s">
        <v>346</v>
      </c>
      <c r="AC281" s="940"/>
      <c r="AD281" s="940"/>
      <c r="AE281" s="940"/>
      <c r="AF281" s="940"/>
      <c r="AG281" s="196">
        <f ca="1">IF($B$274="Лікар загальної практики - сімейний лікар",IF(AG278&lt;Законод!$C$22,0,(IF(AND(AG278&gt;=Законод!$F$22,AG278&lt;=Законод!$F$23),AG278-Законод!$E$23,IF('01_Доходи'!AG278&gt;=Законод!$G$22,Законод!$F$24,0)))),IF($B$274="Лікар-педіатр",IF(AG278&lt;Законод!$C$18,0,(IF(AND(AG278&gt;=Законод!$F$18,AG278&lt;=Законод!$F$19),AG278-Законод!$E$19,IF('01_Доходи'!AG278&gt;=Законод!$G$18,Законод!$F$20,0)))),IF($B$274="Лікар-терапевт",IF(AG278&lt;Законод!$C$26,0,(IF(AND(AG278&gt;=Законод!$F$26,AG278&lt;=Законод!$F$27),AG278-Законод!$E$27,IF('01_Доходи'!AG278&gt;=Законод!$G$26,Законод!$F$28,0)))),0)))</f>
        <v>0</v>
      </c>
      <c r="AH281" s="945"/>
      <c r="AI281" s="201"/>
      <c r="AJ281" s="933"/>
      <c r="AK281" s="927"/>
      <c r="AL281" s="927"/>
      <c r="AM281" s="899"/>
      <c r="AN281" s="210">
        <f ca="1">IF(B274="Лікар загальної практики - сімейний лікар",L281*Законод!$C$9/4*Законод!$F$16,IF(B274="Лікар-педіатр",L281*Законод!$C$9/4*Законод!$F$16,IF(B274="Лікар-терапевт",L281*Законод!$C$9/4*Законод!$F$16,0)))</f>
        <v>0</v>
      </c>
      <c r="AO281" s="210">
        <f ca="1">IF(B274="Лікар загальної практики - сімейний лікар",S281*Законод!$C$9/4*Законод!$F$16,IF(B274="Лікар-педіатр",S281*Законод!$C$9/4*Законод!$F$16,IF(B274="Лікар-терапевт",S281*Законод!$C$9/4*Законод!$F$16,0)))</f>
        <v>0</v>
      </c>
      <c r="AP281" s="210">
        <f ca="1">IF(B274="Лікар загальної практики - сімейний лікар",Z281*Законод!$C$9/4*Законод!$F$16,IF(B274="Лікар-педіатр",Z281*Законод!$C$9/4*Законод!$F$16,IF(B274="Лікар-терапевт",Z281*Законод!$C$9/4*Законод!$F$16,0)))</f>
        <v>0</v>
      </c>
      <c r="AQ281" s="210">
        <f ca="1">IF(B274="Лікар загальної практики - сімейний лікар",AG281*Законод!$C$9/4*Законод!$F$16,IF(B274="Лікар-педіатр",AG281*Законод!$C$9/4*Законод!$F$16,IF(B274="Лікар-терапевт",AG281*Законод!$C$9/4*Законод!$F$16,0)))</f>
        <v>0</v>
      </c>
      <c r="AR281" s="211">
        <f t="shared" si="40"/>
        <v>0</v>
      </c>
    </row>
    <row r="282" spans="1:44" s="50" customFormat="1" ht="31.9" customHeight="1">
      <c r="A282" s="197"/>
      <c r="B282" s="941"/>
      <c r="C282" s="1077"/>
      <c r="D282" s="943"/>
      <c r="E282" s="943"/>
      <c r="F282" s="238" t="str">
        <f ca="1">IF(B274="Лікар-педіатр",Законод!$G$17,IF(B274="Лікар загальної практики - сімейний лікар",Законод!$G$21,IF(B274="Лікар-терапевт",Законод!$G$25,"х")))</f>
        <v>понад ліміт (1081-1170)</v>
      </c>
      <c r="G282" s="940" t="s">
        <v>346</v>
      </c>
      <c r="H282" s="940"/>
      <c r="I282" s="940"/>
      <c r="J282" s="940"/>
      <c r="K282" s="940"/>
      <c r="L282" s="196">
        <f ca="1">IF($B$274="Лікар загальної практики - сімейний лікар",IF(L278&lt;Законод!$C$22,0,(IF(AND(L278&gt;=Законод!$G$22,L278&lt;=Законод!$G$23),L278-Законод!$F$23,IF('01_Доходи'!L278&gt;=Законод!$H$22,Законод!$G$24,0)))),IF($B$274="Лікар-педіатр",IF(L278&lt;Законод!$C$18,0,(IF(AND(L278&gt;=Законод!$G$18,L278&lt;=Законод!$G$19),L278-Законод!$F$19,IF('01_Доходи'!L278&gt;=Законод!$H$18,Законод!$G$20,0)))),IF($B$274="Лікар-терапевт",IF(L278&lt;Законод!$C$26,0,(IF(AND(L278&gt;=Законод!$G$26,L278&lt;=Законод!$G$27),L278-Законод!$F$27,IF('01_Доходи'!L278&gt;=Законод!$H$26,Законод!$G$28,0)))),0)))</f>
        <v>0</v>
      </c>
      <c r="M282" s="945"/>
      <c r="N282" s="940" t="s">
        <v>346</v>
      </c>
      <c r="O282" s="940"/>
      <c r="P282" s="940"/>
      <c r="Q282" s="940"/>
      <c r="R282" s="940"/>
      <c r="S282" s="196">
        <f ca="1">IF($B$274="Лікар загальної практики - сімейний лікар",IF(S278&lt;Законод!$C$22,0,(IF(AND(S278&gt;=Законод!$G$22,S278&lt;=Законод!$G$23),S278-Законод!$F$23,IF('01_Доходи'!S278&gt;=Законод!$H$22,Законод!$G$24,0)))),IF($B$274="Лікар-педіатр",IF(S278&lt;Законод!$C$18,0,(IF(AND(S278&gt;=Законод!$G$18,S278&lt;=Законод!$G$19),S278-Законод!$F$19,IF('01_Доходи'!S278&gt;=Законод!$H$18,Законод!$G$20,0)))),IF($B$274="Лікар-терапевт",IF(S278&lt;Законод!$C$26,0,(IF(AND(S278&gt;=Законод!$G$26,S278&lt;=Законод!$G$27),S278-Законод!$F$27,IF('01_Доходи'!S278&gt;=Законод!$H$26,Законод!$G$28,0)))),0)))</f>
        <v>0</v>
      </c>
      <c r="T282" s="945"/>
      <c r="U282" s="940" t="s">
        <v>346</v>
      </c>
      <c r="V282" s="940"/>
      <c r="W282" s="940"/>
      <c r="X282" s="940"/>
      <c r="Y282" s="940"/>
      <c r="Z282" s="196">
        <f ca="1">IF($B$274="Лікар загальної практики - сімейний лікар",IF(Z278&lt;Законод!$C$22,0,(IF(AND(Z278&gt;=Законод!$G$22,Z278&lt;=Законод!$G$23),Z278-Законод!$F$23,IF('01_Доходи'!Z278&gt;=Законод!$H$22,Законод!$G$24,0)))),IF($B$274="Лікар-педіатр",IF(Z278&lt;Законод!$C$18,0,(IF(AND(Z278&gt;=Законод!$G$18,Z278&lt;=Законод!$G$19),Z278-Законод!$F$19,IF('01_Доходи'!Z278&gt;=Законод!$H$18,Законод!$G$20,0)))),IF($B$274="Лікар-терапевт",IF(Z278&lt;Законод!$C$26,0,(IF(AND(Z278&gt;=Законод!$G$26,Z278&lt;=Законод!$G$27),Z278-Законод!$F$27,IF('01_Доходи'!Z278&gt;=Законод!$H$26,Законод!$G$28,0)))),0)))</f>
        <v>0</v>
      </c>
      <c r="AA282" s="945"/>
      <c r="AB282" s="940" t="s">
        <v>346</v>
      </c>
      <c r="AC282" s="940"/>
      <c r="AD282" s="940"/>
      <c r="AE282" s="940"/>
      <c r="AF282" s="940"/>
      <c r="AG282" s="196">
        <f ca="1">IF($B$274="Лікар загальної практики - сімейний лікар",IF(AG278&lt;Законод!$C$22,0,(IF(AND(AG278&gt;=Законод!$G$22,AG278&lt;=Законод!$G$23),AG278-Законод!$F$23,IF('01_Доходи'!AG278&gt;=Законод!$H$22,Законод!$G$24,0)))),IF($B$274="Лікар-педіатр",IF(AG278&lt;Законод!$C$18,0,(IF(AND(AG278&gt;=Законод!$G$18,AG278&lt;=Законод!$G$19),AG278-Законод!$F$19,IF('01_Доходи'!AG278&gt;=Законод!$H$18,Законод!$G$20,0)))),IF($B$274="Лікар-терапевт",IF(AG278&lt;Законод!$C$26,0,(IF(AND(AG278&gt;=Законод!$G$26,AG278&lt;=Законод!$G$27),AG278-Законод!$F$27,IF('01_Доходи'!AG278&gt;=Законод!$H$26,Законод!$G$28,0)))),0)))</f>
        <v>0</v>
      </c>
      <c r="AH282" s="945"/>
      <c r="AI282" s="201"/>
      <c r="AJ282" s="933"/>
      <c r="AK282" s="927"/>
      <c r="AL282" s="927"/>
      <c r="AM282" s="899"/>
      <c r="AN282" s="210">
        <f ca="1">IF(B274="Лікар загальної практики - сімейний лікар",L282*Законод!$C$9/4*Законод!$G$16,IF(B274="Лікар-педіатр",L282*Законод!$C$9/4*Законод!$G$16,IF(B274="Лікар-терапевт",L282*Законод!$C$9/4*Законод!$G$16,0)))</f>
        <v>0</v>
      </c>
      <c r="AO282" s="210">
        <f ca="1">IF(B274="Лікар загальної практики - сімейний лікар",S282*Законод!$C$9/4*Законод!$G$16,IF(B274="Лікар-педіатр",S282*Законод!$C$9/4*Законод!$G$16,IF(B274="Лікар-терапевт",S282*Законод!$C$9/4*Законод!$G$16,0)))</f>
        <v>0</v>
      </c>
      <c r="AP282" s="210">
        <f ca="1">IF(B274="Лікар загальної практики - сімейний лікар",Z282*Законод!$C$9/4*Законод!$G$16,IF(B274="Лікар-педіатр",Z282*Законод!$C$9/4*Законод!$G$16,IF(B274="Лікар-терапевт",Z282*Законод!$C$9/4*Законод!$G$16,0)))</f>
        <v>0</v>
      </c>
      <c r="AQ282" s="210">
        <f ca="1">IF(B274="Лікар загальної практики - сімейний лікар",AG282*Законод!$C$9/4*Законод!$G$16,IF(B274="Лікар-педіатр",AG282*Законод!$C$9/4*Законод!$G$16,IF(B274="Лікар-терапевт",AG282*Законод!$C$9/4*Законод!$G$16,0)))</f>
        <v>0</v>
      </c>
      <c r="AR282" s="211">
        <f t="shared" si="40"/>
        <v>0</v>
      </c>
    </row>
    <row r="283" spans="1:44" s="50" customFormat="1" ht="31.9" customHeight="1">
      <c r="A283" s="197"/>
      <c r="B283" s="941"/>
      <c r="C283" s="1077"/>
      <c r="D283" s="943"/>
      <c r="E283" s="943"/>
      <c r="F283" s="238" t="str">
        <f ca="1">IF(B274="Лікар-педіатр",Законод!$H$17,IF(B274="Лікар загальної практики - сімейний лікар",Законод!$H$21,IF(B274="Лікар-терапевт",Законод!$H$25,"х")))</f>
        <v>понад ліміт (1171-1260)</v>
      </c>
      <c r="G283" s="940" t="s">
        <v>346</v>
      </c>
      <c r="H283" s="940"/>
      <c r="I283" s="940"/>
      <c r="J283" s="940"/>
      <c r="K283" s="940"/>
      <c r="L283" s="196">
        <f ca="1">IF($B$274="Лікар загальної практики - сімейний лікар",IF(L278&lt;Законод!$C$22,0,(IF(AND(L278&gt;=Законод!$H$22,L278&lt;=Законод!$H$23),L278-Законод!$G$23,IF('01_Доходи'!L278&gt;=Законод!$I$22,Законод!$H$24,0)))),IF($B$274="Лікар-педіатр",IF(L278&lt;Законод!$C$18,0,(IF(AND(L278&gt;=Законод!$H$18,L278&lt;=Законод!$H$19),L278-Законод!$G$19,IF('01_Доходи'!L278&gt;=Законод!$I$18,Законод!$H$20,0)))),IF($B$274="Лікар-терапевт",IF(L278&lt;Законод!$C$26,0,(IF(AND(L278&gt;=Законод!$H$26,L278&lt;=Законод!$H$27),L278-Законод!$G$27,IF(L278&gt;=Законод!$I$26,Законод!$H$28,0)))),0)))</f>
        <v>0</v>
      </c>
      <c r="M283" s="945"/>
      <c r="N283" s="940" t="s">
        <v>346</v>
      </c>
      <c r="O283" s="940"/>
      <c r="P283" s="940"/>
      <c r="Q283" s="940"/>
      <c r="R283" s="940"/>
      <c r="S283" s="196">
        <f ca="1">IF($B$274="Лікар загальної практики - сімейний лікар",IF(S278&lt;Законод!$C$22,0,(IF(AND(S278&gt;=Законод!$H$22,S278&lt;=Законод!$H$23),S278-Законод!$G$23,IF('01_Доходи'!S278&gt;=Законод!$I$22,Законод!$H$24,0)))),IF($B$274="Лікар-педіатр",IF(S278&lt;Законод!$C$18,0,(IF(AND(S278&gt;=Законод!$H$18,S278&lt;=Законод!$H$19),S278-Законод!$G$19,IF('01_Доходи'!S278&gt;=Законод!$I$18,Законод!$H$20,0)))),IF($B$274="Лікар-терапевт",IF(S278&lt;Законод!$C$26,0,(IF(AND(S278&gt;=Законод!$H$26,S278&lt;=Законод!$H$27),S278-Законод!$G$27,IF(S278&gt;=Законод!$I$26,Законод!$H$28,0)))),0)))</f>
        <v>0</v>
      </c>
      <c r="T283" s="945"/>
      <c r="U283" s="940" t="s">
        <v>346</v>
      </c>
      <c r="V283" s="940"/>
      <c r="W283" s="940"/>
      <c r="X283" s="940"/>
      <c r="Y283" s="940"/>
      <c r="Z283" s="196">
        <f ca="1">IF($B$274="Лікар загальної практики - сімейний лікар",IF(Z278&lt;Законод!$C$22,0,(IF(AND(Z278&gt;=Законод!$H$22,Z278&lt;=Законод!$H$23),Z278-Законод!$G$23,IF('01_Доходи'!Z278&gt;=Законод!$I$22,Законод!$H$24,0)))),IF($B$274="Лікар-педіатр",IF(Z278&lt;Законод!$C$18,0,(IF(AND(Z278&gt;=Законод!$H$18,Z278&lt;=Законод!$H$19),Z278-Законод!$G$19,IF('01_Доходи'!Z278&gt;=Законод!$I$18,Законод!$H$20,0)))),IF($B$274="Лікар-терапевт",IF(Z278&lt;Законод!$C$26,0,(IF(AND(Z278&gt;=Законод!$H$26,Z278&lt;=Законод!$H$27),Z278-Законод!$G$27,IF(Z278&gt;=Законод!$I$26,Законод!$H$28,0)))),0)))</f>
        <v>0</v>
      </c>
      <c r="AA283" s="945"/>
      <c r="AB283" s="940" t="s">
        <v>346</v>
      </c>
      <c r="AC283" s="940"/>
      <c r="AD283" s="940"/>
      <c r="AE283" s="940"/>
      <c r="AF283" s="940"/>
      <c r="AG283" s="196">
        <f ca="1">IF($B$274="Лікар загальної практики - сімейний лікар",IF(AG278&lt;Законод!$C$22,0,(IF(AND(AG278&gt;=Законод!$H$22,AG278&lt;=Законод!$H$23),AG278-Законод!$G$23,IF('01_Доходи'!AG278&gt;=Законод!$I$22,Законод!$H$24,0)))),IF($B$274="Лікар-педіатр",IF(AG278&lt;Законод!$C$18,0,(IF(AND(AG278&gt;=Законод!$H$18,AG278&lt;=Законод!$H$19),AG278-Законод!$G$19,IF('01_Доходи'!AG278&gt;=Законод!$I$18,Законод!$H$20,0)))),IF($B$274="Лікар-терапевт",IF(AG278&lt;Законод!$C$26,0,(IF(AND(AG278&gt;=Законод!$H$26,AG278&lt;=Законод!$H$27),AG278-Законод!$G$27,IF(AG278&gt;=Законод!$I$26,Законод!$H$28,0)))),0)))</f>
        <v>0</v>
      </c>
      <c r="AH283" s="945"/>
      <c r="AI283" s="201"/>
      <c r="AJ283" s="933"/>
      <c r="AK283" s="927"/>
      <c r="AL283" s="927"/>
      <c r="AM283" s="899"/>
      <c r="AN283" s="210">
        <f ca="1">IF(B274="Лікар загальної практики - сімейний лікар",L283*Законод!$C$9/4*Законод!$H$16,IF(B274="Лікар-педіатр",L283*Законод!$C$9/4*Законод!$H$16,IF(B274="Лікар-терапевт",L283*Законод!$C$9/4*Законод!$H$16,0)))</f>
        <v>0</v>
      </c>
      <c r="AO283" s="210">
        <f ca="1">IF(B274="Лікар загальної практики - сімейний лікар",S283*Законод!$C$9/4*Законод!$H$16,IF(B274="Лікар-педіатр",S283*Законод!$C$9/4*Законод!$H$16,IF(B274="Лікар-терапевт",S283*Законод!$C$9/4*Законод!$H$16,0)))</f>
        <v>0</v>
      </c>
      <c r="AP283" s="210">
        <f ca="1">IF(B274="Лікар загальної практики - сімейний лікар",Z283*Законод!$C$9/4*Законод!$H$16,IF(B274="Лікар-педіатр",Z283*Законод!$C$9/4*Законод!$H$16,IF(B274="Лікар-терапевт",Z283*Законод!$C$9/4*Законод!$H$16,0)))</f>
        <v>0</v>
      </c>
      <c r="AQ283" s="210">
        <f ca="1">IF(B274="Лікар загальної практики - сімейний лікар",AG283*Законод!$C$9/4*Законод!$H$16,IF(B274="Лікар-педіатр",AG283*Законод!$C$9/4*Законод!$H$16,IF(B274="Лікар-терапевт",AG283*Законод!$C$9/4*Законод!$H$16,0)))</f>
        <v>0</v>
      </c>
      <c r="AR283" s="211">
        <f t="shared" si="40"/>
        <v>0</v>
      </c>
    </row>
    <row r="284" spans="1:44" s="50" customFormat="1" ht="31.9" customHeight="1">
      <c r="A284" s="197"/>
      <c r="B284" s="941"/>
      <c r="C284" s="1077"/>
      <c r="D284" s="943"/>
      <c r="E284" s="943"/>
      <c r="F284" s="238" t="str">
        <f ca="1">IF(B274="Лікар-педіатр",Законод!$I$17,IF(B274="Лікар загальної практики - сімейний лікар",Законод!$I$21,IF(B274="Лікар-терапевт",Законод!$I$25,"х")))</f>
        <v>понад ліміт (1261-1350)</v>
      </c>
      <c r="G284" s="940" t="s">
        <v>346</v>
      </c>
      <c r="H284" s="940"/>
      <c r="I284" s="940"/>
      <c r="J284" s="940"/>
      <c r="K284" s="940"/>
      <c r="L284" s="196">
        <f ca="1">IF($B$274="Лікар загальної практики - сімейний лікар",IF(L278&lt;Законод!$C$22,0,(IF(AND(L278&gt;=Законод!$I$22,L278&lt;=Законод!$I$23),L278-Законод!$H$23,IF('01_Доходи'!L278&gt;=Законод!$I$22,Законод!$I$24,0)))),IF($B$274="Лікар-педіатр",IF(L278&lt;Законод!$C$18,0,(IF(AND(L278&gt;=Законод!$I$18,L278&lt;=Законод!$I$19),L278-Законод!$H$19,IF('01_Доходи'!L278&gt;=Законод!$I$18,Законод!$H$20,0)))),IF($B$274="Лікар-терапевт",IF(L278&lt;Законод!$C$26,0,(IF(AND(L278&gt;=Законод!$I$26,L278&lt;=Законод!$I$27),L278-Законод!$H$27,IF('01_Доходи'!L278&gt;=Законод!$I$26,Законод!$H$28,0)))),0)))</f>
        <v>0</v>
      </c>
      <c r="M284" s="945"/>
      <c r="N284" s="940" t="s">
        <v>346</v>
      </c>
      <c r="O284" s="940"/>
      <c r="P284" s="940"/>
      <c r="Q284" s="940"/>
      <c r="R284" s="940"/>
      <c r="S284" s="196">
        <f ca="1">IF($B$274="Лікар загальної практики - сімейний лікар",IF(S278&lt;Законод!$C$22,0,(IF(AND(S278&gt;=Законод!$I$22,S278&lt;=Законод!$I$23),S278-Законод!$H$23,IF('01_Доходи'!S278&gt;=Законод!$I$22,Законод!$I$24,0)))),IF($B$274="Лікар-педіатр",IF(S278&lt;Законод!$C$18,0,(IF(AND(S278&gt;=Законод!$I$18,S278&lt;=Законод!$I$19),S278-Законод!$H$19,IF('01_Доходи'!S278&gt;=Законод!$I$18,Законод!$H$20,0)))),IF($B$274="Лікар-терапевт",IF(S278&lt;Законод!$C$26,0,(IF(AND(S278&gt;=Законод!$I$26,S278&lt;=Законод!$I$27),S278-Законод!$H$27,IF('01_Доходи'!S278&gt;=Законод!$I$26,Законод!$H$28,0)))),0)))</f>
        <v>0</v>
      </c>
      <c r="T284" s="945"/>
      <c r="U284" s="940" t="s">
        <v>346</v>
      </c>
      <c r="V284" s="940"/>
      <c r="W284" s="940"/>
      <c r="X284" s="940"/>
      <c r="Y284" s="940"/>
      <c r="Z284" s="196">
        <f ca="1">IF($B$274="Лікар загальної практики - сімейний лікар",IF(Z278&lt;Законод!$C$22,0,(IF(AND(Z278&gt;=Законод!$I$22,Z278&lt;=Законод!$I$23),Z278-Законод!$H$23,IF('01_Доходи'!Z278&gt;=Законод!$I$22,Законод!$I$24,0)))),IF($B$274="Лікар-педіатр",IF(Z278&lt;Законод!$C$18,0,(IF(AND(Z278&gt;=Законод!$I$18,Z278&lt;=Законод!$I$19),Z278-Законод!$H$19,IF('01_Доходи'!Z278&gt;=Законод!$I$18,Законод!$H$20,0)))),IF($B$274="Лікар-терапевт",IF(Z278&lt;Законод!$C$26,0,(IF(AND(Z278&gt;=Законод!$I$26,Z278&lt;=Законод!$I$27),Z278-Законод!$H$27,IF('01_Доходи'!Z278&gt;=Законод!$I$26,Законод!$H$28,0)))),0)))</f>
        <v>0</v>
      </c>
      <c r="AA284" s="945"/>
      <c r="AB284" s="940" t="s">
        <v>346</v>
      </c>
      <c r="AC284" s="940"/>
      <c r="AD284" s="940"/>
      <c r="AE284" s="940"/>
      <c r="AF284" s="940"/>
      <c r="AG284" s="196">
        <f ca="1">IF($B$274="Лікар загальної практики - сімейний лікар",IF(AG278&lt;Законод!$C$22,0,(IF(AND(AG278&gt;=Законод!$I$22,AG278&lt;=Законод!$I$23),AG278-Законод!$H$23,IF('01_Доходи'!AG278&gt;=Законод!$I$22,Законод!$I$24,0)))),IF($B$274="Лікар-педіатр",IF(AG278&lt;Законод!$C$18,0,(IF(AND(AG278&gt;=Законод!$I$18,AG278&lt;=Законод!$I$19),AG278-Законод!$H$19,IF('01_Доходи'!AG278&gt;=Законод!$I$18,Законод!$H$20,0)))),IF($B$274="Лікар-терапевт",IF(AG278&lt;Законод!$C$26,0,(IF(AND(AG278&gt;=Законод!$I$26,AG278&lt;=Законод!$I$27),AG278-Законод!$H$27,IF('01_Доходи'!AG278&gt;=Законод!$I$26,Законод!$H$28,0)))),0)))</f>
        <v>0</v>
      </c>
      <c r="AH284" s="945"/>
      <c r="AI284" s="201"/>
      <c r="AJ284" s="933"/>
      <c r="AK284" s="927"/>
      <c r="AL284" s="927"/>
      <c r="AM284" s="899"/>
      <c r="AN284" s="210">
        <f ca="1">IF(B274="Лікар загальної практики - сімейний лікар",L284*Законод!$C$9/4*Законод!$I$16,IF(B274="Лікар-педіатр",L284*Законод!$C$9/4*Законод!$I$16,IF(B274="Лікар-терапевт",L284*Законод!$C$9/4*Законод!$I$16,0)))</f>
        <v>0</v>
      </c>
      <c r="AO284" s="210">
        <f ca="1">IF(B274="Лікар загальної практики - сімейний лікар",S284*Законод!$C$9/4*Законод!$I$16,IF(B274="Лікар-педіатр",S284*Законод!$C$9/4*Законод!$I$16,IF(B274="Лікар-терапевт",S284*Законод!$C$9/4*Законод!$I$16,0)))</f>
        <v>0</v>
      </c>
      <c r="AP284" s="210">
        <f ca="1">IF(B274="Лікар загальної практики - сімейний лікар",Z284*Законод!$C$9/4*Законод!$I$16,IF(B274="Лікар-педіатр",Z284*Законод!$C$9/4*Законод!$I$16,IF(B274="Лікар-терапевт",Z284*Законод!$C$9/4*Законод!$I$16,0)))</f>
        <v>0</v>
      </c>
      <c r="AQ284" s="210">
        <f ca="1">IF(B274="Лікар загальної практики - сімейний лікар",AG284*Законод!$C$9/4*Законод!$I$16,IF(B274="Лікар-педіатр",AG284*Законод!$C$9/4*Законод!$I$16,IF(B274="Лікар-терапевт",AG284*Законод!$C$9/4*Законод!$I$16,0)))</f>
        <v>0</v>
      </c>
      <c r="AR284" s="211">
        <f t="shared" si="40"/>
        <v>0</v>
      </c>
    </row>
    <row r="285" spans="1:44" s="218" customFormat="1" ht="31.9" customHeight="1" thickBot="1">
      <c r="A285" s="213"/>
      <c r="B285" s="941"/>
      <c r="C285" s="1077"/>
      <c r="D285" s="943"/>
      <c r="E285" s="943"/>
      <c r="F285" s="239" t="str">
        <f ca="1">IF(B274="Лікар-педіатр",Законод!$J$17,IF(B274="Лікар загальної практики - сімейний лікар",Законод!$J$21,IF(B274="Лікар-терапевт",Законод!$J$25,"х")))</f>
        <v>понад ліміт (&gt;=1351)</v>
      </c>
      <c r="G285" s="939" t="s">
        <v>346</v>
      </c>
      <c r="H285" s="939"/>
      <c r="I285" s="939"/>
      <c r="J285" s="939"/>
      <c r="K285" s="939"/>
      <c r="L285" s="196">
        <f ca="1">IF($B$274="Лікар загальної практики - сімейний лікар",IF(L278&gt;=Законод!$J$22,'01_Доходи'!L278-('01_Доходи'!L279+'01_Доходи'!L280+'01_Доходи'!L281+'01_Доходи'!L282+'01_Доходи'!L283+'01_Доходи'!L284),0),IF($B$274="Лікар-педіатр",IF(L278&gt;=Законод!$J$18,'01_Доходи'!L278-('01_Доходи'!L279+'01_Доходи'!L280+'01_Доходи'!L281+'01_Доходи'!L282+'01_Доходи'!L283+'01_Доходи'!L284),0),IF($B$274="Лікар-терапевт",IF('01_Доходи'!L278&gt;=Законод!$J$26,L278-Законод!$I$27,0),0)))</f>
        <v>0</v>
      </c>
      <c r="M285" s="945"/>
      <c r="N285" s="939" t="s">
        <v>346</v>
      </c>
      <c r="O285" s="939"/>
      <c r="P285" s="939"/>
      <c r="Q285" s="939"/>
      <c r="R285" s="939"/>
      <c r="S285" s="196">
        <f ca="1">IF($B$274="Лікар загальної практики - сімейний лікар",IF(S278&gt;=Законод!$J$22,'01_Доходи'!S278-('01_Доходи'!S279+'01_Доходи'!S280+'01_Доходи'!S281+'01_Доходи'!S282+'01_Доходи'!S283+'01_Доходи'!S284),0),IF($B$274="Лікар-педіатр",IF(S278&gt;=Законод!$J$18,'01_Доходи'!S278-('01_Доходи'!S279+'01_Доходи'!S280+'01_Доходи'!S281+'01_Доходи'!S282+'01_Доходи'!S283+'01_Доходи'!S284),0),IF($B$274="Лікар-терапевт",IF('01_Доходи'!S278&gt;=Законод!$J$26,S278-Законод!$I$27,0),0)))</f>
        <v>0</v>
      </c>
      <c r="T285" s="945"/>
      <c r="U285" s="939" t="s">
        <v>346</v>
      </c>
      <c r="V285" s="939"/>
      <c r="W285" s="939"/>
      <c r="X285" s="939"/>
      <c r="Y285" s="939"/>
      <c r="Z285" s="196">
        <f ca="1">IF($B$274="Лікар загальної практики - сімейний лікар",IF(Z278&gt;=Законод!$J$22,'01_Доходи'!Z278-('01_Доходи'!Z279+'01_Доходи'!Z280+'01_Доходи'!Z281+'01_Доходи'!Z282+'01_Доходи'!Z283+'01_Доходи'!Z284),0),IF($B$274="Лікар-педіатр",IF(Z278&gt;=Законод!$J$18,'01_Доходи'!Z278-('01_Доходи'!Z279+'01_Доходи'!Z280+'01_Доходи'!Z281+'01_Доходи'!Z282+'01_Доходи'!Z283+'01_Доходи'!Z284),0),IF($B$274="Лікар-терапевт",IF('01_Доходи'!Z278&gt;=Законод!$J$26,Z278-Законод!$I$27,0),0)))</f>
        <v>0</v>
      </c>
      <c r="AA285" s="945"/>
      <c r="AB285" s="939" t="s">
        <v>346</v>
      </c>
      <c r="AC285" s="939"/>
      <c r="AD285" s="939"/>
      <c r="AE285" s="939"/>
      <c r="AF285" s="939"/>
      <c r="AG285" s="196">
        <f ca="1">IF($B$274="Лікар загальної практики - сімейний лікар",IF(AG278&gt;=Законод!$J$22,'01_Доходи'!AG278-('01_Доходи'!AG279+'01_Доходи'!AG280+'01_Доходи'!AG281+'01_Доходи'!AG282+'01_Доходи'!AG283+'01_Доходи'!AG284),0),IF($B$274="Лікар-педіатр",IF(AG278&gt;=Законод!$J$18,'01_Доходи'!AG278-('01_Доходи'!AG279+'01_Доходи'!AG280+'01_Доходи'!AG281+'01_Доходи'!AG282+'01_Доходи'!AG283+'01_Доходи'!AG284),0),IF($B$274="Лікар-терапевт",IF('01_Доходи'!AG278&gt;=Законод!$J$26,AG278-Законод!$I$27,0),0)))</f>
        <v>0</v>
      </c>
      <c r="AH285" s="945"/>
      <c r="AI285" s="215"/>
      <c r="AJ285" s="934"/>
      <c r="AK285" s="928"/>
      <c r="AL285" s="928"/>
      <c r="AM285" s="900"/>
      <c r="AN285" s="216">
        <f ca="1">IF(B274="Лікар загальної практики - сімейний лікар",L285*Законод!$C$9/4*Законод!$J$16,IF(B274="Лікар-педіатр",L285*Законод!$C$9/4*Законод!$J$16,IF(B274="Лікар-терапевт",L285*Законод!$C$9/4*Законод!$J$16,0)))</f>
        <v>0</v>
      </c>
      <c r="AO285" s="216">
        <f ca="1">IF(B274="Лікар загальної практики - сімейний лікар",S285*Законод!$C$9/4*Законод!$J$16,IF(B274="Лікар-педіатр",S285*Законод!$C$9/4*Законод!$J$16,IF(B274="Лікар-терапевт",S285*Законод!$C$9/4*Законод!$J$16,0)))</f>
        <v>0</v>
      </c>
      <c r="AP285" s="216">
        <f ca="1">IF(B274="Лікар загальної практики - сімейний лікар",S285*Законод!$C$9/4*Законод!$J$16,IF(B274="Лікар-педіатр",S285*Законод!$C$9/4*Законод!$J$16,IF(B274="Лікар-терапевт",S285*Законод!$C$9/4*Законод!$J$16,0)))</f>
        <v>0</v>
      </c>
      <c r="AQ285" s="216">
        <f ca="1">IF(B274="Лікар загальної практики - сімейний лікар",AG285*Законод!$C$9/4*Законод!$J$16,IF(B274="Лікар-педіатр",AG285*Законод!$C$9/4*Законод!$J$16,IF(B274="Лікар-терапевт",AG285*Законод!$C$9/4*Законод!$J$16,0)))</f>
        <v>0</v>
      </c>
      <c r="AR285" s="217">
        <f t="shared" si="40"/>
        <v>0</v>
      </c>
    </row>
    <row r="286" spans="1:44" s="247" customFormat="1" ht="23.45" customHeight="1" thickBot="1">
      <c r="A286" s="243"/>
      <c r="B286" s="244"/>
      <c r="C286" s="244"/>
      <c r="D286" s="244"/>
      <c r="E286" s="244"/>
      <c r="F286" s="245"/>
      <c r="G286" s="246"/>
      <c r="H286" s="246"/>
      <c r="L286" s="248"/>
      <c r="S286" s="248"/>
      <c r="Z286" s="248"/>
      <c r="AG286" s="248"/>
      <c r="AM286" s="249"/>
      <c r="AR286" s="250"/>
    </row>
    <row r="287" spans="1:44" s="191" customFormat="1" ht="27.6" customHeight="1">
      <c r="A287" s="194">
        <f>A274+1</f>
        <v>20</v>
      </c>
      <c r="B287" s="941" t="s">
        <v>235</v>
      </c>
      <c r="C287" s="942" t="s">
        <v>87</v>
      </c>
      <c r="D287" s="943"/>
      <c r="E287" s="943" t="str">
        <f>E274</f>
        <v>Рожищенська АЗПСМ №1</v>
      </c>
      <c r="F287" s="234" t="s">
        <v>582</v>
      </c>
      <c r="G287" s="196">
        <f>39+2</f>
        <v>41</v>
      </c>
      <c r="H287" s="196">
        <f>237+0</f>
        <v>237</v>
      </c>
      <c r="I287" s="196">
        <f>539+22</f>
        <v>561</v>
      </c>
      <c r="J287" s="196">
        <f>639+16</f>
        <v>655</v>
      </c>
      <c r="K287" s="196">
        <f>346+5</f>
        <v>351</v>
      </c>
      <c r="L287" s="558">
        <f t="shared" ref="L287:L292" si="41">SUM(G287:K287)</f>
        <v>1845</v>
      </c>
      <c r="M287" s="945">
        <v>1</v>
      </c>
      <c r="N287" s="196">
        <f>39+2</f>
        <v>41</v>
      </c>
      <c r="O287" s="196">
        <f>237+0</f>
        <v>237</v>
      </c>
      <c r="P287" s="196">
        <f>539+22</f>
        <v>561</v>
      </c>
      <c r="Q287" s="196">
        <f>639+16</f>
        <v>655</v>
      </c>
      <c r="R287" s="196">
        <f>346+5</f>
        <v>351</v>
      </c>
      <c r="S287" s="558">
        <f t="shared" ref="S287:S292" si="42">SUM(N287:R287)</f>
        <v>1845</v>
      </c>
      <c r="T287" s="945">
        <v>1</v>
      </c>
      <c r="U287" s="196">
        <f>39+2</f>
        <v>41</v>
      </c>
      <c r="V287" s="196">
        <f>237+0</f>
        <v>237</v>
      </c>
      <c r="W287" s="196">
        <f>539+22</f>
        <v>561</v>
      </c>
      <c r="X287" s="196">
        <f>639+16</f>
        <v>655</v>
      </c>
      <c r="Y287" s="196">
        <f>346+5</f>
        <v>351</v>
      </c>
      <c r="Z287" s="558">
        <f t="shared" ref="Z287:Z292" si="43">SUM(U287:Y287)</f>
        <v>1845</v>
      </c>
      <c r="AA287" s="945">
        <v>1</v>
      </c>
      <c r="AB287" s="196">
        <f>39+2</f>
        <v>41</v>
      </c>
      <c r="AC287" s="196">
        <f>237+0</f>
        <v>237</v>
      </c>
      <c r="AD287" s="196">
        <f>539+22</f>
        <v>561</v>
      </c>
      <c r="AE287" s="196">
        <f>639+16</f>
        <v>655</v>
      </c>
      <c r="AF287" s="196">
        <f>346+5</f>
        <v>351</v>
      </c>
      <c r="AG287" s="558">
        <f t="shared" ref="AG287:AG292" si="44">SUM(AB287:AF287)</f>
        <v>1845</v>
      </c>
      <c r="AH287" s="945">
        <v>1</v>
      </c>
      <c r="AI287" s="541">
        <f>A287</f>
        <v>20</v>
      </c>
      <c r="AJ287" s="932" t="str">
        <f>B287</f>
        <v>Лікар загальної практики - сімейний лікар</v>
      </c>
      <c r="AK287" s="926" t="str">
        <f>C287</f>
        <v>Шимчій Віра Михайлівна</v>
      </c>
      <c r="AL287" s="926">
        <f>D287</f>
        <v>0</v>
      </c>
      <c r="AM287" s="901" t="s">
        <v>785</v>
      </c>
      <c r="AN287" s="923">
        <f>SUM(AN292:AN298)</f>
        <v>328647.5963292683</v>
      </c>
      <c r="AO287" s="923">
        <f>SUM(AO292:AO298)</f>
        <v>328647.5963292683</v>
      </c>
      <c r="AP287" s="923">
        <f>SUM(AP292:AP298)</f>
        <v>328647.5963292683</v>
      </c>
      <c r="AQ287" s="923">
        <f>SUM(AQ292:AQ298)</f>
        <v>328647.5963292683</v>
      </c>
      <c r="AR287" s="914">
        <f>SUM(AN287:AQ291)</f>
        <v>1314590.3853170732</v>
      </c>
    </row>
    <row r="288" spans="1:44" s="50" customFormat="1" ht="28.15" customHeight="1">
      <c r="A288" s="197"/>
      <c r="B288" s="941"/>
      <c r="C288" s="942"/>
      <c r="D288" s="943"/>
      <c r="E288" s="943"/>
      <c r="F288" s="234" t="s">
        <v>583</v>
      </c>
      <c r="G288" s="196">
        <f>39+2</f>
        <v>41</v>
      </c>
      <c r="H288" s="196">
        <f>237+0</f>
        <v>237</v>
      </c>
      <c r="I288" s="196">
        <f>539+22</f>
        <v>561</v>
      </c>
      <c r="J288" s="196">
        <f>639+16</f>
        <v>655</v>
      </c>
      <c r="K288" s="196">
        <f>346+5</f>
        <v>351</v>
      </c>
      <c r="L288" s="558">
        <f t="shared" si="41"/>
        <v>1845</v>
      </c>
      <c r="M288" s="945"/>
      <c r="N288" s="196">
        <f>39+2</f>
        <v>41</v>
      </c>
      <c r="O288" s="196">
        <f>237+0</f>
        <v>237</v>
      </c>
      <c r="P288" s="196">
        <f>539+22</f>
        <v>561</v>
      </c>
      <c r="Q288" s="196">
        <f>639+16</f>
        <v>655</v>
      </c>
      <c r="R288" s="196">
        <f>346+5</f>
        <v>351</v>
      </c>
      <c r="S288" s="558">
        <f t="shared" si="42"/>
        <v>1845</v>
      </c>
      <c r="T288" s="945"/>
      <c r="U288" s="196">
        <f>39+2</f>
        <v>41</v>
      </c>
      <c r="V288" s="196">
        <f>237+0</f>
        <v>237</v>
      </c>
      <c r="W288" s="196">
        <f>539+22</f>
        <v>561</v>
      </c>
      <c r="X288" s="196">
        <f>639+16</f>
        <v>655</v>
      </c>
      <c r="Y288" s="196">
        <f>346+5</f>
        <v>351</v>
      </c>
      <c r="Z288" s="558">
        <f t="shared" si="43"/>
        <v>1845</v>
      </c>
      <c r="AA288" s="945"/>
      <c r="AB288" s="196">
        <f>39+2</f>
        <v>41</v>
      </c>
      <c r="AC288" s="196">
        <f>237+0</f>
        <v>237</v>
      </c>
      <c r="AD288" s="196">
        <f>539+22</f>
        <v>561</v>
      </c>
      <c r="AE288" s="196">
        <f>639+16</f>
        <v>655</v>
      </c>
      <c r="AF288" s="196">
        <f>346+5</f>
        <v>351</v>
      </c>
      <c r="AG288" s="558">
        <f t="shared" si="44"/>
        <v>1845</v>
      </c>
      <c r="AH288" s="945"/>
      <c r="AI288" s="198"/>
      <c r="AJ288" s="933"/>
      <c r="AK288" s="927"/>
      <c r="AL288" s="927"/>
      <c r="AM288" s="902"/>
      <c r="AN288" s="924"/>
      <c r="AO288" s="924"/>
      <c r="AP288" s="924"/>
      <c r="AQ288" s="924"/>
      <c r="AR288" s="915"/>
    </row>
    <row r="289" spans="1:44" s="90" customFormat="1" ht="31.15" customHeight="1">
      <c r="A289" s="240"/>
      <c r="B289" s="941"/>
      <c r="C289" s="942"/>
      <c r="D289" s="943"/>
      <c r="E289" s="943"/>
      <c r="F289" s="241" t="s">
        <v>584</v>
      </c>
      <c r="G289" s="196">
        <f>39+2</f>
        <v>41</v>
      </c>
      <c r="H289" s="196">
        <f>237+0</f>
        <v>237</v>
      </c>
      <c r="I289" s="196">
        <f>539+22</f>
        <v>561</v>
      </c>
      <c r="J289" s="196">
        <f>639+16</f>
        <v>655</v>
      </c>
      <c r="K289" s="196">
        <f>346+5</f>
        <v>351</v>
      </c>
      <c r="L289" s="558">
        <f t="shared" si="41"/>
        <v>1845</v>
      </c>
      <c r="M289" s="945"/>
      <c r="N289" s="196">
        <f>39+2</f>
        <v>41</v>
      </c>
      <c r="O289" s="196">
        <f>237+0</f>
        <v>237</v>
      </c>
      <c r="P289" s="196">
        <f>539+22</f>
        <v>561</v>
      </c>
      <c r="Q289" s="196">
        <f>639+16</f>
        <v>655</v>
      </c>
      <c r="R289" s="196">
        <f>346+5</f>
        <v>351</v>
      </c>
      <c r="S289" s="200">
        <f t="shared" si="42"/>
        <v>1845</v>
      </c>
      <c r="T289" s="945"/>
      <c r="U289" s="196">
        <f>39+2</f>
        <v>41</v>
      </c>
      <c r="V289" s="196">
        <f>237+0</f>
        <v>237</v>
      </c>
      <c r="W289" s="196">
        <f>539+22</f>
        <v>561</v>
      </c>
      <c r="X289" s="196">
        <f>639+16</f>
        <v>655</v>
      </c>
      <c r="Y289" s="196">
        <f>346+5</f>
        <v>351</v>
      </c>
      <c r="Z289" s="558">
        <f t="shared" si="43"/>
        <v>1845</v>
      </c>
      <c r="AA289" s="945"/>
      <c r="AB289" s="196">
        <f>39+2</f>
        <v>41</v>
      </c>
      <c r="AC289" s="196">
        <f>237+0</f>
        <v>237</v>
      </c>
      <c r="AD289" s="196">
        <f>539+22</f>
        <v>561</v>
      </c>
      <c r="AE289" s="196">
        <f>639+16</f>
        <v>655</v>
      </c>
      <c r="AF289" s="196">
        <f>346+5</f>
        <v>351</v>
      </c>
      <c r="AG289" s="558">
        <f t="shared" si="44"/>
        <v>1845</v>
      </c>
      <c r="AH289" s="945"/>
      <c r="AI289" s="242"/>
      <c r="AJ289" s="933"/>
      <c r="AK289" s="927"/>
      <c r="AL289" s="927"/>
      <c r="AM289" s="902"/>
      <c r="AN289" s="924"/>
      <c r="AO289" s="924"/>
      <c r="AP289" s="924"/>
      <c r="AQ289" s="924"/>
      <c r="AR289" s="915"/>
    </row>
    <row r="290" spans="1:44" s="50" customFormat="1" ht="31.9" customHeight="1" thickBot="1">
      <c r="A290" s="197"/>
      <c r="B290" s="941"/>
      <c r="C290" s="942"/>
      <c r="D290" s="943"/>
      <c r="E290" s="943"/>
      <c r="F290" s="236" t="s">
        <v>349</v>
      </c>
      <c r="G290" s="203">
        <f>IF($B$287="Лікар-педіатр",G289/L289,IF($B$287="Лікар-терапевт","х",IF($B$287="Лікар загальної практики - сімейний лікар",G289/L289,0)))</f>
        <v>2.2222222222222223E-2</v>
      </c>
      <c r="H290" s="203">
        <f>IF($B$287="Лікар-педіатр",H289/L289,IF($B$287="Лікар-терапевт","х",IF($B$287="Лікар загальної практики - сімейний лікар",H289/L289,0)))</f>
        <v>0.12845528455284552</v>
      </c>
      <c r="I290" s="203">
        <f>IF($B$287="Лікар-педіатр","x",IF($B$287="Лікар-терапевт",I289/L289,IF($B$287="Лікар загальної практики - сімейний лікар",I289/L289,0)))</f>
        <v>0.30406504065040652</v>
      </c>
      <c r="J290" s="203">
        <f>IF($B$287="Лікар-педіатр","x",IF($B$287="Лікар-терапевт",J289/L289,IF($B$287="Лікар загальної практики - сімейний лікар",J289/L289,0)))</f>
        <v>0.35501355013550134</v>
      </c>
      <c r="K290" s="203">
        <f>IF($B$287="Лікар-педіатр","x",IF($B$287="Лікар-терапевт",K289/L289,IF($B$287="Лікар загальної практики - сімейний лікар",K289/L289,0)))</f>
        <v>0.19024390243902439</v>
      </c>
      <c r="L290" s="203">
        <f t="shared" si="41"/>
        <v>1</v>
      </c>
      <c r="M290" s="945"/>
      <c r="N290" s="203">
        <f>IF($B$287="Лікар-педіатр",N289/S289,IF($B$287="Лікар-терапевт","х",IF($B$287="Лікар загальної практики - сімейний лікар",N289/S289,0)))</f>
        <v>2.2222222222222223E-2</v>
      </c>
      <c r="O290" s="203">
        <f>IF($B$287="Лікар-педіатр",O289/S289,IF($B$287="Лікар-терапевт","х",IF($B$287="Лікар загальної практики - сімейний лікар",O289/S289,0)))</f>
        <v>0.12845528455284552</v>
      </c>
      <c r="P290" s="203">
        <f>IF($B$287="Лікар-педіатр","x",IF($B$287="Лікар-терапевт",P289/S289,IF($B$287="Лікар загальної практики - сімейний лікар",P289/S289,0)))</f>
        <v>0.30406504065040652</v>
      </c>
      <c r="Q290" s="203">
        <f>IF($B$287="Лікар-педіатр","x",IF($B$287="Лікар-терапевт",Q289/S289,IF($B$287="Лікар загальної практики - сімейний лікар",Q289/S289,0)))</f>
        <v>0.35501355013550134</v>
      </c>
      <c r="R290" s="203">
        <f>IF($B$287="Лікар-педіатр","x",IF($B$287="Лікар-терапевт",R289/S289,IF($B$287="Лікар загальної практики - сімейний лікар",R289/S289,0)))</f>
        <v>0.19024390243902439</v>
      </c>
      <c r="S290" s="203">
        <f t="shared" si="42"/>
        <v>1</v>
      </c>
      <c r="T290" s="945"/>
      <c r="U290" s="203">
        <f>IF($B$287="Лікар-педіатр",U289/Z289,IF($B$287="Лікар-терапевт","х",IF($B$287="Лікар загальної практики - сімейний лікар",U289/Z289,0)))</f>
        <v>2.2222222222222223E-2</v>
      </c>
      <c r="V290" s="203">
        <f>IF($B$287="Лікар-педіатр",V289/Z289,IF($B$287="Лікар-терапевт","х",IF($B$287="Лікар загальної практики - сімейний лікар",V289/Z289,0)))</f>
        <v>0.12845528455284552</v>
      </c>
      <c r="W290" s="203">
        <f>IF($B$287="Лікар-педіатр","x",IF($B$287="Лікар-терапевт",W289/Z289,IF($B$287="Лікар загальної практики - сімейний лікар",W289/Z289,0)))</f>
        <v>0.30406504065040652</v>
      </c>
      <c r="X290" s="203">
        <f>IF($B$287="Лікар-педіатр","x",IF($B$287="Лікар-терапевт",X289/Z289,IF($B$287="Лікар загальної практики - сімейний лікар",X289/Z289,0)))</f>
        <v>0.35501355013550134</v>
      </c>
      <c r="Y290" s="203">
        <f>IF($B$287="Лікар-педіатр","x",IF($B$287="Лікар-терапевт",Y289/Z289,IF($B$287="Лікар загальної практики - сімейний лікар",Y289/Z289,0)))</f>
        <v>0.19024390243902439</v>
      </c>
      <c r="Z290" s="203">
        <f t="shared" si="43"/>
        <v>1</v>
      </c>
      <c r="AA290" s="945"/>
      <c r="AB290" s="203">
        <f>IF($B$287="Лікар-педіатр",AB289/AG289,IF($B$287="Лікар-терапевт","х",IF($B$287="Лікар загальної практики - сімейний лікар",AB289/AG289,0)))</f>
        <v>2.2222222222222223E-2</v>
      </c>
      <c r="AC290" s="203">
        <f>IF($B$287="Лікар-педіатр",AC289/AG289,IF($B$287="Лікар-терапевт","х",IF($B$287="Лікар загальної практики - сімейний лікар",AC289/AG289,0)))</f>
        <v>0.12845528455284552</v>
      </c>
      <c r="AD290" s="203">
        <f>IF($B$287="Лікар-педіатр","x",IF($B$287="Лікар-терапевт",AD289/AG289,IF($B$287="Лікар загальної практики - сімейний лікар",AD289/AG289,0)))</f>
        <v>0.30406504065040652</v>
      </c>
      <c r="AE290" s="203">
        <f>IF($B$287="Лікар-педіатр","x",IF($B$287="Лікар-терапевт",AE289/AG289,IF($B$287="Лікар загальної практики - сімейний лікар",AE289/AG289,0)))</f>
        <v>0.35501355013550134</v>
      </c>
      <c r="AF290" s="203">
        <f>IF($B$287="Лікар-педіатр","x",IF($B$287="Лікар-терапевт",AF289/AG289,IF($B$287="Лікар загальної практики - сімейний лікар",AF289/AG289,0)))</f>
        <v>0.19024390243902439</v>
      </c>
      <c r="AG290" s="203">
        <f t="shared" si="44"/>
        <v>1</v>
      </c>
      <c r="AH290" s="945"/>
      <c r="AI290" s="201"/>
      <c r="AJ290" s="933"/>
      <c r="AK290" s="927"/>
      <c r="AL290" s="927"/>
      <c r="AM290" s="902"/>
      <c r="AN290" s="924"/>
      <c r="AO290" s="924"/>
      <c r="AP290" s="924"/>
      <c r="AQ290" s="924"/>
      <c r="AR290" s="915"/>
    </row>
    <row r="291" spans="1:44" s="50" customFormat="1" ht="45" customHeight="1" thickBot="1">
      <c r="A291" s="197"/>
      <c r="B291" s="941"/>
      <c r="C291" s="942"/>
      <c r="D291" s="943"/>
      <c r="E291" s="944"/>
      <c r="F291" s="204" t="s">
        <v>585</v>
      </c>
      <c r="G291" s="205">
        <f>IF($B$287="Лікар загальної практики - сімейний лікар",AVERAGE(G287:G289),IF($B$287="Лікар-педіатр",AVERAGE(G287:G289),IF($B$287="Лікар-терапевт","х",0)))</f>
        <v>41</v>
      </c>
      <c r="H291" s="205">
        <f>IF($B$287="Лікар загальної практики - сімейний лікар",AVERAGE(H287:H289),IF($B$287="Лікар-педіатр",AVERAGE(H287:H289),IF($B$287="Лікар-терапевт","х",0)))</f>
        <v>237</v>
      </c>
      <c r="I291" s="205">
        <f>IF($B$287="Лікар загальної практики - сімейний лікар",AVERAGE(I287:I289),IF($B$287="Лікар-педіатр","x",IF($B$287="Лікар-терапевт",AVERAGE(I287:I289),0)))</f>
        <v>561</v>
      </c>
      <c r="J291" s="205">
        <f>IF($B$287="Лікар загальної практики - сімейний лікар",AVERAGE(J287:J289),IF($B$287="Лікар-педіатр","x",IF($B$287="Лікар-терапевт",AVERAGE(J287:J289),0)))</f>
        <v>655</v>
      </c>
      <c r="K291" s="205">
        <f>IF($B$287="Лікар загальної практики - сімейний лікар",AVERAGE(K287:K289),IF($B$287="Лікар-педіатр","x",IF($B$287="Лікар-терапевт",AVERAGE(K287:K289),0)))</f>
        <v>351</v>
      </c>
      <c r="L291" s="206">
        <f t="shared" si="41"/>
        <v>1845</v>
      </c>
      <c r="M291" s="946"/>
      <c r="N291" s="205">
        <f>IF($B$287="Лікар загальної практики - сімейний лікар",AVERAGE(N287:N289),IF($B$287="Лікар-педіатр",AVERAGE(N287:N289),IF($B$287="Лікар-терапевт","х",0)))</f>
        <v>41</v>
      </c>
      <c r="O291" s="205">
        <f>IF($B$287="Лікар загальної практики - сімейний лікар",AVERAGE(O287:O289),IF($B$287="Лікар-педіатр",AVERAGE(O287:O289),IF($B$287="Лікар-терапевт","х",0)))</f>
        <v>237</v>
      </c>
      <c r="P291" s="205">
        <f>IF($B$287="Лікар загальної практики - сімейний лікар",AVERAGE(P287:P289),IF($B$287="Лікар-педіатр","x",IF($B$287="Лікар-терапевт",AVERAGE(P287:P289),0)))</f>
        <v>561</v>
      </c>
      <c r="Q291" s="205">
        <f>IF($B$287="Лікар загальної практики - сімейний лікар",AVERAGE(Q287:Q289),IF($B$287="Лікар-педіатр","x",IF($B$287="Лікар-терапевт",AVERAGE(Q287:Q289),0)))</f>
        <v>655</v>
      </c>
      <c r="R291" s="205">
        <f>IF($B$287="Лікар загальної практики - сімейний лікар",AVERAGE(R287:R289),IF($B$287="Лікар-педіатр","x",IF($B$287="Лікар-терапевт",AVERAGE(R287:R289),0)))</f>
        <v>351</v>
      </c>
      <c r="S291" s="206">
        <f t="shared" si="42"/>
        <v>1845</v>
      </c>
      <c r="T291" s="946"/>
      <c r="U291" s="205">
        <f>IF($B$287="Лікар загальної практики - сімейний лікар",AVERAGE(U287:U289),IF($B$287="Лікар-педіатр",AVERAGE(U287:U289),IF($B$287="Лікар-терапевт","х",0)))</f>
        <v>41</v>
      </c>
      <c r="V291" s="205">
        <f>IF($B$287="Лікар загальної практики - сімейний лікар",AVERAGE(V287:V289),IF($B$287="Лікар-педіатр",AVERAGE(V287:V289),IF($B$287="Лікар-терапевт","х",0)))</f>
        <v>237</v>
      </c>
      <c r="W291" s="205">
        <f>IF($B$287="Лікар загальної практики - сімейний лікар",AVERAGE(W287:W289),IF($B$287="Лікар-педіатр","x",IF($B$287="Лікар-терапевт",AVERAGE(W287:W289),0)))</f>
        <v>561</v>
      </c>
      <c r="X291" s="205">
        <f>IF($B$287="Лікар загальної практики - сімейний лікар",AVERAGE(X287:X289),IF($B$287="Лікар-педіатр","x",IF($B$287="Лікар-терапевт",AVERAGE(X287:X289),0)))</f>
        <v>655</v>
      </c>
      <c r="Y291" s="205">
        <f>IF($B$287="Лікар загальної практики - сімейний лікар",AVERAGE(Y287:Y289),IF($B$287="Лікар-педіатр","x",IF($B$287="Лікар-терапевт",AVERAGE(Y287:Y289),0)))</f>
        <v>351</v>
      </c>
      <c r="Z291" s="206">
        <f t="shared" si="43"/>
        <v>1845</v>
      </c>
      <c r="AA291" s="946"/>
      <c r="AB291" s="205">
        <f>IF($B$287="Лікар загальної практики - сімейний лікар",AVERAGE(AB287:AB289),IF($B$287="Лікар-педіатр",AVERAGE(AB287:AB289),IF($B$287="Лікар-терапевт","х",0)))</f>
        <v>41</v>
      </c>
      <c r="AC291" s="205">
        <f>IF($B$287="Лікар загальної практики - сімейний лікар",AVERAGE(AC287:AC289),IF($B$287="Лікар-педіатр",AVERAGE(AC287:AC289),IF($B$287="Лікар-терапевт","х",0)))</f>
        <v>237</v>
      </c>
      <c r="AD291" s="205">
        <f>IF($B$287="Лікар загальної практики - сімейний лікар",AVERAGE(AD287:AD289),IF($B$287="Лікар-педіатр","x",IF($B$287="Лікар-терапевт",AVERAGE(AD287:AD289),0)))</f>
        <v>561</v>
      </c>
      <c r="AE291" s="205">
        <f>IF($B$287="Лікар загальної практики - сімейний лікар",AVERAGE(AE287:AE289),IF($B$287="Лікар-педіатр","x",IF($B$287="Лікар-терапевт",AVERAGE(AE287:AE289),0)))</f>
        <v>655</v>
      </c>
      <c r="AF291" s="205">
        <f>IF($B$287="Лікар загальної практики - сімейний лікар",AVERAGE(AF287:AF289),IF($B$287="Лікар-педіатр","x",IF($B$287="Лікар-терапевт",AVERAGE(AF287:AF289),0)))</f>
        <v>351</v>
      </c>
      <c r="AG291" s="206">
        <f t="shared" si="44"/>
        <v>1845</v>
      </c>
      <c r="AH291" s="947"/>
      <c r="AI291" s="201"/>
      <c r="AJ291" s="933"/>
      <c r="AK291" s="927"/>
      <c r="AL291" s="927"/>
      <c r="AM291" s="903"/>
      <c r="AN291" s="925"/>
      <c r="AO291" s="925"/>
      <c r="AP291" s="925"/>
      <c r="AQ291" s="925"/>
      <c r="AR291" s="916"/>
    </row>
    <row r="292" spans="1:44" s="50" customFormat="1" ht="40.5">
      <c r="A292" s="197"/>
      <c r="B292" s="941"/>
      <c r="C292" s="942"/>
      <c r="D292" s="943"/>
      <c r="E292" s="943"/>
      <c r="F292" s="237" t="str">
        <f ca="1">IF(B287="Лікар-педіатр",Законод!$C$17,IF(B287="Лікар загальної практики - сімейний лікар",Законод!$C$21,IF(B287="Лікар-терапевт",Законод!$C$25,"х")))</f>
        <v>ліміт (до 1800)</v>
      </c>
      <c r="G292" s="208">
        <f ca="1">IF($B$287="Лікар загальної практики - сімейний лікар",IF(L291&lt;=Законод!$C$22,G291,Законод!$C$22*'01_Доходи'!G290),IF($B$287="Лікар-педіатр",IF(L291&lt;=Законод!$C$18,G291,Законод!$C$18*'01_Доходи'!G290),IF($B$287="Лікар-терапевт","x",0)))</f>
        <v>40</v>
      </c>
      <c r="H292" s="208">
        <f ca="1">IF($B$287="Лікар загальної практики - сімейний лікар",IF(L291&lt;=Законод!$C$22,H291,Законод!$C$22*'01_Доходи'!H290),IF($B$287="Лікар-педіатр",IF(L291&lt;=Законод!$C$18,H291,Законод!$C$18*'01_Доходи'!H290),IF($B$287="Лікар-терапевт","x",0)))</f>
        <v>231.21951219512195</v>
      </c>
      <c r="I292" s="208">
        <f ca="1">IF($B$287="Лікар загальної практики - сімейний лікар",IF(L291&lt;=Законод!$C$22,I291,Законод!$C$22*'01_Доходи'!I290),IF($B$287="Лікар-педіатр","x",IF($B$287="Лікар-терапевт",IF(L291&lt;=Законод!$C$26,I291,Законод!$C$26*'01_Доходи'!I290),0)))</f>
        <v>547.31707317073176</v>
      </c>
      <c r="J292" s="208">
        <f ca="1">IF($B$287="Лікар загальної практики - сімейний лікар",IF(L291&lt;=Законод!$C$22,J291,Законод!$C$22*'01_Доходи'!J290),IF($B$287="Лікар-педіатр","x",IF($B$287="Лікар-терапевт",IF(L291&lt;=Законод!$C$26,J291,Законод!$C$26*'01_Доходи'!J290),0)))</f>
        <v>639.02439024390242</v>
      </c>
      <c r="K292" s="208">
        <f ca="1">IF($B$287="Лікар загальної практики - сімейний лікар",IF(L291&lt;=Законод!$C$22,K291,Законод!$C$22*'01_Доходи'!K290),IF($B$287="Лікар-педіатр","x",IF($B$287="Лікар-терапевт",IF(L291&lt;=Законод!$C$26,K291,Законод!$C$26*'01_Доходи'!K290),0)))</f>
        <v>342.4390243902439</v>
      </c>
      <c r="L292" s="209">
        <f t="shared" si="41"/>
        <v>1800</v>
      </c>
      <c r="M292" s="945"/>
      <c r="N292" s="208">
        <f ca="1">IF($B$287="Лікар загальної практики - сімейний лікар",IF(S291&lt;=Законод!$C$22,N291,Законод!$C$22*'01_Доходи'!N290),IF($B$287="Лікар-педіатр",IF(S291&lt;=Законод!$C$18,N291,Законод!$C$18*'01_Доходи'!N290),IF($B$287="Лікар-терапевт","x",0)))</f>
        <v>40</v>
      </c>
      <c r="O292" s="208">
        <f ca="1">IF($B$287="Лікар загальної практики - сімейний лікар",IF(S291&lt;=Законод!$C$22,O291,Законод!$C$22*'01_Доходи'!O290),IF($B$287="Лікар-педіатр",IF(S291&lt;=Законод!$C$18,O291,Законод!$C$18*'01_Доходи'!O290),IF($B$287="Лікар-терапевт","x",0)))</f>
        <v>231.21951219512195</v>
      </c>
      <c r="P292" s="208">
        <f ca="1">IF($B$287="Лікар загальної практики - сімейний лікар",IF(S291&lt;=Законод!$C$22,P291,Законод!$C$22*'01_Доходи'!P290),IF($B$287="Лікар-педіатр","x",IF($B$287="Лікар-терапевт",IF(S291&lt;=Законод!$C$26,P291,Законод!$C$26*'01_Доходи'!P290),0)))</f>
        <v>547.31707317073176</v>
      </c>
      <c r="Q292" s="208">
        <f ca="1">IF($B$287="Лікар загальної практики - сімейний лікар",IF(S291&lt;=Законод!$C$22,Q291,Законод!$C$22*'01_Доходи'!Q290),IF($B$287="Лікар-педіатр","x",IF($B$287="Лікар-терапевт",IF(S291&lt;=Законод!$C$26,Q291,Законод!$C$26*'01_Доходи'!Q290),0)))</f>
        <v>639.02439024390242</v>
      </c>
      <c r="R292" s="208">
        <f ca="1">IF($B$287="Лікар загальної практики - сімейний лікар",IF(S291&lt;=Законод!$C$22,R291,Законод!$C$22*'01_Доходи'!R290),IF($B$287="Лікар-педіатр","x",IF($B$287="Лікар-терапевт",IF(S291&lt;=Законод!$C$26,R291,Законод!$C$26*'01_Доходи'!R290),0)))</f>
        <v>342.4390243902439</v>
      </c>
      <c r="S292" s="209">
        <f t="shared" si="42"/>
        <v>1800</v>
      </c>
      <c r="T292" s="945"/>
      <c r="U292" s="208">
        <f ca="1">IF($B$287="Лікар загальної практики - сімейний лікар",IF(Z291&lt;=Законод!$C$22,U291,Законод!$C$22*'01_Доходи'!U290),IF($B$287="Лікар-педіатр",IF(Z291&lt;=Законод!$C$18,U291,Законод!$C$18*'01_Доходи'!U290),IF($B$287="Лікар-терапевт","x",0)))</f>
        <v>40</v>
      </c>
      <c r="V292" s="208">
        <f ca="1">IF($B$287="Лікар загальної практики - сімейний лікар",IF(Z291&lt;=Законод!$C$22,V291,Законод!$C$22*'01_Доходи'!V290),IF($B$287="Лікар-педіатр",IF(Z291&lt;=Законод!$C$18,V291,Законод!$C$18*'01_Доходи'!V290),IF($B$287="Лікар-терапевт","x",0)))</f>
        <v>231.21951219512195</v>
      </c>
      <c r="W292" s="208">
        <f ca="1">IF($B$287="Лікар загальної практики - сімейний лікар",IF(Z291&lt;=Законод!$C$22,W291,Законод!$C$22*'01_Доходи'!W290),IF($B$287="Лікар-педіатр","x",IF($B$287="Лікар-терапевт",IF(Z291&lt;=Законод!$C$26,W291,Законод!$C$26*'01_Доходи'!W290),0)))</f>
        <v>547.31707317073176</v>
      </c>
      <c r="X292" s="208">
        <f ca="1">IF($B$287="Лікар загальної практики - сімейний лікар",IF(Z291&lt;=Законод!$C$22,X291,Законод!$C$22*'01_Доходи'!X290),IF($B$287="Лікар-педіатр","x",IF($B$287="Лікар-терапевт",IF(Z291&lt;=Законод!$C$26,X291,Законод!$C$26*'01_Доходи'!X290),0)))</f>
        <v>639.02439024390242</v>
      </c>
      <c r="Y292" s="208">
        <f ca="1">IF($B$287="Лікар загальної практики - сімейний лікар",IF(Z291&lt;=Законод!$C$22,Y291,Законод!$C$22*'01_Доходи'!Y290),IF($B$287="Лікар-педіатр","x",IF($B$287="Лікар-терапевт",IF(Z291&lt;=Законод!$C$26,Y291,Законод!$C$26*'01_Доходи'!Y290),0)))</f>
        <v>342.4390243902439</v>
      </c>
      <c r="Z292" s="209">
        <f t="shared" si="43"/>
        <v>1800</v>
      </c>
      <c r="AA292" s="945"/>
      <c r="AB292" s="208">
        <f ca="1">IF($B$287="Лікар загальної практики - сімейний лікар",IF(AG291&lt;=Законод!$C$22,AB291,Законод!$C$22*'01_Доходи'!AB290),IF($B$287="Лікар-педіатр",IF(AG291&lt;=Законод!$C$18,AB291,Законод!$C$18*'01_Доходи'!AB290),IF($B$287="Лікар-терапевт","x",0)))</f>
        <v>40</v>
      </c>
      <c r="AC292" s="208">
        <f ca="1">IF($B$287="Лікар загальної практики - сімейний лікар",IF(AG291&lt;=Законод!$C$22,AC291,Законод!$C$22*'01_Доходи'!AC290),IF($B$287="Лікар-педіатр",IF(AG291&lt;=Законод!$C$18,AC291,Законод!$C$18*'01_Доходи'!AC290),IF($B$287="Лікар-терапевт","x",0)))</f>
        <v>231.21951219512195</v>
      </c>
      <c r="AD292" s="208">
        <f ca="1">IF($B$287="Лікар загальної практики - сімейний лікар",IF(AG291&lt;=Законод!$C$22,AD291,Законод!$C$22*'01_Доходи'!AD290),IF($B$287="Лікар-педіатр","x",IF($B$287="Лікар-терапевт",IF(AG291&lt;=Законод!$C$26,AD291,Законод!$C$26*'01_Доходи'!AD290),0)))</f>
        <v>547.31707317073176</v>
      </c>
      <c r="AE292" s="208">
        <f ca="1">IF($B$287="Лікар загальної практики - сімейний лікар",IF(AG291&lt;=Законод!$C$22,AE291,Законод!$C$22*'01_Доходи'!AE290),IF($B$287="Лікар-педіатр","x",IF($B$287="Лікар-терапевт",IF(AG291&lt;=Законод!$C$26,AE291,Законод!$C$26*'01_Доходи'!AE290),0)))</f>
        <v>639.02439024390242</v>
      </c>
      <c r="AF292" s="208">
        <f ca="1">IF($B$287="Лікар загальної практики - сімейний лікар",IF(AG291&lt;=Законод!$C$22,AF291,Законод!$C$22*'01_Доходи'!AF290),IF($B$287="Лікар-педіатр","x",IF($B$287="Лікар-терапевт",IF(AG291&lt;=Законод!$C$26,AF291,Законод!$C$26*'01_Доходи'!AF290),0)))</f>
        <v>342.4390243902439</v>
      </c>
      <c r="AG292" s="209">
        <f t="shared" si="44"/>
        <v>1800</v>
      </c>
      <c r="AH292" s="945"/>
      <c r="AI292" s="201"/>
      <c r="AJ292" s="933"/>
      <c r="AK292" s="927"/>
      <c r="AL292" s="927"/>
      <c r="AM292" s="348" t="s">
        <v>374</v>
      </c>
      <c r="AN292" s="210">
        <f ca="1">IF(B287="Лікар загальної практики - сімейний лікар",G292*Законод!$C$11+'01_Доходи'!H292*Законод!$D$11+'01_Доходи'!I292*Законод!$E$11+'01_Доходи'!J292*Законод!$F$11+'01_Доходи'!K292*Законод!$G$11,IF(B287="Лікар-педіатр",G292*Законод!$C$11+'01_Доходи'!H292*Законод!$D$11,IF(B287="Лікар-терапевт",'01_Доходи'!I292*Законод!$E$11+'01_Доходи'!J292*Законод!$F$11+'01_Доходи'!K292*Законод!$G$11,0)))</f>
        <v>323196.11182926828</v>
      </c>
      <c r="AO292" s="210">
        <f ca="1">IF(B287="Лікар загальної практики - сімейний лікар",N292*Законод!$C$11+'01_Доходи'!O292*Законод!$D$11+'01_Доходи'!P292*Законод!$E$11+'01_Доходи'!Q292*Законод!$F$11+'01_Доходи'!R292*Законод!$G$11,IF(B287="Лікар-педіатр",N292*Законод!$C$11+'01_Доходи'!O292*Законод!$D$11,IF(B287="Лікар-терапевт",'01_Доходи'!P292*Законод!$E$11+'01_Доходи'!Q292*Законод!$F$11+'01_Доходи'!R292*Законод!$G$11,0)))</f>
        <v>323196.11182926828</v>
      </c>
      <c r="AP292" s="210">
        <f ca="1">IF(B287="Лікар загальної практики - сімейний лікар",U292*Законод!$C$11+'01_Доходи'!V292*Законод!$D$11+'01_Доходи'!W292*Законод!$E$11+'01_Доходи'!X292*Законод!$F$11+'01_Доходи'!Y292*Законод!$G$11,IF(B287="Лікар-педіатр",U292*Законод!$C$11+'01_Доходи'!V292*Законод!$D$11,IF(B287="Лікар-терапевт",'01_Доходи'!W292*Законод!$E$11+'01_Доходи'!X292*Законод!$F$11+'01_Доходи'!Y292*Законод!$G$11,0)))</f>
        <v>323196.11182926828</v>
      </c>
      <c r="AQ292" s="210">
        <f ca="1">IF(B287="Лікар загальної практики - сімейний лікар",AB292*Законод!$C$11+'01_Доходи'!AC292*Законод!$D$11+'01_Доходи'!AD292*Законод!$E$11+'01_Доходи'!AE292*Законод!$F$11+'01_Доходи'!AF292*Законод!$G$11,IF(B287="Лікар-педіатр",AB292*Законод!$C$11+'01_Доходи'!AC292*Законод!$D$11,IF(B287="Лікар-терапевт",'01_Доходи'!AD292*Законод!$E$11+'01_Доходи'!AE292*Законод!$F$11+'01_Доходи'!AF292*Законод!$G$11,0)))</f>
        <v>323196.11182926828</v>
      </c>
      <c r="AR292" s="211">
        <f t="shared" ref="AR292:AR298" si="45">SUM(AN292:AQ292)</f>
        <v>1292784.4473170731</v>
      </c>
    </row>
    <row r="293" spans="1:44" s="50" customFormat="1" ht="31.9" customHeight="1">
      <c r="A293" s="197"/>
      <c r="B293" s="941"/>
      <c r="C293" s="942"/>
      <c r="D293" s="943"/>
      <c r="E293" s="943"/>
      <c r="F293" s="238" t="str">
        <f ca="1">IF(B287="Лікар-педіатр",Законод!$E$17,IF(B287="Лікар загальної практики - сімейний лікар",Законод!$E$21,IF(B287="Лікар-терапевт",Законод!$E$25,"х")))</f>
        <v>понад ліміт (1801-1980)</v>
      </c>
      <c r="G293" s="940" t="s">
        <v>346</v>
      </c>
      <c r="H293" s="940"/>
      <c r="I293" s="940"/>
      <c r="J293" s="940"/>
      <c r="K293" s="940"/>
      <c r="L293" s="196">
        <f ca="1">IF($B$287="Лікар загальної практики - сімейний лікар",IF(L291&lt;Законод!$C$22,0,(IF(AND(L291&gt;=Законод!$E$22,L291&lt;=Законод!$E$23),L291-Законод!$C$22,IF('01_Доходи'!L291&gt;=Законод!$F$22,Законод!$E$24,0)))),IF($B$287="Лікар-педіатр",IF(L291&lt;Законод!$C$18,0,(IF(AND(L291&gt;=Законод!$E$18,L291&lt;=Законод!$E$19),L291-Законод!$C$18,IF('01_Доходи'!L291&gt;=Законод!$F$18,Законод!$E$20,0)))),IF($B$287="Лікар-терапевт",IF(L291&lt;Законод!$C$26,0,(IF(AND(L291&gt;=Законод!$E$26,L291&lt;=Законод!$E$27),L291-Законод!$C$26,IF('01_Доходи'!L291&gt;=Законод!$F$26,Законод!$E$28,0)))),0)))</f>
        <v>45</v>
      </c>
      <c r="M293" s="945"/>
      <c r="N293" s="940" t="s">
        <v>346</v>
      </c>
      <c r="O293" s="940"/>
      <c r="P293" s="940"/>
      <c r="Q293" s="940"/>
      <c r="R293" s="940"/>
      <c r="S293" s="196">
        <f ca="1">IF($B$287="Лікар загальної практики - сімейний лікар",IF(S291&lt;Законод!$C$22,0,(IF(AND(S291&gt;=Законод!$E$22,S291&lt;=Законод!$E$23),S291-Законод!$C$22,IF('01_Доходи'!S291&gt;=Законод!$F$22,Законод!$E$24,0)))),IF($B$287="Лікар-педіатр",IF(S291&lt;Законод!$C$18,0,(IF(AND(S291&gt;=Законод!$E$18,S291&lt;=Законод!$E$19),S291-Законод!$C$18,IF('01_Доходи'!S291&gt;=Законод!$F$18,Законод!$E$20,0)))),IF($B$287="Лікар-терапевт",IF(S291&lt;Законод!$C$26,0,(IF(AND(S291&gt;=Законод!$E$26,S291&lt;=Законод!$E$27),S291-Законод!$C$26,IF('01_Доходи'!S291&gt;=Законод!$F$26,Законод!$E$28,0)))),0)))</f>
        <v>45</v>
      </c>
      <c r="T293" s="945"/>
      <c r="U293" s="940" t="s">
        <v>346</v>
      </c>
      <c r="V293" s="940"/>
      <c r="W293" s="940"/>
      <c r="X293" s="940"/>
      <c r="Y293" s="940"/>
      <c r="Z293" s="196">
        <f ca="1">IF($B$287="Лікар загальної практики - сімейний лікар",IF(Z291&lt;Законод!$C$22,0,(IF(AND(Z291&gt;=Законод!$E$22,Z291&lt;=Законод!$E$23),Z291-Законод!$C$22,IF('01_Доходи'!Z291&gt;=Законод!$F$22,Законод!$E$24,0)))),IF($B$287="Лікар-педіатр",IF(Z291&lt;Законод!$C$18,0,(IF(AND(Z291&gt;=Законод!$E$18,Z291&lt;=Законод!$E$19),Z291-Законод!$C$18,IF('01_Доходи'!Z291&gt;=Законод!$F$18,Законод!$E$20,0)))),IF($B$287="Лікар-терапевт",IF(Z291&lt;Законод!$C$26,0,(IF(AND(Z291&gt;=Законод!$E$26,Z291&lt;=Законод!$E$27),Z291-Законод!$C$26,IF('01_Доходи'!Z291&gt;=Законод!$F$26,Законод!$E$28,0)))),0)))</f>
        <v>45</v>
      </c>
      <c r="AA293" s="945"/>
      <c r="AB293" s="940" t="s">
        <v>346</v>
      </c>
      <c r="AC293" s="940"/>
      <c r="AD293" s="940"/>
      <c r="AE293" s="940"/>
      <c r="AF293" s="940"/>
      <c r="AG293" s="196">
        <f ca="1">IF($B$287="Лікар загальної практики - сімейний лікар",IF(AG291&lt;Законод!$C$22,0,(IF(AND(AG291&gt;=Законод!$E$22,AG291&lt;=Законод!$E$23),AG291-Законод!$C$22,IF('01_Доходи'!AG291&gt;=Законод!$F$22,Законод!$E$24,0)))),IF($B$287="Лікар-педіатр",IF(AG291&lt;Законод!$C$18,0,(IF(AND(AG291&gt;=Законод!$E$18,AG291&lt;=Законод!$E$19),AG291-Законод!$C$18,IF('01_Доходи'!AG291&gt;=Законод!$F$18,Законод!$E$20,0)))),IF($B$287="Лікар-терапевт",IF(AG291&lt;Законод!$C$26,0,(IF(AND(AG291&gt;=Законод!$E$26,AG291&lt;=Законод!$E$27),AG291-Законод!$C$26,IF('01_Доходи'!AG291&gt;=Законод!$F$26,Законод!$E$28,0)))),0)))</f>
        <v>45</v>
      </c>
      <c r="AH293" s="945"/>
      <c r="AI293" s="201"/>
      <c r="AJ293" s="933"/>
      <c r="AK293" s="927"/>
      <c r="AL293" s="927"/>
      <c r="AM293" s="898" t="s">
        <v>375</v>
      </c>
      <c r="AN293" s="210">
        <f ca="1">IF(B287="Лікар загальної практики - сімейний лікар",L293*Законод!$C$9/4*Законод!$E$16,IF(B287="Лікар-педіатр",L293*Законод!$C$9/4*Законод!$E$16,IF(B287="Лікар-терапевт",L293*Законод!$C$9/4*Законод!$E$16,0)))</f>
        <v>5451.4844999999996</v>
      </c>
      <c r="AO293" s="210">
        <f ca="1">IF(B287="Лікар загальної практики - сімейний лікар",S293*Законод!$C$9/4*Законод!$E$16,IF(B287="Лікар-педіатр",S293*Законод!$C$9/4*Законод!$E$16,IF(B287="Лікар-терапевт",S293*Законод!$C$9/4*Законод!$E$16,0)))</f>
        <v>5451.4844999999996</v>
      </c>
      <c r="AP293" s="210">
        <f ca="1">IF(B287="Лікар загальної практики - сімейний лікар",Z293*Законод!$C$9/4*Законод!$E$16,IF(B287="Лікар-педіатр",Z293*Законод!$C$9/4*Законод!$E$16,IF(B287="Лікар-терапевт",Z293*Законод!$C$9/4*Законод!$E$16,0)))</f>
        <v>5451.4844999999996</v>
      </c>
      <c r="AQ293" s="210">
        <f ca="1">IF(B287="Лікар загальної практики - сімейний лікар",AG293*Законод!$C$9/4*Законод!$E$16,IF(B287="Лікар-педіатр",AG293*Законод!$C$9/4*Законод!$E$16,IF(B287="Лікар-терапевт",AG293*Законод!$C$9/4*Законод!$E$16,0)))</f>
        <v>5451.4844999999996</v>
      </c>
      <c r="AR293" s="211">
        <f t="shared" si="45"/>
        <v>21805.937999999998</v>
      </c>
    </row>
    <row r="294" spans="1:44" s="50" customFormat="1" ht="31.9" customHeight="1">
      <c r="A294" s="197"/>
      <c r="B294" s="941"/>
      <c r="C294" s="942"/>
      <c r="D294" s="943"/>
      <c r="E294" s="943"/>
      <c r="F294" s="238" t="str">
        <f ca="1">IF(B287="Лікар-педіатр",Законод!$F$17,IF(B287="Лікар загальної практики - сімейний лікар",Законод!$F$21,IF(B287="Лікар-терапевт",Законод!$F$25,"х")))</f>
        <v>понад ліміт (1981-2160)</v>
      </c>
      <c r="G294" s="940" t="s">
        <v>346</v>
      </c>
      <c r="H294" s="940"/>
      <c r="I294" s="940"/>
      <c r="J294" s="940"/>
      <c r="K294" s="940"/>
      <c r="L294" s="196">
        <f ca="1">IF($B$287="Лікар загальної практики - сімейний лікар",IF(L291&lt;Законод!$C$22,0,(IF(AND(L291&gt;=Законод!$F$22,L291&lt;=Законод!$F$23),L291-Законод!$E$23,IF('01_Доходи'!L291&gt;=Законод!$G$22,Законод!$F$24,0)))),IF($B$287="Лікар-педіатр",IF(L291&lt;Законод!$C$18,0,(IF(AND(L291&gt;=Законод!$F$18,L291&lt;=Законод!$F$19),L291-Законод!$E$19,IF('01_Доходи'!L291&gt;=Законод!$G$18,Законод!$F$20,0)))),IF($B$287="Лікар-терапевт",IF(L291&lt;Законод!$C$26,0,(IF(AND(L291&gt;=Законод!$F$26,L291&lt;=Законод!$F$27),L291-Законод!$E$27,IF('01_Доходи'!L291&gt;=Законод!$G$26,Законод!$F$28,0)))),0)))</f>
        <v>0</v>
      </c>
      <c r="M294" s="945"/>
      <c r="N294" s="940" t="s">
        <v>346</v>
      </c>
      <c r="O294" s="940"/>
      <c r="P294" s="940"/>
      <c r="Q294" s="940"/>
      <c r="R294" s="940"/>
      <c r="S294" s="196">
        <f ca="1">IF($B$287="Лікар загальної практики - сімейний лікар",IF(S291&lt;Законод!$C$22,0,(IF(AND(S291&gt;=Законод!$F$22,S291&lt;=Законод!$F$23),S291-Законод!$E$23,IF('01_Доходи'!S291&gt;=Законод!$G$22,Законод!$F$24,0)))),IF($B$287="Лікар-педіатр",IF(S291&lt;Законод!$C$18,0,(IF(AND(S291&gt;=Законод!$F$18,S291&lt;=Законод!$F$19),S291-Законод!$E$19,IF('01_Доходи'!S291&gt;=Законод!$G$18,Законод!$F$20,0)))),IF($B$287="Лікар-терапевт",IF(S291&lt;Законод!$C$26,0,(IF(AND(S291&gt;=Законод!$F$26,S291&lt;=Законод!$F$27),S291-Законод!$E$27,IF('01_Доходи'!S291&gt;=Законод!$G$26,Законод!$F$28,0)))),0)))</f>
        <v>0</v>
      </c>
      <c r="T294" s="945"/>
      <c r="U294" s="940" t="s">
        <v>346</v>
      </c>
      <c r="V294" s="940"/>
      <c r="W294" s="940"/>
      <c r="X294" s="940"/>
      <c r="Y294" s="940"/>
      <c r="Z294" s="196">
        <f ca="1">IF($B$287="Лікар загальної практики - сімейний лікар",IF(Z291&lt;Законод!$C$22,0,(IF(AND(Z291&gt;=Законод!$F$22,Z291&lt;=Законод!$F$23),Z291-Законод!$E$23,IF('01_Доходи'!Z291&gt;=Законод!$G$22,Законод!$F$24,0)))),IF($B$287="Лікар-педіатр",IF(Z291&lt;Законод!$C$18,0,(IF(AND(Z291&gt;=Законод!$F$18,Z291&lt;=Законод!$F$19),Z291-Законод!$E$19,IF('01_Доходи'!Z291&gt;=Законод!$G$18,Законод!$F$20,0)))),IF($B$287="Лікар-терапевт",IF(Z291&lt;Законод!$C$26,0,(IF(AND(Z291&gt;=Законод!$F$26,Z291&lt;=Законод!$F$27),Z291-Законод!$E$27,IF('01_Доходи'!Z291&gt;=Законод!$G$26,Законод!$F$28,0)))),0)))</f>
        <v>0</v>
      </c>
      <c r="AA294" s="945"/>
      <c r="AB294" s="940" t="s">
        <v>346</v>
      </c>
      <c r="AC294" s="940"/>
      <c r="AD294" s="940"/>
      <c r="AE294" s="940"/>
      <c r="AF294" s="940"/>
      <c r="AG294" s="196">
        <f ca="1">IF($B$287="Лікар загальної практики - сімейний лікар",IF(AG291&lt;Законод!$C$22,0,(IF(AND(AG291&gt;=Законод!$F$22,AG291&lt;=Законод!$F$23),AG291-Законод!$E$23,IF('01_Доходи'!AG291&gt;=Законод!$G$22,Законод!$F$24,0)))),IF($B$287="Лікар-педіатр",IF(AG291&lt;Законод!$C$18,0,(IF(AND(AG291&gt;=Законод!$F$18,AG291&lt;=Законод!$F$19),AG291-Законод!$E$19,IF('01_Доходи'!AG291&gt;=Законод!$G$18,Законод!$F$20,0)))),IF($B$287="Лікар-терапевт",IF(AG291&lt;Законод!$C$26,0,(IF(AND(AG291&gt;=Законод!$F$26,AG291&lt;=Законод!$F$27),AG291-Законод!$E$27,IF('01_Доходи'!AG291&gt;=Законод!$G$26,Законод!$F$28,0)))),0)))</f>
        <v>0</v>
      </c>
      <c r="AH294" s="945"/>
      <c r="AI294" s="201"/>
      <c r="AJ294" s="933"/>
      <c r="AK294" s="927"/>
      <c r="AL294" s="927"/>
      <c r="AM294" s="899"/>
      <c r="AN294" s="210">
        <f ca="1">IF(B287="Лікар загальної практики - сімейний лікар",L294*Законод!$C$9/4*Законод!$F$16,IF(B287="Лікар-педіатр",L294*Законод!$C$9/4*Законод!$F$16,IF(B287="Лікар-терапевт",L294*Законод!$C$9/4*Законод!$F$16,0)))</f>
        <v>0</v>
      </c>
      <c r="AO294" s="210">
        <f ca="1">IF(B287="Лікар загальної практики - сімейний лікар",S294*Законод!$C$9/4*Законод!$F$16,IF(B287="Лікар-педіатр",S294*Законод!$C$9/4*Законод!$F$16,IF(B287="Лікар-терапевт",S294*Законод!$C$9/4*Законод!$F$16,0)))</f>
        <v>0</v>
      </c>
      <c r="AP294" s="210">
        <f ca="1">IF(B287="Лікар загальної практики - сімейний лікар",Z294*Законод!$C$9/4*Законод!$F$16,IF(B287="Лікар-педіатр",Z294*Законод!$C$9/4*Законод!$F$16,IF(B287="Лікар-терапевт",Z294*Законод!$C$9/4*Законод!$F$16,0)))</f>
        <v>0</v>
      </c>
      <c r="AQ294" s="210">
        <f ca="1">IF(B287="Лікар загальної практики - сімейний лікар",AG294*Законод!$C$9/4*Законод!$F$16,IF(B287="Лікар-педіатр",AG294*Законод!$C$9/4*Законод!$F$16,IF(B287="Лікар-терапевт",AG294*Законод!$C$9/4*Законод!$F$16,0)))</f>
        <v>0</v>
      </c>
      <c r="AR294" s="211">
        <f t="shared" si="45"/>
        <v>0</v>
      </c>
    </row>
    <row r="295" spans="1:44" s="50" customFormat="1" ht="31.9" customHeight="1">
      <c r="A295" s="197"/>
      <c r="B295" s="941"/>
      <c r="C295" s="942"/>
      <c r="D295" s="943"/>
      <c r="E295" s="943"/>
      <c r="F295" s="238" t="str">
        <f ca="1">IF(B287="Лікар-педіатр",Законод!$G$17,IF(B287="Лікар загальної практики - сімейний лікар",Законод!$G$21,IF(B287="Лікар-терапевт",Законод!$G$25,"х")))</f>
        <v>понад ліміт (2161-2340)</v>
      </c>
      <c r="G295" s="940" t="s">
        <v>346</v>
      </c>
      <c r="H295" s="940"/>
      <c r="I295" s="940"/>
      <c r="J295" s="940"/>
      <c r="K295" s="940"/>
      <c r="L295" s="196">
        <f ca="1">IF($B$287="Лікар загальної практики - сімейний лікар",IF(L291&lt;Законод!$C$22,0,(IF(AND(L291&gt;=Законод!$G$22,L291&lt;=Законод!$G$23),L291-Законод!$F$23,IF('01_Доходи'!L291&gt;=Законод!$H$22,Законод!$G$24,0)))),IF($B$287="Лікар-педіатр",IF(L291&lt;Законод!$C$18,0,(IF(AND(L291&gt;=Законод!$G$18,L291&lt;=Законод!$G$19),L291-Законод!$F$19,IF('01_Доходи'!L291&gt;=Законод!$H$18,Законод!$G$20,0)))),IF($B$287="Лікар-терапевт",IF(L291&lt;Законод!$C$26,0,(IF(AND(L291&gt;=Законод!$G$26,L291&lt;=Законод!$G$27),L291-Законод!$F$27,IF('01_Доходи'!L291&gt;=Законод!$H$26,Законод!$G$28,0)))),0)))</f>
        <v>0</v>
      </c>
      <c r="M295" s="945"/>
      <c r="N295" s="940" t="s">
        <v>346</v>
      </c>
      <c r="O295" s="940"/>
      <c r="P295" s="940"/>
      <c r="Q295" s="940"/>
      <c r="R295" s="940"/>
      <c r="S295" s="196">
        <f ca="1">IF($B$287="Лікар загальної практики - сімейний лікар",IF(S291&lt;Законод!$C$22,0,(IF(AND(S291&gt;=Законод!$G$22,S291&lt;=Законод!$G$23),S291-Законод!$F$23,IF('01_Доходи'!S291&gt;=Законод!$H$22,Законод!$G$24,0)))),IF($B$287="Лікар-педіатр",IF(S291&lt;Законод!$C$18,0,(IF(AND(S291&gt;=Законод!$G$18,S291&lt;=Законод!$G$19),S291-Законод!$F$19,IF('01_Доходи'!S291&gt;=Законод!$H$18,Законод!$G$20,0)))),IF($B$287="Лікар-терапевт",IF(S291&lt;Законод!$C$26,0,(IF(AND(S291&gt;=Законод!$G$26,S291&lt;=Законод!$G$27),S291-Законод!$F$27,IF('01_Доходи'!S291&gt;=Законод!$H$26,Законод!$G$28,0)))),0)))</f>
        <v>0</v>
      </c>
      <c r="T295" s="945"/>
      <c r="U295" s="940" t="s">
        <v>346</v>
      </c>
      <c r="V295" s="940"/>
      <c r="W295" s="940"/>
      <c r="X295" s="940"/>
      <c r="Y295" s="940"/>
      <c r="Z295" s="196">
        <f ca="1">IF($B$287="Лікар загальної практики - сімейний лікар",IF(Z291&lt;Законод!$C$22,0,(IF(AND(Z291&gt;=Законод!$G$22,Z291&lt;=Законод!$G$23),Z291-Законод!$F$23,IF('01_Доходи'!Z291&gt;=Законод!$H$22,Законод!$G$24,0)))),IF($B$287="Лікар-педіатр",IF(Z291&lt;Законод!$C$18,0,(IF(AND(Z291&gt;=Законод!$G$18,Z291&lt;=Законод!$G$19),Z291-Законод!$F$19,IF('01_Доходи'!Z291&gt;=Законод!$H$18,Законод!$G$20,0)))),IF($B$287="Лікар-терапевт",IF(Z291&lt;Законод!$C$26,0,(IF(AND(Z291&gt;=Законод!$G$26,Z291&lt;=Законод!$G$27),Z291-Законод!$F$27,IF('01_Доходи'!Z291&gt;=Законод!$H$26,Законод!$G$28,0)))),0)))</f>
        <v>0</v>
      </c>
      <c r="AA295" s="945"/>
      <c r="AB295" s="940" t="s">
        <v>346</v>
      </c>
      <c r="AC295" s="940"/>
      <c r="AD295" s="940"/>
      <c r="AE295" s="940"/>
      <c r="AF295" s="940"/>
      <c r="AG295" s="196">
        <f ca="1">IF($B$287="Лікар загальної практики - сімейний лікар",IF(AG291&lt;Законод!$C$22,0,(IF(AND(AG291&gt;=Законод!$G$22,AG291&lt;=Законод!$G$23),AG291-Законод!$F$23,IF('01_Доходи'!AG291&gt;=Законод!$H$22,Законод!$G$24,0)))),IF($B$287="Лікар-педіатр",IF(AG291&lt;Законод!$C$18,0,(IF(AND(AG291&gt;=Законод!$G$18,AG291&lt;=Законод!$G$19),AG291-Законод!$F$19,IF('01_Доходи'!AG291&gt;=Законод!$H$18,Законод!$G$20,0)))),IF($B$287="Лікар-терапевт",IF(AG291&lt;Законод!$C$26,0,(IF(AND(AG291&gt;=Законод!$G$26,AG291&lt;=Законод!$G$27),AG291-Законод!$F$27,IF('01_Доходи'!AG291&gt;=Законод!$H$26,Законод!$G$28,0)))),0)))</f>
        <v>0</v>
      </c>
      <c r="AH295" s="945"/>
      <c r="AI295" s="201"/>
      <c r="AJ295" s="933"/>
      <c r="AK295" s="927"/>
      <c r="AL295" s="927"/>
      <c r="AM295" s="899"/>
      <c r="AN295" s="210">
        <f ca="1">IF(B287="Лікар загальної практики - сімейний лікар",L295*Законод!$C$9/4*Законод!$G$16,IF(B287="Лікар-педіатр",L295*Законод!$C$9/4*Законод!$G$16,IF(B287="Лікар-терапевт",L295*Законод!$C$9/4*Законод!$G$16,0)))</f>
        <v>0</v>
      </c>
      <c r="AO295" s="210">
        <f ca="1">IF(B287="Лікар загальної практики - сімейний лікар",S295*Законод!$C$9/4*Законод!$G$16,IF(B287="Лікар-педіатр",S295*Законод!$C$9/4*Законод!$G$16,IF(B287="Лікар-терапевт",S295*Законод!$C$9/4*Законод!$G$16,0)))</f>
        <v>0</v>
      </c>
      <c r="AP295" s="210">
        <f ca="1">IF(B287="Лікар загальної практики - сімейний лікар",Z295*Законод!$C$9/4*Законод!$G$16,IF(B287="Лікар-педіатр",Z295*Законод!$C$9/4*Законод!$G$16,IF(B287="Лікар-терапевт",Z295*Законод!$C$9/4*Законод!$G$16,0)))</f>
        <v>0</v>
      </c>
      <c r="AQ295" s="210">
        <f ca="1">IF(B287="Лікар загальної практики - сімейний лікар",AG295*Законод!$C$9/4*Законод!$G$16,IF(B287="Лікар-педіатр",AG295*Законод!$C$9/4*Законод!$G$16,IF(B287="Лікар-терапевт",AG295*Законод!$C$9/4*Законод!$G$16,0)))</f>
        <v>0</v>
      </c>
      <c r="AR295" s="211">
        <f t="shared" si="45"/>
        <v>0</v>
      </c>
    </row>
    <row r="296" spans="1:44" s="50" customFormat="1" ht="31.9" customHeight="1">
      <c r="A296" s="197"/>
      <c r="B296" s="941"/>
      <c r="C296" s="942"/>
      <c r="D296" s="943"/>
      <c r="E296" s="943"/>
      <c r="F296" s="238" t="str">
        <f ca="1">IF(B287="Лікар-педіатр",Законод!$H$17,IF(B287="Лікар загальної практики - сімейний лікар",Законод!$H$21,IF(B287="Лікар-терапевт",Законод!$H$25,"х")))</f>
        <v>понад ліміт (2341-2520)</v>
      </c>
      <c r="G296" s="940" t="s">
        <v>346</v>
      </c>
      <c r="H296" s="940"/>
      <c r="I296" s="940"/>
      <c r="J296" s="940"/>
      <c r="K296" s="940"/>
      <c r="L296" s="196">
        <f ca="1">IF($B$287="Лікар загальної практики - сімейний лікар",IF(L291&lt;Законод!$C$22,0,(IF(AND(L291&gt;=Законод!$H$22,L291&lt;=Законод!$H$23),L291-Законод!$G$23,IF('01_Доходи'!L291&gt;=Законод!$I$22,Законод!$H$24,0)))),IF($B$287="Лікар-педіатр",IF(L291&lt;Законод!$C$18,0,(IF(AND(L291&gt;=Законод!$H$18,L291&lt;=Законод!$H$19),L291-Законод!$G$19,IF('01_Доходи'!L291&gt;=Законод!$I$18,Законод!$H$20,0)))),IF($B$287="Лікар-терапевт",IF(L291&lt;Законод!$C$26,0,(IF(AND(L291&gt;=Законод!$H$26,L291&lt;=Законод!$H$27),L291-Законод!$G$27,IF(L291&gt;=Законод!$I$26,Законод!$H$28,0)))),0)))</f>
        <v>0</v>
      </c>
      <c r="M296" s="945"/>
      <c r="N296" s="940" t="s">
        <v>346</v>
      </c>
      <c r="O296" s="940"/>
      <c r="P296" s="940"/>
      <c r="Q296" s="940"/>
      <c r="R296" s="940"/>
      <c r="S296" s="196">
        <f ca="1">IF($B$287="Лікар загальної практики - сімейний лікар",IF(S291&lt;Законод!$C$22,0,(IF(AND(S291&gt;=Законод!$H$22,S291&lt;=Законод!$H$23),S291-Законод!$G$23,IF('01_Доходи'!S291&gt;=Законод!$I$22,Законод!$H$24,0)))),IF($B$287="Лікар-педіатр",IF(S291&lt;Законод!$C$18,0,(IF(AND(S291&gt;=Законод!$H$18,S291&lt;=Законод!$H$19),S291-Законод!$G$19,IF('01_Доходи'!S291&gt;=Законод!$I$18,Законод!$H$20,0)))),IF($B$287="Лікар-терапевт",IF(S291&lt;Законод!$C$26,0,(IF(AND(S291&gt;=Законод!$H$26,S291&lt;=Законод!$H$27),S291-Законод!$G$27,IF(S291&gt;=Законод!$I$26,Законод!$H$28,0)))),0)))</f>
        <v>0</v>
      </c>
      <c r="T296" s="945"/>
      <c r="U296" s="940" t="s">
        <v>346</v>
      </c>
      <c r="V296" s="940"/>
      <c r="W296" s="940"/>
      <c r="X296" s="940"/>
      <c r="Y296" s="940"/>
      <c r="Z296" s="196">
        <f ca="1">IF($B$287="Лікар загальної практики - сімейний лікар",IF(Z291&lt;Законод!$C$22,0,(IF(AND(Z291&gt;=Законод!$H$22,Z291&lt;=Законод!$H$23),Z291-Законод!$G$23,IF('01_Доходи'!Z291&gt;=Законод!$I$22,Законод!$H$24,0)))),IF($B$287="Лікар-педіатр",IF(Z291&lt;Законод!$C$18,0,(IF(AND(Z291&gt;=Законод!$H$18,Z291&lt;=Законод!$H$19),Z291-Законод!$G$19,IF('01_Доходи'!Z291&gt;=Законод!$I$18,Законод!$H$20,0)))),IF($B$287="Лікар-терапевт",IF(Z291&lt;Законод!$C$26,0,(IF(AND(Z291&gt;=Законод!$H$26,Z291&lt;=Законод!$H$27),Z291-Законод!$G$27,IF(Z291&gt;=Законод!$I$26,Законод!$H$28,0)))),0)))</f>
        <v>0</v>
      </c>
      <c r="AA296" s="945"/>
      <c r="AB296" s="940" t="s">
        <v>346</v>
      </c>
      <c r="AC296" s="940"/>
      <c r="AD296" s="940"/>
      <c r="AE296" s="940"/>
      <c r="AF296" s="940"/>
      <c r="AG296" s="196">
        <f ca="1">IF($B$287="Лікар загальної практики - сімейний лікар",IF(AG291&lt;Законод!$C$22,0,(IF(AND(AG291&gt;=Законод!$H$22,AG291&lt;=Законод!$H$23),AG291-Законод!$G$23,IF('01_Доходи'!AG291&gt;=Законод!$I$22,Законод!$H$24,0)))),IF($B$287="Лікар-педіатр",IF(AG291&lt;Законод!$C$18,0,(IF(AND(AG291&gt;=Законод!$H$18,AG291&lt;=Законод!$H$19),AG291-Законод!$G$19,IF('01_Доходи'!AG291&gt;=Законод!$I$18,Законод!$H$20,0)))),IF($B$287="Лікар-терапевт",IF(AG291&lt;Законод!$C$26,0,(IF(AND(AG291&gt;=Законод!$H$26,AG291&lt;=Законод!$H$27),AG291-Законод!$G$27,IF(AG291&gt;=Законод!$I$26,Законод!$H$28,0)))),0)))</f>
        <v>0</v>
      </c>
      <c r="AH296" s="945"/>
      <c r="AI296" s="201"/>
      <c r="AJ296" s="933"/>
      <c r="AK296" s="927"/>
      <c r="AL296" s="927"/>
      <c r="AM296" s="899"/>
      <c r="AN296" s="210">
        <f ca="1">IF(B287="Лікар загальної практики - сімейний лікар",L296*Законод!$C$9/4*Законод!$H$16,IF(B287="Лікар-педіатр",L296*Законод!$C$9/4*Законод!$H$16,IF(B287="Лікар-терапевт",L296*Законод!$C$9/4*Законод!$H$16,0)))</f>
        <v>0</v>
      </c>
      <c r="AO296" s="210">
        <f ca="1">IF(B287="Лікар загальної практики - сімейний лікар",S296*Законод!$C$9/4*Законод!$H$16,IF(B287="Лікар-педіатр",S296*Законод!$C$9/4*Законод!$H$16,IF(B287="Лікар-терапевт",S296*Законод!$C$9/4*Законод!$H$16,0)))</f>
        <v>0</v>
      </c>
      <c r="AP296" s="210">
        <f ca="1">IF(B287="Лікар загальної практики - сімейний лікар",Z296*Законод!$C$9/4*Законод!$H$16,IF(B287="Лікар-педіатр",Z296*Законод!$C$9/4*Законод!$H$16,IF(B287="Лікар-терапевт",Z296*Законод!$C$9/4*Законод!$H$16,0)))</f>
        <v>0</v>
      </c>
      <c r="AQ296" s="210">
        <f ca="1">IF(B287="Лікар загальної практики - сімейний лікар",AG296*Законод!$C$9/4*Законод!$H$16,IF(B287="Лікар-педіатр",AG296*Законод!$C$9/4*Законод!$H$16,IF(B287="Лікар-терапевт",AG296*Законод!$C$9/4*Законод!$H$16,0)))</f>
        <v>0</v>
      </c>
      <c r="AR296" s="211">
        <f t="shared" si="45"/>
        <v>0</v>
      </c>
    </row>
    <row r="297" spans="1:44" s="50" customFormat="1" ht="31.9" customHeight="1">
      <c r="A297" s="197"/>
      <c r="B297" s="941"/>
      <c r="C297" s="942"/>
      <c r="D297" s="943"/>
      <c r="E297" s="943"/>
      <c r="F297" s="238" t="str">
        <f ca="1">IF(B287="Лікар-педіатр",Законод!$I$17,IF(B287="Лікар загальної практики - сімейний лікар",Законод!$I$21,IF(B287="Лікар-терапевт",Законод!$I$25,"х")))</f>
        <v>понад ліміт (2521-2700)</v>
      </c>
      <c r="G297" s="940" t="s">
        <v>346</v>
      </c>
      <c r="H297" s="940"/>
      <c r="I297" s="940"/>
      <c r="J297" s="940"/>
      <c r="K297" s="940"/>
      <c r="L297" s="196">
        <f ca="1">IF($B$287="Лікар загальної практики - сімейний лікар",IF(L291&lt;Законод!$C$22,0,(IF(AND(L291&gt;=Законод!$I$22,L291&lt;=Законод!$I$23),L291-Законод!$H$23,IF('01_Доходи'!L291&gt;=Законод!$I$22,Законод!$I$24,0)))),IF($B$287="Лікар-педіатр",IF(L291&lt;Законод!$C$18,0,(IF(AND(L291&gt;=Законод!$I$18,L291&lt;=Законод!$I$19),L291-Законод!$H$19,IF('01_Доходи'!L291&gt;=Законод!$I$18,Законод!$H$20,0)))),IF($B$287="Лікар-терапевт",IF(L291&lt;Законод!$C$26,0,(IF(AND(L291&gt;=Законод!$I$26,L291&lt;=Законод!$I$27),L291-Законод!$H$27,IF('01_Доходи'!L291&gt;=Законод!$I$26,Законод!$H$28,0)))),0)))</f>
        <v>0</v>
      </c>
      <c r="M297" s="945"/>
      <c r="N297" s="940" t="s">
        <v>346</v>
      </c>
      <c r="O297" s="940"/>
      <c r="P297" s="940"/>
      <c r="Q297" s="940"/>
      <c r="R297" s="940"/>
      <c r="S297" s="196">
        <f ca="1">IF($B$287="Лікар загальної практики - сімейний лікар",IF(S291&lt;Законод!$C$22,0,(IF(AND(S291&gt;=Законод!$I$22,S291&lt;=Законод!$I$23),S291-Законод!$H$23,IF('01_Доходи'!S291&gt;=Законод!$I$22,Законод!$I$24,0)))),IF($B$287="Лікар-педіатр",IF(S291&lt;Законод!$C$18,0,(IF(AND(S291&gt;=Законод!$I$18,S291&lt;=Законод!$I$19),S291-Законод!$H$19,IF('01_Доходи'!S291&gt;=Законод!$I$18,Законод!$H$20,0)))),IF($B$287="Лікар-терапевт",IF(S291&lt;Законод!$C$26,0,(IF(AND(S291&gt;=Законод!$I$26,S291&lt;=Законод!$I$27),S291-Законод!$H$27,IF('01_Доходи'!S291&gt;=Законод!$I$26,Законод!$H$28,0)))),0)))</f>
        <v>0</v>
      </c>
      <c r="T297" s="945"/>
      <c r="U297" s="940" t="s">
        <v>346</v>
      </c>
      <c r="V297" s="940"/>
      <c r="W297" s="940"/>
      <c r="X297" s="940"/>
      <c r="Y297" s="940"/>
      <c r="Z297" s="196">
        <f ca="1">IF($B$287="Лікар загальної практики - сімейний лікар",IF(Z291&lt;Законод!$C$22,0,(IF(AND(Z291&gt;=Законод!$I$22,Z291&lt;=Законод!$I$23),Z291-Законод!$H$23,IF('01_Доходи'!Z291&gt;=Законод!$I$22,Законод!$I$24,0)))),IF($B$287="Лікар-педіатр",IF(Z291&lt;Законод!$C$18,0,(IF(AND(Z291&gt;=Законод!$I$18,Z291&lt;=Законод!$I$19),Z291-Законод!$H$19,IF('01_Доходи'!Z291&gt;=Законод!$I$18,Законод!$H$20,0)))),IF($B$287="Лікар-терапевт",IF(Z291&lt;Законод!$C$26,0,(IF(AND(Z291&gt;=Законод!$I$26,Z291&lt;=Законод!$I$27),Z291-Законод!$H$27,IF('01_Доходи'!Z291&gt;=Законод!$I$26,Законод!$H$28,0)))),0)))</f>
        <v>0</v>
      </c>
      <c r="AA297" s="945"/>
      <c r="AB297" s="940" t="s">
        <v>346</v>
      </c>
      <c r="AC297" s="940"/>
      <c r="AD297" s="940"/>
      <c r="AE297" s="940"/>
      <c r="AF297" s="940"/>
      <c r="AG297" s="196">
        <f ca="1">IF($B$287="Лікар загальної практики - сімейний лікар",IF(AG291&lt;Законод!$C$22,0,(IF(AND(AG291&gt;=Законод!$I$22,AG291&lt;=Законод!$I$23),AG291-Законод!$H$23,IF('01_Доходи'!AG291&gt;=Законод!$I$22,Законод!$I$24,0)))),IF($B$287="Лікар-педіатр",IF(AG291&lt;Законод!$C$18,0,(IF(AND(AG291&gt;=Законод!$I$18,AG291&lt;=Законод!$I$19),AG291-Законод!$H$19,IF('01_Доходи'!AG291&gt;=Законод!$I$18,Законод!$H$20,0)))),IF($B$287="Лікар-терапевт",IF(AG291&lt;Законод!$C$26,0,(IF(AND(AG291&gt;=Законод!$I$26,AG291&lt;=Законод!$I$27),AG291-Законод!$H$27,IF('01_Доходи'!AG291&gt;=Законод!$I$26,Законод!$H$28,0)))),0)))</f>
        <v>0</v>
      </c>
      <c r="AH297" s="945"/>
      <c r="AI297" s="201"/>
      <c r="AJ297" s="933"/>
      <c r="AK297" s="927"/>
      <c r="AL297" s="927"/>
      <c r="AM297" s="899"/>
      <c r="AN297" s="210">
        <f ca="1">IF(B287="Лікар загальної практики - сімейний лікар",L297*Законод!$C$9/4*Законод!$I$16,IF(B287="Лікар-педіатр",L297*Законод!$C$9/4*Законод!$I$16,IF(B287="Лікар-терапевт",L297*Законод!$C$9/4*Законод!$I$16,0)))</f>
        <v>0</v>
      </c>
      <c r="AO297" s="210">
        <f ca="1">IF(B287="Лікар загальної практики - сімейний лікар",S297*Законод!$C$9/4*Законод!$I$16,IF(B287="Лікар-педіатр",S297*Законод!$C$9/4*Законод!$I$16,IF(B287="Лікар-терапевт",S297*Законод!$C$9/4*Законод!$I$16,0)))</f>
        <v>0</v>
      </c>
      <c r="AP297" s="210">
        <f ca="1">IF(B287="Лікар загальної практики - сімейний лікар",Z297*Законод!$C$9/4*Законод!$I$16,IF(B287="Лікар-педіатр",Z297*Законод!$C$9/4*Законод!$I$16,IF(B287="Лікар-терапевт",Z297*Законод!$C$9/4*Законод!$I$16,0)))</f>
        <v>0</v>
      </c>
      <c r="AQ297" s="210">
        <f ca="1">IF(B287="Лікар загальної практики - сімейний лікар",AG297*Законод!$C$9/4*Законод!$I$16,IF(B287="Лікар-педіатр",AG297*Законод!$C$9/4*Законод!$I$16,IF(B287="Лікар-терапевт",AG297*Законод!$C$9/4*Законод!$I$16,0)))</f>
        <v>0</v>
      </c>
      <c r="AR297" s="211">
        <f t="shared" si="45"/>
        <v>0</v>
      </c>
    </row>
    <row r="298" spans="1:44" s="218" customFormat="1" ht="31.9" customHeight="1" thickBot="1">
      <c r="A298" s="213"/>
      <c r="B298" s="941"/>
      <c r="C298" s="942"/>
      <c r="D298" s="943"/>
      <c r="E298" s="943"/>
      <c r="F298" s="239" t="str">
        <f ca="1">IF(B287="Лікар-педіатр",Законод!$J$17,IF(B287="Лікар загальної практики - сімейний лікар",Законод!$J$21,IF(B287="Лікар-терапевт",Законод!$J$25,"х")))</f>
        <v>понад ліміт (&gt;=2701)</v>
      </c>
      <c r="G298" s="939" t="s">
        <v>346</v>
      </c>
      <c r="H298" s="939"/>
      <c r="I298" s="939"/>
      <c r="J298" s="939"/>
      <c r="K298" s="939"/>
      <c r="L298" s="196">
        <f ca="1">IF($B$287="Лікар загальної практики - сімейний лікар",IF(L291&gt;=Законод!$J$22,'01_Доходи'!L291-('01_Доходи'!L292+'01_Доходи'!L293+'01_Доходи'!L294+'01_Доходи'!L295+'01_Доходи'!L296+'01_Доходи'!L297),0),IF($B$287="Лікар-педіатр",IF(L291&gt;=Законод!$J$18,'01_Доходи'!L291-('01_Доходи'!L292+'01_Доходи'!L293+'01_Доходи'!L294+'01_Доходи'!L295+'01_Доходи'!L296+'01_Доходи'!L297),0),IF($B$287="Лікар-терапевт",IF('01_Доходи'!L291&gt;=Законод!$J$26,L291-Законод!$I$27,0),0)))</f>
        <v>0</v>
      </c>
      <c r="M298" s="945"/>
      <c r="N298" s="939" t="s">
        <v>346</v>
      </c>
      <c r="O298" s="939"/>
      <c r="P298" s="939"/>
      <c r="Q298" s="939"/>
      <c r="R298" s="939"/>
      <c r="S298" s="196">
        <f ca="1">IF($B$287="Лікар загальної практики - сімейний лікар",IF(S291&gt;=Законод!$J$22,'01_Доходи'!S291-('01_Доходи'!S292+'01_Доходи'!S293+'01_Доходи'!S294+'01_Доходи'!S295+'01_Доходи'!S296+'01_Доходи'!S297),0),IF($B$287="Лікар-педіатр",IF(S291&gt;=Законод!$J$18,'01_Доходи'!S291-('01_Доходи'!S292+'01_Доходи'!S293+'01_Доходи'!S294+'01_Доходи'!S295+'01_Доходи'!S296+'01_Доходи'!S297),0),IF($B$287="Лікар-терапевт",IF('01_Доходи'!S291&gt;=Законод!$J$26,S291-Законод!$I$27,0),0)))</f>
        <v>0</v>
      </c>
      <c r="T298" s="945"/>
      <c r="U298" s="939" t="s">
        <v>346</v>
      </c>
      <c r="V298" s="939"/>
      <c r="W298" s="939"/>
      <c r="X298" s="939"/>
      <c r="Y298" s="939"/>
      <c r="Z298" s="196">
        <f ca="1">IF($B$287="Лікар загальної практики - сімейний лікар",IF(Z291&gt;=Законод!$J$22,'01_Доходи'!Z291-('01_Доходи'!Z292+'01_Доходи'!Z293+'01_Доходи'!Z294+'01_Доходи'!Z295+'01_Доходи'!Z296+'01_Доходи'!Z297),0),IF($B$287="Лікар-педіатр",IF(Z291&gt;=Законод!$J$18,'01_Доходи'!Z291-('01_Доходи'!Z292+'01_Доходи'!Z293+'01_Доходи'!Z294+'01_Доходи'!Z295+'01_Доходи'!Z296+'01_Доходи'!Z297),0),IF($B$287="Лікар-терапевт",IF('01_Доходи'!Z291&gt;=Законод!$J$26,Z291-Законод!$I$27,0),0)))</f>
        <v>0</v>
      </c>
      <c r="AA298" s="945"/>
      <c r="AB298" s="939" t="s">
        <v>346</v>
      </c>
      <c r="AC298" s="939"/>
      <c r="AD298" s="939"/>
      <c r="AE298" s="939"/>
      <c r="AF298" s="939"/>
      <c r="AG298" s="196">
        <f ca="1">IF($B$287="Лікар загальної практики - сімейний лікар",IF(AG291&gt;=Законод!$J$22,'01_Доходи'!AG291-('01_Доходи'!AG292+'01_Доходи'!AG293+'01_Доходи'!AG294+'01_Доходи'!AG295+'01_Доходи'!AG296+'01_Доходи'!AG297),0),IF($B$287="Лікар-педіатр",IF(AG291&gt;=Законод!$J$18,'01_Доходи'!AG291-('01_Доходи'!AG292+'01_Доходи'!AG293+'01_Доходи'!AG294+'01_Доходи'!AG295+'01_Доходи'!AG296+'01_Доходи'!AG297),0),IF($B$287="Лікар-терапевт",IF('01_Доходи'!AG291&gt;=Законод!$J$26,AG291-Законод!$I$27,0),0)))</f>
        <v>0</v>
      </c>
      <c r="AH298" s="945"/>
      <c r="AI298" s="215"/>
      <c r="AJ298" s="934"/>
      <c r="AK298" s="928"/>
      <c r="AL298" s="928"/>
      <c r="AM298" s="900"/>
      <c r="AN298" s="216">
        <f ca="1">IF(B287="Лікар загальної практики - сімейний лікар",L298*Законод!$C$9/4*Законод!$J$16,IF(B287="Лікар-педіатр",L298*Законод!$C$9/4*Законод!$J$16,IF(B287="Лікар-терапевт",L298*Законод!$C$9/4*Законод!$J$16,0)))</f>
        <v>0</v>
      </c>
      <c r="AO298" s="216">
        <f ca="1">IF(B287="Лікар загальної практики - сімейний лікар",S298*Законод!$C$9/4*Законод!$J$16,IF(B287="Лікар-педіатр",S298*Законод!$C$9/4*Законод!$J$16,IF(B287="Лікар-терапевт",S298*Законод!$C$9/4*Законод!$J$16,0)))</f>
        <v>0</v>
      </c>
      <c r="AP298" s="216">
        <f ca="1">IF(B287="Лікар загальної практики - сімейний лікар",S298*Законод!$C$9/4*Законод!$J$16,IF(B287="Лікар-педіатр",S298*Законод!$C$9/4*Законод!$J$16,IF(B287="Лікар-терапевт",S298*Законод!$C$9/4*Законод!$J$16,0)))</f>
        <v>0</v>
      </c>
      <c r="AQ298" s="216">
        <f ca="1">IF(B287="Лікар загальної практики - сімейний лікар",AG298*Законод!$C$9/4*Законод!$J$16,IF(B287="Лікар-педіатр",AG298*Законод!$C$9/4*Законод!$J$16,IF(B287="Лікар-терапевт",AG298*Законод!$C$9/4*Законод!$J$16,0)))</f>
        <v>0</v>
      </c>
      <c r="AR298" s="217">
        <f t="shared" si="45"/>
        <v>0</v>
      </c>
    </row>
    <row r="299" spans="1:44" s="247" customFormat="1" ht="23.45" customHeight="1" thickBot="1">
      <c r="A299" s="243"/>
      <c r="B299" s="244"/>
      <c r="C299" s="244"/>
      <c r="D299" s="244"/>
      <c r="E299" s="244"/>
      <c r="F299" s="245"/>
      <c r="G299" s="246"/>
      <c r="H299" s="246"/>
      <c r="L299" s="248"/>
      <c r="S299" s="248"/>
      <c r="Z299" s="248"/>
      <c r="AG299" s="248"/>
      <c r="AM299" s="249"/>
      <c r="AR299" s="250"/>
    </row>
    <row r="300" spans="1:44" s="191" customFormat="1" ht="27.6" customHeight="1">
      <c r="A300" s="194">
        <f>A287+1</f>
        <v>21</v>
      </c>
      <c r="B300" s="941" t="s">
        <v>235</v>
      </c>
      <c r="C300" s="942" t="s">
        <v>88</v>
      </c>
      <c r="D300" s="943"/>
      <c r="E300" s="943" t="str">
        <f>E287</f>
        <v>Рожищенська АЗПСМ №1</v>
      </c>
      <c r="F300" s="234" t="s">
        <v>582</v>
      </c>
      <c r="G300" s="196">
        <f>128+7</f>
        <v>135</v>
      </c>
      <c r="H300" s="196">
        <f>590+17</f>
        <v>607</v>
      </c>
      <c r="I300" s="196">
        <f>526+92</f>
        <v>618</v>
      </c>
      <c r="J300" s="196">
        <f>460+59</f>
        <v>519</v>
      </c>
      <c r="K300" s="196">
        <f>96+3</f>
        <v>99</v>
      </c>
      <c r="L300" s="558">
        <f t="shared" ref="L300:L305" si="46">SUM(G300:K300)</f>
        <v>1978</v>
      </c>
      <c r="M300" s="945">
        <v>1</v>
      </c>
      <c r="N300" s="196">
        <f>128+7</f>
        <v>135</v>
      </c>
      <c r="O300" s="196">
        <f>590+17</f>
        <v>607</v>
      </c>
      <c r="P300" s="196">
        <f>526+92</f>
        <v>618</v>
      </c>
      <c r="Q300" s="196">
        <f>460+59</f>
        <v>519</v>
      </c>
      <c r="R300" s="196">
        <f>96+3</f>
        <v>99</v>
      </c>
      <c r="S300" s="558">
        <f t="shared" ref="S300:S305" si="47">SUM(N300:R300)</f>
        <v>1978</v>
      </c>
      <c r="T300" s="945">
        <v>1</v>
      </c>
      <c r="U300" s="196">
        <f>128+7</f>
        <v>135</v>
      </c>
      <c r="V300" s="196">
        <f>590+17</f>
        <v>607</v>
      </c>
      <c r="W300" s="196">
        <f>526+92</f>
        <v>618</v>
      </c>
      <c r="X300" s="196">
        <f>460+59</f>
        <v>519</v>
      </c>
      <c r="Y300" s="196">
        <f>96+3</f>
        <v>99</v>
      </c>
      <c r="Z300" s="558">
        <f t="shared" ref="Z300:Z305" si="48">SUM(U300:Y300)</f>
        <v>1978</v>
      </c>
      <c r="AA300" s="945">
        <v>1</v>
      </c>
      <c r="AB300" s="196">
        <f>128+7</f>
        <v>135</v>
      </c>
      <c r="AC300" s="196">
        <f>590+17</f>
        <v>607</v>
      </c>
      <c r="AD300" s="196">
        <f>526+92</f>
        <v>618</v>
      </c>
      <c r="AE300" s="196">
        <f>460+59</f>
        <v>519</v>
      </c>
      <c r="AF300" s="196">
        <f>96+3</f>
        <v>99</v>
      </c>
      <c r="AG300" s="558">
        <f t="shared" ref="AG300:AG305" si="49">SUM(AB300:AF300)</f>
        <v>1978</v>
      </c>
      <c r="AH300" s="945">
        <v>1</v>
      </c>
      <c r="AI300" s="541">
        <f>A300</f>
        <v>21</v>
      </c>
      <c r="AJ300" s="932" t="str">
        <f>B300</f>
        <v>Лікар загальної практики - сімейний лікар</v>
      </c>
      <c r="AK300" s="926" t="str">
        <f>C300</f>
        <v>Шкуро Геннадій Валентинович</v>
      </c>
      <c r="AL300" s="926">
        <f>D300</f>
        <v>0</v>
      </c>
      <c r="AM300" s="901" t="s">
        <v>785</v>
      </c>
      <c r="AN300" s="923">
        <f>SUM(AN305:AN311)</f>
        <v>387021.35481516685</v>
      </c>
      <c r="AO300" s="923">
        <f>SUM(AO305:AO311)</f>
        <v>387021.35481516685</v>
      </c>
      <c r="AP300" s="923">
        <f>SUM(AP305:AP311)</f>
        <v>387021.35481516685</v>
      </c>
      <c r="AQ300" s="923">
        <f>SUM(AQ305:AQ311)</f>
        <v>387021.35481516685</v>
      </c>
      <c r="AR300" s="914">
        <f>SUM(AN300:AQ304)</f>
        <v>1548085.4192606674</v>
      </c>
    </row>
    <row r="301" spans="1:44" s="50" customFormat="1" ht="28.15" customHeight="1">
      <c r="A301" s="197"/>
      <c r="B301" s="941"/>
      <c r="C301" s="942"/>
      <c r="D301" s="943"/>
      <c r="E301" s="943"/>
      <c r="F301" s="234" t="s">
        <v>583</v>
      </c>
      <c r="G301" s="196">
        <f>128+7</f>
        <v>135</v>
      </c>
      <c r="H301" s="196">
        <f>590+17</f>
        <v>607</v>
      </c>
      <c r="I301" s="196">
        <f>526+92</f>
        <v>618</v>
      </c>
      <c r="J301" s="196">
        <f>460+59</f>
        <v>519</v>
      </c>
      <c r="K301" s="196">
        <f>96+3</f>
        <v>99</v>
      </c>
      <c r="L301" s="558">
        <f t="shared" si="46"/>
        <v>1978</v>
      </c>
      <c r="M301" s="945"/>
      <c r="N301" s="196">
        <f>128+7</f>
        <v>135</v>
      </c>
      <c r="O301" s="196">
        <f>590+17</f>
        <v>607</v>
      </c>
      <c r="P301" s="196">
        <f>526+92</f>
        <v>618</v>
      </c>
      <c r="Q301" s="196">
        <f>460+59</f>
        <v>519</v>
      </c>
      <c r="R301" s="196">
        <f>96+3</f>
        <v>99</v>
      </c>
      <c r="S301" s="558">
        <f t="shared" si="47"/>
        <v>1978</v>
      </c>
      <c r="T301" s="945"/>
      <c r="U301" s="196">
        <f>128+7</f>
        <v>135</v>
      </c>
      <c r="V301" s="196">
        <f>590+17</f>
        <v>607</v>
      </c>
      <c r="W301" s="196">
        <f>526+92</f>
        <v>618</v>
      </c>
      <c r="X301" s="196">
        <f>460+59</f>
        <v>519</v>
      </c>
      <c r="Y301" s="196">
        <f>96+3</f>
        <v>99</v>
      </c>
      <c r="Z301" s="558">
        <f t="shared" si="48"/>
        <v>1978</v>
      </c>
      <c r="AA301" s="945"/>
      <c r="AB301" s="196">
        <f>128+7</f>
        <v>135</v>
      </c>
      <c r="AC301" s="196">
        <f>590+17</f>
        <v>607</v>
      </c>
      <c r="AD301" s="196">
        <f>526+92</f>
        <v>618</v>
      </c>
      <c r="AE301" s="196">
        <f>460+59</f>
        <v>519</v>
      </c>
      <c r="AF301" s="196">
        <f>96+3</f>
        <v>99</v>
      </c>
      <c r="AG301" s="558">
        <f t="shared" si="49"/>
        <v>1978</v>
      </c>
      <c r="AH301" s="945"/>
      <c r="AI301" s="198"/>
      <c r="AJ301" s="933"/>
      <c r="AK301" s="927"/>
      <c r="AL301" s="927"/>
      <c r="AM301" s="902"/>
      <c r="AN301" s="924"/>
      <c r="AO301" s="924"/>
      <c r="AP301" s="924"/>
      <c r="AQ301" s="924"/>
      <c r="AR301" s="915"/>
    </row>
    <row r="302" spans="1:44" s="90" customFormat="1" ht="31.15" customHeight="1">
      <c r="A302" s="240"/>
      <c r="B302" s="941"/>
      <c r="C302" s="942"/>
      <c r="D302" s="943"/>
      <c r="E302" s="943"/>
      <c r="F302" s="241" t="s">
        <v>584</v>
      </c>
      <c r="G302" s="196">
        <f>128+7</f>
        <v>135</v>
      </c>
      <c r="H302" s="196">
        <f>590+17</f>
        <v>607</v>
      </c>
      <c r="I302" s="196">
        <f>526+92</f>
        <v>618</v>
      </c>
      <c r="J302" s="196">
        <f>460+59</f>
        <v>519</v>
      </c>
      <c r="K302" s="196">
        <f>96+3</f>
        <v>99</v>
      </c>
      <c r="L302" s="558">
        <f t="shared" si="46"/>
        <v>1978</v>
      </c>
      <c r="M302" s="945"/>
      <c r="N302" s="196">
        <f>128+7</f>
        <v>135</v>
      </c>
      <c r="O302" s="196">
        <f>590+17</f>
        <v>607</v>
      </c>
      <c r="P302" s="196">
        <f>526+92</f>
        <v>618</v>
      </c>
      <c r="Q302" s="196">
        <f>460+59</f>
        <v>519</v>
      </c>
      <c r="R302" s="196">
        <f>96+3</f>
        <v>99</v>
      </c>
      <c r="S302" s="558">
        <f t="shared" si="47"/>
        <v>1978</v>
      </c>
      <c r="T302" s="945"/>
      <c r="U302" s="196">
        <f>128+7</f>
        <v>135</v>
      </c>
      <c r="V302" s="196">
        <f>590+17</f>
        <v>607</v>
      </c>
      <c r="W302" s="196">
        <f>526+92</f>
        <v>618</v>
      </c>
      <c r="X302" s="196">
        <f>460+59</f>
        <v>519</v>
      </c>
      <c r="Y302" s="196">
        <f>96+3</f>
        <v>99</v>
      </c>
      <c r="Z302" s="558">
        <f t="shared" si="48"/>
        <v>1978</v>
      </c>
      <c r="AA302" s="945"/>
      <c r="AB302" s="196">
        <f>128+7</f>
        <v>135</v>
      </c>
      <c r="AC302" s="196">
        <f>590+17</f>
        <v>607</v>
      </c>
      <c r="AD302" s="196">
        <f>526+92</f>
        <v>618</v>
      </c>
      <c r="AE302" s="196">
        <f>460+59</f>
        <v>519</v>
      </c>
      <c r="AF302" s="196">
        <f>96+3</f>
        <v>99</v>
      </c>
      <c r="AG302" s="200">
        <f t="shared" si="49"/>
        <v>1978</v>
      </c>
      <c r="AH302" s="945"/>
      <c r="AI302" s="242"/>
      <c r="AJ302" s="933"/>
      <c r="AK302" s="927"/>
      <c r="AL302" s="927"/>
      <c r="AM302" s="902"/>
      <c r="AN302" s="924"/>
      <c r="AO302" s="924"/>
      <c r="AP302" s="924"/>
      <c r="AQ302" s="924"/>
      <c r="AR302" s="915"/>
    </row>
    <row r="303" spans="1:44" s="50" customFormat="1" ht="31.9" customHeight="1" thickBot="1">
      <c r="A303" s="197"/>
      <c r="B303" s="941"/>
      <c r="C303" s="942"/>
      <c r="D303" s="943"/>
      <c r="E303" s="943"/>
      <c r="F303" s="236" t="s">
        <v>349</v>
      </c>
      <c r="G303" s="203">
        <f>IF($B$300="Лікар-педіатр",G302/L302,IF($B$300="Лікар-терапевт","х",IF($B$300="Лікар загальної практики - сімейний лікар",G302/L302,0)))</f>
        <v>6.8250758341759352E-2</v>
      </c>
      <c r="H303" s="203">
        <f>IF($B$300="Лікар-педіатр",H302/L302,IF($B$300="Лікар-терапевт","х",IF($B$300="Лікар загальної практики - сімейний лікар",H302/L302,0)))</f>
        <v>0.30687563195146611</v>
      </c>
      <c r="I303" s="203">
        <f>IF($B$300="Лікар-педіатр","x",IF($B$300="Лікар-терапевт",I302/L302,IF($B$300="Лікар загальної практики - сімейний лікар",I302/L302,0)))</f>
        <v>0.31243680485338726</v>
      </c>
      <c r="J303" s="203">
        <f>IF($B$300="Лікар-педіатр","x",IF($B$300="Лікар-терапевт",J302/L302,IF($B$300="Лікар загальної практики - сімейний лікар",J302/L302,0)))</f>
        <v>0.26238624873609706</v>
      </c>
      <c r="K303" s="203">
        <f>IF($B$300="Лікар-педіатр","x",IF($B$300="Лікар-терапевт",K302/L302,IF($B$300="Лікар загальної практики - сімейний лікар",K302/L302,0)))</f>
        <v>5.0050556117290194E-2</v>
      </c>
      <c r="L303" s="203">
        <f t="shared" si="46"/>
        <v>1</v>
      </c>
      <c r="M303" s="945"/>
      <c r="N303" s="203">
        <f>IF($B$300="Лікар-педіатр",N302/S302,IF($B$300="Лікар-терапевт","х",IF($B$300="Лікар загальної практики - сімейний лікар",N302/S302,0)))</f>
        <v>6.8250758341759352E-2</v>
      </c>
      <c r="O303" s="203">
        <f>IF($B$300="Лікар-педіатр",O302/S302,IF($B$300="Лікар-терапевт","х",IF($B$300="Лікар загальної практики - сімейний лікар",O302/S302,0)))</f>
        <v>0.30687563195146611</v>
      </c>
      <c r="P303" s="203">
        <f>IF($B$300="Лікар-педіатр","x",IF($B$300="Лікар-терапевт",P302/S302,IF($B$300="Лікар загальної практики - сімейний лікар",P302/S302,0)))</f>
        <v>0.31243680485338726</v>
      </c>
      <c r="Q303" s="203">
        <f>IF($B$300="Лікар-педіатр","x",IF($B$300="Лікар-терапевт",Q302/S302,IF($B$300="Лікар загальної практики - сімейний лікар",Q302/S302,0)))</f>
        <v>0.26238624873609706</v>
      </c>
      <c r="R303" s="203">
        <f>IF($B$300="Лікар-педіатр","x",IF($B$300="Лікар-терапевт",R302/S302,IF($B$300="Лікар загальної практики - сімейний лікар",R302/S302,0)))</f>
        <v>5.0050556117290194E-2</v>
      </c>
      <c r="S303" s="203">
        <f t="shared" si="47"/>
        <v>1</v>
      </c>
      <c r="T303" s="945"/>
      <c r="U303" s="203">
        <f>IF($B$300="Лікар-педіатр",U302/Z302,IF($B$300="Лікар-терапевт","х",IF($B$300="Лікар загальної практики - сімейний лікар",U302/Z302,0)))</f>
        <v>6.8250758341759352E-2</v>
      </c>
      <c r="V303" s="203">
        <f>IF($B$300="Лікар-педіатр",V302/Z302,IF($B$300="Лікар-терапевт","х",IF($B$300="Лікар загальної практики - сімейний лікар",V302/Z302,0)))</f>
        <v>0.30687563195146611</v>
      </c>
      <c r="W303" s="203">
        <f>IF($B$300="Лікар-педіатр","x",IF($B$300="Лікар-терапевт",W302/Z302,IF($B$300="Лікар загальної практики - сімейний лікар",W302/Z302,0)))</f>
        <v>0.31243680485338726</v>
      </c>
      <c r="X303" s="203">
        <f>IF($B$300="Лікар-педіатр","x",IF($B$300="Лікар-терапевт",X302/Z302,IF($B$300="Лікар загальної практики - сімейний лікар",X302/Z302,0)))</f>
        <v>0.26238624873609706</v>
      </c>
      <c r="Y303" s="203">
        <f>IF($B$300="Лікар-педіатр","x",IF($B$300="Лікар-терапевт",Y302/Z302,IF($B$300="Лікар загальної практики - сімейний лікар",Y302/Z302,0)))</f>
        <v>5.0050556117290194E-2</v>
      </c>
      <c r="Z303" s="203">
        <f t="shared" si="48"/>
        <v>1</v>
      </c>
      <c r="AA303" s="945"/>
      <c r="AB303" s="203">
        <f>IF($B$300="Лікар-педіатр",AB302/AG302,IF($B$300="Лікар-терапевт","х",IF($B$300="Лікар загальної практики - сімейний лікар",AB302/AG302,0)))</f>
        <v>6.8250758341759352E-2</v>
      </c>
      <c r="AC303" s="203">
        <f>IF($B$300="Лікар-педіатр",AC302/AG302,IF($B$300="Лікар-терапевт","х",IF($B$300="Лікар загальної практики - сімейний лікар",AC302/AG302,0)))</f>
        <v>0.30687563195146611</v>
      </c>
      <c r="AD303" s="203">
        <f>IF($B$300="Лікар-педіатр","x",IF($B$300="Лікар-терапевт",AD302/AG302,IF($B$300="Лікар загальної практики - сімейний лікар",AD302/AG302,0)))</f>
        <v>0.31243680485338726</v>
      </c>
      <c r="AE303" s="203">
        <f>IF($B$300="Лікар-педіатр","x",IF($B$300="Лікар-терапевт",AE302/AG302,IF($B$300="Лікар загальної практики - сімейний лікар",AE302/AG302,0)))</f>
        <v>0.26238624873609706</v>
      </c>
      <c r="AF303" s="203">
        <f>IF($B$300="Лікар-педіатр","x",IF($B$300="Лікар-терапевт",AF302/AG302,IF($B$300="Лікар загальної практики - сімейний лікар",AF302/AG302,0)))</f>
        <v>5.0050556117290194E-2</v>
      </c>
      <c r="AG303" s="203">
        <f t="shared" si="49"/>
        <v>1</v>
      </c>
      <c r="AH303" s="945"/>
      <c r="AI303" s="201"/>
      <c r="AJ303" s="933"/>
      <c r="AK303" s="927"/>
      <c r="AL303" s="927"/>
      <c r="AM303" s="902"/>
      <c r="AN303" s="924"/>
      <c r="AO303" s="924"/>
      <c r="AP303" s="924"/>
      <c r="AQ303" s="924"/>
      <c r="AR303" s="915"/>
    </row>
    <row r="304" spans="1:44" s="50" customFormat="1" ht="45" customHeight="1" thickBot="1">
      <c r="A304" s="197"/>
      <c r="B304" s="941"/>
      <c r="C304" s="942"/>
      <c r="D304" s="943"/>
      <c r="E304" s="944"/>
      <c r="F304" s="204" t="s">
        <v>585</v>
      </c>
      <c r="G304" s="205">
        <f>IF($B$300="Лікар загальної практики - сімейний лікар",AVERAGE(G300:G302),IF($B$300="Лікар-педіатр",AVERAGE(G300:G302),IF($B$300="Лікар-терапевт","х",0)))</f>
        <v>135</v>
      </c>
      <c r="H304" s="205">
        <f>IF($B$300="Лікар загальної практики - сімейний лікар",AVERAGE(H300:H302),IF($B$300="Лікар-педіатр",AVERAGE(H300:H302),IF($B$300="Лікар-терапевт","х",0)))</f>
        <v>607</v>
      </c>
      <c r="I304" s="205">
        <f>IF($B$300="Лікар загальної практики - сімейний лікар",AVERAGE(I300:I302),IF($B$300="Лікар-педіатр","x",IF($B$300="Лікар-терапевт",AVERAGE(I300:I302),0)))</f>
        <v>618</v>
      </c>
      <c r="J304" s="205">
        <f>IF($B$300="Лікар загальної практики - сімейний лікар",AVERAGE(J300:J302),IF($B$300="Лікар-педіатр","x",IF($B$300="Лікар-терапевт",AVERAGE(J300:J302),0)))</f>
        <v>519</v>
      </c>
      <c r="K304" s="205">
        <f>IF($B$300="Лікар загальної практики - сімейний лікар",AVERAGE(K300:K302),IF($B$300="Лікар-педіатр","x",IF($B$300="Лікар-терапевт",AVERAGE(K300:K302),0)))</f>
        <v>99</v>
      </c>
      <c r="L304" s="206">
        <f t="shared" si="46"/>
        <v>1978</v>
      </c>
      <c r="M304" s="946"/>
      <c r="N304" s="205">
        <f>IF($B$300="Лікар загальної практики - сімейний лікар",AVERAGE(N300:N302),IF($B$300="Лікар-педіатр",AVERAGE(N300:N302),IF($B$300="Лікар-терапевт","х",0)))</f>
        <v>135</v>
      </c>
      <c r="O304" s="205">
        <f>IF($B$300="Лікар загальної практики - сімейний лікар",AVERAGE(O300:O302),IF($B$300="Лікар-педіатр",AVERAGE(O300:O302),IF($B$300="Лікар-терапевт","х",0)))</f>
        <v>607</v>
      </c>
      <c r="P304" s="205">
        <f>IF($B$300="Лікар загальної практики - сімейний лікар",AVERAGE(P300:P302),IF($B$300="Лікар-педіатр","x",IF($B$300="Лікар-терапевт",AVERAGE(P300:P302),0)))</f>
        <v>618</v>
      </c>
      <c r="Q304" s="205">
        <f>IF($B$300="Лікар загальної практики - сімейний лікар",AVERAGE(Q300:Q302),IF($B$300="Лікар-педіатр","x",IF($B$300="Лікар-терапевт",AVERAGE(Q300:Q302),0)))</f>
        <v>519</v>
      </c>
      <c r="R304" s="205">
        <f>IF($B$300="Лікар загальної практики - сімейний лікар",AVERAGE(R300:R302),IF($B$300="Лікар-педіатр","x",IF($B$300="Лікар-терапевт",AVERAGE(R300:R302),0)))</f>
        <v>99</v>
      </c>
      <c r="S304" s="206">
        <f t="shared" si="47"/>
        <v>1978</v>
      </c>
      <c r="T304" s="946"/>
      <c r="U304" s="205">
        <f>IF($B$300="Лікар загальної практики - сімейний лікар",AVERAGE(U300:U302),IF($B$300="Лікар-педіатр",AVERAGE(U300:U302),IF($B$300="Лікар-терапевт","х",0)))</f>
        <v>135</v>
      </c>
      <c r="V304" s="205">
        <f>IF($B$300="Лікар загальної практики - сімейний лікар",AVERAGE(V300:V302),IF($B$300="Лікар-педіатр",AVERAGE(V300:V302),IF($B$300="Лікар-терапевт","х",0)))</f>
        <v>607</v>
      </c>
      <c r="W304" s="205">
        <f>IF($B$300="Лікар загальної практики - сімейний лікар",AVERAGE(W300:W302),IF($B$300="Лікар-педіатр","x",IF($B$300="Лікар-терапевт",AVERAGE(W300:W302),0)))</f>
        <v>618</v>
      </c>
      <c r="X304" s="205">
        <f>IF($B$300="Лікар загальної практики - сімейний лікар",AVERAGE(X300:X302),IF($B$300="Лікар-педіатр","x",IF($B$300="Лікар-терапевт",AVERAGE(X300:X302),0)))</f>
        <v>519</v>
      </c>
      <c r="Y304" s="205">
        <f>IF($B$300="Лікар загальної практики - сімейний лікар",AVERAGE(Y300:Y302),IF($B$300="Лікар-педіатр","x",IF($B$300="Лікар-терапевт",AVERAGE(Y300:Y302),0)))</f>
        <v>99</v>
      </c>
      <c r="Z304" s="206">
        <f t="shared" si="48"/>
        <v>1978</v>
      </c>
      <c r="AA304" s="946"/>
      <c r="AB304" s="205">
        <f>IF($B$300="Лікар загальної практики - сімейний лікар",AVERAGE(AB300:AB302),IF($B$300="Лікар-педіатр",AVERAGE(AB300:AB302),IF($B$300="Лікар-терапевт","х",0)))</f>
        <v>135</v>
      </c>
      <c r="AC304" s="205">
        <f>IF($B$300="Лікар загальної практики - сімейний лікар",AVERAGE(AC300:AC302),IF($B$300="Лікар-педіатр",AVERAGE(AC300:AC302),IF($B$300="Лікар-терапевт","х",0)))</f>
        <v>607</v>
      </c>
      <c r="AD304" s="205">
        <f>IF($B$300="Лікар загальної практики - сімейний лікар",AVERAGE(AD300:AD302),IF($B$300="Лікар-педіатр","x",IF($B$300="Лікар-терапевт",AVERAGE(AD300:AD302),0)))</f>
        <v>618</v>
      </c>
      <c r="AE304" s="205">
        <f>IF($B$300="Лікар загальної практики - сімейний лікар",AVERAGE(AE300:AE302),IF($B$300="Лікар-педіатр","x",IF($B$300="Лікар-терапевт",AVERAGE(AE300:AE302),0)))</f>
        <v>519</v>
      </c>
      <c r="AF304" s="205">
        <f>IF($B$300="Лікар загальної практики - сімейний лікар",AVERAGE(AF300:AF302),IF($B$300="Лікар-педіатр","x",IF($B$300="Лікар-терапевт",AVERAGE(AF300:AF302),0)))</f>
        <v>99</v>
      </c>
      <c r="AG304" s="206">
        <f t="shared" si="49"/>
        <v>1978</v>
      </c>
      <c r="AH304" s="947"/>
      <c r="AI304" s="201"/>
      <c r="AJ304" s="933"/>
      <c r="AK304" s="927"/>
      <c r="AL304" s="927"/>
      <c r="AM304" s="903"/>
      <c r="AN304" s="925"/>
      <c r="AO304" s="925"/>
      <c r="AP304" s="925"/>
      <c r="AQ304" s="925"/>
      <c r="AR304" s="916"/>
    </row>
    <row r="305" spans="1:44" s="50" customFormat="1" ht="40.5">
      <c r="A305" s="197"/>
      <c r="B305" s="941"/>
      <c r="C305" s="942"/>
      <c r="D305" s="943"/>
      <c r="E305" s="943"/>
      <c r="F305" s="237" t="str">
        <f ca="1">IF(B300="Лікар-педіатр",Законод!$C$17,IF(B300="Лікар загальної практики - сімейний лікар",Законод!$C$21,IF(B300="Лікар-терапевт",Законод!$C$25,"х")))</f>
        <v>ліміт (до 1800)</v>
      </c>
      <c r="G305" s="208">
        <f ca="1">IF($B$300="Лікар загальної практики - сімейний лікар",IF(L304&lt;=Законод!$C$22,G304,Законод!$C$22*'01_Доходи'!G303),IF($B$300="Лікар-педіатр",IF(L304&lt;=Законод!$C$18,G304,Законод!$C$18*'01_Доходи'!G303),IF($B$300="Лікар-терапевт","x",0)))</f>
        <v>122.85136501516683</v>
      </c>
      <c r="H305" s="208">
        <f ca="1">IF($B$300="Лікар загальної практики - сімейний лікар",IF(L304&lt;=Законод!$C$22,H304,Законод!$C$22*'01_Доходи'!H303),IF($B$300="Лікар-педіатр",IF(L304&lt;=Законод!$C$18,H304,Законод!$C$18*'01_Доходи'!H303),IF($B$300="Лікар-терапевт","x",0)))</f>
        <v>552.37613751263905</v>
      </c>
      <c r="I305" s="208">
        <f ca="1">IF($B$300="Лікар загальної практики - сімейний лікар",IF(L304&lt;=Законод!$C$22,I304,Законод!$C$22*'01_Доходи'!I303),IF($B$300="Лікар-педіатр","x",IF($B$300="Лікар-терапевт",IF(L304&lt;=Законод!$C$26,I304,Законод!$C$26*'01_Доходи'!I303),0)))</f>
        <v>562.38624873609706</v>
      </c>
      <c r="J305" s="208">
        <f ca="1">IF($B$300="Лікар загальної практики - сімейний лікар",IF(L304&lt;=Законод!$C$22,J304,Законод!$C$22*'01_Доходи'!J303),IF($B$300="Лікар-педіатр","x",IF($B$300="Лікар-терапевт",IF(L304&lt;=Законод!$C$26,J304,Законод!$C$26*'01_Доходи'!J303),0)))</f>
        <v>472.29524772497473</v>
      </c>
      <c r="K305" s="208">
        <f ca="1">IF($B$300="Лікар загальної практики - сімейний лікар",IF(L304&lt;=Законод!$C$22,K304,Законод!$C$22*'01_Доходи'!K303),IF($B$300="Лікар-педіатр","x",IF($B$300="Лікар-терапевт",IF(L304&lt;=Законод!$C$26,K304,Законод!$C$26*'01_Доходи'!K303),0)))</f>
        <v>90.091001011122344</v>
      </c>
      <c r="L305" s="209">
        <f t="shared" si="46"/>
        <v>1800</v>
      </c>
      <c r="M305" s="945"/>
      <c r="N305" s="208">
        <f ca="1">IF($B$300="Лікар загальної практики - сімейний лікар",IF(S304&lt;=Законод!$C$22,N304,Законод!$C$22*'01_Доходи'!N303),IF($B$300="Лікар-педіатр",IF(S304&lt;=Законод!$C$18,N304,Законод!$C$18*'01_Доходи'!N303),IF($B$300="Лікар-терапевт","x",0)))</f>
        <v>122.85136501516683</v>
      </c>
      <c r="O305" s="208">
        <f ca="1">IF($B$300="Лікар загальної практики - сімейний лікар",IF(S304&lt;=Законод!$C$22,O304,Законод!$C$22*'01_Доходи'!O303),IF($B$300="Лікар-педіатр",IF(S304&lt;=Законод!$C$18,O304,Законод!$C$18*'01_Доходи'!O303),IF($B$300="Лікар-терапевт","x",0)))</f>
        <v>552.37613751263905</v>
      </c>
      <c r="P305" s="208">
        <f ca="1">IF($B$300="Лікар загальної практики - сімейний лікар",IF(S304&lt;=Законод!$C$22,P304,Законод!$C$22*'01_Доходи'!P303),IF($B$300="Лікар-педіатр","x",IF($B$300="Лікар-терапевт",IF(S304&lt;=Законод!$C$26,P304,Законод!$C$26*'01_Доходи'!P303),0)))</f>
        <v>562.38624873609706</v>
      </c>
      <c r="Q305" s="208">
        <f ca="1">IF($B$300="Лікар загальної практики - сімейний лікар",IF(S304&lt;=Законод!$C$22,Q304,Законод!$C$22*'01_Доходи'!Q303),IF($B$300="Лікар-педіатр","x",IF($B$300="Лікар-терапевт",IF(S304&lt;=Законод!$C$26,Q304,Законод!$C$26*'01_Доходи'!Q303),0)))</f>
        <v>472.29524772497473</v>
      </c>
      <c r="R305" s="208">
        <f ca="1">IF($B$300="Лікар загальної практики - сімейний лікар",IF(S304&lt;=Законод!$C$22,R304,Законод!$C$22*'01_Доходи'!R303),IF($B$300="Лікар-педіатр","x",IF($B$300="Лікар-терапевт",IF(S304&lt;=Законод!$C$26,R304,Законод!$C$26*'01_Доходи'!R303),0)))</f>
        <v>90.091001011122344</v>
      </c>
      <c r="S305" s="209">
        <f t="shared" si="47"/>
        <v>1800</v>
      </c>
      <c r="T305" s="945"/>
      <c r="U305" s="208">
        <f ca="1">IF($B$300="Лікар загальної практики - сімейний лікар",IF(Z304&lt;=Законод!$C$22,U304,Законод!$C$22*'01_Доходи'!U303),IF($B$300="Лікар-педіатр",IF(Z304&lt;=Законод!$C$18,U304,Законод!$C$18*'01_Доходи'!U303),IF($B$300="Лікар-терапевт","x",0)))</f>
        <v>122.85136501516683</v>
      </c>
      <c r="V305" s="208">
        <f ca="1">IF($B$300="Лікар загальної практики - сімейний лікар",IF(Z304&lt;=Законод!$C$22,V304,Законод!$C$22*'01_Доходи'!V303),IF($B$300="Лікар-педіатр",IF(Z304&lt;=Законод!$C$18,V304,Законод!$C$18*'01_Доходи'!V303),IF($B$300="Лікар-терапевт","x",0)))</f>
        <v>552.37613751263905</v>
      </c>
      <c r="W305" s="208">
        <f ca="1">IF($B$300="Лікар загальної практики - сімейний лікар",IF(Z304&lt;=Законод!$C$22,W304,Законод!$C$22*'01_Доходи'!W303),IF($B$300="Лікар-педіатр","x",IF($B$300="Лікар-терапевт",IF(Z304&lt;=Законод!$C$26,W304,Законод!$C$26*'01_Доходи'!W303),0)))</f>
        <v>562.38624873609706</v>
      </c>
      <c r="X305" s="208">
        <f ca="1">IF($B$300="Лікар загальної практики - сімейний лікар",IF(Z304&lt;=Законод!$C$22,X304,Законод!$C$22*'01_Доходи'!X303),IF($B$300="Лікар-педіатр","x",IF($B$300="Лікар-терапевт",IF(Z304&lt;=Законод!$C$26,X304,Законод!$C$26*'01_Доходи'!X303),0)))</f>
        <v>472.29524772497473</v>
      </c>
      <c r="Y305" s="208">
        <f ca="1">IF($B$300="Лікар загальної практики - сімейний лікар",IF(Z304&lt;=Законод!$C$22,Y304,Законод!$C$22*'01_Доходи'!Y303),IF($B$300="Лікар-педіатр","x",IF($B$300="Лікар-терапевт",IF(Z304&lt;=Законод!$C$26,Y304,Законод!$C$26*'01_Доходи'!Y303),0)))</f>
        <v>90.091001011122344</v>
      </c>
      <c r="Z305" s="209">
        <f t="shared" si="48"/>
        <v>1800</v>
      </c>
      <c r="AA305" s="945"/>
      <c r="AB305" s="208">
        <f ca="1">IF($B$300="Лікар загальної практики - сімейний лікар",IF(AG304&lt;=Законод!$C$22,AB304,Законод!$C$22*'01_Доходи'!AB303),IF($B$300="Лікар-педіатр",IF(AG304&lt;=Законод!$C$18,AB304,Законод!$C$18*'01_Доходи'!AB303),IF($B$300="Лікар-терапевт","x",0)))</f>
        <v>122.85136501516683</v>
      </c>
      <c r="AC305" s="208">
        <f ca="1">IF($B$300="Лікар загальної практики - сімейний лікар",IF(AG304&lt;=Законод!$C$22,AC304,Законод!$C$22*'01_Доходи'!AC303),IF($B$300="Лікар-педіатр",IF(AG304&lt;=Законод!$C$18,AC304,Законод!$C$18*'01_Доходи'!AC303),IF($B$300="Лікар-терапевт","x",0)))</f>
        <v>552.37613751263905</v>
      </c>
      <c r="AD305" s="208">
        <f ca="1">IF($B$300="Лікар загальної практики - сімейний лікар",IF(AG304&lt;=Законод!$C$22,AD304,Законод!$C$22*'01_Доходи'!AD303),IF($B$300="Лікар-педіатр","x",IF($B$300="Лікар-терапевт",IF(AG304&lt;=Законод!$C$26,AD304,Законод!$C$26*'01_Доходи'!AD303),0)))</f>
        <v>562.38624873609706</v>
      </c>
      <c r="AE305" s="208">
        <f ca="1">IF($B$300="Лікар загальної практики - сімейний лікар",IF(AG304&lt;=Законод!$C$22,AE304,Законод!$C$22*'01_Доходи'!AE303),IF($B$300="Лікар-педіатр","x",IF($B$300="Лікар-терапевт",IF(AG304&lt;=Законод!$C$26,AE304,Законод!$C$26*'01_Доходи'!AE303),0)))</f>
        <v>472.29524772497473</v>
      </c>
      <c r="AF305" s="208">
        <f ca="1">IF($B$300="Лікар загальної практики - сімейний лікар",IF(AG304&lt;=Законод!$C$22,AF304,Законод!$C$22*'01_Доходи'!AF303),IF($B$300="Лікар-педіатр","x",IF($B$300="Лікар-терапевт",IF(AG304&lt;=Законод!$C$26,AF304,Законод!$C$26*'01_Доходи'!AF303),0)))</f>
        <v>90.091001011122344</v>
      </c>
      <c r="AG305" s="209">
        <f t="shared" si="49"/>
        <v>1800</v>
      </c>
      <c r="AH305" s="945"/>
      <c r="AI305" s="201"/>
      <c r="AJ305" s="933"/>
      <c r="AK305" s="927"/>
      <c r="AL305" s="927"/>
      <c r="AM305" s="348" t="s">
        <v>374</v>
      </c>
      <c r="AN305" s="210">
        <f ca="1">IF(B300="Лікар загальної практики - сімейний лікар",G305*Законод!$C$11+'01_Доходи'!H305*Законод!$D$11+'01_Доходи'!I305*Законод!$E$11+'01_Доходи'!J305*Законод!$F$11+'01_Доходи'!K305*Законод!$G$11,IF(B300="Лікар-педіатр",G305*Законод!$C$11+'01_Доходи'!H305*Законод!$D$11,IF(B300="Лікар-терапевт",'01_Доходи'!I305*Законод!$E$11+'01_Доходи'!J305*Законод!$F$11+'01_Доходи'!K305*Законод!$G$11,0)))</f>
        <v>365457.70501516684</v>
      </c>
      <c r="AO305" s="210">
        <f ca="1">IF(B300="Лікар загальної практики - сімейний лікар",N305*Законод!$C$11+'01_Доходи'!O305*Законод!$D$11+'01_Доходи'!P305*Законод!$E$11+'01_Доходи'!Q305*Законод!$F$11+'01_Доходи'!R305*Законод!$G$11,IF(B300="Лікар-педіатр",N305*Законод!$C$11+'01_Доходи'!O305*Законод!$D$11,IF(B300="Лікар-терапевт",'01_Доходи'!P305*Законод!$E$11+'01_Доходи'!Q305*Законод!$F$11+'01_Доходи'!R305*Законод!$G$11,0)))</f>
        <v>365457.70501516684</v>
      </c>
      <c r="AP305" s="210">
        <f ca="1">IF(B300="Лікар загальної практики - сімейний лікар",U305*Законод!$C$11+'01_Доходи'!V305*Законод!$D$11+'01_Доходи'!W305*Законод!$E$11+'01_Доходи'!X305*Законод!$F$11+'01_Доходи'!Y305*Законод!$G$11,IF(B300="Лікар-педіатр",U305*Законод!$C$11+'01_Доходи'!V305*Законод!$D$11,IF(B300="Лікар-терапевт",'01_Доходи'!W305*Законод!$E$11+'01_Доходи'!X305*Законод!$F$11+'01_Доходи'!Y305*Законод!$G$11,0)))</f>
        <v>365457.70501516684</v>
      </c>
      <c r="AQ305" s="210">
        <f ca="1">IF(B300="Лікар загальної практики - сімейний лікар",AB305*Законод!$C$11+'01_Доходи'!AC305*Законод!$D$11+'01_Доходи'!AD305*Законод!$E$11+'01_Доходи'!AE305*Законод!$F$11+'01_Доходи'!AF305*Законод!$G$11,IF(B300="Лікар-педіатр",AB305*Законод!$C$11+'01_Доходи'!AC305*Законод!$D$11,IF(B300="Лікар-терапевт",'01_Доходи'!AD305*Законод!$E$11+'01_Доходи'!AE305*Законод!$F$11+'01_Доходи'!AF305*Законод!$G$11,0)))</f>
        <v>365457.70501516684</v>
      </c>
      <c r="AR305" s="211">
        <f t="shared" ref="AR305:AR311" si="50">SUM(AN305:AQ305)</f>
        <v>1461830.8200606673</v>
      </c>
    </row>
    <row r="306" spans="1:44" s="50" customFormat="1" ht="31.9" customHeight="1">
      <c r="A306" s="197"/>
      <c r="B306" s="941"/>
      <c r="C306" s="942"/>
      <c r="D306" s="943"/>
      <c r="E306" s="943"/>
      <c r="F306" s="238" t="str">
        <f ca="1">IF(B300="Лікар-педіатр",Законод!$E$17,IF(B300="Лікар загальної практики - сімейний лікар",Законод!$E$21,IF(B300="Лікар-терапевт",Законод!$E$25,"х")))</f>
        <v>понад ліміт (1801-1980)</v>
      </c>
      <c r="G306" s="940" t="s">
        <v>346</v>
      </c>
      <c r="H306" s="940"/>
      <c r="I306" s="940"/>
      <c r="J306" s="940"/>
      <c r="K306" s="940"/>
      <c r="L306" s="196">
        <f ca="1">IF($B$300="Лікар загальної практики - сімейний лікар",IF(L304&lt;Законод!$C$22,0,(IF(AND(L304&gt;=Законод!$E$22,L304&lt;=Законод!$E$23),L304-Законод!$C$22,IF('01_Доходи'!L304&gt;=Законод!$F$22,Законод!$E$24,0)))),IF($B$300="Лікар-педіатр",IF(L304&lt;Законод!$C$18,0,(IF(AND(L304&gt;=Законод!$E$18,L304&lt;=Законод!$E$19),L304-Законод!$C$18,IF('01_Доходи'!L304&gt;=Законод!$F$18,Законод!$E$20,0)))),IF($B$300="Лікар-терапевт",IF(L304&lt;Законод!$C$26,0,(IF(AND(L304&gt;=Законод!$E$26,L304&lt;=Законод!$E$27),L304-Законод!$C$26,IF('01_Доходи'!L304&gt;=Законод!$F$26,Законод!$E$28,0)))),0)))</f>
        <v>178</v>
      </c>
      <c r="M306" s="945"/>
      <c r="N306" s="940" t="s">
        <v>346</v>
      </c>
      <c r="O306" s="940"/>
      <c r="P306" s="940"/>
      <c r="Q306" s="940"/>
      <c r="R306" s="940"/>
      <c r="S306" s="196">
        <f ca="1">IF($B$300="Лікар загальної практики - сімейний лікар",IF(S304&lt;Законод!$C$22,0,(IF(AND(S304&gt;=Законод!$E$22,S304&lt;=Законод!$E$23),S304-Законод!$C$22,IF('01_Доходи'!S304&gt;=Законод!$F$22,Законод!$E$24,0)))),IF($B$300="Лікар-педіатр",IF(S304&lt;Законод!$C$18,0,(IF(AND(S304&gt;=Законод!$E$18,S304&lt;=Законод!$E$19),S304-Законод!$C$18,IF('01_Доходи'!S304&gt;=Законод!$F$18,Законод!$E$20,0)))),IF($B$300="Лікар-терапевт",IF(S304&lt;Законод!$C$26,0,(IF(AND(S304&gt;=Законод!$E$26,S304&lt;=Законод!$E$27),S304-Законод!$C$26,IF('01_Доходи'!S304&gt;=Законод!$F$26,Законод!$E$28,0)))),0)))</f>
        <v>178</v>
      </c>
      <c r="T306" s="945"/>
      <c r="U306" s="940" t="s">
        <v>346</v>
      </c>
      <c r="V306" s="940"/>
      <c r="W306" s="940"/>
      <c r="X306" s="940"/>
      <c r="Y306" s="940"/>
      <c r="Z306" s="196">
        <f ca="1">IF($B$300="Лікар загальної практики - сімейний лікар",IF(Z304&lt;Законод!$C$22,0,(IF(AND(Z304&gt;=Законод!$E$22,Z304&lt;=Законод!$E$23),Z304-Законод!$C$22,IF('01_Доходи'!Z304&gt;=Законод!$F$22,Законод!$E$24,0)))),IF($B$300="Лікар-педіатр",IF(Z304&lt;Законод!$C$18,0,(IF(AND(Z304&gt;=Законод!$E$18,Z304&lt;=Законод!$E$19),Z304-Законод!$C$18,IF('01_Доходи'!Z304&gt;=Законод!$F$18,Законод!$E$20,0)))),IF($B$300="Лікар-терапевт",IF(Z304&lt;Законод!$C$26,0,(IF(AND(Z304&gt;=Законод!$E$26,Z304&lt;=Законод!$E$27),Z304-Законод!$C$26,IF('01_Доходи'!Z304&gt;=Законод!$F$26,Законод!$E$28,0)))),0)))</f>
        <v>178</v>
      </c>
      <c r="AA306" s="945"/>
      <c r="AB306" s="940" t="s">
        <v>346</v>
      </c>
      <c r="AC306" s="940"/>
      <c r="AD306" s="940"/>
      <c r="AE306" s="940"/>
      <c r="AF306" s="940"/>
      <c r="AG306" s="196">
        <f ca="1">IF($B$300="Лікар загальної практики - сімейний лікар",IF(AG304&lt;Законод!$C$22,0,(IF(AND(AG304&gt;=Законод!$E$22,AG304&lt;=Законод!$E$23),AG304-Законод!$C$22,IF('01_Доходи'!AG304&gt;=Законод!$F$22,Законод!$E$24,0)))),IF($B$300="Лікар-педіатр",IF(AG304&lt;Законод!$C$18,0,(IF(AND(AG304&gt;=Законод!$E$18,AG304&lt;=Законод!$E$19),AG304-Законод!$C$18,IF('01_Доходи'!AG304&gt;=Законод!$F$18,Законод!$E$20,0)))),IF($B$300="Лікар-терапевт",IF(AG304&lt;Законод!$C$26,0,(IF(AND(AG304&gt;=Законод!$E$26,AG304&lt;=Законод!$E$27),AG304-Законод!$C$26,IF('01_Доходи'!AG304&gt;=Законод!$F$26,Законод!$E$28,0)))),0)))</f>
        <v>178</v>
      </c>
      <c r="AH306" s="945"/>
      <c r="AI306" s="201"/>
      <c r="AJ306" s="933"/>
      <c r="AK306" s="927"/>
      <c r="AL306" s="927"/>
      <c r="AM306" s="898" t="s">
        <v>375</v>
      </c>
      <c r="AN306" s="210">
        <f ca="1">IF(B300="Лікар загальної практики - сімейний лікар",L306*Законод!$C$9/4*Законод!$E$16,IF(B300="Лікар-педіатр",L306*Законод!$C$9/4*Законод!$E$16,IF(B300="Лікар-терапевт",L306*Законод!$C$9/4*Законод!$E$16,0)))</f>
        <v>21563.649799999996</v>
      </c>
      <c r="AO306" s="210">
        <f ca="1">IF(B300="Лікар загальної практики - сімейний лікар",S306*Законод!$C$9/4*Законод!$E$16,IF(B300="Лікар-педіатр",S306*Законод!$C$9/4*Законод!$E$16,IF(B300="Лікар-терапевт",S306*Законод!$C$9/4*Законод!$E$16,0)))</f>
        <v>21563.649799999996</v>
      </c>
      <c r="AP306" s="210">
        <f ca="1">IF(B300="Лікар загальної практики - сімейний лікар",Z306*Законод!$C$9/4*Законод!$E$16,IF(B300="Лікар-педіатр",Z306*Законод!$C$9/4*Законод!$E$16,IF(B300="Лікар-терапевт",Z306*Законод!$C$9/4*Законод!$E$16,0)))</f>
        <v>21563.649799999996</v>
      </c>
      <c r="AQ306" s="210">
        <f ca="1">IF(B300="Лікар загальної практики - сімейний лікар",AG306*Законод!$C$9/4*Законод!$E$16,IF(B300="Лікар-педіатр",AG306*Законод!$C$9/4*Законод!$E$16,IF(B300="Лікар-терапевт",AG306*Законод!$C$9/4*Законод!$E$16,0)))</f>
        <v>21563.649799999996</v>
      </c>
      <c r="AR306" s="211">
        <f t="shared" si="50"/>
        <v>86254.599199999982</v>
      </c>
    </row>
    <row r="307" spans="1:44" s="50" customFormat="1" ht="31.9" customHeight="1">
      <c r="A307" s="197"/>
      <c r="B307" s="941"/>
      <c r="C307" s="942"/>
      <c r="D307" s="943"/>
      <c r="E307" s="943"/>
      <c r="F307" s="238" t="str">
        <f ca="1">IF(B300="Лікар-педіатр",Законод!$F$17,IF(B300="Лікар загальної практики - сімейний лікар",Законод!$F$21,IF(B300="Лікар-терапевт",Законод!$F$25,"х")))</f>
        <v>понад ліміт (1981-2160)</v>
      </c>
      <c r="G307" s="940" t="s">
        <v>346</v>
      </c>
      <c r="H307" s="940"/>
      <c r="I307" s="940"/>
      <c r="J307" s="940"/>
      <c r="K307" s="940"/>
      <c r="L307" s="196">
        <f ca="1">IF($B$300="Лікар загальної практики - сімейний лікар",IF(L304&lt;Законод!$C$22,0,(IF(AND(L304&gt;=Законод!$F$22,L304&lt;=Законод!$F$23),L304-Законод!$E$23,IF('01_Доходи'!L304&gt;=Законод!$G$22,Законод!$F$24,0)))),IF($B$300="Лікар-педіатр",IF(L304&lt;Законод!$C$18,0,(IF(AND(L304&gt;=Законод!$F$18,L304&lt;=Законод!$F$19),L304-Законод!$E$19,IF('01_Доходи'!L304&gt;=Законод!$G$18,Законод!$F$20,0)))),IF($B$300="Лікар-терапевт",IF(L304&lt;Законод!$C$26,0,(IF(AND(L304&gt;=Законод!$F$26,L304&lt;=Законод!$F$27),L304-Законод!$E$27,IF('01_Доходи'!L304&gt;=Законод!$G$26,Законод!$F$28,0)))),0)))</f>
        <v>0</v>
      </c>
      <c r="M307" s="945"/>
      <c r="N307" s="940" t="s">
        <v>346</v>
      </c>
      <c r="O307" s="940"/>
      <c r="P307" s="940"/>
      <c r="Q307" s="940"/>
      <c r="R307" s="940"/>
      <c r="S307" s="196">
        <f ca="1">IF($B$300="Лікар загальної практики - сімейний лікар",IF(S304&lt;Законод!$C$22,0,(IF(AND(S304&gt;=Законод!$F$22,S304&lt;=Законод!$F$23),S304-Законод!$E$23,IF('01_Доходи'!S304&gt;=Законод!$G$22,Законод!$F$24,0)))),IF($B$300="Лікар-педіатр",IF(S304&lt;Законод!$C$18,0,(IF(AND(S304&gt;=Законод!$F$18,S304&lt;=Законод!$F$19),S304-Законод!$E$19,IF('01_Доходи'!S304&gt;=Законод!$G$18,Законод!$F$20,0)))),IF($B$300="Лікар-терапевт",IF(S304&lt;Законод!$C$26,0,(IF(AND(S304&gt;=Законод!$F$26,S304&lt;=Законод!$F$27),S304-Законод!$E$27,IF('01_Доходи'!S304&gt;=Законод!$G$26,Законод!$F$28,0)))),0)))</f>
        <v>0</v>
      </c>
      <c r="T307" s="945"/>
      <c r="U307" s="940" t="s">
        <v>346</v>
      </c>
      <c r="V307" s="940"/>
      <c r="W307" s="940"/>
      <c r="X307" s="940"/>
      <c r="Y307" s="940"/>
      <c r="Z307" s="196">
        <f ca="1">IF($B$300="Лікар загальної практики - сімейний лікар",IF(Z304&lt;Законод!$C$22,0,(IF(AND(Z304&gt;=Законод!$F$22,Z304&lt;=Законод!$F$23),Z304-Законод!$E$23,IF('01_Доходи'!Z304&gt;=Законод!$G$22,Законод!$F$24,0)))),IF($B$300="Лікар-педіатр",IF(Z304&lt;Законод!$C$18,0,(IF(AND(Z304&gt;=Законод!$F$18,Z304&lt;=Законод!$F$19),Z304-Законод!$E$19,IF('01_Доходи'!Z304&gt;=Законод!$G$18,Законод!$F$20,0)))),IF($B$300="Лікар-терапевт",IF(Z304&lt;Законод!$C$26,0,(IF(AND(Z304&gt;=Законод!$F$26,Z304&lt;=Законод!$F$27),Z304-Законод!$E$27,IF('01_Доходи'!Z304&gt;=Законод!$G$26,Законод!$F$28,0)))),0)))</f>
        <v>0</v>
      </c>
      <c r="AA307" s="945"/>
      <c r="AB307" s="940" t="s">
        <v>346</v>
      </c>
      <c r="AC307" s="940"/>
      <c r="AD307" s="940"/>
      <c r="AE307" s="940"/>
      <c r="AF307" s="940"/>
      <c r="AG307" s="196">
        <f ca="1">IF($B$300="Лікар загальної практики - сімейний лікар",IF(AG304&lt;Законод!$C$22,0,(IF(AND(AG304&gt;=Законод!$F$22,AG304&lt;=Законод!$F$23),AG304-Законод!$E$23,IF('01_Доходи'!AG304&gt;=Законод!$G$22,Законод!$F$24,0)))),IF($B$300="Лікар-педіатр",IF(AG304&lt;Законод!$C$18,0,(IF(AND(AG304&gt;=Законод!$F$18,AG304&lt;=Законод!$F$19),AG304-Законод!$E$19,IF('01_Доходи'!AG304&gt;=Законод!$G$18,Законод!$F$20,0)))),IF($B$300="Лікар-терапевт",IF(AG304&lt;Законод!$C$26,0,(IF(AND(AG304&gt;=Законод!$F$26,AG304&lt;=Законод!$F$27),AG304-Законод!$E$27,IF('01_Доходи'!AG304&gt;=Законод!$G$26,Законод!$F$28,0)))),0)))</f>
        <v>0</v>
      </c>
      <c r="AH307" s="945"/>
      <c r="AI307" s="201"/>
      <c r="AJ307" s="933"/>
      <c r="AK307" s="927"/>
      <c r="AL307" s="927"/>
      <c r="AM307" s="899"/>
      <c r="AN307" s="210">
        <f ca="1">IF(B300="Лікар загальної практики - сімейний лікар",L307*Законод!$C$9/4*Законод!$F$16,IF(B300="Лікар-педіатр",L307*Законод!$C$9/4*Законод!$F$16,IF(B300="Лікар-терапевт",L307*Законод!$C$9/4*Законод!$F$16,0)))</f>
        <v>0</v>
      </c>
      <c r="AO307" s="210">
        <f ca="1">IF(B300="Лікар загальної практики - сімейний лікар",S307*Законод!$C$9/4*Законод!$F$16,IF(B300="Лікар-педіатр",S307*Законод!$C$9/4*Законод!$F$16,IF(B300="Лікар-терапевт",S307*Законод!$C$9/4*Законод!$F$16,0)))</f>
        <v>0</v>
      </c>
      <c r="AP307" s="210">
        <f ca="1">IF(B300="Лікар загальної практики - сімейний лікар",Z307*Законод!$C$9/4*Законод!$F$16,IF(B300="Лікар-педіатр",Z307*Законод!$C$9/4*Законод!$F$16,IF(B300="Лікар-терапевт",Z307*Законод!$C$9/4*Законод!$F$16,0)))</f>
        <v>0</v>
      </c>
      <c r="AQ307" s="210">
        <f ca="1">IF(B300="Лікар загальної практики - сімейний лікар",AG307*Законод!$C$9/4*Законод!$F$16,IF(B300="Лікар-педіатр",AG307*Законод!$C$9/4*Законод!$F$16,IF(B300="Лікар-терапевт",AG307*Законод!$C$9/4*Законод!$F$16,0)))</f>
        <v>0</v>
      </c>
      <c r="AR307" s="211">
        <f t="shared" si="50"/>
        <v>0</v>
      </c>
    </row>
    <row r="308" spans="1:44" s="50" customFormat="1" ht="31.9" customHeight="1">
      <c r="A308" s="197"/>
      <c r="B308" s="941"/>
      <c r="C308" s="942"/>
      <c r="D308" s="943"/>
      <c r="E308" s="943"/>
      <c r="F308" s="238" t="str">
        <f ca="1">IF(B300="Лікар-педіатр",Законод!$G$17,IF(B300="Лікар загальної практики - сімейний лікар",Законод!$G$21,IF(B300="Лікар-терапевт",Законод!$G$25,"х")))</f>
        <v>понад ліміт (2161-2340)</v>
      </c>
      <c r="G308" s="940" t="s">
        <v>346</v>
      </c>
      <c r="H308" s="940"/>
      <c r="I308" s="940"/>
      <c r="J308" s="940"/>
      <c r="K308" s="940"/>
      <c r="L308" s="196">
        <f ca="1">IF($B$300="Лікар загальної практики - сімейний лікар",IF(L304&lt;Законод!$C$22,0,(IF(AND(L304&gt;=Законод!$G$22,L304&lt;=Законод!$G$23),L304-Законод!$F$23,IF('01_Доходи'!L304&gt;=Законод!$H$22,Законод!$G$24,0)))),IF($B$300="Лікар-педіатр",IF(L304&lt;Законод!$C$18,0,(IF(AND(L304&gt;=Законод!$G$18,L304&lt;=Законод!$G$19),L304-Законод!$F$19,IF('01_Доходи'!L304&gt;=Законод!$H$18,Законод!$G$20,0)))),IF($B$300="Лікар-терапевт",IF(L304&lt;Законод!$C$26,0,(IF(AND(L304&gt;=Законод!$G$26,L304&lt;=Законод!$G$27),L304-Законод!$F$27,IF('01_Доходи'!L304&gt;=Законод!$H$26,Законод!$G$28,0)))),0)))</f>
        <v>0</v>
      </c>
      <c r="M308" s="945"/>
      <c r="N308" s="940" t="s">
        <v>346</v>
      </c>
      <c r="O308" s="940"/>
      <c r="P308" s="940"/>
      <c r="Q308" s="940"/>
      <c r="R308" s="940"/>
      <c r="S308" s="196">
        <f ca="1">IF($B$300="Лікар загальної практики - сімейний лікар",IF(S304&lt;Законод!$C$22,0,(IF(AND(S304&gt;=Законод!$G$22,S304&lt;=Законод!$G$23),S304-Законод!$F$23,IF('01_Доходи'!S304&gt;=Законод!$H$22,Законод!$G$24,0)))),IF($B$300="Лікар-педіатр",IF(S304&lt;Законод!$C$18,0,(IF(AND(S304&gt;=Законод!$G$18,S304&lt;=Законод!$G$19),S304-Законод!$F$19,IF('01_Доходи'!S304&gt;=Законод!$H$18,Законод!$G$20,0)))),IF($B$300="Лікар-терапевт",IF(S304&lt;Законод!$C$26,0,(IF(AND(S304&gt;=Законод!$G$26,S304&lt;=Законод!$G$27),S304-Законод!$F$27,IF('01_Доходи'!S304&gt;=Законод!$H$26,Законод!$G$28,0)))),0)))</f>
        <v>0</v>
      </c>
      <c r="T308" s="945"/>
      <c r="U308" s="940" t="s">
        <v>346</v>
      </c>
      <c r="V308" s="940"/>
      <c r="W308" s="940"/>
      <c r="X308" s="940"/>
      <c r="Y308" s="940"/>
      <c r="Z308" s="196">
        <f ca="1">IF($B$300="Лікар загальної практики - сімейний лікар",IF(Z304&lt;Законод!$C$22,0,(IF(AND(Z304&gt;=Законод!$G$22,Z304&lt;=Законод!$G$23),Z304-Законод!$F$23,IF('01_Доходи'!Z304&gt;=Законод!$H$22,Законод!$G$24,0)))),IF($B$300="Лікар-педіатр",IF(Z304&lt;Законод!$C$18,0,(IF(AND(Z304&gt;=Законод!$G$18,Z304&lt;=Законод!$G$19),Z304-Законод!$F$19,IF('01_Доходи'!Z304&gt;=Законод!$H$18,Законод!$G$20,0)))),IF($B$300="Лікар-терапевт",IF(Z304&lt;Законод!$C$26,0,(IF(AND(Z304&gt;=Законод!$G$26,Z304&lt;=Законод!$G$27),Z304-Законод!$F$27,IF('01_Доходи'!Z304&gt;=Законод!$H$26,Законод!$G$28,0)))),0)))</f>
        <v>0</v>
      </c>
      <c r="AA308" s="945"/>
      <c r="AB308" s="940" t="s">
        <v>346</v>
      </c>
      <c r="AC308" s="940"/>
      <c r="AD308" s="940"/>
      <c r="AE308" s="940"/>
      <c r="AF308" s="940"/>
      <c r="AG308" s="196">
        <f ca="1">IF($B$300="Лікар загальної практики - сімейний лікар",IF(AG304&lt;Законод!$C$22,0,(IF(AND(AG304&gt;=Законод!$G$22,AG304&lt;=Законод!$G$23),AG304-Законод!$F$23,IF('01_Доходи'!AG304&gt;=Законод!$H$22,Законод!$G$24,0)))),IF($B$300="Лікар-педіатр",IF(AG304&lt;Законод!$C$18,0,(IF(AND(AG304&gt;=Законод!$G$18,AG304&lt;=Законод!$G$19),AG304-Законод!$F$19,IF('01_Доходи'!AG304&gt;=Законод!$H$18,Законод!$G$20,0)))),IF($B$300="Лікар-терапевт",IF(AG304&lt;Законод!$C$26,0,(IF(AND(AG304&gt;=Законод!$G$26,AG304&lt;=Законод!$G$27),AG304-Законод!$F$27,IF('01_Доходи'!AG304&gt;=Законод!$H$26,Законод!$G$28,0)))),0)))</f>
        <v>0</v>
      </c>
      <c r="AH308" s="945"/>
      <c r="AI308" s="201"/>
      <c r="AJ308" s="933"/>
      <c r="AK308" s="927"/>
      <c r="AL308" s="927"/>
      <c r="AM308" s="899"/>
      <c r="AN308" s="210">
        <f ca="1">IF(B300="Лікар загальної практики - сімейний лікар",L308*Законод!$C$9/4*Законод!$G$16,IF(B300="Лікар-педіатр",L308*Законод!$C$9/4*Законод!$G$16,IF(B300="Лікар-терапевт",L308*Законод!$C$9/4*Законод!$G$16,0)))</f>
        <v>0</v>
      </c>
      <c r="AO308" s="210">
        <f ca="1">IF(B300="Лікар загальної практики - сімейний лікар",S308*Законод!$C$9/4*Законод!$G$16,IF(B300="Лікар-педіатр",S308*Законод!$C$9/4*Законод!$G$16,IF(B300="Лікар-терапевт",S308*Законод!$C$9/4*Законод!$G$16,0)))</f>
        <v>0</v>
      </c>
      <c r="AP308" s="210">
        <f ca="1">IF(B300="Лікар загальної практики - сімейний лікар",Z308*Законод!$C$9/4*Законод!$G$16,IF(B300="Лікар-педіатр",Z308*Законод!$C$9/4*Законод!$G$16,IF(B300="Лікар-терапевт",Z308*Законод!$C$9/4*Законод!$G$16,0)))</f>
        <v>0</v>
      </c>
      <c r="AQ308" s="210">
        <f ca="1">IF(B300="Лікар загальної практики - сімейний лікар",AG308*Законод!$C$9/4*Законод!$G$16,IF(B300="Лікар-педіатр",AG308*Законод!$C$9/4*Законод!$G$16,IF(B300="Лікар-терапевт",AG308*Законод!$C$9/4*Законод!$G$16,0)))</f>
        <v>0</v>
      </c>
      <c r="AR308" s="211">
        <f t="shared" si="50"/>
        <v>0</v>
      </c>
    </row>
    <row r="309" spans="1:44" s="50" customFormat="1" ht="31.9" customHeight="1">
      <c r="A309" s="197"/>
      <c r="B309" s="941"/>
      <c r="C309" s="942"/>
      <c r="D309" s="943"/>
      <c r="E309" s="943"/>
      <c r="F309" s="238" t="str">
        <f ca="1">IF(B300="Лікар-педіатр",Законод!$H$17,IF(B300="Лікар загальної практики - сімейний лікар",Законод!$H$21,IF(B300="Лікар-терапевт",Законод!$H$25,"х")))</f>
        <v>понад ліміт (2341-2520)</v>
      </c>
      <c r="G309" s="940" t="s">
        <v>346</v>
      </c>
      <c r="H309" s="940"/>
      <c r="I309" s="940"/>
      <c r="J309" s="940"/>
      <c r="K309" s="940"/>
      <c r="L309" s="196">
        <f ca="1">IF($B$300="Лікар загальної практики - сімейний лікар",IF(L304&lt;Законод!$C$22,0,(IF(AND(L304&gt;=Законод!$H$22,L304&lt;=Законод!$H$23),L304-Законод!$G$23,IF('01_Доходи'!L304&gt;=Законод!$I$22,Законод!$H$24,0)))),IF($B$300="Лікар-педіатр",IF(L304&lt;Законод!$C$18,0,(IF(AND(L304&gt;=Законод!$H$18,L304&lt;=Законод!$H$19),L304-Законод!$G$19,IF('01_Доходи'!L304&gt;=Законод!$I$18,Законод!$H$20,0)))),IF($B$300="Лікар-терапевт",IF(L304&lt;Законод!$C$26,0,(IF(AND(L304&gt;=Законод!$H$26,L304&lt;=Законод!$H$27),L304-Законод!$G$27,IF(L304&gt;=Законод!$I$26,Законод!$H$28,0)))),0)))</f>
        <v>0</v>
      </c>
      <c r="M309" s="945"/>
      <c r="N309" s="940" t="s">
        <v>346</v>
      </c>
      <c r="O309" s="940"/>
      <c r="P309" s="940"/>
      <c r="Q309" s="940"/>
      <c r="R309" s="940"/>
      <c r="S309" s="196">
        <f ca="1">IF($B$300="Лікар загальної практики - сімейний лікар",IF(S304&lt;Законод!$C$22,0,(IF(AND(S304&gt;=Законод!$H$22,S304&lt;=Законод!$H$23),S304-Законод!$G$23,IF('01_Доходи'!S304&gt;=Законод!$I$22,Законод!$H$24,0)))),IF($B$300="Лікар-педіатр",IF(S304&lt;Законод!$C$18,0,(IF(AND(S304&gt;=Законод!$H$18,S304&lt;=Законод!$H$19),S304-Законод!$G$19,IF('01_Доходи'!S304&gt;=Законод!$I$18,Законод!$H$20,0)))),IF($B$300="Лікар-терапевт",IF(S304&lt;Законод!$C$26,0,(IF(AND(S304&gt;=Законод!$H$26,S304&lt;=Законод!$H$27),S304-Законод!$G$27,IF(S304&gt;=Законод!$I$26,Законод!$H$28,0)))),0)))</f>
        <v>0</v>
      </c>
      <c r="T309" s="945"/>
      <c r="U309" s="940" t="s">
        <v>346</v>
      </c>
      <c r="V309" s="940"/>
      <c r="W309" s="940"/>
      <c r="X309" s="940"/>
      <c r="Y309" s="940"/>
      <c r="Z309" s="196">
        <f ca="1">IF($B$300="Лікар загальної практики - сімейний лікар",IF(Z304&lt;Законод!$C$22,0,(IF(AND(Z304&gt;=Законод!$H$22,Z304&lt;=Законод!$H$23),Z304-Законод!$G$23,IF('01_Доходи'!Z304&gt;=Законод!$I$22,Законод!$H$24,0)))),IF($B$300="Лікар-педіатр",IF(Z304&lt;Законод!$C$18,0,(IF(AND(Z304&gt;=Законод!$H$18,Z304&lt;=Законод!$H$19),Z304-Законод!$G$19,IF('01_Доходи'!Z304&gt;=Законод!$I$18,Законод!$H$20,0)))),IF($B$300="Лікар-терапевт",IF(Z304&lt;Законод!$C$26,0,(IF(AND(Z304&gt;=Законод!$H$26,Z304&lt;=Законод!$H$27),Z304-Законод!$G$27,IF(Z304&gt;=Законод!$I$26,Законод!$H$28,0)))),0)))</f>
        <v>0</v>
      </c>
      <c r="AA309" s="945"/>
      <c r="AB309" s="940" t="s">
        <v>346</v>
      </c>
      <c r="AC309" s="940"/>
      <c r="AD309" s="940"/>
      <c r="AE309" s="940"/>
      <c r="AF309" s="940"/>
      <c r="AG309" s="196">
        <f ca="1">IF($B$300="Лікар загальної практики - сімейний лікар",IF(AG304&lt;Законод!$C$22,0,(IF(AND(AG304&gt;=Законод!$H$22,AG304&lt;=Законод!$H$23),AG304-Законод!$G$23,IF('01_Доходи'!AG304&gt;=Законод!$I$22,Законод!$H$24,0)))),IF($B$300="Лікар-педіатр",IF(AG304&lt;Законод!$C$18,0,(IF(AND(AG304&gt;=Законод!$H$18,AG304&lt;=Законод!$H$19),AG304-Законод!$G$19,IF('01_Доходи'!AG304&gt;=Законод!$I$18,Законод!$H$20,0)))),IF($B$300="Лікар-терапевт",IF(AG304&lt;Законод!$C$26,0,(IF(AND(AG304&gt;=Законод!$H$26,AG304&lt;=Законод!$H$27),AG304-Законод!$G$27,IF(AG304&gt;=Законод!$I$26,Законод!$H$28,0)))),0)))</f>
        <v>0</v>
      </c>
      <c r="AH309" s="945"/>
      <c r="AI309" s="201"/>
      <c r="AJ309" s="933"/>
      <c r="AK309" s="927"/>
      <c r="AL309" s="927"/>
      <c r="AM309" s="899"/>
      <c r="AN309" s="210">
        <f ca="1">IF(B300="Лікар загальної практики - сімейний лікар",L309*Законод!$C$9/4*Законод!$H$16,IF(B300="Лікар-педіатр",L309*Законод!$C$9/4*Законод!$H$16,IF(B300="Лікар-терапевт",L309*Законод!$C$9/4*Законод!$H$16,0)))</f>
        <v>0</v>
      </c>
      <c r="AO309" s="210">
        <f ca="1">IF(B300="Лікар загальної практики - сімейний лікар",S309*Законод!$C$9/4*Законод!$H$16,IF(B300="Лікар-педіатр",S309*Законод!$C$9/4*Законод!$H$16,IF(B300="Лікар-терапевт",S309*Законод!$C$9/4*Законод!$H$16,0)))</f>
        <v>0</v>
      </c>
      <c r="AP309" s="210">
        <f ca="1">IF(B300="Лікар загальної практики - сімейний лікар",Z309*Законод!$C$9/4*Законод!$H$16,IF(B300="Лікар-педіатр",Z309*Законод!$C$9/4*Законод!$H$16,IF(B300="Лікар-терапевт",Z309*Законод!$C$9/4*Законод!$H$16,0)))</f>
        <v>0</v>
      </c>
      <c r="AQ309" s="210">
        <f ca="1">IF(B300="Лікар загальної практики - сімейний лікар",AG309*Законод!$C$9/4*Законод!$H$16,IF(B300="Лікар-педіатр",AG309*Законод!$C$9/4*Законод!$H$16,IF(B300="Лікар-терапевт",AG309*Законод!$C$9/4*Законод!$H$16,0)))</f>
        <v>0</v>
      </c>
      <c r="AR309" s="211">
        <f t="shared" si="50"/>
        <v>0</v>
      </c>
    </row>
    <row r="310" spans="1:44" s="50" customFormat="1" ht="31.9" customHeight="1">
      <c r="A310" s="197"/>
      <c r="B310" s="941"/>
      <c r="C310" s="942"/>
      <c r="D310" s="943"/>
      <c r="E310" s="943"/>
      <c r="F310" s="238" t="str">
        <f ca="1">IF(B300="Лікар-педіатр",Законод!$I$17,IF(B300="Лікар загальної практики - сімейний лікар",Законод!$I$21,IF(B300="Лікар-терапевт",Законод!$I$25,"х")))</f>
        <v>понад ліміт (2521-2700)</v>
      </c>
      <c r="G310" s="940" t="s">
        <v>346</v>
      </c>
      <c r="H310" s="940"/>
      <c r="I310" s="940"/>
      <c r="J310" s="940"/>
      <c r="K310" s="940"/>
      <c r="L310" s="196">
        <f ca="1">IF($B$300="Лікар загальної практики - сімейний лікар",IF(L304&lt;Законод!$C$22,0,(IF(AND(L304&gt;=Законод!$I$22,L304&lt;=Законод!$I$23),L304-Законод!$H$23,IF('01_Доходи'!L304&gt;=Законод!$I$22,Законод!$I$24,0)))),IF($B$300="Лікар-педіатр",IF(L304&lt;Законод!$C$18,0,(IF(AND(L304&gt;=Законод!$I$18,L304&lt;=Законод!$I$19),L304-Законод!$H$19,IF('01_Доходи'!L304&gt;=Законод!$I$18,Законод!$H$20,0)))),IF($B$300="Лікар-терапевт",IF(L304&lt;Законод!$C$26,0,(IF(AND(L304&gt;=Законод!$I$26,L304&lt;=Законод!$I$27),L304-Законод!$H$27,IF('01_Доходи'!L304&gt;=Законод!$I$26,Законод!$H$28,0)))),0)))</f>
        <v>0</v>
      </c>
      <c r="M310" s="945"/>
      <c r="N310" s="940" t="s">
        <v>346</v>
      </c>
      <c r="O310" s="940"/>
      <c r="P310" s="940"/>
      <c r="Q310" s="940"/>
      <c r="R310" s="940"/>
      <c r="S310" s="196">
        <f ca="1">IF($B$300="Лікар загальної практики - сімейний лікар",IF(S304&lt;Законод!$C$22,0,(IF(AND(S304&gt;=Законод!$I$22,S304&lt;=Законод!$I$23),S304-Законод!$H$23,IF('01_Доходи'!S304&gt;=Законод!$I$22,Законод!$I$24,0)))),IF($B$300="Лікар-педіатр",IF(S304&lt;Законод!$C$18,0,(IF(AND(S304&gt;=Законод!$I$18,S304&lt;=Законод!$I$19),S304-Законод!$H$19,IF('01_Доходи'!S304&gt;=Законод!$I$18,Законод!$H$20,0)))),IF($B$300="Лікар-терапевт",IF(S304&lt;Законод!$C$26,0,(IF(AND(S304&gt;=Законод!$I$26,S304&lt;=Законод!$I$27),S304-Законод!$H$27,IF('01_Доходи'!S304&gt;=Законод!$I$26,Законод!$H$28,0)))),0)))</f>
        <v>0</v>
      </c>
      <c r="T310" s="945"/>
      <c r="U310" s="940" t="s">
        <v>346</v>
      </c>
      <c r="V310" s="940"/>
      <c r="W310" s="940"/>
      <c r="X310" s="940"/>
      <c r="Y310" s="940"/>
      <c r="Z310" s="196">
        <f ca="1">IF($B$300="Лікар загальної практики - сімейний лікар",IF(Z304&lt;Законод!$C$22,0,(IF(AND(Z304&gt;=Законод!$I$22,Z304&lt;=Законод!$I$23),Z304-Законод!$H$23,IF('01_Доходи'!Z304&gt;=Законод!$I$22,Законод!$I$24,0)))),IF($B$300="Лікар-педіатр",IF(Z304&lt;Законод!$C$18,0,(IF(AND(Z304&gt;=Законод!$I$18,Z304&lt;=Законод!$I$19),Z304-Законод!$H$19,IF('01_Доходи'!Z304&gt;=Законод!$I$18,Законод!$H$20,0)))),IF($B$300="Лікар-терапевт",IF(Z304&lt;Законод!$C$26,0,(IF(AND(Z304&gt;=Законод!$I$26,Z304&lt;=Законод!$I$27),Z304-Законод!$H$27,IF('01_Доходи'!Z304&gt;=Законод!$I$26,Законод!$H$28,0)))),0)))</f>
        <v>0</v>
      </c>
      <c r="AA310" s="945"/>
      <c r="AB310" s="940" t="s">
        <v>346</v>
      </c>
      <c r="AC310" s="940"/>
      <c r="AD310" s="940"/>
      <c r="AE310" s="940"/>
      <c r="AF310" s="940"/>
      <c r="AG310" s="196">
        <f ca="1">IF($B$300="Лікар загальної практики - сімейний лікар",IF(AG304&lt;Законод!$C$22,0,(IF(AND(AG304&gt;=Законод!$I$22,AG304&lt;=Законод!$I$23),AG304-Законод!$H$23,IF('01_Доходи'!AG304&gt;=Законод!$I$22,Законод!$I$24,0)))),IF($B$300="Лікар-педіатр",IF(AG304&lt;Законод!$C$18,0,(IF(AND(AG304&gt;=Законод!$I$18,AG304&lt;=Законод!$I$19),AG304-Законод!$H$19,IF('01_Доходи'!AG304&gt;=Законод!$I$18,Законод!$H$20,0)))),IF($B$300="Лікар-терапевт",IF(AG304&lt;Законод!$C$26,0,(IF(AND(AG304&gt;=Законод!$I$26,AG304&lt;=Законод!$I$27),AG304-Законод!$H$27,IF('01_Доходи'!AG304&gt;=Законод!$I$26,Законод!$H$28,0)))),0)))</f>
        <v>0</v>
      </c>
      <c r="AH310" s="945"/>
      <c r="AI310" s="201"/>
      <c r="AJ310" s="933"/>
      <c r="AK310" s="927"/>
      <c r="AL310" s="927"/>
      <c r="AM310" s="899"/>
      <c r="AN310" s="210">
        <f ca="1">IF(B300="Лікар загальної практики - сімейний лікар",L310*Законод!$C$9/4*Законод!$I$16,IF(B300="Лікар-педіатр",L310*Законод!$C$9/4*Законод!$I$16,IF(B300="Лікар-терапевт",L310*Законод!$C$9/4*Законод!$I$16,0)))</f>
        <v>0</v>
      </c>
      <c r="AO310" s="210">
        <f ca="1">IF(B300="Лікар загальної практики - сімейний лікар",S310*Законод!$C$9/4*Законод!$I$16,IF(B300="Лікар-педіатр",S310*Законод!$C$9/4*Законод!$I$16,IF(B300="Лікар-терапевт",S310*Законод!$C$9/4*Законод!$I$16,0)))</f>
        <v>0</v>
      </c>
      <c r="AP310" s="210">
        <f ca="1">IF(B300="Лікар загальної практики - сімейний лікар",Z310*Законод!$C$9/4*Законод!$I$16,IF(B300="Лікар-педіатр",Z310*Законод!$C$9/4*Законод!$I$16,IF(B300="Лікар-терапевт",Z310*Законод!$C$9/4*Законод!$I$16,0)))</f>
        <v>0</v>
      </c>
      <c r="AQ310" s="210">
        <f ca="1">IF(B300="Лікар загальної практики - сімейний лікар",AG310*Законод!$C$9/4*Законод!$I$16,IF(B300="Лікар-педіатр",AG310*Законод!$C$9/4*Законод!$I$16,IF(B300="Лікар-терапевт",AG310*Законод!$C$9/4*Законод!$I$16,0)))</f>
        <v>0</v>
      </c>
      <c r="AR310" s="211">
        <f t="shared" si="50"/>
        <v>0</v>
      </c>
    </row>
    <row r="311" spans="1:44" s="218" customFormat="1" ht="31.9" customHeight="1" thickBot="1">
      <c r="A311" s="213"/>
      <c r="B311" s="941"/>
      <c r="C311" s="942"/>
      <c r="D311" s="943"/>
      <c r="E311" s="943"/>
      <c r="F311" s="239" t="str">
        <f ca="1">IF(B300="Лікар-педіатр",Законод!$J$17,IF(B300="Лікар загальної практики - сімейний лікар",Законод!$J$21,IF(B300="Лікар-терапевт",Законод!$J$25,"х")))</f>
        <v>понад ліміт (&gt;=2701)</v>
      </c>
      <c r="G311" s="939" t="s">
        <v>346</v>
      </c>
      <c r="H311" s="939"/>
      <c r="I311" s="939"/>
      <c r="J311" s="939"/>
      <c r="K311" s="939"/>
      <c r="L311" s="196">
        <f ca="1">IF($B$300="Лікар загальної практики - сімейний лікар",IF(L304&gt;=Законод!$J$22,'01_Доходи'!L304-('01_Доходи'!L305+'01_Доходи'!L306+'01_Доходи'!L307+'01_Доходи'!L308+'01_Доходи'!L309+'01_Доходи'!L310),0),IF($B$300="Лікар-педіатр",IF(L304&gt;=Законод!$J$18,'01_Доходи'!L304-('01_Доходи'!L305+'01_Доходи'!L306+'01_Доходи'!L307+'01_Доходи'!L308+'01_Доходи'!L309+'01_Доходи'!L310),0),IF($B$300="Лікар-терапевт",IF('01_Доходи'!L304&gt;=Законод!$J$26,L304-Законод!$I$27,0),0)))</f>
        <v>0</v>
      </c>
      <c r="M311" s="945"/>
      <c r="N311" s="939" t="s">
        <v>346</v>
      </c>
      <c r="O311" s="939"/>
      <c r="P311" s="939"/>
      <c r="Q311" s="939"/>
      <c r="R311" s="939"/>
      <c r="S311" s="196">
        <f ca="1">IF($B$300="Лікар загальної практики - сімейний лікар",IF(S304&gt;=Законод!$J$22,'01_Доходи'!S304-('01_Доходи'!S305+'01_Доходи'!S306+'01_Доходи'!S307+'01_Доходи'!S308+'01_Доходи'!S309+'01_Доходи'!S310),0),IF($B$300="Лікар-педіатр",IF(S304&gt;=Законод!$J$18,'01_Доходи'!S304-('01_Доходи'!S305+'01_Доходи'!S306+'01_Доходи'!S307+'01_Доходи'!S308+'01_Доходи'!S309+'01_Доходи'!S310),0),IF($B$300="Лікар-терапевт",IF('01_Доходи'!S304&gt;=Законод!$J$26,S304-Законод!$I$27,0),0)))</f>
        <v>0</v>
      </c>
      <c r="T311" s="945"/>
      <c r="U311" s="939" t="s">
        <v>346</v>
      </c>
      <c r="V311" s="939"/>
      <c r="W311" s="939"/>
      <c r="X311" s="939"/>
      <c r="Y311" s="939"/>
      <c r="Z311" s="196">
        <f ca="1">IF($B$300="Лікар загальної практики - сімейний лікар",IF(Z304&gt;=Законод!$J$22,'01_Доходи'!Z304-('01_Доходи'!Z305+'01_Доходи'!Z306+'01_Доходи'!Z307+'01_Доходи'!Z308+'01_Доходи'!Z309+'01_Доходи'!Z310),0),IF($B$300="Лікар-педіатр",IF(Z304&gt;=Законод!$J$18,'01_Доходи'!Z304-('01_Доходи'!Z305+'01_Доходи'!Z306+'01_Доходи'!Z307+'01_Доходи'!Z308+'01_Доходи'!Z309+'01_Доходи'!Z310),0),IF($B$300="Лікар-терапевт",IF('01_Доходи'!Z304&gt;=Законод!$J$26,Z304-Законод!$I$27,0),0)))</f>
        <v>0</v>
      </c>
      <c r="AA311" s="945"/>
      <c r="AB311" s="939" t="s">
        <v>346</v>
      </c>
      <c r="AC311" s="939"/>
      <c r="AD311" s="939"/>
      <c r="AE311" s="939"/>
      <c r="AF311" s="939"/>
      <c r="AG311" s="196">
        <f ca="1">IF($B$300="Лікар загальної практики - сімейний лікар",IF(AG304&gt;=Законод!$J$22,'01_Доходи'!AG304-('01_Доходи'!AG305+'01_Доходи'!AG306+'01_Доходи'!AG307+'01_Доходи'!AG308+'01_Доходи'!AG309+'01_Доходи'!AG310),0),IF($B$300="Лікар-педіатр",IF(AG304&gt;=Законод!$J$18,'01_Доходи'!AG304-('01_Доходи'!AG305+'01_Доходи'!AG306+'01_Доходи'!AG307+'01_Доходи'!AG308+'01_Доходи'!AG309+'01_Доходи'!AG310),0),IF($B$300="Лікар-терапевт",IF('01_Доходи'!AG304&gt;=Законод!$J$26,AG304-Законод!$I$27,0),0)))</f>
        <v>0</v>
      </c>
      <c r="AH311" s="945"/>
      <c r="AI311" s="215"/>
      <c r="AJ311" s="934"/>
      <c r="AK311" s="928"/>
      <c r="AL311" s="928"/>
      <c r="AM311" s="900"/>
      <c r="AN311" s="216">
        <f ca="1">IF(B300="Лікар загальної практики - сімейний лікар",L311*Законод!$C$9/4*Законод!$J$16,IF(B300="Лікар-педіатр",L311*Законод!$C$9/4*Законод!$J$16,IF(B300="Лікар-терапевт",L311*Законод!$C$9/4*Законод!$J$16,0)))</f>
        <v>0</v>
      </c>
      <c r="AO311" s="216">
        <f ca="1">IF(B300="Лікар загальної практики - сімейний лікар",S311*Законод!$C$9/4*Законод!$J$16,IF(B300="Лікар-педіатр",S311*Законод!$C$9/4*Законод!$J$16,IF(B300="Лікар-терапевт",S311*Законод!$C$9/4*Законод!$J$16,0)))</f>
        <v>0</v>
      </c>
      <c r="AP311" s="216">
        <f ca="1">IF(B300="Лікар загальної практики - сімейний лікар",S311*Законод!$C$9/4*Законод!$J$16,IF(B300="Лікар-педіатр",S311*Законод!$C$9/4*Законод!$J$16,IF(B300="Лікар-терапевт",S311*Законод!$C$9/4*Законод!$J$16,0)))</f>
        <v>0</v>
      </c>
      <c r="AQ311" s="216">
        <f ca="1">IF(B300="Лікар загальної практики - сімейний лікар",AG311*Законод!$C$9/4*Законод!$J$16,IF(B300="Лікар-педіатр",AG311*Законод!$C$9/4*Законод!$J$16,IF(B300="Лікар-терапевт",AG311*Законод!$C$9/4*Законод!$J$16,0)))</f>
        <v>0</v>
      </c>
      <c r="AR311" s="217">
        <f t="shared" si="50"/>
        <v>0</v>
      </c>
    </row>
    <row r="312" spans="1:44" s="247" customFormat="1" ht="23.45" customHeight="1">
      <c r="A312" s="243"/>
      <c r="B312" s="244"/>
      <c r="C312" s="244"/>
      <c r="D312" s="244"/>
      <c r="E312" s="244"/>
      <c r="F312" s="245"/>
      <c r="G312" s="246"/>
      <c r="H312" s="246"/>
      <c r="L312" s="248"/>
      <c r="S312" s="248"/>
      <c r="Z312" s="248"/>
      <c r="AG312" s="248"/>
      <c r="AM312" s="249"/>
      <c r="AR312" s="250"/>
    </row>
    <row r="313" spans="1:44" s="191" customFormat="1" ht="27.6" hidden="1" customHeight="1">
      <c r="A313" s="194">
        <f>A300+1</f>
        <v>22</v>
      </c>
      <c r="B313" s="941"/>
      <c r="C313" s="1077"/>
      <c r="D313" s="943"/>
      <c r="E313" s="943"/>
      <c r="F313" s="234" t="s">
        <v>582</v>
      </c>
      <c r="G313" s="196">
        <f>IF($B$313="Лікар-педіатр",G316*L313,IF($B$313="Лікар-терапевт","х",IF($B$313="Лікар загальної практики - сімейний лікар",G316*L313,0)))</f>
        <v>0</v>
      </c>
      <c r="H313" s="196">
        <f>IF($B$313="Лікар-педіатр",H316*L313,IF($B$313="Лікар-терапевт","х",IF($B$313="Лікар загальної практики - сімейний лікар",H316*L313,0)))</f>
        <v>0</v>
      </c>
      <c r="I313" s="196">
        <f>IF($B$313="Лікар-педіатр","x",IF($B$313="Лікар-терапевт",I316*L313,IF($B$313="Лікар загальної практики - сімейний лікар",I316*L313,0)))</f>
        <v>0</v>
      </c>
      <c r="J313" s="196">
        <f>IF($B$313="Лікар-педіатр","x",IF($B$313="Лікар-терапевт",J316*L313,IF($B$313="Лікар загальної практики - сімейний лікар",J316*L313,0)))</f>
        <v>0</v>
      </c>
      <c r="K313" s="196">
        <f>IF($B$313="Лікар-педіатр","x",IF($B$313="Лікар-терапевт",K316*L313,IF($B$313="Лікар загальної практики - сімейний лікар",K316*L313,0)))</f>
        <v>0</v>
      </c>
      <c r="L313" s="558"/>
      <c r="M313" s="945"/>
      <c r="N313" s="196">
        <f>IF($B$313="Лікар-педіатр",N316*S313,IF($B$313="Лікар-терапевт","х",IF($B$313="Лікар загальної практики - сімейний лікар",N316*S313,0)))</f>
        <v>0</v>
      </c>
      <c r="O313" s="196">
        <f>IF($B$313="Лікар-педіатр",O316*S313,IF($B$313="Лікар-терапевт","х",IF($B$313="Лікар загальної практики - сімейний лікар",O316*S313,0)))</f>
        <v>0</v>
      </c>
      <c r="P313" s="196">
        <f>IF($B$313="Лікар-педіатр","x",IF($B$313="Лікар-терапевт",P316*S313,IF($B$313="Лікар загальної практики - сімейний лікар",P316*S313,0)))</f>
        <v>0</v>
      </c>
      <c r="Q313" s="196">
        <f>IF($B$313="Лікар-педіатр","x",IF($B$313="Лікар-терапевт",Q316*S313,IF($B$313="Лікар загальної практики - сімейний лікар",Q316*S313,0)))</f>
        <v>0</v>
      </c>
      <c r="R313" s="196">
        <f>IF($B$313="Лікар-педіатр","x",IF($B$313="Лікар-терапевт",R316*S313,IF($B$313="Лікар загальної практики - сімейний лікар",R316*S313,0)))</f>
        <v>0</v>
      </c>
      <c r="S313" s="558"/>
      <c r="T313" s="945"/>
      <c r="U313" s="196">
        <f>IF($B$313="Лікар-педіатр",U316*Z313,IF($B$313="Лікар-терапевт","х",IF($B$313="Лікар загальної практики - сімейний лікар",U316*Z313,0)))</f>
        <v>0</v>
      </c>
      <c r="V313" s="196">
        <f>IF($B$313="Лікар-педіатр",V316*Z313,IF($B$313="Лікар-терапевт","х",IF($B$313="Лікар загальної практики - сімейний лікар",V316*Z313,0)))</f>
        <v>0</v>
      </c>
      <c r="W313" s="196">
        <f>IF($B$313="Лікар-педіатр","x",IF($B$313="Лікар-терапевт",W316*Z313,IF($B$313="Лікар загальної практики - сімейний лікар",W316*Z313,0)))</f>
        <v>0</v>
      </c>
      <c r="X313" s="196">
        <f>IF($B$313="Лікар-педіатр","x",IF($B$313="Лікар-терапевт",X316*Z313,IF($B$313="Лікар загальної практики - сімейний лікар",X316*Z313,0)))</f>
        <v>0</v>
      </c>
      <c r="Y313" s="196">
        <f>IF($B$313="Лікар-педіатр","x",IF($B$313="Лікар-терапевт",Y316*Z313,IF($B$313="Лікар загальної практики - сімейний лікар",Y316*Z313,0)))</f>
        <v>0</v>
      </c>
      <c r="Z313" s="558"/>
      <c r="AA313" s="945"/>
      <c r="AB313" s="196">
        <f>IF($B$313="Лікар-педіатр",AB316*AG313,IF($B$313="Лікар-терапевт","х",IF($B$313="Лікар загальної практики - сімейний лікар",AB316*AG313,0)))</f>
        <v>0</v>
      </c>
      <c r="AC313" s="196">
        <f>IF($B$313="Лікар-педіатр",AC316*AG313,IF($B$313="Лікар-терапевт","х",IF($B$313="Лікар загальної практики - сімейний лікар",AC316*AG313,0)))</f>
        <v>0</v>
      </c>
      <c r="AD313" s="196">
        <f>IF($B$313="Лікар-педіатр","x",IF($B$313="Лікар-терапевт",AD316*AG313,IF($B$313="Лікар загальної практики - сімейний лікар",AD316*AG313,0)))</f>
        <v>0</v>
      </c>
      <c r="AE313" s="196">
        <f>IF($B$313="Лікар-педіатр","x",IF($B$313="Лікар-терапевт",AE316*AG313,IF($B$313="Лікар загальної практики - сімейний лікар",AE316*AG313,0)))</f>
        <v>0</v>
      </c>
      <c r="AF313" s="196">
        <f>IF($B$313="Лікар-педіатр","x",IF($B$313="Лікар-терапевт",AF316*AG313,IF($B$313="Лікар загальної практики - сімейний лікар",AF316*AG313,0)))</f>
        <v>0</v>
      </c>
      <c r="AG313" s="558"/>
      <c r="AH313" s="945"/>
      <c r="AI313" s="541">
        <f>A313</f>
        <v>22</v>
      </c>
      <c r="AJ313" s="932">
        <f>B313</f>
        <v>0</v>
      </c>
      <c r="AK313" s="926">
        <f>C313</f>
        <v>0</v>
      </c>
      <c r="AL313" s="926">
        <f>D313</f>
        <v>0</v>
      </c>
      <c r="AM313" s="901" t="s">
        <v>785</v>
      </c>
      <c r="AN313" s="923">
        <f>SUM(AN318:AN324)</f>
        <v>0</v>
      </c>
      <c r="AO313" s="923">
        <f>SUM(AO318:AO324)</f>
        <v>0</v>
      </c>
      <c r="AP313" s="923">
        <f>SUM(AP318:AP324)</f>
        <v>0</v>
      </c>
      <c r="AQ313" s="923">
        <f>SUM(AQ318:AQ324)</f>
        <v>0</v>
      </c>
      <c r="AR313" s="914">
        <f>SUM(AN313:AQ317)</f>
        <v>0</v>
      </c>
    </row>
    <row r="314" spans="1:44" s="50" customFormat="1" ht="28.15" hidden="1" customHeight="1">
      <c r="A314" s="197"/>
      <c r="B314" s="941"/>
      <c r="C314" s="1077"/>
      <c r="D314" s="943"/>
      <c r="E314" s="943"/>
      <c r="F314" s="234" t="s">
        <v>583</v>
      </c>
      <c r="G314" s="196">
        <f>IF($B$313="Лікар-педіатр",G316*L314,IF($B$313="Лікар-терапевт","х",IF($B$313="Лікар загальної практики - сімейний лікар",G316*L314,0)))</f>
        <v>0</v>
      </c>
      <c r="H314" s="196">
        <f>IF($B$313="Лікар-педіатр",H316*L314,IF($B$313="Лікар-терапевт","х",IF($B$313="Лікар загальної практики - сімейний лікар",H316*L314,0)))</f>
        <v>0</v>
      </c>
      <c r="I314" s="196">
        <f>IF($B$313="Лікар-педіатр","x",IF($B$313="Лікар-терапевт",I316*L314,IF($B$313="Лікар загальної практики - сімейний лікар",I316*L314,0)))</f>
        <v>0</v>
      </c>
      <c r="J314" s="196">
        <f>IF($B$313="Лікар-педіатр","x",IF($B$313="Лікар-терапевт",J316*L314,IF($B$313="Лікар загальної практики - сімейний лікар",J316*L314,0)))</f>
        <v>0</v>
      </c>
      <c r="K314" s="196">
        <f>IF($B$313="Лікар-педіатр","x",IF($B$313="Лікар-терапевт",K316*L314,IF($B$313="Лікар загальної практики - сімейний лікар",K316*L314,0)))</f>
        <v>0</v>
      </c>
      <c r="L314" s="558"/>
      <c r="M314" s="945"/>
      <c r="N314" s="196">
        <f>IF($B$313="Лікар-педіатр",N316*S314,IF($B$313="Лікар-терапевт","х",IF($B$313="Лікар загальної практики - сімейний лікар",N316*S314,0)))</f>
        <v>0</v>
      </c>
      <c r="O314" s="196">
        <f>IF($B$313="Лікар-педіатр",O316*S314,IF($B$313="Лікар-терапевт","х",IF($B$313="Лікар загальної практики - сімейний лікар",O316*S314,0)))</f>
        <v>0</v>
      </c>
      <c r="P314" s="196">
        <f>IF($B$313="Лікар-педіатр","x",IF($B$313="Лікар-терапевт",P316*S314,IF($B$313="Лікар загальної практики - сімейний лікар",P316*S314,0)))</f>
        <v>0</v>
      </c>
      <c r="Q314" s="196">
        <f>IF($B$313="Лікар-педіатр","x",IF($B$313="Лікар-терапевт",Q316*S314,IF($B$313="Лікар загальної практики - сімейний лікар",Q316*S314,0)))</f>
        <v>0</v>
      </c>
      <c r="R314" s="196">
        <f>IF($B$313="Лікар-педіатр","x",IF($B$313="Лікар-терапевт",R316*S314,IF($B$313="Лікар загальної практики - сімейний лікар",R316*S314,0)))</f>
        <v>0</v>
      </c>
      <c r="S314" s="558"/>
      <c r="T314" s="945"/>
      <c r="U314" s="196">
        <f>IF($B$313="Лікар-педіатр",U316*Z314,IF($B$313="Лікар-терапевт","х",IF($B$313="Лікар загальної практики - сімейний лікар",U316*Z314,0)))</f>
        <v>0</v>
      </c>
      <c r="V314" s="196">
        <f>IF($B$313="Лікар-педіатр",V316*Z314,IF($B$313="Лікар-терапевт","х",IF($B$313="Лікар загальної практики - сімейний лікар",V316*Z314,0)))</f>
        <v>0</v>
      </c>
      <c r="W314" s="196">
        <f>IF($B$313="Лікар-педіатр","x",IF($B$313="Лікар-терапевт",W316*Z314,IF($B$313="Лікар загальної практики - сімейний лікар",W316*Z314,0)))</f>
        <v>0</v>
      </c>
      <c r="X314" s="196">
        <f>IF($B$313="Лікар-педіатр","x",IF($B$313="Лікар-терапевт",X316*Z314,IF($B$313="Лікар загальної практики - сімейний лікар",X316*Z314,0)))</f>
        <v>0</v>
      </c>
      <c r="Y314" s="196">
        <f>IF($B$313="Лікар-педіатр","x",IF($B$313="Лікар-терапевт",Y316*Z314,IF($B$313="Лікар загальної практики - сімейний лікар",Y316*Z314,0)))</f>
        <v>0</v>
      </c>
      <c r="Z314" s="558"/>
      <c r="AA314" s="945"/>
      <c r="AB314" s="196">
        <f>IF($B$313="Лікар-педіатр",AB316*AG314,IF($B$313="Лікар-терапевт","х",IF($B$313="Лікар загальної практики - сімейний лікар",AB316*AG314,0)))</f>
        <v>0</v>
      </c>
      <c r="AC314" s="196">
        <f>IF($B$313="Лікар-педіатр",AC316*AG314,IF($B$313="Лікар-терапевт","х",IF($B$313="Лікар загальної практики - сімейний лікар",AC316*AG314,0)))</f>
        <v>0</v>
      </c>
      <c r="AD314" s="196">
        <f>IF($B$313="Лікар-педіатр","x",IF($B$313="Лікар-терапевт",AD316*AG314,IF($B$313="Лікар загальної практики - сімейний лікар",AD316*AG314,0)))</f>
        <v>0</v>
      </c>
      <c r="AE314" s="196">
        <f>IF($B$313="Лікар-педіатр","x",IF($B$313="Лікар-терапевт",AE316*AG314,IF($B$313="Лікар загальної практики - сімейний лікар",AE316*AG314,0)))</f>
        <v>0</v>
      </c>
      <c r="AF314" s="196">
        <f>IF($B$313="Лікар-педіатр","x",IF($B$313="Лікар-терапевт",AF316*AG314,IF($B$313="Лікар загальної практики - сімейний лікар",AF316*AG314,0)))</f>
        <v>0</v>
      </c>
      <c r="AG314" s="558"/>
      <c r="AH314" s="945"/>
      <c r="AI314" s="198"/>
      <c r="AJ314" s="933"/>
      <c r="AK314" s="927"/>
      <c r="AL314" s="927"/>
      <c r="AM314" s="902"/>
      <c r="AN314" s="924"/>
      <c r="AO314" s="924"/>
      <c r="AP314" s="924"/>
      <c r="AQ314" s="924"/>
      <c r="AR314" s="915"/>
    </row>
    <row r="315" spans="1:44" s="90" customFormat="1" ht="31.15" hidden="1" customHeight="1">
      <c r="A315" s="240"/>
      <c r="B315" s="941"/>
      <c r="C315" s="1077"/>
      <c r="D315" s="943"/>
      <c r="E315" s="943"/>
      <c r="F315" s="241" t="s">
        <v>584</v>
      </c>
      <c r="G315" s="199">
        <f>IF(B313="Лікар загальної практики - сімейний лікар"," ",IF(B313="Лікар-педіатр"," ",IF(B313="Лікар-терапевт","х",0)))</f>
        <v>0</v>
      </c>
      <c r="H315" s="199">
        <f>IF(B313="Лікар загальної практики - сімейний лікар"," ",IF(B313="Лікар-педіатр"," ",IF(B313="Лікар-терапевт","х",0)))</f>
        <v>0</v>
      </c>
      <c r="I315" s="199">
        <f>IF(B313="Лікар загальної практики - сімейний лікар"," ",IF(B313="Лікар-педіатр","х",IF(B313="Лікар-терапевт"," ",0)))</f>
        <v>0</v>
      </c>
      <c r="J315" s="199">
        <f>IF(B313="Лікар загальної практики - сімейний лікар"," ",IF(B313="Лікар-педіатр","х",IF(B313="Лікар-терапевт"," ",0)))</f>
        <v>0</v>
      </c>
      <c r="K315" s="199">
        <f>IF(B313="Лікар загальної практики - сімейний лікар"," ",IF(B313="Лікар-педіатр","х",IF(B313="Лікар-терапевт"," ",0)))</f>
        <v>0</v>
      </c>
      <c r="L315" s="200">
        <f>SUM(G315:K315)</f>
        <v>0</v>
      </c>
      <c r="M315" s="945"/>
      <c r="N315" s="199">
        <f>IF(B313="Лікар загальної практики - сімейний лікар"," ",IF(B313="Лікар-педіатр"," ",IF(B313="Лікар-терапевт","х",0)))</f>
        <v>0</v>
      </c>
      <c r="O315" s="199">
        <f>IF(B313="Лікар загальної практики - сімейний лікар"," ",IF(B313="Лікар-педіатр"," ",IF(B313="Лікар-терапевт","х",0)))</f>
        <v>0</v>
      </c>
      <c r="P315" s="199">
        <f>IF(B313="Лікар загальної практики - сімейний лікар"," ",IF(B313="Лікар-педіатр","х",IF(B313="Лікар-терапевт"," ",0)))</f>
        <v>0</v>
      </c>
      <c r="Q315" s="199">
        <f>IF(B313="Лікар загальної практики - сімейний лікар"," ",IF(B313="Лікар-педіатр","х",IF(B313="Лікар-терапевт"," ",0)))</f>
        <v>0</v>
      </c>
      <c r="R315" s="199">
        <f>IF(B313="Лікар загальної практики - сімейний лікар"," ",IF(B313="Лікар-педіатр","х",IF(B313="Лікар-терапевт"," ",0)))</f>
        <v>0</v>
      </c>
      <c r="S315" s="200">
        <f>SUM(N315:R315)</f>
        <v>0</v>
      </c>
      <c r="T315" s="945"/>
      <c r="U315" s="199">
        <f>IF(B313="Лікар загальної практики - сімейний лікар"," ",IF(B313="Лікар-педіатр"," ",IF(B313="Лікар-терапевт","х",0)))</f>
        <v>0</v>
      </c>
      <c r="V315" s="199">
        <f>IF(B313="Лікар загальної практики - сімейний лікар"," ",IF(B313="Лікар-педіатр"," ",IF(B313="Лікар-терапевт","х",0)))</f>
        <v>0</v>
      </c>
      <c r="W315" s="199">
        <f>IF(B313="Лікар загальної практики - сімейний лікар"," ",IF(B313="Лікар-педіатр","х",IF(B313="Лікар-терапевт"," ",0)))</f>
        <v>0</v>
      </c>
      <c r="X315" s="199">
        <f>IF(B313="Лікар загальної практики - сімейний лікар"," ",IF(B313="Лікар-педіатр","х",IF(B313="Лікар-терапевт"," ",0)))</f>
        <v>0</v>
      </c>
      <c r="Y315" s="199">
        <f>IF(B313="Лікар загальної практики - сімейний лікар"," ",IF(B313="Лікар-педіатр","х",IF(B313="Лікар-терапевт"," ",0)))</f>
        <v>0</v>
      </c>
      <c r="Z315" s="200">
        <f>SUM(U315:Y315)</f>
        <v>0</v>
      </c>
      <c r="AA315" s="945"/>
      <c r="AB315" s="199">
        <f>IF(B313="Лікар загальної практики - сімейний лікар"," ",IF(B313="Лікар-педіатр"," ",IF(B313="Лікар-терапевт","х",0)))</f>
        <v>0</v>
      </c>
      <c r="AC315" s="199">
        <f>IF(B313="Лікар загальної практики - сімейний лікар"," ",IF(B313="Лікар-педіатр"," ",IF(B313="Лікар-терапевт","х",0)))</f>
        <v>0</v>
      </c>
      <c r="AD315" s="199">
        <f>IF(B313="Лікар загальної практики - сімейний лікар"," ",IF(B313="Лікар-педіатр","х",IF(B313="Лікар-терапевт"," ",0)))</f>
        <v>0</v>
      </c>
      <c r="AE315" s="199">
        <f>IF(B313="Лікар загальної практики - сімейний лікар"," ",IF(B313="Лікар-педіатр","х",IF(B313="Лікар-терапевт"," ",0)))</f>
        <v>0</v>
      </c>
      <c r="AF315" s="199">
        <f>IF(B313="Лікар загальної практики - сімейний лікар"," ",IF(B313="Лікар-педіатр","х",IF(B313="Лікар-терапевт"," ",0)))</f>
        <v>0</v>
      </c>
      <c r="AG315" s="200">
        <f>SUM(AB315:AF315)</f>
        <v>0</v>
      </c>
      <c r="AH315" s="945"/>
      <c r="AI315" s="242"/>
      <c r="AJ315" s="933"/>
      <c r="AK315" s="927"/>
      <c r="AL315" s="927"/>
      <c r="AM315" s="902"/>
      <c r="AN315" s="924"/>
      <c r="AO315" s="924"/>
      <c r="AP315" s="924"/>
      <c r="AQ315" s="924"/>
      <c r="AR315" s="915"/>
    </row>
    <row r="316" spans="1:44" s="50" customFormat="1" ht="31.9" hidden="1" customHeight="1" thickBot="1">
      <c r="A316" s="197"/>
      <c r="B316" s="941"/>
      <c r="C316" s="1077"/>
      <c r="D316" s="943"/>
      <c r="E316" s="943"/>
      <c r="F316" s="236" t="s">
        <v>349</v>
      </c>
      <c r="G316" s="203">
        <f>IF($B$313="Лікар-педіатр",G315/L315,IF($B$313="Лікар-терапевт","х",IF($B$313="Лікар загальної практики - сімейний лікар",G315/L315,0)))</f>
        <v>0</v>
      </c>
      <c r="H316" s="203">
        <f>IF($B$313="Лікар-педіатр",H315/L315,IF($B$313="Лікар-терапевт","х",IF($B$313="Лікар загальної практики - сімейний лікар",H315/L315,0)))</f>
        <v>0</v>
      </c>
      <c r="I316" s="203">
        <f>IF($B$313="Лікар-педіатр","x",IF($B$313="Лікар-терапевт",I315/L315,IF($B$313="Лікар загальної практики - сімейний лікар",I315/L315,0)))</f>
        <v>0</v>
      </c>
      <c r="J316" s="203">
        <f>IF($B$313="Лікар-педіатр","x",IF($B$313="Лікар-терапевт",J315/L315,IF($B$313="Лікар загальної практики - сімейний лікар",J315/L315,0)))</f>
        <v>0</v>
      </c>
      <c r="K316" s="203">
        <f>IF($B$313="Лікар-педіатр","x",IF($B$313="Лікар-терапевт",K315/L315,IF($B$313="Лікар загальної практики - сімейний лікар",K315/L315,0)))</f>
        <v>0</v>
      </c>
      <c r="L316" s="203">
        <f>SUM(G316:K316)</f>
        <v>0</v>
      </c>
      <c r="M316" s="945"/>
      <c r="N316" s="203">
        <f>IF($B$313="Лікар-педіатр",N315/S315,IF($B$313="Лікар-терапевт","х",IF($B$313="Лікар загальної практики - сімейний лікар",N315/S315,0)))</f>
        <v>0</v>
      </c>
      <c r="O316" s="203">
        <f>IF($B$313="Лікар-педіатр",O315/S315,IF($B$313="Лікар-терапевт","х",IF($B$313="Лікар загальної практики - сімейний лікар",O315/S315,0)))</f>
        <v>0</v>
      </c>
      <c r="P316" s="203">
        <f>IF($B$313="Лікар-педіатр","x",IF($B$313="Лікар-терапевт",P315/S315,IF($B$313="Лікар загальної практики - сімейний лікар",P315/S315,0)))</f>
        <v>0</v>
      </c>
      <c r="Q316" s="203">
        <f>IF($B$313="Лікар-педіатр","x",IF($B$313="Лікар-терапевт",Q315/S315,IF($B$313="Лікар загальної практики - сімейний лікар",Q315/S315,0)))</f>
        <v>0</v>
      </c>
      <c r="R316" s="203">
        <f>IF($B$313="Лікар-педіатр","x",IF($B$313="Лікар-терапевт",R315/S315,IF($B$313="Лікар загальної практики - сімейний лікар",R315/S315,0)))</f>
        <v>0</v>
      </c>
      <c r="S316" s="203">
        <f>SUM(N316:R316)</f>
        <v>0</v>
      </c>
      <c r="T316" s="945"/>
      <c r="U316" s="203">
        <f>IF($B$313="Лікар-педіатр",U315/Z315,IF($B$313="Лікар-терапевт","х",IF($B$313="Лікар загальної практики - сімейний лікар",U315/Z315,0)))</f>
        <v>0</v>
      </c>
      <c r="V316" s="203">
        <f>IF($B$313="Лікар-педіатр",V315/Z315,IF($B$313="Лікар-терапевт","х",IF($B$313="Лікар загальної практики - сімейний лікар",V315/Z315,0)))</f>
        <v>0</v>
      </c>
      <c r="W316" s="203">
        <f>IF($B$313="Лікар-педіатр","x",IF($B$313="Лікар-терапевт",W315/Z315,IF($B$313="Лікар загальної практики - сімейний лікар",W315/Z315,0)))</f>
        <v>0</v>
      </c>
      <c r="X316" s="203">
        <f>IF($B$313="Лікар-педіатр","x",IF($B$313="Лікар-терапевт",X315/Z315,IF($B$313="Лікар загальної практики - сімейний лікар",X315/Z315,0)))</f>
        <v>0</v>
      </c>
      <c r="Y316" s="203">
        <f>IF($B$313="Лікар-педіатр","x",IF($B$313="Лікар-терапевт",Y315/Z315,IF($B$313="Лікар загальної практики - сімейний лікар",Y315/Z315,0)))</f>
        <v>0</v>
      </c>
      <c r="Z316" s="203">
        <f>SUM(U316:Y316)</f>
        <v>0</v>
      </c>
      <c r="AA316" s="945"/>
      <c r="AB316" s="203">
        <f>IF($B$313="Лікар-педіатр",AB315/AG315,IF($B$313="Лікар-терапевт","х",IF($B$313="Лікар загальної практики - сімейний лікар",AB315/AG315,0)))</f>
        <v>0</v>
      </c>
      <c r="AC316" s="203">
        <f>IF($B$313="Лікар-педіатр",AC315/AG315,IF($B$313="Лікар-терапевт","х",IF($B$313="Лікар загальної практики - сімейний лікар",AC315/AG315,0)))</f>
        <v>0</v>
      </c>
      <c r="AD316" s="203">
        <f>IF($B$313="Лікар-педіатр","x",IF($B$313="Лікар-терапевт",AD315/AG315,IF($B$313="Лікар загальної практики - сімейний лікар",AD315/AG315,0)))</f>
        <v>0</v>
      </c>
      <c r="AE316" s="203">
        <f>IF($B$313="Лікар-педіатр","x",IF($B$313="Лікар-терапевт",AE315/AG315,IF($B$313="Лікар загальної практики - сімейний лікар",AE315/AG315,0)))</f>
        <v>0</v>
      </c>
      <c r="AF316" s="203">
        <f>IF($B$313="Лікар-педіатр","x",IF($B$313="Лікар-терапевт",AF315/AG315,IF($B$313="Лікар загальної практики - сімейний лікар",AF315/AG315,0)))</f>
        <v>0</v>
      </c>
      <c r="AG316" s="203">
        <f>SUM(AB316:AF316)</f>
        <v>0</v>
      </c>
      <c r="AH316" s="945"/>
      <c r="AI316" s="201"/>
      <c r="AJ316" s="933"/>
      <c r="AK316" s="927"/>
      <c r="AL316" s="927"/>
      <c r="AM316" s="902"/>
      <c r="AN316" s="924"/>
      <c r="AO316" s="924"/>
      <c r="AP316" s="924"/>
      <c r="AQ316" s="924"/>
      <c r="AR316" s="915"/>
    </row>
    <row r="317" spans="1:44" s="50" customFormat="1" ht="45" hidden="1" customHeight="1" thickBot="1">
      <c r="A317" s="197"/>
      <c r="B317" s="941"/>
      <c r="C317" s="1077"/>
      <c r="D317" s="943"/>
      <c r="E317" s="944"/>
      <c r="F317" s="204" t="s">
        <v>585</v>
      </c>
      <c r="G317" s="205">
        <f>IF($B$313="Лікар загальної практики - сімейний лікар",AVERAGE(G313:G315),IF($B$313="Лікар-педіатр",AVERAGE(G313:G315),IF($B$313="Лікар-терапевт","х",0)))</f>
        <v>0</v>
      </c>
      <c r="H317" s="205">
        <f>IF($B$313="Лікар загальної практики - сімейний лікар",AVERAGE(H313:H315),IF($B$313="Лікар-педіатр",AVERAGE(H313:H315),IF($B$313="Лікар-терапевт","х",0)))</f>
        <v>0</v>
      </c>
      <c r="I317" s="205">
        <f>IF($B$313="Лікар загальної практики - сімейний лікар",AVERAGE(I313:I315),IF($B$313="Лікар-педіатр","x",IF($B$313="Лікар-терапевт",AVERAGE(I313:I315),0)))</f>
        <v>0</v>
      </c>
      <c r="J317" s="205">
        <f>IF($B$313="Лікар загальної практики - сімейний лікар",AVERAGE(J313:J315),IF($B$313="Лікар-педіатр","x",IF($B$313="Лікар-терапевт",AVERAGE(J313:J315),0)))</f>
        <v>0</v>
      </c>
      <c r="K317" s="205">
        <f>IF($B$313="Лікар загальної практики - сімейний лікар",AVERAGE(K313:K315),IF($B$313="Лікар-педіатр","x",IF($B$313="Лікар-терапевт",AVERAGE(K313:K315),0)))</f>
        <v>0</v>
      </c>
      <c r="L317" s="206">
        <f>SUM(G317:K317)</f>
        <v>0</v>
      </c>
      <c r="M317" s="946"/>
      <c r="N317" s="205">
        <f>IF($B$313="Лікар загальної практики - сімейний лікар",AVERAGE(N313:N315),IF($B$313="Лікар-педіатр",AVERAGE(N313:N315),IF($B$313="Лікар-терапевт","х",0)))</f>
        <v>0</v>
      </c>
      <c r="O317" s="205">
        <f>IF($B$313="Лікар загальної практики - сімейний лікар",AVERAGE(O313:O315),IF($B$313="Лікар-педіатр",AVERAGE(O313:O315),IF($B$313="Лікар-терапевт","х",0)))</f>
        <v>0</v>
      </c>
      <c r="P317" s="205">
        <f>IF($B$313="Лікар загальної практики - сімейний лікар",AVERAGE(P313:P315),IF($B$313="Лікар-педіатр","x",IF($B$313="Лікар-терапевт",AVERAGE(P313:P315),0)))</f>
        <v>0</v>
      </c>
      <c r="Q317" s="205">
        <f>IF($B$313="Лікар загальної практики - сімейний лікар",AVERAGE(Q313:Q315),IF($B$313="Лікар-педіатр","x",IF($B$313="Лікар-терапевт",AVERAGE(Q313:Q315),0)))</f>
        <v>0</v>
      </c>
      <c r="R317" s="205">
        <f>IF($B$313="Лікар загальної практики - сімейний лікар",AVERAGE(R313:R315),IF($B$313="Лікар-педіатр","x",IF($B$313="Лікар-терапевт",AVERAGE(R313:R315),0)))</f>
        <v>0</v>
      </c>
      <c r="S317" s="206">
        <f>SUM(N317:R317)</f>
        <v>0</v>
      </c>
      <c r="T317" s="946"/>
      <c r="U317" s="205">
        <f>IF($B$313="Лікар загальної практики - сімейний лікар",AVERAGE(U313:U315),IF($B$313="Лікар-педіатр",AVERAGE(U313:U315),IF($B$313="Лікар-терапевт","х",0)))</f>
        <v>0</v>
      </c>
      <c r="V317" s="205">
        <f>IF($B$313="Лікар загальної практики - сімейний лікар",AVERAGE(V313:V315),IF($B$313="Лікар-педіатр",AVERAGE(V313:V315),IF($B$313="Лікар-терапевт","х",0)))</f>
        <v>0</v>
      </c>
      <c r="W317" s="205">
        <f>IF($B$313="Лікар загальної практики - сімейний лікар",AVERAGE(W313:W315),IF($B$313="Лікар-педіатр","x",IF($B$313="Лікар-терапевт",AVERAGE(W313:W315),0)))</f>
        <v>0</v>
      </c>
      <c r="X317" s="205">
        <f>IF($B$313="Лікар загальної практики - сімейний лікар",AVERAGE(X313:X315),IF($B$313="Лікар-педіатр","x",IF($B$313="Лікар-терапевт",AVERAGE(X313:X315),0)))</f>
        <v>0</v>
      </c>
      <c r="Y317" s="205">
        <f>IF($B$313="Лікар загальної практики - сімейний лікар",AVERAGE(Y313:Y315),IF($B$313="Лікар-педіатр","x",IF($B$313="Лікар-терапевт",AVERAGE(Y313:Y315),0)))</f>
        <v>0</v>
      </c>
      <c r="Z317" s="206">
        <f>SUM(U317:Y317)</f>
        <v>0</v>
      </c>
      <c r="AA317" s="946"/>
      <c r="AB317" s="205">
        <f>IF($B$313="Лікар загальної практики - сімейний лікар",AVERAGE(AB313:AB315),IF($B$313="Лікар-педіатр",AVERAGE(AB313:AB315),IF($B$313="Лікар-терапевт","х",0)))</f>
        <v>0</v>
      </c>
      <c r="AC317" s="205">
        <f>IF($B$313="Лікар загальної практики - сімейний лікар",AVERAGE(AC313:AC315),IF($B$313="Лікар-педіатр",AVERAGE(AC313:AC315),IF($B$313="Лікар-терапевт","х",0)))</f>
        <v>0</v>
      </c>
      <c r="AD317" s="205">
        <f>IF($B$313="Лікар загальної практики - сімейний лікар",AVERAGE(AD313:AD315),IF($B$313="Лікар-педіатр","x",IF($B$313="Лікар-терапевт",AVERAGE(AD313:AD315),0)))</f>
        <v>0</v>
      </c>
      <c r="AE317" s="205">
        <f>IF($B$313="Лікар загальної практики - сімейний лікар",AVERAGE(AE313:AE315),IF($B$313="Лікар-педіатр","x",IF($B$313="Лікар-терапевт",AVERAGE(AE313:AE315),0)))</f>
        <v>0</v>
      </c>
      <c r="AF317" s="205">
        <f>IF($B$313="Лікар загальної практики - сімейний лікар",AVERAGE(AF313:AF315),IF($B$313="Лікар-педіатр","x",IF($B$313="Лікар-терапевт",AVERAGE(AF313:AF315),0)))</f>
        <v>0</v>
      </c>
      <c r="AG317" s="206">
        <f>SUM(AB317:AF317)</f>
        <v>0</v>
      </c>
      <c r="AH317" s="947"/>
      <c r="AI317" s="201"/>
      <c r="AJ317" s="933"/>
      <c r="AK317" s="927"/>
      <c r="AL317" s="927"/>
      <c r="AM317" s="903"/>
      <c r="AN317" s="925"/>
      <c r="AO317" s="925"/>
      <c r="AP317" s="925"/>
      <c r="AQ317" s="925"/>
      <c r="AR317" s="916"/>
    </row>
    <row r="318" spans="1:44" s="50" customFormat="1" ht="40.5" hidden="1">
      <c r="A318" s="197"/>
      <c r="B318" s="941"/>
      <c r="C318" s="1077"/>
      <c r="D318" s="943"/>
      <c r="E318" s="943"/>
      <c r="F318" s="237" t="str">
        <f ca="1">IF(B313="Лікар-педіатр",Законод!$C$17,IF(B313="Лікар загальної практики - сімейний лікар",Законод!$C$21,IF(B313="Лікар-терапевт",Законод!$C$25,"х")))</f>
        <v>х</v>
      </c>
      <c r="G318" s="208">
        <f ca="1">IF($B$313="Лікар загальної практики - сімейний лікар",IF(L317&lt;=Законод!$C$22,G317,Законод!$C$22*'01_Доходи'!G316),IF($B$313="Лікар-педіатр",IF(L317&lt;=Законод!$C$18,G317,Законод!$C$18*'01_Доходи'!G316),IF($B$313="Лікар-терапевт","x",0)))</f>
        <v>0</v>
      </c>
      <c r="H318" s="208">
        <f ca="1">IF($B$313="Лікар загальної практики - сімейний лікар",IF(L317&lt;=Законод!$C$22,H317,Законод!$C$22*'01_Доходи'!H316),IF($B$313="Лікар-педіатр",IF(L317&lt;=Законод!$C$18,H317,Законод!$C$18*'01_Доходи'!H316),IF($B$313="Лікар-терапевт","x",0)))</f>
        <v>0</v>
      </c>
      <c r="I318" s="208">
        <f ca="1">IF($B$313="Лікар загальної практики - сімейний лікар",IF(L317&lt;=Законод!$C$22,I317,Законод!$C$22*'01_Доходи'!I316),IF($B$313="Лікар-педіатр","x",IF($B$313="Лікар-терапевт",IF(L317&lt;=Законод!$C$26,I317,Законод!$C$26*'01_Доходи'!I316),0)))</f>
        <v>0</v>
      </c>
      <c r="J318" s="208">
        <f ca="1">IF($B$313="Лікар загальної практики - сімейний лікар",IF(L317&lt;=Законод!$C$22,J317,Законод!$C$22*'01_Доходи'!J316),IF($B$313="Лікар-педіатр","x",IF($B$313="Лікар-терапевт",IF(L317&lt;=Законод!$C$26,J317,Законод!$C$26*'01_Доходи'!J316),0)))</f>
        <v>0</v>
      </c>
      <c r="K318" s="208">
        <f ca="1">IF($B$313="Лікар загальної практики - сімейний лікар",IF(L317&lt;=Законод!$C$22,K317,Законод!$C$22*'01_Доходи'!K316),IF($B$313="Лікар-педіатр","x",IF($B$313="Лікар-терапевт",IF(L317&lt;=Законод!$C$26,K317,Законод!$C$26*'01_Доходи'!K316),0)))</f>
        <v>0</v>
      </c>
      <c r="L318" s="209">
        <f ca="1">SUM(G318:K318)</f>
        <v>0</v>
      </c>
      <c r="M318" s="945"/>
      <c r="N318" s="208">
        <f ca="1">IF($B$313="Лікар загальної практики - сімейний лікар",IF(S317&lt;=Законод!$C$22,N317,Законод!$C$22*'01_Доходи'!N316),IF($B$313="Лікар-педіатр",IF(S317&lt;=Законод!$C$18,N317,Законод!$C$18*'01_Доходи'!N316),IF($B$313="Лікар-терапевт","x",0)))</f>
        <v>0</v>
      </c>
      <c r="O318" s="208">
        <f ca="1">IF($B$313="Лікар загальної практики - сімейний лікар",IF(S317&lt;=Законод!$C$22,O317,Законод!$C$22*'01_Доходи'!O316),IF($B$313="Лікар-педіатр",IF(S317&lt;=Законод!$C$18,O317,Законод!$C$18*'01_Доходи'!O316),IF($B$313="Лікар-терапевт","x",0)))</f>
        <v>0</v>
      </c>
      <c r="P318" s="208">
        <f ca="1">IF($B$313="Лікар загальної практики - сімейний лікар",IF(S317&lt;=Законод!$C$22,P317,Законод!$C$22*'01_Доходи'!P316),IF($B$313="Лікар-педіатр","x",IF($B$313="Лікар-терапевт",IF(S317&lt;=Законод!$C$26,P317,Законод!$C$26*'01_Доходи'!P316),0)))</f>
        <v>0</v>
      </c>
      <c r="Q318" s="208">
        <f ca="1">IF($B$313="Лікар загальної практики - сімейний лікар",IF(S317&lt;=Законод!$C$22,Q317,Законод!$C$22*'01_Доходи'!Q316),IF($B$313="Лікар-педіатр","x",IF($B$313="Лікар-терапевт",IF(S317&lt;=Законод!$C$26,Q317,Законод!$C$26*'01_Доходи'!Q316),0)))</f>
        <v>0</v>
      </c>
      <c r="R318" s="208">
        <f ca="1">IF($B$313="Лікар загальної практики - сімейний лікар",IF(S317&lt;=Законод!$C$22,R317,Законод!$C$22*'01_Доходи'!R316),IF($B$313="Лікар-педіатр","x",IF($B$313="Лікар-терапевт",IF(S317&lt;=Законод!$C$26,R317,Законод!$C$26*'01_Доходи'!R316),0)))</f>
        <v>0</v>
      </c>
      <c r="S318" s="209">
        <f ca="1">SUM(N318:R318)</f>
        <v>0</v>
      </c>
      <c r="T318" s="945"/>
      <c r="U318" s="208">
        <f ca="1">IF($B$313="Лікар загальної практики - сімейний лікар",IF(Z317&lt;=Законод!$C$22,U317,Законод!$C$22*'01_Доходи'!U316),IF($B$313="Лікар-педіатр",IF(Z317&lt;=Законод!$C$18,U317,Законод!$C$18*'01_Доходи'!U316),IF($B$313="Лікар-терапевт","x",0)))</f>
        <v>0</v>
      </c>
      <c r="V318" s="208">
        <f ca="1">IF($B$313="Лікар загальної практики - сімейний лікар",IF(Z317&lt;=Законод!$C$22,V317,Законод!$C$22*'01_Доходи'!V316),IF($B$313="Лікар-педіатр",IF(Z317&lt;=Законод!$C$18,V317,Законод!$C$18*'01_Доходи'!V316),IF($B$313="Лікар-терапевт","x",0)))</f>
        <v>0</v>
      </c>
      <c r="W318" s="208">
        <f ca="1">IF($B$313="Лікар загальної практики - сімейний лікар",IF(Z317&lt;=Законод!$C$22,W317,Законод!$C$22*'01_Доходи'!W316),IF($B$313="Лікар-педіатр","x",IF($B$313="Лікар-терапевт",IF(Z317&lt;=Законод!$C$26,W317,Законод!$C$26*'01_Доходи'!W316),0)))</f>
        <v>0</v>
      </c>
      <c r="X318" s="208">
        <f ca="1">IF($B$313="Лікар загальної практики - сімейний лікар",IF(Z317&lt;=Законод!$C$22,X317,Законод!$C$22*'01_Доходи'!X316),IF($B$313="Лікар-педіатр","x",IF($B$313="Лікар-терапевт",IF(Z317&lt;=Законод!$C$26,X317,Законод!$C$26*'01_Доходи'!X316),0)))</f>
        <v>0</v>
      </c>
      <c r="Y318" s="208">
        <f ca="1">IF($B$313="Лікар загальної практики - сімейний лікар",IF(Z317&lt;=Законод!$C$22,Y317,Законод!$C$22*'01_Доходи'!Y316),IF($B$313="Лікар-педіатр","x",IF($B$313="Лікар-терапевт",IF(Z317&lt;=Законод!$C$26,Y317,Законод!$C$26*'01_Доходи'!Y316),0)))</f>
        <v>0</v>
      </c>
      <c r="Z318" s="209">
        <f ca="1">SUM(U318:Y318)</f>
        <v>0</v>
      </c>
      <c r="AA318" s="945"/>
      <c r="AB318" s="208">
        <f ca="1">IF($B$313="Лікар загальної практики - сімейний лікар",IF(AG317&lt;=Законод!$C$22,AB317,Законод!$C$22*'01_Доходи'!AB316),IF($B$313="Лікар-педіатр",IF(AG317&lt;=Законод!$C$18,AB317,Законод!$C$18*'01_Доходи'!AB316),IF($B$313="Лікар-терапевт","x",0)))</f>
        <v>0</v>
      </c>
      <c r="AC318" s="208">
        <f ca="1">IF($B$313="Лікар загальної практики - сімейний лікар",IF(AG317&lt;=Законод!$C$22,AC317,Законод!$C$22*'01_Доходи'!AC316),IF($B$313="Лікар-педіатр",IF(AG317&lt;=Законод!$C$18,AC317,Законод!$C$18*'01_Доходи'!AC316),IF($B$313="Лікар-терапевт","x",0)))</f>
        <v>0</v>
      </c>
      <c r="AD318" s="208">
        <f ca="1">IF($B$313="Лікар загальної практики - сімейний лікар",IF(AG317&lt;=Законод!$C$22,AD317,Законод!$C$22*'01_Доходи'!AD316),IF($B$313="Лікар-педіатр","x",IF($B$313="Лікар-терапевт",IF(AG317&lt;=Законод!$C$26,AD317,Законод!$C$26*'01_Доходи'!AD316),0)))</f>
        <v>0</v>
      </c>
      <c r="AE318" s="208">
        <f ca="1">IF($B$313="Лікар загальної практики - сімейний лікар",IF(AG317&lt;=Законод!$C$22,AE317,Законод!$C$22*'01_Доходи'!AE316),IF($B$313="Лікар-педіатр","x",IF($B$313="Лікар-терапевт",IF(AG317&lt;=Законод!$C$26,AE317,Законод!$C$26*'01_Доходи'!AE316),0)))</f>
        <v>0</v>
      </c>
      <c r="AF318" s="208">
        <f ca="1">IF($B$313="Лікар загальної практики - сімейний лікар",IF(AG317&lt;=Законод!$C$22,AF317,Законод!$C$22*'01_Доходи'!AF316),IF($B$313="Лікар-педіатр","x",IF($B$313="Лікар-терапевт",IF(AG317&lt;=Законод!$C$26,AF317,Законод!$C$26*'01_Доходи'!AF316),0)))</f>
        <v>0</v>
      </c>
      <c r="AG318" s="209">
        <f ca="1">SUM(AB318:AF318)</f>
        <v>0</v>
      </c>
      <c r="AH318" s="945"/>
      <c r="AI318" s="201"/>
      <c r="AJ318" s="933"/>
      <c r="AK318" s="927"/>
      <c r="AL318" s="927"/>
      <c r="AM318" s="348" t="s">
        <v>374</v>
      </c>
      <c r="AN318" s="210">
        <f ca="1">IF(B313="Лікар загальної практики - сімейний лікар",G318*Законод!$C$11+'01_Доходи'!H318*Законод!$D$11+'01_Доходи'!I318*Законод!$E$11+'01_Доходи'!J318*Законод!$F$11+'01_Доходи'!K318*Законод!$G$11,IF(B313="Лікар-педіатр",G318*Законод!$C$11+'01_Доходи'!H318*Законод!$D$11,IF(B313="Лікар-терапевт",'01_Доходи'!I318*Законод!$E$11+'01_Доходи'!J318*Законод!$F$11+'01_Доходи'!K318*Законод!$G$11,0)))</f>
        <v>0</v>
      </c>
      <c r="AO318" s="210">
        <f ca="1">IF(B313="Лікар загальної практики - сімейний лікар",N318*Законод!$C$11+'01_Доходи'!O318*Законод!$D$11+'01_Доходи'!P318*Законод!$E$11+'01_Доходи'!Q318*Законод!$F$11+'01_Доходи'!R318*Законод!$G$11,IF(B313="Лікар-педіатр",N318*Законод!$C$11+'01_Доходи'!O318*Законод!$D$11,IF(B313="Лікар-терапевт",'01_Доходи'!P318*Законод!$E$11+'01_Доходи'!Q318*Законод!$F$11+'01_Доходи'!R318*Законод!$G$11,0)))</f>
        <v>0</v>
      </c>
      <c r="AP318" s="210">
        <f ca="1">IF(B313="Лікар загальної практики - сімейний лікар",U318*Законод!$C$11+'01_Доходи'!V318*Законод!$D$11+'01_Доходи'!W318*Законод!$E$11+'01_Доходи'!X318*Законод!$F$11+'01_Доходи'!Y318*Законод!$G$11,IF(B313="Лікар-педіатр",U318*Законод!$C$11+'01_Доходи'!V318*Законод!$D$11,IF(B313="Лікар-терапевт",'01_Доходи'!W318*Законод!$E$11+'01_Доходи'!X318*Законод!$F$11+'01_Доходи'!Y318*Законод!$G$11,0)))</f>
        <v>0</v>
      </c>
      <c r="AQ318" s="210">
        <f ca="1">IF(B313="Лікар загальної практики - сімейний лікар",AB318*Законод!$C$11+'01_Доходи'!AC318*Законод!$D$11+'01_Доходи'!AD318*Законод!$E$11+'01_Доходи'!AE318*Законод!$F$11+'01_Доходи'!AF318*Законод!$G$11,IF(B313="Лікар-педіатр",AB318*Законод!$C$11+'01_Доходи'!AC318*Законод!$D$11,IF(B313="Лікар-терапевт",'01_Доходи'!AD318*Законод!$E$11+'01_Доходи'!AE318*Законод!$F$11+'01_Доходи'!AF318*Законод!$G$11,0)))</f>
        <v>0</v>
      </c>
      <c r="AR318" s="211">
        <f t="shared" ref="AR318:AR324" si="51">SUM(AN318:AQ318)</f>
        <v>0</v>
      </c>
    </row>
    <row r="319" spans="1:44" s="50" customFormat="1" ht="31.9" hidden="1" customHeight="1">
      <c r="A319" s="197"/>
      <c r="B319" s="941"/>
      <c r="C319" s="1077"/>
      <c r="D319" s="943"/>
      <c r="E319" s="943"/>
      <c r="F319" s="238" t="str">
        <f ca="1">IF(B313="Лікар-педіатр",Законод!$E$17,IF(B313="Лікар загальної практики - сімейний лікар",Законод!$E$21,IF(B313="Лікар-терапевт",Законод!$E$25,"х")))</f>
        <v>х</v>
      </c>
      <c r="G319" s="940" t="s">
        <v>346</v>
      </c>
      <c r="H319" s="940"/>
      <c r="I319" s="940"/>
      <c r="J319" s="940"/>
      <c r="K319" s="940"/>
      <c r="L319" s="196">
        <f ca="1">IF($B$313="Лікар загальної практики - сімейний лікар",IF(L317&lt;Законод!$C$22,0,(IF(AND(L317&gt;=Законод!$E$22,L317&lt;=Законод!$E$23),L317-Законод!$C$22,IF('01_Доходи'!L317&gt;=Законод!$F$22,Законод!$E$24,0)))),IF($B$313="Лікар-педіатр",IF(L317&lt;Законод!$C$18,0,(IF(AND(L317&gt;=Законод!$E$18,L317&lt;=Законод!$E$19),L317-Законод!$C$18,IF('01_Доходи'!L317&gt;=Законод!$F$18,Законод!$E$20,0)))),IF($B$313="Лікар-терапевт",IF(L317&lt;Законод!$C$26,0,(IF(AND(L317&gt;=Законод!$E$26,L317&lt;=Законод!$E$27),L317-Законод!$C$26,IF('01_Доходи'!L317&gt;=Законод!$F$26,Законод!$E$28,0)))),0)))</f>
        <v>0</v>
      </c>
      <c r="M319" s="945"/>
      <c r="N319" s="940" t="s">
        <v>346</v>
      </c>
      <c r="O319" s="940"/>
      <c r="P319" s="940"/>
      <c r="Q319" s="940"/>
      <c r="R319" s="940"/>
      <c r="S319" s="196">
        <f ca="1">IF($B$313="Лікар загальної практики - сімейний лікар",IF(S317&lt;Законод!$C$22,0,(IF(AND(S317&gt;=Законод!$E$22,S317&lt;=Законод!$E$23),S317-Законод!$C$22,IF('01_Доходи'!S317&gt;=Законод!$F$22,Законод!$E$24,0)))),IF($B$313="Лікар-педіатр",IF(S317&lt;Законод!$C$18,0,(IF(AND(S317&gt;=Законод!$E$18,S317&lt;=Законод!$E$19),S317-Законод!$C$18,IF('01_Доходи'!S317&gt;=Законод!$F$18,Законод!$E$20,0)))),IF($B$313="Лікар-терапевт",IF(S317&lt;Законод!$C$26,0,(IF(AND(S317&gt;=Законод!$E$26,S317&lt;=Законод!$E$27),S317-Законод!$C$26,IF('01_Доходи'!S317&gt;=Законод!$F$26,Законод!$E$28,0)))),0)))</f>
        <v>0</v>
      </c>
      <c r="T319" s="945"/>
      <c r="U319" s="940" t="s">
        <v>346</v>
      </c>
      <c r="V319" s="940"/>
      <c r="W319" s="940"/>
      <c r="X319" s="940"/>
      <c r="Y319" s="940"/>
      <c r="Z319" s="196">
        <f ca="1">IF($B$313="Лікар загальної практики - сімейний лікар",IF(Z317&lt;Законод!$C$22,0,(IF(AND(Z317&gt;=Законод!$E$22,Z317&lt;=Законод!$E$23),Z317-Законод!$C$22,IF('01_Доходи'!Z317&gt;=Законод!$F$22,Законод!$E$24,0)))),IF($B$313="Лікар-педіатр",IF(Z317&lt;Законод!$C$18,0,(IF(AND(Z317&gt;=Законод!$E$18,Z317&lt;=Законод!$E$19),Z317-Законод!$C$18,IF('01_Доходи'!Z317&gt;=Законод!$F$18,Законод!$E$20,0)))),IF($B$313="Лікар-терапевт",IF(Z317&lt;Законод!$C$26,0,(IF(AND(Z317&gt;=Законод!$E$26,Z317&lt;=Законод!$E$27),Z317-Законод!$C$26,IF('01_Доходи'!Z317&gt;=Законод!$F$26,Законод!$E$28,0)))),0)))</f>
        <v>0</v>
      </c>
      <c r="AA319" s="945"/>
      <c r="AB319" s="940" t="s">
        <v>346</v>
      </c>
      <c r="AC319" s="940"/>
      <c r="AD319" s="940"/>
      <c r="AE319" s="940"/>
      <c r="AF319" s="940"/>
      <c r="AG319" s="196">
        <f ca="1">IF($B$313="Лікар загальної практики - сімейний лікар",IF(AG317&lt;Законод!$C$22,0,(IF(AND(AG317&gt;=Законод!$E$22,AG317&lt;=Законод!$E$23),AG317-Законод!$C$22,IF('01_Доходи'!AG317&gt;=Законод!$F$22,Законод!$E$24,0)))),IF($B$313="Лікар-педіатр",IF(AG317&lt;Законод!$C$18,0,(IF(AND(AG317&gt;=Законод!$E$18,AG317&lt;=Законод!$E$19),AG317-Законод!$C$18,IF('01_Доходи'!AG317&gt;=Законод!$F$18,Законод!$E$20,0)))),IF($B$313="Лікар-терапевт",IF(AG317&lt;Законод!$C$26,0,(IF(AND(AG317&gt;=Законод!$E$26,AG317&lt;=Законод!$E$27),AG317-Законод!$C$26,IF('01_Доходи'!AG317&gt;=Законод!$F$26,Законод!$E$28,0)))),0)))</f>
        <v>0</v>
      </c>
      <c r="AH319" s="945"/>
      <c r="AI319" s="201"/>
      <c r="AJ319" s="933"/>
      <c r="AK319" s="927"/>
      <c r="AL319" s="927"/>
      <c r="AM319" s="898" t="s">
        <v>375</v>
      </c>
      <c r="AN319" s="210">
        <f ca="1">IF(B313="Лікар загальної практики - сімейний лікар",L319*Законод!$C$9/4*Законод!$E$16,IF(B313="Лікар-педіатр",L319*Законод!$C$9/4*Законод!$E$16,IF(B313="Лікар-терапевт",L319*Законод!$C$9/4*Законод!$E$16,0)))</f>
        <v>0</v>
      </c>
      <c r="AO319" s="210">
        <f ca="1">IF(B313="Лікар загальної практики - сімейний лікар",S319*Законод!$C$9/4*Законод!$E$16,IF(B313="Лікар-педіатр",S319*Законод!$C$9/4*Законод!$E$16,IF(B313="Лікар-терапевт",S319*Законод!$C$9/4*Законод!$E$16,0)))</f>
        <v>0</v>
      </c>
      <c r="AP319" s="210">
        <f ca="1">IF(B313="Лікар загальної практики - сімейний лікар",Z319*Законод!$C$9/4*Законод!$E$16,IF(B313="Лікар-педіатр",Z319*Законод!$C$9/4*Законод!$E$16,IF(B313="Лікар-терапевт",Z319*Законод!$C$9/4*Законод!$E$16,0)))</f>
        <v>0</v>
      </c>
      <c r="AQ319" s="210">
        <f ca="1">IF(B313="Лікар загальної практики - сімейний лікар",AG319*Законод!$C$9/4*Законод!$E$16,IF(B313="Лікар-педіатр",AG319*Законод!$C$9/4*Законод!$E$16,IF(B313="Лікар-терапевт",AG319*Законод!$C$9/4*Законод!$E$16,0)))</f>
        <v>0</v>
      </c>
      <c r="AR319" s="211">
        <f t="shared" si="51"/>
        <v>0</v>
      </c>
    </row>
    <row r="320" spans="1:44" s="50" customFormat="1" ht="31.9" hidden="1" customHeight="1">
      <c r="A320" s="197"/>
      <c r="B320" s="941"/>
      <c r="C320" s="1077"/>
      <c r="D320" s="943"/>
      <c r="E320" s="943"/>
      <c r="F320" s="238" t="str">
        <f ca="1">IF(B313="Лікар-педіатр",Законод!$F$17,IF(B313="Лікар загальної практики - сімейний лікар",Законод!$F$21,IF(B313="Лікар-терапевт",Законод!$F$25,"х")))</f>
        <v>х</v>
      </c>
      <c r="G320" s="940" t="s">
        <v>346</v>
      </c>
      <c r="H320" s="940"/>
      <c r="I320" s="940"/>
      <c r="J320" s="940"/>
      <c r="K320" s="940"/>
      <c r="L320" s="196">
        <f ca="1">IF($B$313="Лікар загальної практики - сімейний лікар",IF(L317&lt;Законод!$C$22,0,(IF(AND(L317&gt;=Законод!$F$22,L317&lt;=Законод!$F$23),L317-Законод!$E$23,IF('01_Доходи'!L317&gt;=Законод!$G$22,Законод!$F$24,0)))),IF($B$313="Лікар-педіатр",IF(L317&lt;Законод!$C$18,0,(IF(AND(L317&gt;=Законод!$F$18,L317&lt;=Законод!$F$19),L317-Законод!$E$19,IF('01_Доходи'!L317&gt;=Законод!$G$18,Законод!$F$20,0)))),IF($B$313="Лікар-терапевт",IF(L317&lt;Законод!$C$26,0,(IF(AND(L317&gt;=Законод!$F$26,L317&lt;=Законод!$F$27),L317-Законод!$E$27,IF('01_Доходи'!L317&gt;=Законод!$G$26,Законод!$F$28,0)))),0)))</f>
        <v>0</v>
      </c>
      <c r="M320" s="945"/>
      <c r="N320" s="940" t="s">
        <v>346</v>
      </c>
      <c r="O320" s="940"/>
      <c r="P320" s="940"/>
      <c r="Q320" s="940"/>
      <c r="R320" s="940"/>
      <c r="S320" s="196">
        <f ca="1">IF($B$313="Лікар загальної практики - сімейний лікар",IF(S317&lt;Законод!$C$22,0,(IF(AND(S317&gt;=Законод!$F$22,S317&lt;=Законод!$F$23),S317-Законод!$E$23,IF('01_Доходи'!S317&gt;=Законод!$G$22,Законод!$F$24,0)))),IF($B$313="Лікар-педіатр",IF(S317&lt;Законод!$C$18,0,(IF(AND(S317&gt;=Законод!$F$18,S317&lt;=Законод!$F$19),S317-Законод!$E$19,IF('01_Доходи'!S317&gt;=Законод!$G$18,Законод!$F$20,0)))),IF($B$313="Лікар-терапевт",IF(S317&lt;Законод!$C$26,0,(IF(AND(S317&gt;=Законод!$F$26,S317&lt;=Законод!$F$27),S317-Законод!$E$27,IF('01_Доходи'!S317&gt;=Законод!$G$26,Законод!$F$28,0)))),0)))</f>
        <v>0</v>
      </c>
      <c r="T320" s="945"/>
      <c r="U320" s="940" t="s">
        <v>346</v>
      </c>
      <c r="V320" s="940"/>
      <c r="W320" s="940"/>
      <c r="X320" s="940"/>
      <c r="Y320" s="940"/>
      <c r="Z320" s="196">
        <f ca="1">IF($B$313="Лікар загальної практики - сімейний лікар",IF(Z317&lt;Законод!$C$22,0,(IF(AND(Z317&gt;=Законод!$F$22,Z317&lt;=Законод!$F$23),Z317-Законод!$E$23,IF('01_Доходи'!Z317&gt;=Законод!$G$22,Законод!$F$24,0)))),IF($B$313="Лікар-педіатр",IF(Z317&lt;Законод!$C$18,0,(IF(AND(Z317&gt;=Законод!$F$18,Z317&lt;=Законод!$F$19),Z317-Законод!$E$19,IF('01_Доходи'!Z317&gt;=Законод!$G$18,Законод!$F$20,0)))),IF($B$313="Лікар-терапевт",IF(Z317&lt;Законод!$C$26,0,(IF(AND(Z317&gt;=Законод!$F$26,Z317&lt;=Законод!$F$27),Z317-Законод!$E$27,IF('01_Доходи'!Z317&gt;=Законод!$G$26,Законод!$F$28,0)))),0)))</f>
        <v>0</v>
      </c>
      <c r="AA320" s="945"/>
      <c r="AB320" s="940" t="s">
        <v>346</v>
      </c>
      <c r="AC320" s="940"/>
      <c r="AD320" s="940"/>
      <c r="AE320" s="940"/>
      <c r="AF320" s="940"/>
      <c r="AG320" s="196">
        <f ca="1">IF($B$313="Лікар загальної практики - сімейний лікар",IF(AG317&lt;Законод!$C$22,0,(IF(AND(AG317&gt;=Законод!$F$22,AG317&lt;=Законод!$F$23),AG317-Законод!$E$23,IF('01_Доходи'!AG317&gt;=Законод!$G$22,Законод!$F$24,0)))),IF($B$313="Лікар-педіатр",IF(AG317&lt;Законод!$C$18,0,(IF(AND(AG317&gt;=Законод!$F$18,AG317&lt;=Законод!$F$19),AG317-Законод!$E$19,IF('01_Доходи'!AG317&gt;=Законод!$G$18,Законод!$F$20,0)))),IF($B$313="Лікар-терапевт",IF(AG317&lt;Законод!$C$26,0,(IF(AND(AG317&gt;=Законод!$F$26,AG317&lt;=Законод!$F$27),AG317-Законод!$E$27,IF('01_Доходи'!AG317&gt;=Законод!$G$26,Законод!$F$28,0)))),0)))</f>
        <v>0</v>
      </c>
      <c r="AH320" s="945"/>
      <c r="AI320" s="201"/>
      <c r="AJ320" s="933"/>
      <c r="AK320" s="927"/>
      <c r="AL320" s="927"/>
      <c r="AM320" s="899"/>
      <c r="AN320" s="210">
        <f ca="1">IF(B313="Лікар загальної практики - сімейний лікар",L320*Законод!$C$9/4*Законод!$F$16,IF(B313="Лікар-педіатр",L320*Законод!$C$9/4*Законод!$F$16,IF(B313="Лікар-терапевт",L320*Законод!$C$9/4*Законод!$F$16,0)))</f>
        <v>0</v>
      </c>
      <c r="AO320" s="210">
        <f ca="1">IF(B313="Лікар загальної практики - сімейний лікар",S320*Законод!$C$9/4*Законод!$F$16,IF(B313="Лікар-педіатр",S320*Законод!$C$9/4*Законод!$F$16,IF(B313="Лікар-терапевт",S320*Законод!$C$9/4*Законод!$F$16,0)))</f>
        <v>0</v>
      </c>
      <c r="AP320" s="210">
        <f ca="1">IF(B313="Лікар загальної практики - сімейний лікар",Z320*Законод!$C$9/4*Законод!$F$16,IF(B313="Лікар-педіатр",Z320*Законод!$C$9/4*Законод!$F$16,IF(B313="Лікар-терапевт",Z320*Законод!$C$9/4*Законод!$F$16,0)))</f>
        <v>0</v>
      </c>
      <c r="AQ320" s="210">
        <f ca="1">IF(B313="Лікар загальної практики - сімейний лікар",AG320*Законод!$C$9/4*Законод!$F$16,IF(B313="Лікар-педіатр",AG320*Законод!$C$9/4*Законод!$F$16,IF(B313="Лікар-терапевт",AG320*Законод!$C$9/4*Законод!$F$16,0)))</f>
        <v>0</v>
      </c>
      <c r="AR320" s="211">
        <f t="shared" si="51"/>
        <v>0</v>
      </c>
    </row>
    <row r="321" spans="1:44" s="50" customFormat="1" ht="31.9" hidden="1" customHeight="1">
      <c r="A321" s="197"/>
      <c r="B321" s="941"/>
      <c r="C321" s="1077"/>
      <c r="D321" s="943"/>
      <c r="E321" s="943"/>
      <c r="F321" s="238" t="str">
        <f ca="1">IF(B313="Лікар-педіатр",Законод!$G$17,IF(B313="Лікар загальної практики - сімейний лікар",Законод!$G$21,IF(B313="Лікар-терапевт",Законод!$G$25,"х")))</f>
        <v>х</v>
      </c>
      <c r="G321" s="940" t="s">
        <v>346</v>
      </c>
      <c r="H321" s="940"/>
      <c r="I321" s="940"/>
      <c r="J321" s="940"/>
      <c r="K321" s="940"/>
      <c r="L321" s="196">
        <f ca="1">IF($B$313="Лікар загальної практики - сімейний лікар",IF(L317&lt;Законод!$C$22,0,(IF(AND(L317&gt;=Законод!$G$22,L317&lt;=Законод!$G$23),L317-Законод!$F$23,IF('01_Доходи'!L317&gt;=Законод!$H$22,Законод!$G$24,0)))),IF($B$313="Лікар-педіатр",IF(L317&lt;Законод!$C$18,0,(IF(AND(L317&gt;=Законод!$G$18,L317&lt;=Законод!$G$19),L317-Законод!$F$19,IF('01_Доходи'!L317&gt;=Законод!$H$18,Законод!$G$20,0)))),IF($B$313="Лікар-терапевт",IF(L317&lt;Законод!$C$26,0,(IF(AND(L317&gt;=Законод!$G$26,L317&lt;=Законод!$G$27),L317-Законод!$F$27,IF('01_Доходи'!L317&gt;=Законод!$H$26,Законод!$G$28,0)))),0)))</f>
        <v>0</v>
      </c>
      <c r="M321" s="945"/>
      <c r="N321" s="940" t="s">
        <v>346</v>
      </c>
      <c r="O321" s="940"/>
      <c r="P321" s="940"/>
      <c r="Q321" s="940"/>
      <c r="R321" s="940"/>
      <c r="S321" s="196">
        <f ca="1">IF($B$313="Лікар загальної практики - сімейний лікар",IF(S317&lt;Законод!$C$22,0,(IF(AND(S317&gt;=Законод!$G$22,S317&lt;=Законод!$G$23),S317-Законод!$F$23,IF('01_Доходи'!S317&gt;=Законод!$H$22,Законод!$G$24,0)))),IF($B$313="Лікар-педіатр",IF(S317&lt;Законод!$C$18,0,(IF(AND(S317&gt;=Законод!$G$18,S317&lt;=Законод!$G$19),S317-Законод!$F$19,IF('01_Доходи'!S317&gt;=Законод!$H$18,Законод!$G$20,0)))),IF($B$313="Лікар-терапевт",IF(S317&lt;Законод!$C$26,0,(IF(AND(S317&gt;=Законод!$G$26,S317&lt;=Законод!$G$27),S317-Законод!$F$27,IF('01_Доходи'!S317&gt;=Законод!$H$26,Законод!$G$28,0)))),0)))</f>
        <v>0</v>
      </c>
      <c r="T321" s="945"/>
      <c r="U321" s="940" t="s">
        <v>346</v>
      </c>
      <c r="V321" s="940"/>
      <c r="W321" s="940"/>
      <c r="X321" s="940"/>
      <c r="Y321" s="940"/>
      <c r="Z321" s="196">
        <f ca="1">IF($B$313="Лікар загальної практики - сімейний лікар",IF(Z317&lt;Законод!$C$22,0,(IF(AND(Z317&gt;=Законод!$G$22,Z317&lt;=Законод!$G$23),Z317-Законод!$F$23,IF('01_Доходи'!Z317&gt;=Законод!$H$22,Законод!$G$24,0)))),IF($B$313="Лікар-педіатр",IF(Z317&lt;Законод!$C$18,0,(IF(AND(Z317&gt;=Законод!$G$18,Z317&lt;=Законод!$G$19),Z317-Законод!$F$19,IF('01_Доходи'!Z317&gt;=Законод!$H$18,Законод!$G$20,0)))),IF($B$313="Лікар-терапевт",IF(Z317&lt;Законод!$C$26,0,(IF(AND(Z317&gt;=Законод!$G$26,Z317&lt;=Законод!$G$27),Z317-Законод!$F$27,IF('01_Доходи'!Z317&gt;=Законод!$H$26,Законод!$G$28,0)))),0)))</f>
        <v>0</v>
      </c>
      <c r="AA321" s="945"/>
      <c r="AB321" s="940" t="s">
        <v>346</v>
      </c>
      <c r="AC321" s="940"/>
      <c r="AD321" s="940"/>
      <c r="AE321" s="940"/>
      <c r="AF321" s="940"/>
      <c r="AG321" s="196">
        <f ca="1">IF($B$313="Лікар загальної практики - сімейний лікар",IF(AG317&lt;Законод!$C$22,0,(IF(AND(AG317&gt;=Законод!$G$22,AG317&lt;=Законод!$G$23),AG317-Законод!$F$23,IF('01_Доходи'!AG317&gt;=Законод!$H$22,Законод!$G$24,0)))),IF($B$313="Лікар-педіатр",IF(AG317&lt;Законод!$C$18,0,(IF(AND(AG317&gt;=Законод!$G$18,AG317&lt;=Законод!$G$19),AG317-Законод!$F$19,IF('01_Доходи'!AG317&gt;=Законод!$H$18,Законод!$G$20,0)))),IF($B$313="Лікар-терапевт",IF(AG317&lt;Законод!$C$26,0,(IF(AND(AG317&gt;=Законод!$G$26,AG317&lt;=Законод!$G$27),AG317-Законод!$F$27,IF('01_Доходи'!AG317&gt;=Законод!$H$26,Законод!$G$28,0)))),0)))</f>
        <v>0</v>
      </c>
      <c r="AH321" s="945"/>
      <c r="AI321" s="201"/>
      <c r="AJ321" s="933"/>
      <c r="AK321" s="927"/>
      <c r="AL321" s="927"/>
      <c r="AM321" s="899"/>
      <c r="AN321" s="210">
        <f ca="1">IF(B313="Лікар загальної практики - сімейний лікар",L321*Законод!$C$9/4*Законод!$G$16,IF(B313="Лікар-педіатр",L321*Законод!$C$9/4*Законод!$G$16,IF(B313="Лікар-терапевт",L321*Законод!$C$9/4*Законод!$G$16,0)))</f>
        <v>0</v>
      </c>
      <c r="AO321" s="210">
        <f ca="1">IF(B313="Лікар загальної практики - сімейний лікар",S321*Законод!$C$9/4*Законод!$G$16,IF(B313="Лікар-педіатр",S321*Законод!$C$9/4*Законод!$G$16,IF(B313="Лікар-терапевт",S321*Законод!$C$9/4*Законод!$G$16,0)))</f>
        <v>0</v>
      </c>
      <c r="AP321" s="210">
        <f ca="1">IF(B313="Лікар загальної практики - сімейний лікар",Z321*Законод!$C$9/4*Законод!$G$16,IF(B313="Лікар-педіатр",Z321*Законод!$C$9/4*Законод!$G$16,IF(B313="Лікар-терапевт",Z321*Законод!$C$9/4*Законод!$G$16,0)))</f>
        <v>0</v>
      </c>
      <c r="AQ321" s="210">
        <f ca="1">IF(B313="Лікар загальної практики - сімейний лікар",AG321*Законод!$C$9/4*Законод!$G$16,IF(B313="Лікар-педіатр",AG321*Законод!$C$9/4*Законод!$G$16,IF(B313="Лікар-терапевт",AG321*Законод!$C$9/4*Законод!$G$16,0)))</f>
        <v>0</v>
      </c>
      <c r="AR321" s="211">
        <f t="shared" si="51"/>
        <v>0</v>
      </c>
    </row>
    <row r="322" spans="1:44" s="50" customFormat="1" ht="31.9" hidden="1" customHeight="1">
      <c r="A322" s="197"/>
      <c r="B322" s="941"/>
      <c r="C322" s="1077"/>
      <c r="D322" s="943"/>
      <c r="E322" s="943"/>
      <c r="F322" s="238" t="str">
        <f ca="1">IF(B313="Лікар-педіатр",Законод!$H$17,IF(B313="Лікар загальної практики - сімейний лікар",Законод!$H$21,IF(B313="Лікар-терапевт",Законод!$H$25,"х")))</f>
        <v>х</v>
      </c>
      <c r="G322" s="940" t="s">
        <v>346</v>
      </c>
      <c r="H322" s="940"/>
      <c r="I322" s="940"/>
      <c r="J322" s="940"/>
      <c r="K322" s="940"/>
      <c r="L322" s="196">
        <f ca="1">IF($B$313="Лікар загальної практики - сімейний лікар",IF(L317&lt;Законод!$C$22,0,(IF(AND(L317&gt;=Законод!$H$22,L317&lt;=Законод!$H$23),L317-Законод!$G$23,IF('01_Доходи'!L317&gt;=Законод!$I$22,Законод!$H$24,0)))),IF($B$313="Лікар-педіатр",IF(L317&lt;Законод!$C$18,0,(IF(AND(L317&gt;=Законод!$H$18,L317&lt;=Законод!$H$19),L317-Законод!$G$19,IF('01_Доходи'!L317&gt;=Законод!$I$18,Законод!$H$20,0)))),IF($B$313="Лікар-терапевт",IF(L317&lt;Законод!$C$26,0,(IF(AND(L317&gt;=Законод!$H$26,L317&lt;=Законод!$H$27),L317-Законод!$G$27,IF(L317&gt;=Законод!$I$26,Законод!$H$28,0)))),0)))</f>
        <v>0</v>
      </c>
      <c r="M322" s="945"/>
      <c r="N322" s="940" t="s">
        <v>346</v>
      </c>
      <c r="O322" s="940"/>
      <c r="P322" s="940"/>
      <c r="Q322" s="940"/>
      <c r="R322" s="940"/>
      <c r="S322" s="196">
        <f ca="1">IF($B$313="Лікар загальної практики - сімейний лікар",IF(S317&lt;Законод!$C$22,0,(IF(AND(S317&gt;=Законод!$H$22,S317&lt;=Законод!$H$23),S317-Законод!$G$23,IF('01_Доходи'!S317&gt;=Законод!$I$22,Законод!$H$24,0)))),IF($B$313="Лікар-педіатр",IF(S317&lt;Законод!$C$18,0,(IF(AND(S317&gt;=Законод!$H$18,S317&lt;=Законод!$H$19),S317-Законод!$G$19,IF('01_Доходи'!S317&gt;=Законод!$I$18,Законод!$H$20,0)))),IF($B$313="Лікар-терапевт",IF(S317&lt;Законод!$C$26,0,(IF(AND(S317&gt;=Законод!$H$26,S317&lt;=Законод!$H$27),S317-Законод!$G$27,IF(S317&gt;=Законод!$I$26,Законод!$H$28,0)))),0)))</f>
        <v>0</v>
      </c>
      <c r="T322" s="945"/>
      <c r="U322" s="940" t="s">
        <v>346</v>
      </c>
      <c r="V322" s="940"/>
      <c r="W322" s="940"/>
      <c r="X322" s="940"/>
      <c r="Y322" s="940"/>
      <c r="Z322" s="196">
        <f ca="1">IF($B$313="Лікар загальної практики - сімейний лікар",IF(Z317&lt;Законод!$C$22,0,(IF(AND(Z317&gt;=Законод!$H$22,Z317&lt;=Законод!$H$23),Z317-Законод!$G$23,IF('01_Доходи'!Z317&gt;=Законод!$I$22,Законод!$H$24,0)))),IF($B$313="Лікар-педіатр",IF(Z317&lt;Законод!$C$18,0,(IF(AND(Z317&gt;=Законод!$H$18,Z317&lt;=Законод!$H$19),Z317-Законод!$G$19,IF('01_Доходи'!Z317&gt;=Законод!$I$18,Законод!$H$20,0)))),IF($B$313="Лікар-терапевт",IF(Z317&lt;Законод!$C$26,0,(IF(AND(Z317&gt;=Законод!$H$26,Z317&lt;=Законод!$H$27),Z317-Законод!$G$27,IF(Z317&gt;=Законод!$I$26,Законод!$H$28,0)))),0)))</f>
        <v>0</v>
      </c>
      <c r="AA322" s="945"/>
      <c r="AB322" s="940" t="s">
        <v>346</v>
      </c>
      <c r="AC322" s="940"/>
      <c r="AD322" s="940"/>
      <c r="AE322" s="940"/>
      <c r="AF322" s="940"/>
      <c r="AG322" s="196">
        <f ca="1">IF($B$313="Лікар загальної практики - сімейний лікар",IF(AG317&lt;Законод!$C$22,0,(IF(AND(AG317&gt;=Законод!$H$22,AG317&lt;=Законод!$H$23),AG317-Законод!$G$23,IF('01_Доходи'!AG317&gt;=Законод!$I$22,Законод!$H$24,0)))),IF($B$313="Лікар-педіатр",IF(AG317&lt;Законод!$C$18,0,(IF(AND(AG317&gt;=Законод!$H$18,AG317&lt;=Законод!$H$19),AG317-Законод!$G$19,IF('01_Доходи'!AG317&gt;=Законод!$I$18,Законод!$H$20,0)))),IF($B$313="Лікар-терапевт",IF(AG317&lt;Законод!$C$26,0,(IF(AND(AG317&gt;=Законод!$H$26,AG317&lt;=Законод!$H$27),AG317-Законод!$G$27,IF(AG317&gt;=Законод!$I$26,Законод!$H$28,0)))),0)))</f>
        <v>0</v>
      </c>
      <c r="AH322" s="945"/>
      <c r="AI322" s="201"/>
      <c r="AJ322" s="933"/>
      <c r="AK322" s="927"/>
      <c r="AL322" s="927"/>
      <c r="AM322" s="899"/>
      <c r="AN322" s="210">
        <f ca="1">IF(B313="Лікар загальної практики - сімейний лікар",L322*Законод!$C$9/4*Законод!$H$16,IF(B313="Лікар-педіатр",L322*Законод!$C$9/4*Законод!$H$16,IF(B313="Лікар-терапевт",L322*Законод!$C$9/4*Законод!$H$16,0)))</f>
        <v>0</v>
      </c>
      <c r="AO322" s="210">
        <f ca="1">IF(B313="Лікар загальної практики - сімейний лікар",S322*Законод!$C$9/4*Законод!$H$16,IF(B313="Лікар-педіатр",S322*Законод!$C$9/4*Законод!$H$16,IF(B313="Лікар-терапевт",S322*Законод!$C$9/4*Законод!$H$16,0)))</f>
        <v>0</v>
      </c>
      <c r="AP322" s="210">
        <f ca="1">IF(B313="Лікар загальної практики - сімейний лікар",Z322*Законод!$C$9/4*Законод!$H$16,IF(B313="Лікар-педіатр",Z322*Законод!$C$9/4*Законод!$H$16,IF(B313="Лікар-терапевт",Z322*Законод!$C$9/4*Законод!$H$16,0)))</f>
        <v>0</v>
      </c>
      <c r="AQ322" s="210">
        <f ca="1">IF(B313="Лікар загальної практики - сімейний лікар",AG322*Законод!$C$9/4*Законод!$H$16,IF(B313="Лікар-педіатр",AG322*Законод!$C$9/4*Законод!$H$16,IF(B313="Лікар-терапевт",AG322*Законод!$C$9/4*Законод!$H$16,0)))</f>
        <v>0</v>
      </c>
      <c r="AR322" s="211">
        <f t="shared" si="51"/>
        <v>0</v>
      </c>
    </row>
    <row r="323" spans="1:44" s="50" customFormat="1" ht="31.9" hidden="1" customHeight="1">
      <c r="A323" s="197"/>
      <c r="B323" s="941"/>
      <c r="C323" s="1077"/>
      <c r="D323" s="943"/>
      <c r="E323" s="943"/>
      <c r="F323" s="238" t="str">
        <f ca="1">IF(B313="Лікар-педіатр",Законод!$I$17,IF(B313="Лікар загальної практики - сімейний лікар",Законод!$I$21,IF(B313="Лікар-терапевт",Законод!$I$25,"х")))</f>
        <v>х</v>
      </c>
      <c r="G323" s="940" t="s">
        <v>346</v>
      </c>
      <c r="H323" s="940"/>
      <c r="I323" s="940"/>
      <c r="J323" s="940"/>
      <c r="K323" s="940"/>
      <c r="L323" s="196">
        <f ca="1">IF($B$313="Лікар загальної практики - сімейний лікар",IF(L317&lt;Законод!$C$22,0,(IF(AND(L317&gt;=Законод!$I$22,L317&lt;=Законод!$I$23),L317-Законод!$H$23,IF('01_Доходи'!L317&gt;=Законод!$I$22,Законод!$I$24,0)))),IF($B$313="Лікар-педіатр",IF(L317&lt;Законод!$C$18,0,(IF(AND(L317&gt;=Законод!$I$18,L317&lt;=Законод!$I$19),L317-Законод!$H$19,IF('01_Доходи'!L317&gt;=Законод!$I$18,Законод!$H$20,0)))),IF($B$313="Лікар-терапевт",IF(L317&lt;Законод!$C$26,0,(IF(AND(L317&gt;=Законод!$I$26,L317&lt;=Законод!$I$27),L317-Законод!$H$27,IF('01_Доходи'!L317&gt;=Законод!$I$26,Законод!$H$28,0)))),0)))</f>
        <v>0</v>
      </c>
      <c r="M323" s="945"/>
      <c r="N323" s="940" t="s">
        <v>346</v>
      </c>
      <c r="O323" s="940"/>
      <c r="P323" s="940"/>
      <c r="Q323" s="940"/>
      <c r="R323" s="940"/>
      <c r="S323" s="196">
        <f ca="1">IF($B$313="Лікар загальної практики - сімейний лікар",IF(S317&lt;Законод!$C$22,0,(IF(AND(S317&gt;=Законод!$I$22,S317&lt;=Законод!$I$23),S317-Законод!$H$23,IF('01_Доходи'!S317&gt;=Законод!$I$22,Законод!$I$24,0)))),IF($B$313="Лікар-педіатр",IF(S317&lt;Законод!$C$18,0,(IF(AND(S317&gt;=Законод!$I$18,S317&lt;=Законод!$I$19),S317-Законод!$H$19,IF('01_Доходи'!S317&gt;=Законод!$I$18,Законод!$H$20,0)))),IF($B$313="Лікар-терапевт",IF(S317&lt;Законод!$C$26,0,(IF(AND(S317&gt;=Законод!$I$26,S317&lt;=Законод!$I$27),S317-Законод!$H$27,IF('01_Доходи'!S317&gt;=Законод!$I$26,Законод!$H$28,0)))),0)))</f>
        <v>0</v>
      </c>
      <c r="T323" s="945"/>
      <c r="U323" s="940" t="s">
        <v>346</v>
      </c>
      <c r="V323" s="940"/>
      <c r="W323" s="940"/>
      <c r="X323" s="940"/>
      <c r="Y323" s="940"/>
      <c r="Z323" s="196">
        <f ca="1">IF($B$313="Лікар загальної практики - сімейний лікар",IF(Z317&lt;Законод!$C$22,0,(IF(AND(Z317&gt;=Законод!$I$22,Z317&lt;=Законод!$I$23),Z317-Законод!$H$23,IF('01_Доходи'!Z317&gt;=Законод!$I$22,Законод!$I$24,0)))),IF($B$313="Лікар-педіатр",IF(Z317&lt;Законод!$C$18,0,(IF(AND(Z317&gt;=Законод!$I$18,Z317&lt;=Законод!$I$19),Z317-Законод!$H$19,IF('01_Доходи'!Z317&gt;=Законод!$I$18,Законод!$H$20,0)))),IF($B$313="Лікар-терапевт",IF(Z317&lt;Законод!$C$26,0,(IF(AND(Z317&gt;=Законод!$I$26,Z317&lt;=Законод!$I$27),Z317-Законод!$H$27,IF('01_Доходи'!Z317&gt;=Законод!$I$26,Законод!$H$28,0)))),0)))</f>
        <v>0</v>
      </c>
      <c r="AA323" s="945"/>
      <c r="AB323" s="940" t="s">
        <v>346</v>
      </c>
      <c r="AC323" s="940"/>
      <c r="AD323" s="940"/>
      <c r="AE323" s="940"/>
      <c r="AF323" s="940"/>
      <c r="AG323" s="196">
        <f ca="1">IF($B$313="Лікар загальної практики - сімейний лікар",IF(AG317&lt;Законод!$C$22,0,(IF(AND(AG317&gt;=Законод!$I$22,AG317&lt;=Законод!$I$23),AG317-Законод!$H$23,IF('01_Доходи'!AG317&gt;=Законод!$I$22,Законод!$I$24,0)))),IF($B$313="Лікар-педіатр",IF(AG317&lt;Законод!$C$18,0,(IF(AND(AG317&gt;=Законод!$I$18,AG317&lt;=Законод!$I$19),AG317-Законод!$H$19,IF('01_Доходи'!AG317&gt;=Законод!$I$18,Законод!$H$20,0)))),IF($B$313="Лікар-терапевт",IF(AG317&lt;Законод!$C$26,0,(IF(AND(AG317&gt;=Законод!$I$26,AG317&lt;=Законод!$I$27),AG317-Законод!$H$27,IF('01_Доходи'!AG317&gt;=Законод!$I$26,Законод!$H$28,0)))),0)))</f>
        <v>0</v>
      </c>
      <c r="AH323" s="945"/>
      <c r="AI323" s="201"/>
      <c r="AJ323" s="933"/>
      <c r="AK323" s="927"/>
      <c r="AL323" s="927"/>
      <c r="AM323" s="899"/>
      <c r="AN323" s="210">
        <f ca="1">IF(B313="Лікар загальної практики - сімейний лікар",L323*Законод!$C$9/4*Законод!$I$16,IF(B313="Лікар-педіатр",L323*Законод!$C$9/4*Законод!$I$16,IF(B313="Лікар-терапевт",L323*Законод!$C$9/4*Законод!$I$16,0)))</f>
        <v>0</v>
      </c>
      <c r="AO323" s="210">
        <f ca="1">IF(B313="Лікар загальної практики - сімейний лікар",S323*Законод!$C$9/4*Законод!$I$16,IF(B313="Лікар-педіатр",S323*Законод!$C$9/4*Законод!$I$16,IF(B313="Лікар-терапевт",S323*Законод!$C$9/4*Законод!$I$16,0)))</f>
        <v>0</v>
      </c>
      <c r="AP323" s="210">
        <f ca="1">IF(B313="Лікар загальної практики - сімейний лікар",Z323*Законод!$C$9/4*Законод!$I$16,IF(B313="Лікар-педіатр",Z323*Законод!$C$9/4*Законод!$I$16,IF(B313="Лікар-терапевт",Z323*Законод!$C$9/4*Законод!$I$16,0)))</f>
        <v>0</v>
      </c>
      <c r="AQ323" s="210">
        <f ca="1">IF(B313="Лікар загальної практики - сімейний лікар",AG323*Законод!$C$9/4*Законод!$I$16,IF(B313="Лікар-педіатр",AG323*Законод!$C$9/4*Законод!$I$16,IF(B313="Лікар-терапевт",AG323*Законод!$C$9/4*Законод!$I$16,0)))</f>
        <v>0</v>
      </c>
      <c r="AR323" s="211">
        <f t="shared" si="51"/>
        <v>0</v>
      </c>
    </row>
    <row r="324" spans="1:44" s="218" customFormat="1" ht="31.9" hidden="1" customHeight="1" thickBot="1">
      <c r="A324" s="213"/>
      <c r="B324" s="941"/>
      <c r="C324" s="1077"/>
      <c r="D324" s="943"/>
      <c r="E324" s="943"/>
      <c r="F324" s="239" t="str">
        <f ca="1">IF(B313="Лікар-педіатр",Законод!$J$17,IF(B313="Лікар загальної практики - сімейний лікар",Законод!$J$21,IF(B313="Лікар-терапевт",Законод!$J$25,"х")))</f>
        <v>х</v>
      </c>
      <c r="G324" s="939" t="s">
        <v>346</v>
      </c>
      <c r="H324" s="939"/>
      <c r="I324" s="939"/>
      <c r="J324" s="939"/>
      <c r="K324" s="939"/>
      <c r="L324" s="196">
        <f ca="1">IF($B$313="Лікар загальної практики - сімейний лікар",IF(L317&gt;=Законод!$J$22,'01_Доходи'!L317-('01_Доходи'!L318+'01_Доходи'!L319+'01_Доходи'!L320+'01_Доходи'!L321+'01_Доходи'!L322+'01_Доходи'!L323),0),IF($B$313="Лікар-педіатр",IF(L317&gt;=Законод!$J$18,'01_Доходи'!L317-('01_Доходи'!L318+'01_Доходи'!L319+'01_Доходи'!L320+'01_Доходи'!L321+'01_Доходи'!L322+'01_Доходи'!L323),0),IF($B$313="Лікар-терапевт",IF('01_Доходи'!L317&gt;=Законод!$J$26,L317-Законод!$I$27,0),0)))</f>
        <v>0</v>
      </c>
      <c r="M324" s="945"/>
      <c r="N324" s="939" t="s">
        <v>346</v>
      </c>
      <c r="O324" s="939"/>
      <c r="P324" s="939"/>
      <c r="Q324" s="939"/>
      <c r="R324" s="939"/>
      <c r="S324" s="196">
        <f ca="1">IF($B$313="Лікар загальної практики - сімейний лікар",IF(S317&gt;=Законод!$J$22,'01_Доходи'!S317-('01_Доходи'!S318+'01_Доходи'!S319+'01_Доходи'!S320+'01_Доходи'!S321+'01_Доходи'!S322+'01_Доходи'!S323),0),IF($B$313="Лікар-педіатр",IF(S317&gt;=Законод!$J$18,'01_Доходи'!S317-('01_Доходи'!S318+'01_Доходи'!S319+'01_Доходи'!S320+'01_Доходи'!S321+'01_Доходи'!S322+'01_Доходи'!S323),0),IF($B$313="Лікар-терапевт",IF('01_Доходи'!S317&gt;=Законод!$J$26,S317-Законод!$I$27,0),0)))</f>
        <v>0</v>
      </c>
      <c r="T324" s="945"/>
      <c r="U324" s="939" t="s">
        <v>346</v>
      </c>
      <c r="V324" s="939"/>
      <c r="W324" s="939"/>
      <c r="X324" s="939"/>
      <c r="Y324" s="939"/>
      <c r="Z324" s="196">
        <f ca="1">IF($B$313="Лікар загальної практики - сімейний лікар",IF(Z317&gt;=Законод!$J$22,'01_Доходи'!Z317-('01_Доходи'!Z318+'01_Доходи'!Z319+'01_Доходи'!Z320+'01_Доходи'!Z321+'01_Доходи'!Z322+'01_Доходи'!Z323),0),IF($B$313="Лікар-педіатр",IF(Z317&gt;=Законод!$J$18,'01_Доходи'!Z317-('01_Доходи'!Z318+'01_Доходи'!Z319+'01_Доходи'!Z320+'01_Доходи'!Z321+'01_Доходи'!Z322+'01_Доходи'!Z323),0),IF($B$313="Лікар-терапевт",IF('01_Доходи'!Z317&gt;=Законод!$J$26,Z317-Законод!$I$27,0),0)))</f>
        <v>0</v>
      </c>
      <c r="AA324" s="945"/>
      <c r="AB324" s="939" t="s">
        <v>346</v>
      </c>
      <c r="AC324" s="939"/>
      <c r="AD324" s="939"/>
      <c r="AE324" s="939"/>
      <c r="AF324" s="939"/>
      <c r="AG324" s="196">
        <f ca="1">IF($B$313="Лікар загальної практики - сімейний лікар",IF(AG317&gt;=Законод!$J$22,'01_Доходи'!AG317-('01_Доходи'!AG318+'01_Доходи'!AG319+'01_Доходи'!AG320+'01_Доходи'!AG321+'01_Доходи'!AG322+'01_Доходи'!AG323),0),IF($B$313="Лікар-педіатр",IF(AG317&gt;=Законод!$J$18,'01_Доходи'!AG317-('01_Доходи'!AG318+'01_Доходи'!AG319+'01_Доходи'!AG320+'01_Доходи'!AG321+'01_Доходи'!AG322+'01_Доходи'!AG323),0),IF($B$313="Лікар-терапевт",IF('01_Доходи'!AG317&gt;=Законод!$J$26,AG317-Законод!$I$27,0),0)))</f>
        <v>0</v>
      </c>
      <c r="AH324" s="945"/>
      <c r="AI324" s="215"/>
      <c r="AJ324" s="934"/>
      <c r="AK324" s="928"/>
      <c r="AL324" s="928"/>
      <c r="AM324" s="900"/>
      <c r="AN324" s="216">
        <f ca="1">IF(B313="Лікар загальної практики - сімейний лікар",L324*Законод!$C$9/4*Законод!$J$16,IF(B313="Лікар-педіатр",L324*Законод!$C$9/4*Законод!$J$16,IF(B313="Лікар-терапевт",L324*Законод!$C$9/4*Законод!$J$16,0)))</f>
        <v>0</v>
      </c>
      <c r="AO324" s="216">
        <f ca="1">IF(B313="Лікар загальної практики - сімейний лікар",S324*Законод!$C$9/4*Законод!$J$16,IF(B313="Лікар-педіатр",S324*Законод!$C$9/4*Законод!$J$16,IF(B313="Лікар-терапевт",S324*Законод!$C$9/4*Законод!$J$16,0)))</f>
        <v>0</v>
      </c>
      <c r="AP324" s="216">
        <f ca="1">IF(B313="Лікар загальної практики - сімейний лікар",S324*Законод!$C$9/4*Законод!$J$16,IF(B313="Лікар-педіатр",S324*Законод!$C$9/4*Законод!$J$16,IF(B313="Лікар-терапевт",S324*Законод!$C$9/4*Законод!$J$16,0)))</f>
        <v>0</v>
      </c>
      <c r="AQ324" s="216">
        <f ca="1">IF(B313="Лікар загальної практики - сімейний лікар",AG324*Законод!$C$9/4*Законод!$J$16,IF(B313="Лікар-педіатр",AG324*Законод!$C$9/4*Законод!$J$16,IF(B313="Лікар-терапевт",AG324*Законод!$C$9/4*Законод!$J$16,0)))</f>
        <v>0</v>
      </c>
      <c r="AR324" s="217">
        <f t="shared" si="51"/>
        <v>0</v>
      </c>
    </row>
    <row r="325" spans="1:44" s="247" customFormat="1" ht="23.45" hidden="1" customHeight="1" thickBot="1">
      <c r="A325" s="243"/>
      <c r="B325" s="244"/>
      <c r="C325" s="244"/>
      <c r="D325" s="244"/>
      <c r="E325" s="244"/>
      <c r="F325" s="245"/>
      <c r="G325" s="246"/>
      <c r="H325" s="246"/>
      <c r="L325" s="248"/>
      <c r="S325" s="248"/>
      <c r="Z325" s="248"/>
      <c r="AG325" s="248"/>
      <c r="AM325" s="249"/>
      <c r="AR325" s="250"/>
    </row>
    <row r="326" spans="1:44" s="191" customFormat="1" ht="27.6" hidden="1" customHeight="1">
      <c r="A326" s="194">
        <f>A313+1</f>
        <v>23</v>
      </c>
      <c r="B326" s="941"/>
      <c r="C326" s="1077"/>
      <c r="D326" s="943"/>
      <c r="E326" s="943"/>
      <c r="F326" s="234" t="s">
        <v>582</v>
      </c>
      <c r="G326" s="196">
        <f>IF($B$326="Лікар-педіатр",G329*L326,IF($B$326="Лікар-терапевт","х",IF($B$326="Лікар загальної практики - сімейний лікар",G329*L326,0)))</f>
        <v>0</v>
      </c>
      <c r="H326" s="196">
        <f>IF($B$326="Лікар-педіатр",H329*L326,IF($B$326="Лікар-терапевт","х",IF($B$326="Лікар загальної практики - сімейний лікар",H329*L326,0)))</f>
        <v>0</v>
      </c>
      <c r="I326" s="196">
        <f>IF($B$326="Лікар-педіатр","x",IF($B$326="Лікар-терапевт",I329*L326,IF($B$326="Лікар загальної практики - сімейний лікар",I329*L326,0)))</f>
        <v>0</v>
      </c>
      <c r="J326" s="196">
        <f>IF($B$326="Лікар-педіатр","x",IF($B$326="Лікар-терапевт",J329*L326,IF($B$326="Лікар загальної практики - сімейний лікар",J329*L326,0)))</f>
        <v>0</v>
      </c>
      <c r="K326" s="196">
        <f>IF($B$326="Лікар-педіатр","x",IF($B$326="Лікар-терапевт",K329*L326,IF($B$326="Лікар загальної практики - сімейний лікар",K329*L326,0)))</f>
        <v>0</v>
      </c>
      <c r="L326" s="558"/>
      <c r="M326" s="945"/>
      <c r="N326" s="196">
        <f>IF($B$326="Лікар-педіатр",N329*S326,IF($B$326="Лікар-терапевт","х",IF($B$326="Лікар загальної практики - сімейний лікар",N329*S326,0)))</f>
        <v>0</v>
      </c>
      <c r="O326" s="196">
        <f>IF($B$326="Лікар-педіатр",O329*S326,IF($B$326="Лікар-терапевт","х",IF($B$326="Лікар загальної практики - сімейний лікар",O329*S326,0)))</f>
        <v>0</v>
      </c>
      <c r="P326" s="196">
        <f>IF($B$326="Лікар-педіатр","x",IF($B$326="Лікар-терапевт",P329*S326,IF($B$326="Лікар загальної практики - сімейний лікар",P329*S326,0)))</f>
        <v>0</v>
      </c>
      <c r="Q326" s="196">
        <f>IF($B$326="Лікар-педіатр","x",IF($B$326="Лікар-терапевт",Q329*S326,IF($B$326="Лікар загальної практики - сімейний лікар",Q329*S326,0)))</f>
        <v>0</v>
      </c>
      <c r="R326" s="196">
        <f>IF($B$326="Лікар-педіатр","x",IF($B$326="Лікар-терапевт",R329*S326,IF($B$326="Лікар загальної практики - сімейний лікар",R329*S326,0)))</f>
        <v>0</v>
      </c>
      <c r="S326" s="558"/>
      <c r="T326" s="945"/>
      <c r="U326" s="196">
        <f>IF($B$326="Лікар-педіатр",U329*Z326,IF($B$326="Лікар-терапевт","х",IF($B$326="Лікар загальної практики - сімейний лікар",U329*Z326,0)))</f>
        <v>0</v>
      </c>
      <c r="V326" s="196">
        <f>IF($B$326="Лікар-педіатр",V329*Z326,IF($B$326="Лікар-терапевт","х",IF($B$326="Лікар загальної практики - сімейний лікар",V329*Z326,0)))</f>
        <v>0</v>
      </c>
      <c r="W326" s="196">
        <f>IF($B$326="Лікар-педіатр","x",IF($B$326="Лікар-терапевт",W329*Z326,IF($B$326="Лікар загальної практики - сімейний лікар",W329*Z326,0)))</f>
        <v>0</v>
      </c>
      <c r="X326" s="196">
        <f>IF($B$326="Лікар-педіатр","x",IF($B$326="Лікар-терапевт",X329*Z326,IF($B$326="Лікар загальної практики - сімейний лікар",X329*Z326,0)))</f>
        <v>0</v>
      </c>
      <c r="Y326" s="196">
        <f>IF($B$326="Лікар-педіатр","x",IF($B$326="Лікар-терапевт",Y329*Z326,IF($B$326="Лікар загальної практики - сімейний лікар",Y329*Z326,0)))</f>
        <v>0</v>
      </c>
      <c r="Z326" s="558"/>
      <c r="AA326" s="945"/>
      <c r="AB326" s="196">
        <f>IF($B$326="Лікар-педіатр",AB329*AG326,IF($B$326="Лікар-терапевт","х",IF($B$326="Лікар загальної практики - сімейний лікар",AB329*AG326,0)))</f>
        <v>0</v>
      </c>
      <c r="AC326" s="196">
        <f>IF($B$326="Лікар-педіатр",AC329*AG326,IF($B$326="Лікар-терапевт","х",IF($B$326="Лікар загальної практики - сімейний лікар",AC329*AG326,0)))</f>
        <v>0</v>
      </c>
      <c r="AD326" s="196">
        <f>IF($B$326="Лікар-педіатр","x",IF($B$326="Лікар-терапевт",AD329*AG326,IF($B$326="Лікар загальної практики - сімейний лікар",AD329*AG326,0)))</f>
        <v>0</v>
      </c>
      <c r="AE326" s="196">
        <f>IF($B$326="Лікар-педіатр","x",IF($B$326="Лікар-терапевт",AE329*AG326,IF($B$326="Лікар загальної практики - сімейний лікар",AE329*AG326,0)))</f>
        <v>0</v>
      </c>
      <c r="AF326" s="196">
        <f>IF($B$326="Лікар-педіатр","x",IF($B$326="Лікар-терапевт",AF329*AG326,IF($B$326="Лікар загальної практики - сімейний лікар",AF329*AG326,0)))</f>
        <v>0</v>
      </c>
      <c r="AG326" s="558"/>
      <c r="AH326" s="945"/>
      <c r="AI326" s="541">
        <f>A326</f>
        <v>23</v>
      </c>
      <c r="AJ326" s="932">
        <f>B326</f>
        <v>0</v>
      </c>
      <c r="AK326" s="926">
        <f>C326</f>
        <v>0</v>
      </c>
      <c r="AL326" s="926">
        <f>D326</f>
        <v>0</v>
      </c>
      <c r="AM326" s="901" t="s">
        <v>785</v>
      </c>
      <c r="AN326" s="923">
        <f>SUM(AN331:AN337)</f>
        <v>0</v>
      </c>
      <c r="AO326" s="923">
        <f>SUM(AO331:AO337)</f>
        <v>0</v>
      </c>
      <c r="AP326" s="923">
        <f>SUM(AP331:AP337)</f>
        <v>0</v>
      </c>
      <c r="AQ326" s="923">
        <f>SUM(AQ331:AQ337)</f>
        <v>0</v>
      </c>
      <c r="AR326" s="914">
        <f>SUM(AN326:AQ330)</f>
        <v>0</v>
      </c>
    </row>
    <row r="327" spans="1:44" s="50" customFormat="1" ht="28.15" hidden="1" customHeight="1">
      <c r="A327" s="197"/>
      <c r="B327" s="941"/>
      <c r="C327" s="1077"/>
      <c r="D327" s="943"/>
      <c r="E327" s="943"/>
      <c r="F327" s="234" t="s">
        <v>583</v>
      </c>
      <c r="G327" s="196">
        <f>IF($B$326="Лікар-педіатр",G329*L327,IF($B$326="Лікар-терапевт","х",IF($B$326="Лікар загальної практики - сімейний лікар",G329*L327,0)))</f>
        <v>0</v>
      </c>
      <c r="H327" s="196">
        <f>IF($B$326="Лікар-педіатр",H329*L327,IF($B$326="Лікар-терапевт","х",IF($B$326="Лікар загальної практики - сімейний лікар",H329*L327,0)))</f>
        <v>0</v>
      </c>
      <c r="I327" s="196">
        <f>IF($B$326="Лікар-педіатр","x",IF($B$326="Лікар-терапевт",I329*L327,IF($B$326="Лікар загальної практики - сімейний лікар",I329*L327,0)))</f>
        <v>0</v>
      </c>
      <c r="J327" s="196">
        <f>IF($B$326="Лікар-педіатр","x",IF($B$326="Лікар-терапевт",J329*L327,IF($B$326="Лікар загальної практики - сімейний лікар",J329*L327,0)))</f>
        <v>0</v>
      </c>
      <c r="K327" s="196">
        <f>IF($B$326="Лікар-педіатр","x",IF($B$326="Лікар-терапевт",K329*L327,IF($B$326="Лікар загальної практики - сімейний лікар",K329*L327,0)))</f>
        <v>0</v>
      </c>
      <c r="L327" s="558"/>
      <c r="M327" s="945"/>
      <c r="N327" s="196">
        <f>IF($B$326="Лікар-педіатр",N329*S327,IF($B$326="Лікар-терапевт","х",IF($B$326="Лікар загальної практики - сімейний лікар",N329*S327,0)))</f>
        <v>0</v>
      </c>
      <c r="O327" s="196">
        <f>IF($B$326="Лікар-педіатр",O329*S327,IF($B$326="Лікар-терапевт","х",IF($B$326="Лікар загальної практики - сімейний лікар",O329*S327,0)))</f>
        <v>0</v>
      </c>
      <c r="P327" s="196">
        <f>IF($B$326="Лікар-педіатр","x",IF($B$326="Лікар-терапевт",P329*S327,IF($B$326="Лікар загальної практики - сімейний лікар",P329*S327,0)))</f>
        <v>0</v>
      </c>
      <c r="Q327" s="196">
        <f>IF($B$326="Лікар-педіатр","x",IF($B$326="Лікар-терапевт",Q329*S327,IF($B$326="Лікар загальної практики - сімейний лікар",Q329*S327,0)))</f>
        <v>0</v>
      </c>
      <c r="R327" s="196">
        <f>IF($B$326="Лікар-педіатр","x",IF($B$326="Лікар-терапевт",R329*S327,IF($B$326="Лікар загальної практики - сімейний лікар",R329*S327,0)))</f>
        <v>0</v>
      </c>
      <c r="S327" s="558"/>
      <c r="T327" s="945"/>
      <c r="U327" s="196">
        <f>IF($B$326="Лікар-педіатр",U329*Z327,IF($B$326="Лікар-терапевт","х",IF($B$326="Лікар загальної практики - сімейний лікар",U329*Z327,0)))</f>
        <v>0</v>
      </c>
      <c r="V327" s="196">
        <f>IF($B$326="Лікар-педіатр",V329*Z327,IF($B$326="Лікар-терапевт","х",IF($B$326="Лікар загальної практики - сімейний лікар",V329*Z327,0)))</f>
        <v>0</v>
      </c>
      <c r="W327" s="196">
        <f>IF($B$326="Лікар-педіатр","x",IF($B$326="Лікар-терапевт",W329*Z327,IF($B$326="Лікар загальної практики - сімейний лікар",W329*Z327,0)))</f>
        <v>0</v>
      </c>
      <c r="X327" s="196">
        <f>IF($B$326="Лікар-педіатр","x",IF($B$326="Лікар-терапевт",X329*Z327,IF($B$326="Лікар загальної практики - сімейний лікар",X329*Z327,0)))</f>
        <v>0</v>
      </c>
      <c r="Y327" s="196">
        <f>IF($B$326="Лікар-педіатр","x",IF($B$326="Лікар-терапевт",Y329*Z327,IF($B$326="Лікар загальної практики - сімейний лікар",Y329*Z327,0)))</f>
        <v>0</v>
      </c>
      <c r="Z327" s="558"/>
      <c r="AA327" s="945"/>
      <c r="AB327" s="196">
        <f>IF($B$326="Лікар-педіатр",AB329*AG327,IF($B$326="Лікар-терапевт","х",IF($B$326="Лікар загальної практики - сімейний лікар",AB329*AG327,0)))</f>
        <v>0</v>
      </c>
      <c r="AC327" s="196">
        <f>IF($B$326="Лікар-педіатр",AC329*AG327,IF($B$326="Лікар-терапевт","х",IF($B$326="Лікар загальної практики - сімейний лікар",AC329*AG327,0)))</f>
        <v>0</v>
      </c>
      <c r="AD327" s="196">
        <f>IF($B$326="Лікар-педіатр","x",IF($B$326="Лікар-терапевт",AD329*AG327,IF($B$326="Лікар загальної практики - сімейний лікар",AD329*AG327,0)))</f>
        <v>0</v>
      </c>
      <c r="AE327" s="196">
        <f>IF($B$326="Лікар-педіатр","x",IF($B$326="Лікар-терапевт",AE329*AG327,IF($B$326="Лікар загальної практики - сімейний лікар",AE329*AG327,0)))</f>
        <v>0</v>
      </c>
      <c r="AF327" s="196">
        <f>IF($B$326="Лікар-педіатр","x",IF($B$326="Лікар-терапевт",AF329*AG327,IF($B$326="Лікар загальної практики - сімейний лікар",AF329*AG327,0)))</f>
        <v>0</v>
      </c>
      <c r="AG327" s="558"/>
      <c r="AH327" s="945"/>
      <c r="AI327" s="198"/>
      <c r="AJ327" s="933"/>
      <c r="AK327" s="927"/>
      <c r="AL327" s="927"/>
      <c r="AM327" s="902"/>
      <c r="AN327" s="924"/>
      <c r="AO327" s="924"/>
      <c r="AP327" s="924"/>
      <c r="AQ327" s="924"/>
      <c r="AR327" s="915"/>
    </row>
    <row r="328" spans="1:44" s="90" customFormat="1" ht="31.15" hidden="1" customHeight="1">
      <c r="A328" s="240"/>
      <c r="B328" s="941"/>
      <c r="C328" s="1077"/>
      <c r="D328" s="943"/>
      <c r="E328" s="943"/>
      <c r="F328" s="241" t="s">
        <v>584</v>
      </c>
      <c r="G328" s="199">
        <f>IF(B326="Лікар загальної практики - сімейний лікар"," ",IF(B326="Лікар-педіатр"," ",IF(B326="Лікар-терапевт","х",0)))</f>
        <v>0</v>
      </c>
      <c r="H328" s="199">
        <f>IF(B326="Лікар загальної практики - сімейний лікар"," ",IF(B326="Лікар-педіатр"," ",IF(B326="Лікар-терапевт","х",0)))</f>
        <v>0</v>
      </c>
      <c r="I328" s="199">
        <f>IF(B326="Лікар загальної практики - сімейний лікар"," ",IF(B326="Лікар-педіатр","х",IF(B326="Лікар-терапевт"," ",0)))</f>
        <v>0</v>
      </c>
      <c r="J328" s="199">
        <f>IF(B326="Лікар загальної практики - сімейний лікар"," ",IF(B326="Лікар-педіатр","х",IF(B326="Лікар-терапевт"," ",0)))</f>
        <v>0</v>
      </c>
      <c r="K328" s="199">
        <f>IF(B326="Лікар загальної практики - сімейний лікар"," ",IF(B326="Лікар-педіатр","х",IF(B326="Лікар-терапевт"," ",0)))</f>
        <v>0</v>
      </c>
      <c r="L328" s="200">
        <f>SUM(G328:K328)</f>
        <v>0</v>
      </c>
      <c r="M328" s="945"/>
      <c r="N328" s="199">
        <f>IF(B326="Лікар загальної практики - сімейний лікар"," ",IF(B326="Лікар-педіатр"," ",IF(B326="Лікар-терапевт","х",0)))</f>
        <v>0</v>
      </c>
      <c r="O328" s="199">
        <f>IF(B326="Лікар загальної практики - сімейний лікар"," ",IF(B326="Лікар-педіатр"," ",IF(B326="Лікар-терапевт","х",0)))</f>
        <v>0</v>
      </c>
      <c r="P328" s="199">
        <f>IF(B326="Лікар загальної практики - сімейний лікар"," ",IF(B326="Лікар-педіатр","х",IF(B326="Лікар-терапевт"," ",0)))</f>
        <v>0</v>
      </c>
      <c r="Q328" s="199">
        <f>IF(B326="Лікар загальної практики - сімейний лікар"," ",IF(B326="Лікар-педіатр","х",IF(B326="Лікар-терапевт"," ",0)))</f>
        <v>0</v>
      </c>
      <c r="R328" s="199">
        <f>IF(B326="Лікар загальної практики - сімейний лікар"," ",IF(B326="Лікар-педіатр","х",IF(B326="Лікар-терапевт"," ",0)))</f>
        <v>0</v>
      </c>
      <c r="S328" s="200">
        <f>SUM(N328:R328)</f>
        <v>0</v>
      </c>
      <c r="T328" s="945"/>
      <c r="U328" s="199">
        <f>IF(B326="Лікар загальної практики - сімейний лікар"," ",IF(B326="Лікар-педіатр"," ",IF(B326="Лікар-терапевт","х",0)))</f>
        <v>0</v>
      </c>
      <c r="V328" s="199">
        <f>IF(B326="Лікар загальної практики - сімейний лікар"," ",IF(B326="Лікар-педіатр"," ",IF(B326="Лікар-терапевт","х",0)))</f>
        <v>0</v>
      </c>
      <c r="W328" s="199">
        <f>IF(B326="Лікар загальної практики - сімейний лікар"," ",IF(B326="Лікар-педіатр","х",IF(B326="Лікар-терапевт"," ",0)))</f>
        <v>0</v>
      </c>
      <c r="X328" s="199">
        <f>IF(B326="Лікар загальної практики - сімейний лікар"," ",IF(B326="Лікар-педіатр","х",IF(B326="Лікар-терапевт"," ",0)))</f>
        <v>0</v>
      </c>
      <c r="Y328" s="199">
        <f>IF(B326="Лікар загальної практики - сімейний лікар"," ",IF(B326="Лікар-педіатр","х",IF(B326="Лікар-терапевт"," ",0)))</f>
        <v>0</v>
      </c>
      <c r="Z328" s="200">
        <f>SUM(U328:Y328)</f>
        <v>0</v>
      </c>
      <c r="AA328" s="945"/>
      <c r="AB328" s="199">
        <f>IF(B326="Лікар загальної практики - сімейний лікар"," ",IF(B326="Лікар-педіатр"," ",IF(B326="Лікар-терапевт","х",0)))</f>
        <v>0</v>
      </c>
      <c r="AC328" s="199">
        <f>IF(B326="Лікар загальної практики - сімейний лікар"," ",IF(B326="Лікар-педіатр"," ",IF(B326="Лікар-терапевт","х",0)))</f>
        <v>0</v>
      </c>
      <c r="AD328" s="199">
        <f>IF(B326="Лікар загальної практики - сімейний лікар"," ",IF(B326="Лікар-педіатр","х",IF(B326="Лікар-терапевт"," ",0)))</f>
        <v>0</v>
      </c>
      <c r="AE328" s="199">
        <f>IF(B326="Лікар загальної практики - сімейний лікар"," ",IF(B326="Лікар-педіатр","х",IF(B326="Лікар-терапевт"," ",0)))</f>
        <v>0</v>
      </c>
      <c r="AF328" s="199">
        <f>IF(B326="Лікар загальної практики - сімейний лікар"," ",IF(B326="Лікар-педіатр","х",IF(B326="Лікар-терапевт"," ",0)))</f>
        <v>0</v>
      </c>
      <c r="AG328" s="200">
        <f>SUM(AB328:AF328)</f>
        <v>0</v>
      </c>
      <c r="AH328" s="945"/>
      <c r="AI328" s="242"/>
      <c r="AJ328" s="933"/>
      <c r="AK328" s="927"/>
      <c r="AL328" s="927"/>
      <c r="AM328" s="902"/>
      <c r="AN328" s="924"/>
      <c r="AO328" s="924"/>
      <c r="AP328" s="924"/>
      <c r="AQ328" s="924"/>
      <c r="AR328" s="915"/>
    </row>
    <row r="329" spans="1:44" s="50" customFormat="1" ht="31.9" hidden="1" customHeight="1" thickBot="1">
      <c r="A329" s="197"/>
      <c r="B329" s="941"/>
      <c r="C329" s="1077"/>
      <c r="D329" s="943"/>
      <c r="E329" s="943"/>
      <c r="F329" s="236" t="s">
        <v>349</v>
      </c>
      <c r="G329" s="203">
        <f>IF($B$326="Лікар-педіатр",G328/L328,IF($B$326="Лікар-терапевт","х",IF($B$326="Лікар загальної практики - сімейний лікар",G328/L328,0)))</f>
        <v>0</v>
      </c>
      <c r="H329" s="203">
        <f>IF($B$326="Лікар-педіатр",H328/L328,IF($B$326="Лікар-терапевт","х",IF($B$326="Лікар загальної практики - сімейний лікар",H328/L328,0)))</f>
        <v>0</v>
      </c>
      <c r="I329" s="203">
        <f>IF($B$326="Лікар-педіатр","x",IF($B$326="Лікар-терапевт",I328/L328,IF($B$326="Лікар загальної практики - сімейний лікар",I328/L328,0)))</f>
        <v>0</v>
      </c>
      <c r="J329" s="203">
        <f>IF($B$326="Лікар-педіатр","x",IF($B$326="Лікар-терапевт",J328/L328,IF($B$326="Лікар загальної практики - сімейний лікар",J328/L328,0)))</f>
        <v>0</v>
      </c>
      <c r="K329" s="203">
        <f>IF($B$326="Лікар-педіатр","x",IF($B$326="Лікар-терапевт",K328/L328,IF($B$326="Лікар загальної практики - сімейний лікар",K328/L328,0)))</f>
        <v>0</v>
      </c>
      <c r="L329" s="203">
        <f>SUM(G329:K329)</f>
        <v>0</v>
      </c>
      <c r="M329" s="945"/>
      <c r="N329" s="203">
        <f>IF($B$326="Лікар-педіатр",N328/S328,IF($B$326="Лікар-терапевт","х",IF($B$326="Лікар загальної практики - сімейний лікар",N328/S328,0)))</f>
        <v>0</v>
      </c>
      <c r="O329" s="203">
        <f>IF($B$326="Лікар-педіатр",O328/S328,IF($B$326="Лікар-терапевт","х",IF($B$326="Лікар загальної практики - сімейний лікар",O328/S328,0)))</f>
        <v>0</v>
      </c>
      <c r="P329" s="203">
        <f>IF($B$326="Лікар-педіатр","x",IF($B$326="Лікар-терапевт",P328/S328,IF($B$326="Лікар загальної практики - сімейний лікар",P328/S328,0)))</f>
        <v>0</v>
      </c>
      <c r="Q329" s="203">
        <f>IF($B$326="Лікар-педіатр","x",IF($B$326="Лікар-терапевт",Q328/S328,IF($B$326="Лікар загальної практики - сімейний лікар",Q328/S328,0)))</f>
        <v>0</v>
      </c>
      <c r="R329" s="203">
        <f>IF($B$326="Лікар-педіатр","x",IF($B$326="Лікар-терапевт",R328/S328,IF($B$326="Лікар загальної практики - сімейний лікар",R328/S328,0)))</f>
        <v>0</v>
      </c>
      <c r="S329" s="203">
        <f>SUM(N329:R329)</f>
        <v>0</v>
      </c>
      <c r="T329" s="945"/>
      <c r="U329" s="203">
        <f>IF($B$326="Лікар-педіатр",U328/Z328,IF($B$326="Лікар-терапевт","х",IF($B$326="Лікар загальної практики - сімейний лікар",U328/Z328,0)))</f>
        <v>0</v>
      </c>
      <c r="V329" s="203">
        <f>IF($B$326="Лікар-педіатр",V328/Z328,IF($B$326="Лікар-терапевт","х",IF($B$326="Лікар загальної практики - сімейний лікар",V328/Z328,0)))</f>
        <v>0</v>
      </c>
      <c r="W329" s="203">
        <f>IF($B$326="Лікар-педіатр","x",IF($B$326="Лікар-терапевт",W328/Z328,IF($B$326="Лікар загальної практики - сімейний лікар",W328/Z328,0)))</f>
        <v>0</v>
      </c>
      <c r="X329" s="203">
        <f>IF($B$326="Лікар-педіатр","x",IF($B$326="Лікар-терапевт",X328/Z328,IF($B$326="Лікар загальної практики - сімейний лікар",X328/Z328,0)))</f>
        <v>0</v>
      </c>
      <c r="Y329" s="203">
        <f>IF($B$326="Лікар-педіатр","x",IF($B$326="Лікар-терапевт",Y328/Z328,IF($B$326="Лікар загальної практики - сімейний лікар",Y328/Z328,0)))</f>
        <v>0</v>
      </c>
      <c r="Z329" s="203">
        <f>SUM(U329:Y329)</f>
        <v>0</v>
      </c>
      <c r="AA329" s="945"/>
      <c r="AB329" s="203">
        <f>IF($B$326="Лікар-педіатр",AB328/AG328,IF($B$326="Лікар-терапевт","х",IF($B$326="Лікар загальної практики - сімейний лікар",AB328/AG328,0)))</f>
        <v>0</v>
      </c>
      <c r="AC329" s="203">
        <f>IF($B$326="Лікар-педіатр",AC328/AG328,IF($B$326="Лікар-терапевт","х",IF($B$326="Лікар загальної практики - сімейний лікар",AC328/AG328,0)))</f>
        <v>0</v>
      </c>
      <c r="AD329" s="203">
        <f>IF($B$326="Лікар-педіатр","x",IF($B$326="Лікар-терапевт",AD328/AG328,IF($B$326="Лікар загальної практики - сімейний лікар",AD328/AG328,0)))</f>
        <v>0</v>
      </c>
      <c r="AE329" s="203">
        <f>IF($B$326="Лікар-педіатр","x",IF($B$326="Лікар-терапевт",AE328/AG328,IF($B$326="Лікар загальної практики - сімейний лікар",AE328/AG328,0)))</f>
        <v>0</v>
      </c>
      <c r="AF329" s="203">
        <f>IF($B$326="Лікар-педіатр","x",IF($B$326="Лікар-терапевт",AF328/AG328,IF($B$326="Лікар загальної практики - сімейний лікар",AF328/AG328,0)))</f>
        <v>0</v>
      </c>
      <c r="AG329" s="203">
        <f>SUM(AB329:AF329)</f>
        <v>0</v>
      </c>
      <c r="AH329" s="945"/>
      <c r="AI329" s="201"/>
      <c r="AJ329" s="933"/>
      <c r="AK329" s="927"/>
      <c r="AL329" s="927"/>
      <c r="AM329" s="902"/>
      <c r="AN329" s="924"/>
      <c r="AO329" s="924"/>
      <c r="AP329" s="924"/>
      <c r="AQ329" s="924"/>
      <c r="AR329" s="915"/>
    </row>
    <row r="330" spans="1:44" s="50" customFormat="1" ht="45" hidden="1" customHeight="1" thickBot="1">
      <c r="A330" s="197"/>
      <c r="B330" s="941"/>
      <c r="C330" s="1077"/>
      <c r="D330" s="943"/>
      <c r="E330" s="944"/>
      <c r="F330" s="204" t="s">
        <v>585</v>
      </c>
      <c r="G330" s="205">
        <f>IF($B$326="Лікар загальної практики - сімейний лікар",AVERAGE(G326:G328),IF($B$326="Лікар-педіатр",AVERAGE(G326:G328),IF($B$326="Лікар-терапевт","х",0)))</f>
        <v>0</v>
      </c>
      <c r="H330" s="205">
        <f>IF($B$326="Лікар загальної практики - сімейний лікар",AVERAGE(H326:H328),IF($B$326="Лікар-педіатр",AVERAGE(H326:H328),IF($B$326="Лікар-терапевт","х",0)))</f>
        <v>0</v>
      </c>
      <c r="I330" s="205">
        <f>IF($B$326="Лікар загальної практики - сімейний лікар",AVERAGE(I326:I328),IF($B$326="Лікар-педіатр","x",IF($B$326="Лікар-терапевт",AVERAGE(I326:I328),0)))</f>
        <v>0</v>
      </c>
      <c r="J330" s="205">
        <f>IF($B$326="Лікар загальної практики - сімейний лікар",AVERAGE(J326:J328),IF($B$326="Лікар-педіатр","x",IF($B$326="Лікар-терапевт",AVERAGE(J326:J328),0)))</f>
        <v>0</v>
      </c>
      <c r="K330" s="205">
        <f>IF($B$326="Лікар загальної практики - сімейний лікар",AVERAGE(K326:K328),IF($B$326="Лікар-педіатр","x",IF($B$326="Лікар-терапевт",AVERAGE(K326:K328),0)))</f>
        <v>0</v>
      </c>
      <c r="L330" s="206">
        <f>SUM(G330:K330)</f>
        <v>0</v>
      </c>
      <c r="M330" s="946"/>
      <c r="N330" s="205">
        <f>IF($B$326="Лікар загальної практики - сімейний лікар",AVERAGE(N326:N328),IF($B$326="Лікар-педіатр",AVERAGE(N326:N328),IF($B$326="Лікар-терапевт","х",0)))</f>
        <v>0</v>
      </c>
      <c r="O330" s="205">
        <f>IF($B$326="Лікар загальної практики - сімейний лікар",AVERAGE(O326:O328),IF($B$326="Лікар-педіатр",AVERAGE(O326:O328),IF($B$326="Лікар-терапевт","х",0)))</f>
        <v>0</v>
      </c>
      <c r="P330" s="205">
        <f>IF($B$326="Лікар загальної практики - сімейний лікар",AVERAGE(P326:P328),IF($B$326="Лікар-педіатр","x",IF($B$326="Лікар-терапевт",AVERAGE(P326:P328),0)))</f>
        <v>0</v>
      </c>
      <c r="Q330" s="205">
        <f>IF($B$326="Лікар загальної практики - сімейний лікар",AVERAGE(Q326:Q328),IF($B$326="Лікар-педіатр","x",IF($B$326="Лікар-терапевт",AVERAGE(Q326:Q328),0)))</f>
        <v>0</v>
      </c>
      <c r="R330" s="205">
        <f>IF($B$326="Лікар загальної практики - сімейний лікар",AVERAGE(R326:R328),IF($B$326="Лікар-педіатр","x",IF($B$326="Лікар-терапевт",AVERAGE(R326:R328),0)))</f>
        <v>0</v>
      </c>
      <c r="S330" s="206">
        <f>SUM(N330:R330)</f>
        <v>0</v>
      </c>
      <c r="T330" s="946"/>
      <c r="U330" s="205">
        <f>IF($B$326="Лікар загальної практики - сімейний лікар",AVERAGE(U326:U328),IF($B$326="Лікар-педіатр",AVERAGE(U326:U328),IF($B$326="Лікар-терапевт","х",0)))</f>
        <v>0</v>
      </c>
      <c r="V330" s="205">
        <f>IF($B$326="Лікар загальної практики - сімейний лікар",AVERAGE(V326:V328),IF($B$326="Лікар-педіатр",AVERAGE(V326:V328),IF($B$326="Лікар-терапевт","х",0)))</f>
        <v>0</v>
      </c>
      <c r="W330" s="205">
        <f>IF($B$326="Лікар загальної практики - сімейний лікар",AVERAGE(W326:W328),IF($B$326="Лікар-педіатр","x",IF($B$326="Лікар-терапевт",AVERAGE(W326:W328),0)))</f>
        <v>0</v>
      </c>
      <c r="X330" s="205">
        <f>IF($B$326="Лікар загальної практики - сімейний лікар",AVERAGE(X326:X328),IF($B$326="Лікар-педіатр","x",IF($B$326="Лікар-терапевт",AVERAGE(X326:X328),0)))</f>
        <v>0</v>
      </c>
      <c r="Y330" s="205">
        <f>IF($B$326="Лікар загальної практики - сімейний лікар",AVERAGE(Y326:Y328),IF($B$326="Лікар-педіатр","x",IF($B$326="Лікар-терапевт",AVERAGE(Y326:Y328),0)))</f>
        <v>0</v>
      </c>
      <c r="Z330" s="206">
        <f>SUM(U330:Y330)</f>
        <v>0</v>
      </c>
      <c r="AA330" s="946"/>
      <c r="AB330" s="205">
        <f>IF($B$326="Лікар загальної практики - сімейний лікар",AVERAGE(AB326:AB328),IF($B$326="Лікар-педіатр",AVERAGE(AB326:AB328),IF($B$326="Лікар-терапевт","х",0)))</f>
        <v>0</v>
      </c>
      <c r="AC330" s="205">
        <f>IF($B$326="Лікар загальної практики - сімейний лікар",AVERAGE(AC326:AC328),IF($B$326="Лікар-педіатр",AVERAGE(AC326:AC328),IF($B$326="Лікар-терапевт","х",0)))</f>
        <v>0</v>
      </c>
      <c r="AD330" s="205">
        <f>IF($B$326="Лікар загальної практики - сімейний лікар",AVERAGE(AD326:AD328),IF($B$326="Лікар-педіатр","x",IF($B$326="Лікар-терапевт",AVERAGE(AD326:AD328),0)))</f>
        <v>0</v>
      </c>
      <c r="AE330" s="205">
        <f>IF($B$326="Лікар загальної практики - сімейний лікар",AVERAGE(AE326:AE328),IF($B$326="Лікар-педіатр","x",IF($B$326="Лікар-терапевт",AVERAGE(AE326:AE328),0)))</f>
        <v>0</v>
      </c>
      <c r="AF330" s="205">
        <f>IF($B$326="Лікар загальної практики - сімейний лікар",AVERAGE(AF326:AF328),IF($B$326="Лікар-педіатр","x",IF($B$326="Лікар-терапевт",AVERAGE(AF326:AF328),0)))</f>
        <v>0</v>
      </c>
      <c r="AG330" s="206">
        <f>SUM(AB330:AF330)</f>
        <v>0</v>
      </c>
      <c r="AH330" s="947"/>
      <c r="AI330" s="201"/>
      <c r="AJ330" s="933"/>
      <c r="AK330" s="927"/>
      <c r="AL330" s="927"/>
      <c r="AM330" s="903"/>
      <c r="AN330" s="925"/>
      <c r="AO330" s="925"/>
      <c r="AP330" s="925"/>
      <c r="AQ330" s="925"/>
      <c r="AR330" s="916"/>
    </row>
    <row r="331" spans="1:44" s="50" customFormat="1" ht="40.5" hidden="1">
      <c r="A331" s="197"/>
      <c r="B331" s="941"/>
      <c r="C331" s="1077"/>
      <c r="D331" s="943"/>
      <c r="E331" s="943"/>
      <c r="F331" s="237" t="str">
        <f ca="1">IF(B326="Лікар-педіатр",Законод!$C$17,IF(B326="Лікар загальної практики - сімейний лікар",Законод!$C$21,IF(B326="Лікар-терапевт",Законод!$C$25,"х")))</f>
        <v>х</v>
      </c>
      <c r="G331" s="208">
        <f ca="1">IF($B$326="Лікар загальної практики - сімейний лікар",IF(L330&lt;=Законод!$C$22,G330,Законод!$C$22*'01_Доходи'!G329),IF($B$326="Лікар-педіатр",IF(L330&lt;=Законод!$C$18,G330,Законод!$C$18*'01_Доходи'!G329),IF($B$326="Лікар-терапевт","x",0)))</f>
        <v>0</v>
      </c>
      <c r="H331" s="208">
        <f ca="1">IF($B$326="Лікар загальної практики - сімейний лікар",IF(L330&lt;=Законод!$C$22,H330,Законод!$C$22*'01_Доходи'!H329),IF($B$326="Лікар-педіатр",IF(L330&lt;=Законод!$C$18,H330,Законод!$C$18*'01_Доходи'!H329),IF($B$326="Лікар-терапевт","x",0)))</f>
        <v>0</v>
      </c>
      <c r="I331" s="208">
        <f ca="1">IF($B$326="Лікар загальної практики - сімейний лікар",IF(L330&lt;=Законод!$C$22,I330,Законод!$C$22*'01_Доходи'!I329),IF($B$326="Лікар-педіатр","x",IF($B$326="Лікар-терапевт",IF(L330&lt;=Законод!$C$26,I330,Законод!$C$26*'01_Доходи'!I329),0)))</f>
        <v>0</v>
      </c>
      <c r="J331" s="208">
        <f ca="1">IF($B$326="Лікар загальної практики - сімейний лікар",IF(L330&lt;=Законод!$C$22,J330,Законод!$C$22*'01_Доходи'!J329),IF($B$326="Лікар-педіатр","x",IF($B$326="Лікар-терапевт",IF(L330&lt;=Законод!$C$26,J330,Законод!$C$26*'01_Доходи'!J329),0)))</f>
        <v>0</v>
      </c>
      <c r="K331" s="208">
        <f ca="1">IF($B$326="Лікар загальної практики - сімейний лікар",IF(L330&lt;=Законод!$C$22,K330,Законод!$C$22*'01_Доходи'!K329),IF($B$326="Лікар-педіатр","x",IF($B$326="Лікар-терапевт",IF(L330&lt;=Законод!$C$26,K330,Законод!$C$26*'01_Доходи'!K329),0)))</f>
        <v>0</v>
      </c>
      <c r="L331" s="209">
        <f ca="1">SUM(G331:K331)</f>
        <v>0</v>
      </c>
      <c r="M331" s="945"/>
      <c r="N331" s="208">
        <f ca="1">IF($B$326="Лікар загальної практики - сімейний лікар",IF(S330&lt;=Законод!$C$22,N330,Законод!$C$22*'01_Доходи'!N329),IF($B$326="Лікар-педіатр",IF(S330&lt;=Законод!$C$18,N330,Законод!$C$18*'01_Доходи'!N329),IF($B$326="Лікар-терапевт","x",0)))</f>
        <v>0</v>
      </c>
      <c r="O331" s="208">
        <f ca="1">IF($B$326="Лікар загальної практики - сімейний лікар",IF(S330&lt;=Законод!$C$22,O330,Законод!$C$22*'01_Доходи'!O329),IF($B$326="Лікар-педіатр",IF(S330&lt;=Законод!$C$18,O330,Законод!$C$18*'01_Доходи'!O329),IF($B$326="Лікар-терапевт","x",0)))</f>
        <v>0</v>
      </c>
      <c r="P331" s="208">
        <f ca="1">IF($B$326="Лікар загальної практики - сімейний лікар",IF(S330&lt;=Законод!$C$22,P330,Законод!$C$22*'01_Доходи'!P329),IF($B$326="Лікар-педіатр","x",IF($B$326="Лікар-терапевт",IF(S330&lt;=Законод!$C$26,P330,Законод!$C$26*'01_Доходи'!P329),0)))</f>
        <v>0</v>
      </c>
      <c r="Q331" s="208">
        <f ca="1">IF($B$326="Лікар загальної практики - сімейний лікар",IF(S330&lt;=Законод!$C$22,Q330,Законод!$C$22*'01_Доходи'!Q329),IF($B$326="Лікар-педіатр","x",IF($B$326="Лікар-терапевт",IF(S330&lt;=Законод!$C$26,Q330,Законод!$C$26*'01_Доходи'!Q329),0)))</f>
        <v>0</v>
      </c>
      <c r="R331" s="208">
        <f ca="1">IF($B$326="Лікар загальної практики - сімейний лікар",IF(S330&lt;=Законод!$C$22,R330,Законод!$C$22*'01_Доходи'!R329),IF($B$326="Лікар-педіатр","x",IF($B$326="Лікар-терапевт",IF(S330&lt;=Законод!$C$26,R330,Законод!$C$26*'01_Доходи'!R329),0)))</f>
        <v>0</v>
      </c>
      <c r="S331" s="209">
        <f ca="1">SUM(N331:R331)</f>
        <v>0</v>
      </c>
      <c r="T331" s="945"/>
      <c r="U331" s="208">
        <f ca="1">IF($B$326="Лікар загальної практики - сімейний лікар",IF(Z330&lt;=Законод!$C$22,U330,Законод!$C$22*'01_Доходи'!U329),IF($B$326="Лікар-педіатр",IF(Z330&lt;=Законод!$C$18,U330,Законод!$C$18*'01_Доходи'!U329),IF($B$326="Лікар-терапевт","x",0)))</f>
        <v>0</v>
      </c>
      <c r="V331" s="208">
        <f ca="1">IF($B$326="Лікар загальної практики - сімейний лікар",IF(Z330&lt;=Законод!$C$22,V330,Законод!$C$22*'01_Доходи'!V329),IF($B$326="Лікар-педіатр",IF(Z330&lt;=Законод!$C$18,V330,Законод!$C$18*'01_Доходи'!V329),IF($B$326="Лікар-терапевт","x",0)))</f>
        <v>0</v>
      </c>
      <c r="W331" s="208">
        <f ca="1">IF($B$326="Лікар загальної практики - сімейний лікар",IF(Z330&lt;=Законод!$C$22,W330,Законод!$C$22*'01_Доходи'!W329),IF($B$326="Лікар-педіатр","x",IF($B$326="Лікар-терапевт",IF(Z330&lt;=Законод!$C$26,W330,Законод!$C$26*'01_Доходи'!W329),0)))</f>
        <v>0</v>
      </c>
      <c r="X331" s="208">
        <f ca="1">IF($B$326="Лікар загальної практики - сімейний лікар",IF(Z330&lt;=Законод!$C$22,X330,Законод!$C$22*'01_Доходи'!X329),IF($B$326="Лікар-педіатр","x",IF($B$326="Лікар-терапевт",IF(Z330&lt;=Законод!$C$26,X330,Законод!$C$26*'01_Доходи'!X329),0)))</f>
        <v>0</v>
      </c>
      <c r="Y331" s="208">
        <f ca="1">IF($B$326="Лікар загальної практики - сімейний лікар",IF(Z330&lt;=Законод!$C$22,Y330,Законод!$C$22*'01_Доходи'!Y329),IF($B$326="Лікар-педіатр","x",IF($B$326="Лікар-терапевт",IF(Z330&lt;=Законод!$C$26,Y330,Законод!$C$26*'01_Доходи'!Y329),0)))</f>
        <v>0</v>
      </c>
      <c r="Z331" s="209">
        <f ca="1">SUM(U331:Y331)</f>
        <v>0</v>
      </c>
      <c r="AA331" s="945"/>
      <c r="AB331" s="208">
        <f ca="1">IF($B$326="Лікар загальної практики - сімейний лікар",IF(AG330&lt;=Законод!$C$22,AB330,Законод!$C$22*'01_Доходи'!AB329),IF($B$326="Лікар-педіатр",IF(AG330&lt;=Законод!$C$18,AB330,Законод!$C$18*'01_Доходи'!AB329),IF($B$326="Лікар-терапевт","x",0)))</f>
        <v>0</v>
      </c>
      <c r="AC331" s="208">
        <f ca="1">IF($B$326="Лікар загальної практики - сімейний лікар",IF(AG330&lt;=Законод!$C$22,AC330,Законод!$C$22*'01_Доходи'!AC329),IF($B$326="Лікар-педіатр",IF(AG330&lt;=Законод!$C$18,AC330,Законод!$C$18*'01_Доходи'!AC329),IF($B$326="Лікар-терапевт","x",0)))</f>
        <v>0</v>
      </c>
      <c r="AD331" s="208">
        <f ca="1">IF($B$326="Лікар загальної практики - сімейний лікар",IF(AG330&lt;=Законод!$C$22,AD330,Законод!$C$22*'01_Доходи'!AD329),IF($B$326="Лікар-педіатр","x",IF($B$326="Лікар-терапевт",IF(AG330&lt;=Законод!$C$26,AD330,Законод!$C$26*'01_Доходи'!AD329),0)))</f>
        <v>0</v>
      </c>
      <c r="AE331" s="208">
        <f ca="1">IF($B$326="Лікар загальної практики - сімейний лікар",IF(AG330&lt;=Законод!$C$22,AE330,Законод!$C$22*'01_Доходи'!AE329),IF($B$326="Лікар-педіатр","x",IF($B$326="Лікар-терапевт",IF(AG330&lt;=Законод!$C$26,AE330,Законод!$C$26*'01_Доходи'!AE329),0)))</f>
        <v>0</v>
      </c>
      <c r="AF331" s="208">
        <f ca="1">IF($B$326="Лікар загальної практики - сімейний лікар",IF(AG330&lt;=Законод!$C$22,AF330,Законод!$C$22*'01_Доходи'!AF329),IF($B$326="Лікар-педіатр","x",IF($B$326="Лікар-терапевт",IF(AG330&lt;=Законод!$C$26,AF330,Законод!$C$26*'01_Доходи'!AF329),0)))</f>
        <v>0</v>
      </c>
      <c r="AG331" s="209">
        <f ca="1">SUM(AB331:AF331)</f>
        <v>0</v>
      </c>
      <c r="AH331" s="945"/>
      <c r="AI331" s="201"/>
      <c r="AJ331" s="933"/>
      <c r="AK331" s="927"/>
      <c r="AL331" s="927"/>
      <c r="AM331" s="348" t="s">
        <v>374</v>
      </c>
      <c r="AN331" s="210">
        <f ca="1">IF(B326="Лікар загальної практики - сімейний лікар",G331*Законод!$C$11+'01_Доходи'!H331*Законод!$D$11+'01_Доходи'!I331*Законод!$E$11+'01_Доходи'!J331*Законод!$F$11+'01_Доходи'!K331*Законод!$G$11,IF(B326="Лікар-педіатр",G331*Законод!$C$11+'01_Доходи'!H331*Законод!$D$11,IF(B326="Лікар-терапевт",'01_Доходи'!I331*Законод!$E$11+'01_Доходи'!J331*Законод!$F$11+'01_Доходи'!K331*Законод!$G$11,0)))</f>
        <v>0</v>
      </c>
      <c r="AO331" s="210">
        <f ca="1">IF(B326="Лікар загальної практики - сімейний лікар",N331*Законод!$C$11+'01_Доходи'!O331*Законод!$D$11+'01_Доходи'!P331*Законод!$E$11+'01_Доходи'!Q331*Законод!$F$11+'01_Доходи'!R331*Законод!$G$11,IF(B326="Лікар-педіатр",N331*Законод!$C$11+'01_Доходи'!O331*Законод!$D$11,IF(B326="Лікар-терапевт",'01_Доходи'!P331*Законод!$E$11+'01_Доходи'!Q331*Законод!$F$11+'01_Доходи'!R331*Законод!$G$11,0)))</f>
        <v>0</v>
      </c>
      <c r="AP331" s="210">
        <f ca="1">IF(B326="Лікар загальної практики - сімейний лікар",U331*Законод!$C$11+'01_Доходи'!V331*Законод!$D$11+'01_Доходи'!W331*Законод!$E$11+'01_Доходи'!X331*Законод!$F$11+'01_Доходи'!Y331*Законод!$G$11,IF(B326="Лікар-педіатр",U331*Законод!$C$11+'01_Доходи'!V331*Законод!$D$11,IF(B326="Лікар-терапевт",'01_Доходи'!W331*Законод!$E$11+'01_Доходи'!X331*Законод!$F$11+'01_Доходи'!Y331*Законод!$G$11,0)))</f>
        <v>0</v>
      </c>
      <c r="AQ331" s="210">
        <f ca="1">IF(B326="Лікар загальної практики - сімейний лікар",AB331*Законод!$C$11+'01_Доходи'!AC331*Законод!$D$11+'01_Доходи'!AD331*Законод!$E$11+'01_Доходи'!AE331*Законод!$F$11+'01_Доходи'!AF331*Законод!$G$11,IF(B326="Лікар-педіатр",AB331*Законод!$C$11+'01_Доходи'!AC331*Законод!$D$11,IF(B326="Лікар-терапевт",'01_Доходи'!AD331*Законод!$E$11+'01_Доходи'!AE331*Законод!$F$11+'01_Доходи'!AF331*Законод!$G$11,0)))</f>
        <v>0</v>
      </c>
      <c r="AR331" s="211">
        <f t="shared" ref="AR331:AR337" si="52">SUM(AN331:AQ331)</f>
        <v>0</v>
      </c>
    </row>
    <row r="332" spans="1:44" s="50" customFormat="1" ht="31.9" hidden="1" customHeight="1">
      <c r="A332" s="197"/>
      <c r="B332" s="941"/>
      <c r="C332" s="1077"/>
      <c r="D332" s="943"/>
      <c r="E332" s="943"/>
      <c r="F332" s="238" t="str">
        <f ca="1">IF(B326="Лікар-педіатр",Законод!$E$17,IF(B326="Лікар загальної практики - сімейний лікар",Законод!$E$21,IF(B326="Лікар-терапевт",Законод!$E$25,"х")))</f>
        <v>х</v>
      </c>
      <c r="G332" s="940" t="s">
        <v>346</v>
      </c>
      <c r="H332" s="940"/>
      <c r="I332" s="940"/>
      <c r="J332" s="940"/>
      <c r="K332" s="940"/>
      <c r="L332" s="196">
        <f ca="1">IF($B$326="Лікар загальної практики - сімейний лікар",IF(L330&lt;Законод!$C$22,0,(IF(AND(L330&gt;=Законод!$E$22,L330&lt;=Законод!$E$23),L330-Законод!$C$22,IF('01_Доходи'!L330&gt;=Законод!$F$22,Законод!$E$24,0)))),IF($B$326="Лікар-педіатр",IF(L330&lt;Законод!$C$18,0,(IF(AND(L330&gt;=Законод!$E$18,L330&lt;=Законод!$E$19),L330-Законод!$C$18,IF('01_Доходи'!L330&gt;=Законод!$F$18,Законод!$E$20,0)))),IF($B$326="Лікар-терапевт",IF(L330&lt;Законод!$C$26,0,(IF(AND(L330&gt;=Законод!$E$26,L330&lt;=Законод!$E$27),L330-Законод!$C$26,IF('01_Доходи'!L330&gt;=Законод!$F$26,Законод!$E$28,0)))),0)))</f>
        <v>0</v>
      </c>
      <c r="M332" s="945"/>
      <c r="N332" s="940" t="s">
        <v>346</v>
      </c>
      <c r="O332" s="940"/>
      <c r="P332" s="940"/>
      <c r="Q332" s="940"/>
      <c r="R332" s="940"/>
      <c r="S332" s="196">
        <f ca="1">IF($B$326="Лікар загальної практики - сімейний лікар",IF(S330&lt;Законод!$C$22,0,(IF(AND(S330&gt;=Законод!$E$22,S330&lt;=Законод!$E$23),S330-Законод!$C$22,IF('01_Доходи'!S330&gt;=Законод!$F$22,Законод!$E$24,0)))),IF($B$326="Лікар-педіатр",IF(S330&lt;Законод!$C$18,0,(IF(AND(S330&gt;=Законод!$E$18,S330&lt;=Законод!$E$19),S330-Законод!$C$18,IF('01_Доходи'!S330&gt;=Законод!$F$18,Законод!$E$20,0)))),IF($B$326="Лікар-терапевт",IF(S330&lt;Законод!$C$26,0,(IF(AND(S330&gt;=Законод!$E$26,S330&lt;=Законод!$E$27),S330-Законод!$C$26,IF('01_Доходи'!S330&gt;=Законод!$F$26,Законод!$E$28,0)))),0)))</f>
        <v>0</v>
      </c>
      <c r="T332" s="945"/>
      <c r="U332" s="940" t="s">
        <v>346</v>
      </c>
      <c r="V332" s="940"/>
      <c r="W332" s="940"/>
      <c r="X332" s="940"/>
      <c r="Y332" s="940"/>
      <c r="Z332" s="196">
        <f ca="1">IF($B$326="Лікар загальної практики - сімейний лікар",IF(Z330&lt;Законод!$C$22,0,(IF(AND(Z330&gt;=Законод!$E$22,Z330&lt;=Законод!$E$23),Z330-Законод!$C$22,IF('01_Доходи'!Z330&gt;=Законод!$F$22,Законод!$E$24,0)))),IF($B$326="Лікар-педіатр",IF(Z330&lt;Законод!$C$18,0,(IF(AND(Z330&gt;=Законод!$E$18,Z330&lt;=Законод!$E$19),Z330-Законод!$C$18,IF('01_Доходи'!Z330&gt;=Законод!$F$18,Законод!$E$20,0)))),IF($B$326="Лікар-терапевт",IF(Z330&lt;Законод!$C$26,0,(IF(AND(Z330&gt;=Законод!$E$26,Z330&lt;=Законод!$E$27),Z330-Законод!$C$26,IF('01_Доходи'!Z330&gt;=Законод!$F$26,Законод!$E$28,0)))),0)))</f>
        <v>0</v>
      </c>
      <c r="AA332" s="945"/>
      <c r="AB332" s="940" t="s">
        <v>346</v>
      </c>
      <c r="AC332" s="940"/>
      <c r="AD332" s="940"/>
      <c r="AE332" s="940"/>
      <c r="AF332" s="940"/>
      <c r="AG332" s="196">
        <f ca="1">IF($B$326="Лікар загальної практики - сімейний лікар",IF(AG330&lt;Законод!$C$22,0,(IF(AND(AG330&gt;=Законод!$E$22,AG330&lt;=Законод!$E$23),AG330-Законод!$C$22,IF('01_Доходи'!AG330&gt;=Законод!$F$22,Законод!$E$24,0)))),IF($B$326="Лікар-педіатр",IF(AG330&lt;Законод!$C$18,0,(IF(AND(AG330&gt;=Законод!$E$18,AG330&lt;=Законод!$E$19),AG330-Законод!$C$18,IF('01_Доходи'!AG330&gt;=Законод!$F$18,Законод!$E$20,0)))),IF($B$326="Лікар-терапевт",IF(AG330&lt;Законод!$C$26,0,(IF(AND(AG330&gt;=Законод!$E$26,AG330&lt;=Законод!$E$27),AG330-Законод!$C$26,IF('01_Доходи'!AG330&gt;=Законод!$F$26,Законод!$E$28,0)))),0)))</f>
        <v>0</v>
      </c>
      <c r="AH332" s="945"/>
      <c r="AI332" s="201"/>
      <c r="AJ332" s="933"/>
      <c r="AK332" s="927"/>
      <c r="AL332" s="927"/>
      <c r="AM332" s="898" t="s">
        <v>375</v>
      </c>
      <c r="AN332" s="210">
        <f ca="1">IF(B326="Лікар загальної практики - сімейний лікар",L332*Законод!$C$9/4*Законод!$E$16,IF(B326="Лікар-педіатр",L332*Законод!$C$9/4*Законод!$E$16,IF(B326="Лікар-терапевт",L332*Законод!$C$9/4*Законод!$E$16,0)))</f>
        <v>0</v>
      </c>
      <c r="AO332" s="210">
        <f ca="1">IF(B326="Лікар загальної практики - сімейний лікар",S332*Законод!$C$9/4*Законод!$E$16,IF(B326="Лікар-педіатр",S332*Законод!$C$9/4*Законод!$E$16,IF(B326="Лікар-терапевт",S332*Законод!$C$9/4*Законод!$E$16,0)))</f>
        <v>0</v>
      </c>
      <c r="AP332" s="210">
        <f ca="1">IF(B326="Лікар загальної практики - сімейний лікар",Z332*Законод!$C$9/4*Законод!$E$16,IF(B326="Лікар-педіатр",Z332*Законод!$C$9/4*Законод!$E$16,IF(B326="Лікар-терапевт",Z332*Законод!$C$9/4*Законод!$E$16,0)))</f>
        <v>0</v>
      </c>
      <c r="AQ332" s="210">
        <f ca="1">IF(B326="Лікар загальної практики - сімейний лікар",AG332*Законод!$C$9/4*Законод!$E$16,IF(B326="Лікар-педіатр",AG332*Законод!$C$9/4*Законод!$E$16,IF(B326="Лікар-терапевт",AG332*Законод!$C$9/4*Законод!$E$16,0)))</f>
        <v>0</v>
      </c>
      <c r="AR332" s="211">
        <f t="shared" si="52"/>
        <v>0</v>
      </c>
    </row>
    <row r="333" spans="1:44" s="50" customFormat="1" ht="31.9" hidden="1" customHeight="1">
      <c r="A333" s="197"/>
      <c r="B333" s="941"/>
      <c r="C333" s="1077"/>
      <c r="D333" s="943"/>
      <c r="E333" s="943"/>
      <c r="F333" s="238" t="str">
        <f ca="1">IF(B326="Лікар-педіатр",Законод!$F$17,IF(B326="Лікар загальної практики - сімейний лікар",Законод!$F$21,IF(B326="Лікар-терапевт",Законод!$F$25,"х")))</f>
        <v>х</v>
      </c>
      <c r="G333" s="940" t="s">
        <v>346</v>
      </c>
      <c r="H333" s="940"/>
      <c r="I333" s="940"/>
      <c r="J333" s="940"/>
      <c r="K333" s="940"/>
      <c r="L333" s="196">
        <f ca="1">IF($B$326="Лікар загальної практики - сімейний лікар",IF(L330&lt;Законод!$C$22,0,(IF(AND(L330&gt;=Законод!$F$22,L330&lt;=Законод!$F$23),L330-Законод!$E$23,IF('01_Доходи'!L330&gt;=Законод!$G$22,Законод!$F$24,0)))),IF($B$326="Лікар-педіатр",IF(L330&lt;Законод!$C$18,0,(IF(AND(L330&gt;=Законод!$F$18,L330&lt;=Законод!$F$19),L330-Законод!$E$19,IF('01_Доходи'!L330&gt;=Законод!$G$18,Законод!$F$20,0)))),IF($B$326="Лікар-терапевт",IF(L330&lt;Законод!$C$26,0,(IF(AND(L330&gt;=Законод!$F$26,L330&lt;=Законод!$F$27),L330-Законод!$E$27,IF('01_Доходи'!L330&gt;=Законод!$G$26,Законод!$F$28,0)))),0)))</f>
        <v>0</v>
      </c>
      <c r="M333" s="945"/>
      <c r="N333" s="940" t="s">
        <v>346</v>
      </c>
      <c r="O333" s="940"/>
      <c r="P333" s="940"/>
      <c r="Q333" s="940"/>
      <c r="R333" s="940"/>
      <c r="S333" s="196">
        <f ca="1">IF($B$326="Лікар загальної практики - сімейний лікар",IF(S330&lt;Законод!$C$22,0,(IF(AND(S330&gt;=Законод!$F$22,S330&lt;=Законод!$F$23),S330-Законод!$E$23,IF('01_Доходи'!S330&gt;=Законод!$G$22,Законод!$F$24,0)))),IF($B$326="Лікар-педіатр",IF(S330&lt;Законод!$C$18,0,(IF(AND(S330&gt;=Законод!$F$18,S330&lt;=Законод!$F$19),S330-Законод!$E$19,IF('01_Доходи'!S330&gt;=Законод!$G$18,Законод!$F$20,0)))),IF($B$326="Лікар-терапевт",IF(S330&lt;Законод!$C$26,0,(IF(AND(S330&gt;=Законод!$F$26,S330&lt;=Законод!$F$27),S330-Законод!$E$27,IF('01_Доходи'!S330&gt;=Законод!$G$26,Законод!$F$28,0)))),0)))</f>
        <v>0</v>
      </c>
      <c r="T333" s="945"/>
      <c r="U333" s="940" t="s">
        <v>346</v>
      </c>
      <c r="V333" s="940"/>
      <c r="W333" s="940"/>
      <c r="X333" s="940"/>
      <c r="Y333" s="940"/>
      <c r="Z333" s="196">
        <f ca="1">IF($B$326="Лікар загальної практики - сімейний лікар",IF(Z330&lt;Законод!$C$22,0,(IF(AND(Z330&gt;=Законод!$F$22,Z330&lt;=Законод!$F$23),Z330-Законод!$E$23,IF('01_Доходи'!Z330&gt;=Законод!$G$22,Законод!$F$24,0)))),IF($B$326="Лікар-педіатр",IF(Z330&lt;Законод!$C$18,0,(IF(AND(Z330&gt;=Законод!$F$18,Z330&lt;=Законод!$F$19),Z330-Законод!$E$19,IF('01_Доходи'!Z330&gt;=Законод!$G$18,Законод!$F$20,0)))),IF($B$326="Лікар-терапевт",IF(Z330&lt;Законод!$C$26,0,(IF(AND(Z330&gt;=Законод!$F$26,Z330&lt;=Законод!$F$27),Z330-Законод!$E$27,IF('01_Доходи'!Z330&gt;=Законод!$G$26,Законод!$F$28,0)))),0)))</f>
        <v>0</v>
      </c>
      <c r="AA333" s="945"/>
      <c r="AB333" s="940" t="s">
        <v>346</v>
      </c>
      <c r="AC333" s="940"/>
      <c r="AD333" s="940"/>
      <c r="AE333" s="940"/>
      <c r="AF333" s="940"/>
      <c r="AG333" s="196">
        <f ca="1">IF($B$326="Лікар загальної практики - сімейний лікар",IF(AG330&lt;Законод!$C$22,0,(IF(AND(AG330&gt;=Законод!$F$22,AG330&lt;=Законод!$F$23),AG330-Законод!$E$23,IF('01_Доходи'!AG330&gt;=Законод!$G$22,Законод!$F$24,0)))),IF($B$326="Лікар-педіатр",IF(AG330&lt;Законод!$C$18,0,(IF(AND(AG330&gt;=Законод!$F$18,AG330&lt;=Законод!$F$19),AG330-Законод!$E$19,IF('01_Доходи'!AG330&gt;=Законод!$G$18,Законод!$F$20,0)))),IF($B$326="Лікар-терапевт",IF(AG330&lt;Законод!$C$26,0,(IF(AND(AG330&gt;=Законод!$F$26,AG330&lt;=Законод!$F$27),AG330-Законод!$E$27,IF('01_Доходи'!AG330&gt;=Законод!$G$26,Законод!$F$28,0)))),0)))</f>
        <v>0</v>
      </c>
      <c r="AH333" s="945"/>
      <c r="AI333" s="201"/>
      <c r="AJ333" s="933"/>
      <c r="AK333" s="927"/>
      <c r="AL333" s="927"/>
      <c r="AM333" s="899"/>
      <c r="AN333" s="210">
        <f ca="1">IF(B326="Лікар загальної практики - сімейний лікар",L333*Законод!$C$9/4*Законод!$F$16,IF(B326="Лікар-педіатр",L333*Законод!$C$9/4*Законод!$F$16,IF(B326="Лікар-терапевт",L333*Законод!$C$9/4*Законод!$F$16,0)))</f>
        <v>0</v>
      </c>
      <c r="AO333" s="210">
        <f ca="1">IF(B326="Лікар загальної практики - сімейний лікар",S333*Законод!$C$9/4*Законод!$F$16,IF(B326="Лікар-педіатр",S333*Законод!$C$9/4*Законод!$F$16,IF(B326="Лікар-терапевт",S333*Законод!$C$9/4*Законод!$F$16,0)))</f>
        <v>0</v>
      </c>
      <c r="AP333" s="210">
        <f ca="1">IF(B326="Лікар загальної практики - сімейний лікар",Z333*Законод!$C$9/4*Законод!$F$16,IF(B326="Лікар-педіатр",Z333*Законод!$C$9/4*Законод!$F$16,IF(B326="Лікар-терапевт",Z333*Законод!$C$9/4*Законод!$F$16,0)))</f>
        <v>0</v>
      </c>
      <c r="AQ333" s="210">
        <f ca="1">IF(B326="Лікар загальної практики - сімейний лікар",AG333*Законод!$C$9/4*Законод!$F$16,IF(B326="Лікар-педіатр",AG333*Законод!$C$9/4*Законод!$F$16,IF(B326="Лікар-терапевт",AG333*Законод!$C$9/4*Законод!$F$16,0)))</f>
        <v>0</v>
      </c>
      <c r="AR333" s="211">
        <f t="shared" si="52"/>
        <v>0</v>
      </c>
    </row>
    <row r="334" spans="1:44" s="50" customFormat="1" ht="31.9" hidden="1" customHeight="1">
      <c r="A334" s="197"/>
      <c r="B334" s="941"/>
      <c r="C334" s="1077"/>
      <c r="D334" s="943"/>
      <c r="E334" s="943"/>
      <c r="F334" s="238" t="str">
        <f ca="1">IF(B326="Лікар-педіатр",Законод!$G$17,IF(B326="Лікар загальної практики - сімейний лікар",Законод!$G$21,IF(B326="Лікар-терапевт",Законод!$G$25,"х")))</f>
        <v>х</v>
      </c>
      <c r="G334" s="940" t="s">
        <v>346</v>
      </c>
      <c r="H334" s="940"/>
      <c r="I334" s="940"/>
      <c r="J334" s="940"/>
      <c r="K334" s="940"/>
      <c r="L334" s="196">
        <f ca="1">IF($B$326="Лікар загальної практики - сімейний лікар",IF(L330&lt;Законод!$C$22,0,(IF(AND(L330&gt;=Законод!$G$22,L330&lt;=Законод!$G$23),L330-Законод!$F$23,IF('01_Доходи'!L330&gt;=Законод!$H$22,Законод!$G$24,0)))),IF($B$326="Лікар-педіатр",IF(L330&lt;Законод!$C$18,0,(IF(AND(L330&gt;=Законод!$G$18,L330&lt;=Законод!$G$19),L330-Законод!$F$19,IF('01_Доходи'!L330&gt;=Законод!$H$18,Законод!$G$20,0)))),IF($B$326="Лікар-терапевт",IF(L330&lt;Законод!$C$26,0,(IF(AND(L330&gt;=Законод!$G$26,L330&lt;=Законод!$G$27),L330-Законод!$F$27,IF('01_Доходи'!L330&gt;=Законод!$H$26,Законод!$G$28,0)))),0)))</f>
        <v>0</v>
      </c>
      <c r="M334" s="945"/>
      <c r="N334" s="940" t="s">
        <v>346</v>
      </c>
      <c r="O334" s="940"/>
      <c r="P334" s="940"/>
      <c r="Q334" s="940"/>
      <c r="R334" s="940"/>
      <c r="S334" s="196">
        <f ca="1">IF($B$326="Лікар загальної практики - сімейний лікар",IF(S330&lt;Законод!$C$22,0,(IF(AND(S330&gt;=Законод!$G$22,S330&lt;=Законод!$G$23),S330-Законод!$F$23,IF('01_Доходи'!S330&gt;=Законод!$H$22,Законод!$G$24,0)))),IF($B$326="Лікар-педіатр",IF(S330&lt;Законод!$C$18,0,(IF(AND(S330&gt;=Законод!$G$18,S330&lt;=Законод!$G$19),S330-Законод!$F$19,IF('01_Доходи'!S330&gt;=Законод!$H$18,Законод!$G$20,0)))),IF($B$326="Лікар-терапевт",IF(S330&lt;Законод!$C$26,0,(IF(AND(S330&gt;=Законод!$G$26,S330&lt;=Законод!$G$27),S330-Законод!$F$27,IF('01_Доходи'!S330&gt;=Законод!$H$26,Законод!$G$28,0)))),0)))</f>
        <v>0</v>
      </c>
      <c r="T334" s="945"/>
      <c r="U334" s="940" t="s">
        <v>346</v>
      </c>
      <c r="V334" s="940"/>
      <c r="W334" s="940"/>
      <c r="X334" s="940"/>
      <c r="Y334" s="940"/>
      <c r="Z334" s="196">
        <f ca="1">IF($B$326="Лікар загальної практики - сімейний лікар",IF(Z330&lt;Законод!$C$22,0,(IF(AND(Z330&gt;=Законод!$G$22,Z330&lt;=Законод!$G$23),Z330-Законод!$F$23,IF('01_Доходи'!Z330&gt;=Законод!$H$22,Законод!$G$24,0)))),IF($B$326="Лікар-педіатр",IF(Z330&lt;Законод!$C$18,0,(IF(AND(Z330&gt;=Законод!$G$18,Z330&lt;=Законод!$G$19),Z330-Законод!$F$19,IF('01_Доходи'!Z330&gt;=Законод!$H$18,Законод!$G$20,0)))),IF($B$326="Лікар-терапевт",IF(Z330&lt;Законод!$C$26,0,(IF(AND(Z330&gt;=Законод!$G$26,Z330&lt;=Законод!$G$27),Z330-Законод!$F$27,IF('01_Доходи'!Z330&gt;=Законод!$H$26,Законод!$G$28,0)))),0)))</f>
        <v>0</v>
      </c>
      <c r="AA334" s="945"/>
      <c r="AB334" s="940" t="s">
        <v>346</v>
      </c>
      <c r="AC334" s="940"/>
      <c r="AD334" s="940"/>
      <c r="AE334" s="940"/>
      <c r="AF334" s="940"/>
      <c r="AG334" s="196">
        <f ca="1">IF($B$326="Лікар загальної практики - сімейний лікар",IF(AG330&lt;Законод!$C$22,0,(IF(AND(AG330&gt;=Законод!$G$22,AG330&lt;=Законод!$G$23),AG330-Законод!$F$23,IF('01_Доходи'!AG330&gt;=Законод!$H$22,Законод!$G$24,0)))),IF($B$326="Лікар-педіатр",IF(AG330&lt;Законод!$C$18,0,(IF(AND(AG330&gt;=Законод!$G$18,AG330&lt;=Законод!$G$19),AG330-Законод!$F$19,IF('01_Доходи'!AG330&gt;=Законод!$H$18,Законод!$G$20,0)))),IF($B$326="Лікар-терапевт",IF(AG330&lt;Законод!$C$26,0,(IF(AND(AG330&gt;=Законод!$G$26,AG330&lt;=Законод!$G$27),AG330-Законод!$F$27,IF('01_Доходи'!AG330&gt;=Законод!$H$26,Законод!$G$28,0)))),0)))</f>
        <v>0</v>
      </c>
      <c r="AH334" s="945"/>
      <c r="AI334" s="201"/>
      <c r="AJ334" s="933"/>
      <c r="AK334" s="927"/>
      <c r="AL334" s="927"/>
      <c r="AM334" s="899"/>
      <c r="AN334" s="210">
        <f ca="1">IF(B326="Лікар загальної практики - сімейний лікар",L334*Законод!$C$9/4*Законод!$G$16,IF(B326="Лікар-педіатр",L334*Законод!$C$9/4*Законод!$G$16,IF(B326="Лікар-терапевт",L334*Законод!$C$9/4*Законод!$G$16,0)))</f>
        <v>0</v>
      </c>
      <c r="AO334" s="210">
        <f ca="1">IF(B326="Лікар загальної практики - сімейний лікар",S334*Законод!$C$9/4*Законод!$G$16,IF(B326="Лікар-педіатр",S334*Законод!$C$9/4*Законод!$G$16,IF(B326="Лікар-терапевт",S334*Законод!$C$9/4*Законод!$G$16,0)))</f>
        <v>0</v>
      </c>
      <c r="AP334" s="210">
        <f ca="1">IF(B326="Лікар загальної практики - сімейний лікар",Z334*Законод!$C$9/4*Законод!$G$16,IF(B326="Лікар-педіатр",Z334*Законод!$C$9/4*Законод!$G$16,IF(B326="Лікар-терапевт",Z334*Законод!$C$9/4*Законод!$G$16,0)))</f>
        <v>0</v>
      </c>
      <c r="AQ334" s="210">
        <f ca="1">IF(B326="Лікар загальної практики - сімейний лікар",AG334*Законод!$C$9/4*Законод!$G$16,IF(B326="Лікар-педіатр",AG334*Законод!$C$9/4*Законод!$G$16,IF(B326="Лікар-терапевт",AG334*Законод!$C$9/4*Законод!$G$16,0)))</f>
        <v>0</v>
      </c>
      <c r="AR334" s="211">
        <f t="shared" si="52"/>
        <v>0</v>
      </c>
    </row>
    <row r="335" spans="1:44" s="50" customFormat="1" ht="31.9" hidden="1" customHeight="1">
      <c r="A335" s="197"/>
      <c r="B335" s="941"/>
      <c r="C335" s="1077"/>
      <c r="D335" s="943"/>
      <c r="E335" s="943"/>
      <c r="F335" s="238" t="str">
        <f ca="1">IF(B326="Лікар-педіатр",Законод!$H$17,IF(B326="Лікар загальної практики - сімейний лікар",Законод!$H$21,IF(B326="Лікар-терапевт",Законод!$H$25,"х")))</f>
        <v>х</v>
      </c>
      <c r="G335" s="940" t="s">
        <v>346</v>
      </c>
      <c r="H335" s="940"/>
      <c r="I335" s="940"/>
      <c r="J335" s="940"/>
      <c r="K335" s="940"/>
      <c r="L335" s="196">
        <f ca="1">IF($B$326="Лікар загальної практики - сімейний лікар",IF(L330&lt;Законод!$C$22,0,(IF(AND(L330&gt;=Законод!$H$22,L330&lt;=Законод!$H$23),L330-Законод!$G$23,IF('01_Доходи'!L330&gt;=Законод!$I$22,Законод!$H$24,0)))),IF($B$326="Лікар-педіатр",IF(L330&lt;Законод!$C$18,0,(IF(AND(L330&gt;=Законод!$H$18,L330&lt;=Законод!$H$19),L330-Законод!$G$19,IF('01_Доходи'!L330&gt;=Законод!$I$18,Законод!$H$20,0)))),IF($B$326="Лікар-терапевт",IF(L330&lt;Законод!$C$26,0,(IF(AND(L330&gt;=Законод!$H$26,L330&lt;=Законод!$H$27),L330-Законод!$G$27,IF(L330&gt;=Законод!$I$26,Законод!$H$28,0)))),0)))</f>
        <v>0</v>
      </c>
      <c r="M335" s="945"/>
      <c r="N335" s="940" t="s">
        <v>346</v>
      </c>
      <c r="O335" s="940"/>
      <c r="P335" s="940"/>
      <c r="Q335" s="940"/>
      <c r="R335" s="940"/>
      <c r="S335" s="196">
        <f ca="1">IF($B$326="Лікар загальної практики - сімейний лікар",IF(S330&lt;Законод!$C$22,0,(IF(AND(S330&gt;=Законод!$H$22,S330&lt;=Законод!$H$23),S330-Законод!$G$23,IF('01_Доходи'!S330&gt;=Законод!$I$22,Законод!$H$24,0)))),IF($B$326="Лікар-педіатр",IF(S330&lt;Законод!$C$18,0,(IF(AND(S330&gt;=Законод!$H$18,S330&lt;=Законод!$H$19),S330-Законод!$G$19,IF('01_Доходи'!S330&gt;=Законод!$I$18,Законод!$H$20,0)))),IF($B$326="Лікар-терапевт",IF(S330&lt;Законод!$C$26,0,(IF(AND(S330&gt;=Законод!$H$26,S330&lt;=Законод!$H$27),S330-Законод!$G$27,IF(S330&gt;=Законод!$I$26,Законод!$H$28,0)))),0)))</f>
        <v>0</v>
      </c>
      <c r="T335" s="945"/>
      <c r="U335" s="940" t="s">
        <v>346</v>
      </c>
      <c r="V335" s="940"/>
      <c r="W335" s="940"/>
      <c r="X335" s="940"/>
      <c r="Y335" s="940"/>
      <c r="Z335" s="196">
        <f ca="1">IF($B$326="Лікар загальної практики - сімейний лікар",IF(Z330&lt;Законод!$C$22,0,(IF(AND(Z330&gt;=Законод!$H$22,Z330&lt;=Законод!$H$23),Z330-Законод!$G$23,IF('01_Доходи'!Z330&gt;=Законод!$I$22,Законод!$H$24,0)))),IF($B$326="Лікар-педіатр",IF(Z330&lt;Законод!$C$18,0,(IF(AND(Z330&gt;=Законод!$H$18,Z330&lt;=Законод!$H$19),Z330-Законод!$G$19,IF('01_Доходи'!Z330&gt;=Законод!$I$18,Законод!$H$20,0)))),IF($B$326="Лікар-терапевт",IF(Z330&lt;Законод!$C$26,0,(IF(AND(Z330&gt;=Законод!$H$26,Z330&lt;=Законод!$H$27),Z330-Законод!$G$27,IF(Z330&gt;=Законод!$I$26,Законод!$H$28,0)))),0)))</f>
        <v>0</v>
      </c>
      <c r="AA335" s="945"/>
      <c r="AB335" s="940" t="s">
        <v>346</v>
      </c>
      <c r="AC335" s="940"/>
      <c r="AD335" s="940"/>
      <c r="AE335" s="940"/>
      <c r="AF335" s="940"/>
      <c r="AG335" s="196">
        <f ca="1">IF($B$326="Лікар загальної практики - сімейний лікар",IF(AG330&lt;Законод!$C$22,0,(IF(AND(AG330&gt;=Законод!$H$22,AG330&lt;=Законод!$H$23),AG330-Законод!$G$23,IF('01_Доходи'!AG330&gt;=Законод!$I$22,Законод!$H$24,0)))),IF($B$326="Лікар-педіатр",IF(AG330&lt;Законод!$C$18,0,(IF(AND(AG330&gt;=Законод!$H$18,AG330&lt;=Законод!$H$19),AG330-Законод!$G$19,IF('01_Доходи'!AG330&gt;=Законод!$I$18,Законод!$H$20,0)))),IF($B$326="Лікар-терапевт",IF(AG330&lt;Законод!$C$26,0,(IF(AND(AG330&gt;=Законод!$H$26,AG330&lt;=Законод!$H$27),AG330-Законод!$G$27,IF(AG330&gt;=Законод!$I$26,Законод!$H$28,0)))),0)))</f>
        <v>0</v>
      </c>
      <c r="AH335" s="945"/>
      <c r="AI335" s="201"/>
      <c r="AJ335" s="933"/>
      <c r="AK335" s="927"/>
      <c r="AL335" s="927"/>
      <c r="AM335" s="899"/>
      <c r="AN335" s="210">
        <f ca="1">IF(B326="Лікар загальної практики - сімейний лікар",L335*Законод!$C$9/4*Законод!$H$16,IF(B326="Лікар-педіатр",L335*Законод!$C$9/4*Законод!$H$16,IF(B326="Лікар-терапевт",L335*Законод!$C$9/4*Законод!$H$16,0)))</f>
        <v>0</v>
      </c>
      <c r="AO335" s="210">
        <f ca="1">IF(B326="Лікар загальної практики - сімейний лікар",S335*Законод!$C$9/4*Законод!$H$16,IF(B326="Лікар-педіатр",S335*Законод!$C$9/4*Законод!$H$16,IF(B326="Лікар-терапевт",S335*Законод!$C$9/4*Законод!$H$16,0)))</f>
        <v>0</v>
      </c>
      <c r="AP335" s="210">
        <f ca="1">IF(B326="Лікар загальної практики - сімейний лікар",Z335*Законод!$C$9/4*Законод!$H$16,IF(B326="Лікар-педіатр",Z335*Законод!$C$9/4*Законод!$H$16,IF(B326="Лікар-терапевт",Z335*Законод!$C$9/4*Законод!$H$16,0)))</f>
        <v>0</v>
      </c>
      <c r="AQ335" s="210">
        <f ca="1">IF(B326="Лікар загальної практики - сімейний лікар",AG335*Законод!$C$9/4*Законод!$H$16,IF(B326="Лікар-педіатр",AG335*Законод!$C$9/4*Законод!$H$16,IF(B326="Лікар-терапевт",AG335*Законод!$C$9/4*Законод!$H$16,0)))</f>
        <v>0</v>
      </c>
      <c r="AR335" s="211">
        <f t="shared" si="52"/>
        <v>0</v>
      </c>
    </row>
    <row r="336" spans="1:44" s="50" customFormat="1" ht="31.9" hidden="1" customHeight="1">
      <c r="A336" s="197"/>
      <c r="B336" s="941"/>
      <c r="C336" s="1077"/>
      <c r="D336" s="943"/>
      <c r="E336" s="943"/>
      <c r="F336" s="238" t="str">
        <f ca="1">IF(B326="Лікар-педіатр",Законод!$I$17,IF(B326="Лікар загальної практики - сімейний лікар",Законод!$I$21,IF(B326="Лікар-терапевт",Законод!$I$25,"х")))</f>
        <v>х</v>
      </c>
      <c r="G336" s="940" t="s">
        <v>346</v>
      </c>
      <c r="H336" s="940"/>
      <c r="I336" s="940"/>
      <c r="J336" s="940"/>
      <c r="K336" s="940"/>
      <c r="L336" s="196">
        <f ca="1">IF($B$326="Лікар загальної практики - сімейний лікар",IF(L330&lt;Законод!$C$22,0,(IF(AND(L330&gt;=Законод!$I$22,L330&lt;=Законод!$I$23),L330-Законод!$H$23,IF('01_Доходи'!L330&gt;=Законод!$I$22,Законод!$I$24,0)))),IF($B$326="Лікар-педіатр",IF(L330&lt;Законод!$C$18,0,(IF(AND(L330&gt;=Законод!$I$18,L330&lt;=Законод!$I$19),L330-Законод!$H$19,IF('01_Доходи'!L330&gt;=Законод!$I$18,Законод!$H$20,0)))),IF($B$326="Лікар-терапевт",IF(L330&lt;Законод!$C$26,0,(IF(AND(L330&gt;=Законод!$I$26,L330&lt;=Законод!$I$27),L330-Законод!$H$27,IF('01_Доходи'!L330&gt;=Законод!$I$26,Законод!$H$28,0)))),0)))</f>
        <v>0</v>
      </c>
      <c r="M336" s="945"/>
      <c r="N336" s="940" t="s">
        <v>346</v>
      </c>
      <c r="O336" s="940"/>
      <c r="P336" s="940"/>
      <c r="Q336" s="940"/>
      <c r="R336" s="940"/>
      <c r="S336" s="196">
        <f ca="1">IF($B$326="Лікар загальної практики - сімейний лікар",IF(S330&lt;Законод!$C$22,0,(IF(AND(S330&gt;=Законод!$I$22,S330&lt;=Законод!$I$23),S330-Законод!$H$23,IF('01_Доходи'!S330&gt;=Законод!$I$22,Законод!$I$24,0)))),IF($B$326="Лікар-педіатр",IF(S330&lt;Законод!$C$18,0,(IF(AND(S330&gt;=Законод!$I$18,S330&lt;=Законод!$I$19),S330-Законод!$H$19,IF('01_Доходи'!S330&gt;=Законод!$I$18,Законод!$H$20,0)))),IF($B$326="Лікар-терапевт",IF(S330&lt;Законод!$C$26,0,(IF(AND(S330&gt;=Законод!$I$26,S330&lt;=Законод!$I$27),S330-Законод!$H$27,IF('01_Доходи'!S330&gt;=Законод!$I$26,Законод!$H$28,0)))),0)))</f>
        <v>0</v>
      </c>
      <c r="T336" s="945"/>
      <c r="U336" s="940" t="s">
        <v>346</v>
      </c>
      <c r="V336" s="940"/>
      <c r="W336" s="940"/>
      <c r="X336" s="940"/>
      <c r="Y336" s="940"/>
      <c r="Z336" s="196">
        <f ca="1">IF($B$326="Лікар загальної практики - сімейний лікар",IF(Z330&lt;Законод!$C$22,0,(IF(AND(Z330&gt;=Законод!$I$22,Z330&lt;=Законод!$I$23),Z330-Законод!$H$23,IF('01_Доходи'!Z330&gt;=Законод!$I$22,Законод!$I$24,0)))),IF($B$326="Лікар-педіатр",IF(Z330&lt;Законод!$C$18,0,(IF(AND(Z330&gt;=Законод!$I$18,Z330&lt;=Законод!$I$19),Z330-Законод!$H$19,IF('01_Доходи'!Z330&gt;=Законод!$I$18,Законод!$H$20,0)))),IF($B$326="Лікар-терапевт",IF(Z330&lt;Законод!$C$26,0,(IF(AND(Z330&gt;=Законод!$I$26,Z330&lt;=Законод!$I$27),Z330-Законод!$H$27,IF('01_Доходи'!Z330&gt;=Законод!$I$26,Законод!$H$28,0)))),0)))</f>
        <v>0</v>
      </c>
      <c r="AA336" s="945"/>
      <c r="AB336" s="940" t="s">
        <v>346</v>
      </c>
      <c r="AC336" s="940"/>
      <c r="AD336" s="940"/>
      <c r="AE336" s="940"/>
      <c r="AF336" s="940"/>
      <c r="AG336" s="196">
        <f ca="1">IF($B$326="Лікар загальної практики - сімейний лікар",IF(AG330&lt;Законод!$C$22,0,(IF(AND(AG330&gt;=Законод!$I$22,AG330&lt;=Законод!$I$23),AG330-Законод!$H$23,IF('01_Доходи'!AG330&gt;=Законод!$I$22,Законод!$I$24,0)))),IF($B$326="Лікар-педіатр",IF(AG330&lt;Законод!$C$18,0,(IF(AND(AG330&gt;=Законод!$I$18,AG330&lt;=Законод!$I$19),AG330-Законод!$H$19,IF('01_Доходи'!AG330&gt;=Законод!$I$18,Законод!$H$20,0)))),IF($B$326="Лікар-терапевт",IF(AG330&lt;Законод!$C$26,0,(IF(AND(AG330&gt;=Законод!$I$26,AG330&lt;=Законод!$I$27),AG330-Законод!$H$27,IF('01_Доходи'!AG330&gt;=Законод!$I$26,Законод!$H$28,0)))),0)))</f>
        <v>0</v>
      </c>
      <c r="AH336" s="945"/>
      <c r="AI336" s="201"/>
      <c r="AJ336" s="933"/>
      <c r="AK336" s="927"/>
      <c r="AL336" s="927"/>
      <c r="AM336" s="899"/>
      <c r="AN336" s="210">
        <f ca="1">IF(B326="Лікар загальної практики - сімейний лікар",L336*Законод!$C$9/4*Законод!$I$16,IF(B326="Лікар-педіатр",L336*Законод!$C$9/4*Законод!$I$16,IF(B326="Лікар-терапевт",L336*Законод!$C$9/4*Законод!$I$16,0)))</f>
        <v>0</v>
      </c>
      <c r="AO336" s="210">
        <f ca="1">IF(B326="Лікар загальної практики - сімейний лікар",S336*Законод!$C$9/4*Законод!$I$16,IF(B326="Лікар-педіатр",S336*Законод!$C$9/4*Законод!$I$16,IF(B326="Лікар-терапевт",S336*Законод!$C$9/4*Законод!$I$16,0)))</f>
        <v>0</v>
      </c>
      <c r="AP336" s="210">
        <f ca="1">IF(B326="Лікар загальної практики - сімейний лікар",Z336*Законод!$C$9/4*Законод!$I$16,IF(B326="Лікар-педіатр",Z336*Законод!$C$9/4*Законод!$I$16,IF(B326="Лікар-терапевт",Z336*Законод!$C$9/4*Законод!$I$16,0)))</f>
        <v>0</v>
      </c>
      <c r="AQ336" s="210">
        <f ca="1">IF(B326="Лікар загальної практики - сімейний лікар",AG336*Законод!$C$9/4*Законод!$I$16,IF(B326="Лікар-педіатр",AG336*Законод!$C$9/4*Законод!$I$16,IF(B326="Лікар-терапевт",AG336*Законод!$C$9/4*Законод!$I$16,0)))</f>
        <v>0</v>
      </c>
      <c r="AR336" s="211">
        <f t="shared" si="52"/>
        <v>0</v>
      </c>
    </row>
    <row r="337" spans="1:44" s="218" customFormat="1" ht="31.9" hidden="1" customHeight="1" thickBot="1">
      <c r="A337" s="213"/>
      <c r="B337" s="941"/>
      <c r="C337" s="1077"/>
      <c r="D337" s="943"/>
      <c r="E337" s="943"/>
      <c r="F337" s="239" t="str">
        <f ca="1">IF(B326="Лікар-педіатр",Законод!$J$17,IF(B326="Лікар загальної практики - сімейний лікар",Законод!$J$21,IF(B326="Лікар-терапевт",Законод!$J$25,"х")))</f>
        <v>х</v>
      </c>
      <c r="G337" s="939" t="s">
        <v>346</v>
      </c>
      <c r="H337" s="939"/>
      <c r="I337" s="939"/>
      <c r="J337" s="939"/>
      <c r="K337" s="939"/>
      <c r="L337" s="196">
        <f ca="1">IF($B$326="Лікар загальної практики - сімейний лікар",IF(L330&gt;=Законод!$J$22,'01_Доходи'!L330-('01_Доходи'!L331+'01_Доходи'!L332+'01_Доходи'!L333+'01_Доходи'!L334+'01_Доходи'!L335+'01_Доходи'!L336),0),IF($B$326="Лікар-педіатр",IF(L330&gt;=Законод!$J$18,'01_Доходи'!L330-('01_Доходи'!L331+'01_Доходи'!L332+'01_Доходи'!L333+'01_Доходи'!L334+'01_Доходи'!L335+'01_Доходи'!L336),0),IF($B$326="Лікар-терапевт",IF('01_Доходи'!L330&gt;=Законод!$J$26,L330-Законод!$I$27,0),0)))</f>
        <v>0</v>
      </c>
      <c r="M337" s="945"/>
      <c r="N337" s="939" t="s">
        <v>346</v>
      </c>
      <c r="O337" s="939"/>
      <c r="P337" s="939"/>
      <c r="Q337" s="939"/>
      <c r="R337" s="939"/>
      <c r="S337" s="196">
        <f ca="1">IF($B$326="Лікар загальної практики - сімейний лікар",IF(S330&gt;=Законод!$J$22,'01_Доходи'!S330-('01_Доходи'!S331+'01_Доходи'!S332+'01_Доходи'!S333+'01_Доходи'!S334+'01_Доходи'!S335+'01_Доходи'!S336),0),IF($B$326="Лікар-педіатр",IF(S330&gt;=Законод!$J$18,'01_Доходи'!S330-('01_Доходи'!S331+'01_Доходи'!S332+'01_Доходи'!S333+'01_Доходи'!S334+'01_Доходи'!S335+'01_Доходи'!S336),0),IF($B$326="Лікар-терапевт",IF('01_Доходи'!S330&gt;=Законод!$J$26,S330-Законод!$I$27,0),0)))</f>
        <v>0</v>
      </c>
      <c r="T337" s="945"/>
      <c r="U337" s="939" t="s">
        <v>346</v>
      </c>
      <c r="V337" s="939"/>
      <c r="W337" s="939"/>
      <c r="X337" s="939"/>
      <c r="Y337" s="939"/>
      <c r="Z337" s="196">
        <f ca="1">IF($B$326="Лікар загальної практики - сімейний лікар",IF(Z330&gt;=Законод!$J$22,'01_Доходи'!Z330-('01_Доходи'!Z331+'01_Доходи'!Z332+'01_Доходи'!Z333+'01_Доходи'!Z334+'01_Доходи'!Z335+'01_Доходи'!Z336),0),IF($B$326="Лікар-педіатр",IF(Z330&gt;=Законод!$J$18,'01_Доходи'!Z330-('01_Доходи'!Z331+'01_Доходи'!Z332+'01_Доходи'!Z333+'01_Доходи'!Z334+'01_Доходи'!Z335+'01_Доходи'!Z336),0),IF($B$326="Лікар-терапевт",IF('01_Доходи'!Z330&gt;=Законод!$J$26,Z330-Законод!$I$27,0),0)))</f>
        <v>0</v>
      </c>
      <c r="AA337" s="945"/>
      <c r="AB337" s="939" t="s">
        <v>346</v>
      </c>
      <c r="AC337" s="939"/>
      <c r="AD337" s="939"/>
      <c r="AE337" s="939"/>
      <c r="AF337" s="939"/>
      <c r="AG337" s="196">
        <f ca="1">IF($B$326="Лікар загальної практики - сімейний лікар",IF(AG330&gt;=Законод!$J$22,'01_Доходи'!AG330-('01_Доходи'!AG331+'01_Доходи'!AG332+'01_Доходи'!AG333+'01_Доходи'!AG334+'01_Доходи'!AG335+'01_Доходи'!AG336),0),IF($B$326="Лікар-педіатр",IF(AG330&gt;=Законод!$J$18,'01_Доходи'!AG330-('01_Доходи'!AG331+'01_Доходи'!AG332+'01_Доходи'!AG333+'01_Доходи'!AG334+'01_Доходи'!AG335+'01_Доходи'!AG336),0),IF($B$326="Лікар-терапевт",IF('01_Доходи'!AG330&gt;=Законод!$J$26,AG330-Законод!$I$27,0),0)))</f>
        <v>0</v>
      </c>
      <c r="AH337" s="945"/>
      <c r="AI337" s="215"/>
      <c r="AJ337" s="934"/>
      <c r="AK337" s="928"/>
      <c r="AL337" s="928"/>
      <c r="AM337" s="900"/>
      <c r="AN337" s="216">
        <f ca="1">IF(B326="Лікар загальної практики - сімейний лікар",L337*Законод!$C$9/4*Законод!$J$16,IF(B326="Лікар-педіатр",L337*Законод!$C$9/4*Законод!$J$16,IF(B326="Лікар-терапевт",L337*Законод!$C$9/4*Законод!$J$16,0)))</f>
        <v>0</v>
      </c>
      <c r="AO337" s="216">
        <f ca="1">IF(B326="Лікар загальної практики - сімейний лікар",S337*Законод!$C$9/4*Законод!$J$16,IF(B326="Лікар-педіатр",S337*Законод!$C$9/4*Законод!$J$16,IF(B326="Лікар-терапевт",S337*Законод!$C$9/4*Законод!$J$16,0)))</f>
        <v>0</v>
      </c>
      <c r="AP337" s="216">
        <f ca="1">IF(B326="Лікар загальної практики - сімейний лікар",S337*Законод!$C$9/4*Законод!$J$16,IF(B326="Лікар-педіатр",S337*Законод!$C$9/4*Законод!$J$16,IF(B326="Лікар-терапевт",S337*Законод!$C$9/4*Законод!$J$16,0)))</f>
        <v>0</v>
      </c>
      <c r="AQ337" s="216">
        <f ca="1">IF(B326="Лікар загальної практики - сімейний лікар",AG337*Законод!$C$9/4*Законод!$J$16,IF(B326="Лікар-педіатр",AG337*Законод!$C$9/4*Законод!$J$16,IF(B326="Лікар-терапевт",AG337*Законод!$C$9/4*Законод!$J$16,0)))</f>
        <v>0</v>
      </c>
      <c r="AR337" s="217">
        <f t="shared" si="52"/>
        <v>0</v>
      </c>
    </row>
    <row r="338" spans="1:44" s="247" customFormat="1" ht="23.45" hidden="1" customHeight="1">
      <c r="A338" s="243"/>
      <c r="B338" s="244"/>
      <c r="C338" s="244"/>
      <c r="D338" s="244"/>
      <c r="E338" s="244"/>
      <c r="F338" s="245"/>
      <c r="G338" s="246"/>
      <c r="H338" s="246"/>
      <c r="L338" s="248"/>
      <c r="S338" s="248"/>
      <c r="Z338" s="248"/>
      <c r="AG338" s="248"/>
      <c r="AM338" s="249"/>
      <c r="AR338" s="250"/>
    </row>
    <row r="339" spans="1:44" s="191" customFormat="1" ht="27.6" hidden="1" customHeight="1">
      <c r="A339" s="194">
        <f>A326+1</f>
        <v>24</v>
      </c>
      <c r="B339" s="941"/>
      <c r="C339" s="1077"/>
      <c r="D339" s="943"/>
      <c r="E339" s="943"/>
      <c r="F339" s="234" t="s">
        <v>582</v>
      </c>
      <c r="G339" s="196">
        <f>IF($B$339="Лікар-педіатр",G342*L339,IF($B$339="Лікар-терапевт","х",IF($B$339="Лікар загальної практики - сімейний лікар",G342*L339,0)))</f>
        <v>0</v>
      </c>
      <c r="H339" s="196">
        <f>IF($B$339="Лікар-педіатр",H342*L339,IF($B$339="Лікар-терапевт","х",IF($B$339="Лікар загальної практики - сімейний лікар",H342*L339,0)))</f>
        <v>0</v>
      </c>
      <c r="I339" s="196">
        <f>IF($B$339="Лікар-педіатр","x",IF($B$339="Лікар-терапевт",I342*L339,IF($B$339="Лікар загальної практики - сімейний лікар",I342*L339,0)))</f>
        <v>0</v>
      </c>
      <c r="J339" s="196">
        <f>IF($B$339="Лікар-педіатр","x",IF($B$339="Лікар-терапевт",J342*L339,IF($B$339="Лікар загальної практики - сімейний лікар",J342*L339,0)))</f>
        <v>0</v>
      </c>
      <c r="K339" s="196">
        <f>IF($B$339="Лікар-педіатр","x",IF($B$339="Лікар-терапевт",K342*L339,IF($B$339="Лікар загальної практики - сімейний лікар",K342*L339,0)))</f>
        <v>0</v>
      </c>
      <c r="L339" s="558"/>
      <c r="M339" s="945"/>
      <c r="N339" s="196">
        <f>IF($B$339="Лікар-педіатр",N342*S339,IF($B$339="Лікар-терапевт","х",IF($B$339="Лікар загальної практики - сімейний лікар",N342*S339,0)))</f>
        <v>0</v>
      </c>
      <c r="O339" s="196">
        <f>IF($B$339="Лікар-педіатр",O342*S339,IF($B$339="Лікар-терапевт","х",IF($B$339="Лікар загальної практики - сімейний лікар",O342*S339,0)))</f>
        <v>0</v>
      </c>
      <c r="P339" s="196">
        <f>IF($B$339="Лікар-педіатр","x",IF($B$339="Лікар-терапевт",P342*S339,IF($B$339="Лікар загальної практики - сімейний лікар",P342*S339,0)))</f>
        <v>0</v>
      </c>
      <c r="Q339" s="196">
        <f>IF($B$339="Лікар-педіатр","x",IF($B$339="Лікар-терапевт",Q342*S339,IF($B$339="Лікар загальної практики - сімейний лікар",Q342*S339,0)))</f>
        <v>0</v>
      </c>
      <c r="R339" s="196">
        <f>IF($B$339="Лікар-педіатр","x",IF($B$339="Лікар-терапевт",R342*S339,IF($B$339="Лікар загальної практики - сімейний лікар",R342*S339,0)))</f>
        <v>0</v>
      </c>
      <c r="S339" s="558"/>
      <c r="T339" s="945"/>
      <c r="U339" s="196">
        <f>IF($B$339="Лікар-педіатр",U342*Z339,IF($B$339="Лікар-терапевт","х",IF($B$339="Лікар загальної практики - сімейний лікар",U342*Z339,0)))</f>
        <v>0</v>
      </c>
      <c r="V339" s="196">
        <f>IF($B$339="Лікар-педіатр",V342*Z339,IF($B$339="Лікар-терапевт","х",IF($B$339="Лікар загальної практики - сімейний лікар",V342*Z339,0)))</f>
        <v>0</v>
      </c>
      <c r="W339" s="196">
        <f>IF($B$339="Лікар-педіатр","x",IF($B$339="Лікар-терапевт",W342*Z339,IF($B$339="Лікар загальної практики - сімейний лікар",W342*Z339,0)))</f>
        <v>0</v>
      </c>
      <c r="X339" s="196">
        <f>IF($B$339="Лікар-педіатр","x",IF($B$339="Лікар-терапевт",X342*Z339,IF($B$339="Лікар загальної практики - сімейний лікар",X342*Z339,0)))</f>
        <v>0</v>
      </c>
      <c r="Y339" s="196">
        <f>IF($B$339="Лікар-педіатр","x",IF($B$339="Лікар-терапевт",Y342*Z339,IF($B$339="Лікар загальної практики - сімейний лікар",Y342*Z339,0)))</f>
        <v>0</v>
      </c>
      <c r="Z339" s="558"/>
      <c r="AA339" s="945"/>
      <c r="AB339" s="196">
        <f>IF($B$339="Лікар-педіатр",AB342*AG339,IF($B$339="Лікар-терапевт","х",IF($B$339="Лікар загальної практики - сімейний лікар",AB342*AG339,0)))</f>
        <v>0</v>
      </c>
      <c r="AC339" s="196">
        <f>IF($B$339="Лікар-педіатр",AC342*AG339,IF($B$339="Лікар-терапевт","х",IF($B$339="Лікар загальної практики - сімейний лікар",AC342*AG339,0)))</f>
        <v>0</v>
      </c>
      <c r="AD339" s="196">
        <f>IF($B$339="Лікар-педіатр","x",IF($B$339="Лікар-терапевт",AD342*AG339,IF($B$339="Лікар загальної практики - сімейний лікар",AD342*AG339,0)))</f>
        <v>0</v>
      </c>
      <c r="AE339" s="196">
        <f>IF($B$339="Лікар-педіатр","x",IF($B$339="Лікар-терапевт",AE342*AG339,IF($B$339="Лікар загальної практики - сімейний лікар",AE342*AG339,0)))</f>
        <v>0</v>
      </c>
      <c r="AF339" s="196">
        <f>IF($B$339="Лікар-педіатр","x",IF($B$339="Лікар-терапевт",AF342*AG339,IF($B$339="Лікар загальної практики - сімейний лікар",AF342*AG339,0)))</f>
        <v>0</v>
      </c>
      <c r="AG339" s="558"/>
      <c r="AH339" s="945"/>
      <c r="AI339" s="541">
        <f>A339</f>
        <v>24</v>
      </c>
      <c r="AJ339" s="932">
        <f>B339</f>
        <v>0</v>
      </c>
      <c r="AK339" s="926">
        <f>C339</f>
        <v>0</v>
      </c>
      <c r="AL339" s="926">
        <f>D339</f>
        <v>0</v>
      </c>
      <c r="AM339" s="901" t="s">
        <v>785</v>
      </c>
      <c r="AN339" s="923">
        <f>SUM(AN344:AN350)</f>
        <v>0</v>
      </c>
      <c r="AO339" s="923">
        <f>SUM(AO344:AO350)</f>
        <v>0</v>
      </c>
      <c r="AP339" s="923">
        <f>SUM(AP344:AP350)</f>
        <v>0</v>
      </c>
      <c r="AQ339" s="923">
        <f>SUM(AQ344:AQ350)</f>
        <v>0</v>
      </c>
      <c r="AR339" s="914">
        <f>SUM(AN339:AQ343)</f>
        <v>0</v>
      </c>
    </row>
    <row r="340" spans="1:44" s="50" customFormat="1" ht="28.15" hidden="1" customHeight="1">
      <c r="A340" s="197"/>
      <c r="B340" s="941"/>
      <c r="C340" s="1077"/>
      <c r="D340" s="943"/>
      <c r="E340" s="943"/>
      <c r="F340" s="234" t="s">
        <v>583</v>
      </c>
      <c r="G340" s="196">
        <f>IF($B$339="Лікар-педіатр",G342*L340,IF($B$339="Лікар-терапевт","х",IF($B$339="Лікар загальної практики - сімейний лікар",G342*L340,0)))</f>
        <v>0</v>
      </c>
      <c r="H340" s="196">
        <f>IF($B$339="Лікар-педіатр",H342*L340,IF($B$339="Лікар-терапевт","х",IF($B$339="Лікар загальної практики - сімейний лікар",H342*L340,0)))</f>
        <v>0</v>
      </c>
      <c r="I340" s="196">
        <f>IF($B$339="Лікар-педіатр","x",IF($B$339="Лікар-терапевт",I342*L340,IF($B$339="Лікар загальної практики - сімейний лікар",I342*L340,0)))</f>
        <v>0</v>
      </c>
      <c r="J340" s="196">
        <f>IF($B$339="Лікар-педіатр","x",IF($B$339="Лікар-терапевт",J342*L340,IF($B$339="Лікар загальної практики - сімейний лікар",J342*L340,0)))</f>
        <v>0</v>
      </c>
      <c r="K340" s="196">
        <f>IF($B$339="Лікар-педіатр","x",IF($B$339="Лікар-терапевт",K342*L340,IF($B$339="Лікар загальної практики - сімейний лікар",K342*L340,0)))</f>
        <v>0</v>
      </c>
      <c r="L340" s="558"/>
      <c r="M340" s="945"/>
      <c r="N340" s="196">
        <f>IF($B$339="Лікар-педіатр",N342*S340,IF($B$339="Лікар-терапевт","х",IF($B$339="Лікар загальної практики - сімейний лікар",N342*S340,0)))</f>
        <v>0</v>
      </c>
      <c r="O340" s="196">
        <f>IF($B$339="Лікар-педіатр",O342*S340,IF($B$339="Лікар-терапевт","х",IF($B$339="Лікар загальної практики - сімейний лікар",O342*S340,0)))</f>
        <v>0</v>
      </c>
      <c r="P340" s="196">
        <f>IF($B$339="Лікар-педіатр","x",IF($B$339="Лікар-терапевт",P342*S340,IF($B$339="Лікар загальної практики - сімейний лікар",P342*S340,0)))</f>
        <v>0</v>
      </c>
      <c r="Q340" s="196">
        <f>IF($B$339="Лікар-педіатр","x",IF($B$339="Лікар-терапевт",Q342*S340,IF($B$339="Лікар загальної практики - сімейний лікар",Q342*S340,0)))</f>
        <v>0</v>
      </c>
      <c r="R340" s="196">
        <f>IF($B$339="Лікар-педіатр","x",IF($B$339="Лікар-терапевт",R342*S340,IF($B$339="Лікар загальної практики - сімейний лікар",R342*S340,0)))</f>
        <v>0</v>
      </c>
      <c r="S340" s="558"/>
      <c r="T340" s="945"/>
      <c r="U340" s="196">
        <f>IF($B$339="Лікар-педіатр",U342*Z340,IF($B$339="Лікар-терапевт","х",IF($B$339="Лікар загальної практики - сімейний лікар",U342*Z340,0)))</f>
        <v>0</v>
      </c>
      <c r="V340" s="196">
        <f>IF($B$339="Лікар-педіатр",V342*Z340,IF($B$339="Лікар-терапевт","х",IF($B$339="Лікар загальної практики - сімейний лікар",V342*Z340,0)))</f>
        <v>0</v>
      </c>
      <c r="W340" s="196">
        <f>IF($B$339="Лікар-педіатр","x",IF($B$339="Лікар-терапевт",W342*Z340,IF($B$339="Лікар загальної практики - сімейний лікар",W342*Z340,0)))</f>
        <v>0</v>
      </c>
      <c r="X340" s="196">
        <f>IF($B$339="Лікар-педіатр","x",IF($B$339="Лікар-терапевт",X342*Z340,IF($B$339="Лікар загальної практики - сімейний лікар",X342*Z340,0)))</f>
        <v>0</v>
      </c>
      <c r="Y340" s="196">
        <f>IF($B$339="Лікар-педіатр","x",IF($B$339="Лікар-терапевт",Y342*Z340,IF($B$339="Лікар загальної практики - сімейний лікар",Y342*Z340,0)))</f>
        <v>0</v>
      </c>
      <c r="Z340" s="558"/>
      <c r="AA340" s="945"/>
      <c r="AB340" s="196">
        <f>IF($B$339="Лікар-педіатр",AB342*AG340,IF($B$339="Лікар-терапевт","х",IF($B$339="Лікар загальної практики - сімейний лікар",AB342*AG340,0)))</f>
        <v>0</v>
      </c>
      <c r="AC340" s="196">
        <f>IF($B$339="Лікар-педіатр",AC342*AG340,IF($B$339="Лікар-терапевт","х",IF($B$339="Лікар загальної практики - сімейний лікар",AC342*AG340,0)))</f>
        <v>0</v>
      </c>
      <c r="AD340" s="196">
        <f>IF($B$339="Лікар-педіатр","x",IF($B$339="Лікар-терапевт",AD342*AG340,IF($B$339="Лікар загальної практики - сімейний лікар",AD342*AG340,0)))</f>
        <v>0</v>
      </c>
      <c r="AE340" s="196">
        <f>IF($B$339="Лікар-педіатр","x",IF($B$339="Лікар-терапевт",AE342*AG340,IF($B$339="Лікар загальної практики - сімейний лікар",AE342*AG340,0)))</f>
        <v>0</v>
      </c>
      <c r="AF340" s="196">
        <f>IF($B$339="Лікар-педіатр","x",IF($B$339="Лікар-терапевт",AF342*AG340,IF($B$339="Лікар загальної практики - сімейний лікар",AF342*AG340,0)))</f>
        <v>0</v>
      </c>
      <c r="AG340" s="558"/>
      <c r="AH340" s="945"/>
      <c r="AI340" s="198"/>
      <c r="AJ340" s="933"/>
      <c r="AK340" s="927"/>
      <c r="AL340" s="927"/>
      <c r="AM340" s="902"/>
      <c r="AN340" s="924"/>
      <c r="AO340" s="924"/>
      <c r="AP340" s="924"/>
      <c r="AQ340" s="924"/>
      <c r="AR340" s="915"/>
    </row>
    <row r="341" spans="1:44" s="90" customFormat="1" ht="31.15" hidden="1" customHeight="1">
      <c r="A341" s="240"/>
      <c r="B341" s="941"/>
      <c r="C341" s="1077"/>
      <c r="D341" s="943"/>
      <c r="E341" s="943"/>
      <c r="F341" s="241" t="s">
        <v>584</v>
      </c>
      <c r="G341" s="199">
        <f>IF(B339="Лікар загальної практики - сімейний лікар"," ",IF(B339="Лікар-педіатр"," ",IF(B339="Лікар-терапевт","х",0)))</f>
        <v>0</v>
      </c>
      <c r="H341" s="199">
        <f>IF(B339="Лікар загальної практики - сімейний лікар"," ",IF(B339="Лікар-педіатр"," ",IF(B339="Лікар-терапевт","х",0)))</f>
        <v>0</v>
      </c>
      <c r="I341" s="199">
        <f>IF(B339="Лікар загальної практики - сімейний лікар"," ",IF(B339="Лікар-педіатр","х",IF(B339="Лікар-терапевт"," ",0)))</f>
        <v>0</v>
      </c>
      <c r="J341" s="199">
        <f>IF(B339="Лікар загальної практики - сімейний лікар"," ",IF(B339="Лікар-педіатр","х",IF(B339="Лікар-терапевт"," ",0)))</f>
        <v>0</v>
      </c>
      <c r="K341" s="199">
        <f>IF(B339="Лікар загальної практики - сімейний лікар"," ",IF(B339="Лікар-педіатр","х",IF(B339="Лікар-терапевт"," ",0)))</f>
        <v>0</v>
      </c>
      <c r="L341" s="200">
        <f>SUM(G341:K341)</f>
        <v>0</v>
      </c>
      <c r="M341" s="945"/>
      <c r="N341" s="199">
        <f>IF(B339="Лікар загальної практики - сімейний лікар"," ",IF(B339="Лікар-педіатр"," ",IF(B339="Лікар-терапевт","х",0)))</f>
        <v>0</v>
      </c>
      <c r="O341" s="199">
        <f>IF(B339="Лікар загальної практики - сімейний лікар"," ",IF(B339="Лікар-педіатр"," ",IF(B339="Лікар-терапевт","х",0)))</f>
        <v>0</v>
      </c>
      <c r="P341" s="199">
        <f>IF(B339="Лікар загальної практики - сімейний лікар"," ",IF(B339="Лікар-педіатр","х",IF(B339="Лікар-терапевт"," ",0)))</f>
        <v>0</v>
      </c>
      <c r="Q341" s="199">
        <f>IF(B339="Лікар загальної практики - сімейний лікар"," ",IF(B339="Лікар-педіатр","х",IF(B339="Лікар-терапевт"," ",0)))</f>
        <v>0</v>
      </c>
      <c r="R341" s="199">
        <f>IF(B339="Лікар загальної практики - сімейний лікар"," ",IF(B339="Лікар-педіатр","х",IF(B339="Лікар-терапевт"," ",0)))</f>
        <v>0</v>
      </c>
      <c r="S341" s="200">
        <f>SUM(N341:R341)</f>
        <v>0</v>
      </c>
      <c r="T341" s="945"/>
      <c r="U341" s="199">
        <f>IF(B339="Лікар загальної практики - сімейний лікар"," ",IF(B339="Лікар-педіатр"," ",IF(B339="Лікар-терапевт","х",0)))</f>
        <v>0</v>
      </c>
      <c r="V341" s="199">
        <f>IF(B339="Лікар загальної практики - сімейний лікар"," ",IF(B339="Лікар-педіатр"," ",IF(B339="Лікар-терапевт","х",0)))</f>
        <v>0</v>
      </c>
      <c r="W341" s="199">
        <f>IF(B339="Лікар загальної практики - сімейний лікар"," ",IF(B339="Лікар-педіатр","х",IF(B339="Лікар-терапевт"," ",0)))</f>
        <v>0</v>
      </c>
      <c r="X341" s="199">
        <f>IF(B339="Лікар загальної практики - сімейний лікар"," ",IF(B339="Лікар-педіатр","х",IF(B339="Лікар-терапевт"," ",0)))</f>
        <v>0</v>
      </c>
      <c r="Y341" s="199">
        <f>IF(B339="Лікар загальної практики - сімейний лікар"," ",IF(B339="Лікар-педіатр","х",IF(B339="Лікар-терапевт"," ",0)))</f>
        <v>0</v>
      </c>
      <c r="Z341" s="200">
        <f>SUM(U341:Y341)</f>
        <v>0</v>
      </c>
      <c r="AA341" s="945"/>
      <c r="AB341" s="199">
        <f>IF(B339="Лікар загальної практики - сімейний лікар"," ",IF(B339="Лікар-педіатр"," ",IF(B339="Лікар-терапевт","х",0)))</f>
        <v>0</v>
      </c>
      <c r="AC341" s="199">
        <f>IF(B339="Лікар загальної практики - сімейний лікар"," ",IF(B339="Лікар-педіатр"," ",IF(B339="Лікар-терапевт","х",0)))</f>
        <v>0</v>
      </c>
      <c r="AD341" s="199">
        <f>IF(B339="Лікар загальної практики - сімейний лікар"," ",IF(B339="Лікар-педіатр","х",IF(B339="Лікар-терапевт"," ",0)))</f>
        <v>0</v>
      </c>
      <c r="AE341" s="199">
        <f>IF(B339="Лікар загальної практики - сімейний лікар"," ",IF(B339="Лікар-педіатр","х",IF(B339="Лікар-терапевт"," ",0)))</f>
        <v>0</v>
      </c>
      <c r="AF341" s="199">
        <f>IF(B339="Лікар загальної практики - сімейний лікар"," ",IF(B339="Лікар-педіатр","х",IF(B339="Лікар-терапевт"," ",0)))</f>
        <v>0</v>
      </c>
      <c r="AG341" s="200">
        <f>SUM(AB341:AF341)</f>
        <v>0</v>
      </c>
      <c r="AH341" s="945"/>
      <c r="AI341" s="242"/>
      <c r="AJ341" s="933"/>
      <c r="AK341" s="927"/>
      <c r="AL341" s="927"/>
      <c r="AM341" s="902"/>
      <c r="AN341" s="924"/>
      <c r="AO341" s="924"/>
      <c r="AP341" s="924"/>
      <c r="AQ341" s="924"/>
      <c r="AR341" s="915"/>
    </row>
    <row r="342" spans="1:44" s="50" customFormat="1" ht="31.9" hidden="1" customHeight="1" thickBot="1">
      <c r="A342" s="197"/>
      <c r="B342" s="941"/>
      <c r="C342" s="1077"/>
      <c r="D342" s="943"/>
      <c r="E342" s="943"/>
      <c r="F342" s="236" t="s">
        <v>349</v>
      </c>
      <c r="G342" s="203">
        <f>IF($B$339="Лікар-педіатр",G341/L341,IF($B$339="Лікар-терапевт","х",IF($B$339="Лікар загальної практики - сімейний лікар",G341/L341,0)))</f>
        <v>0</v>
      </c>
      <c r="H342" s="203">
        <f>IF($B$339="Лікар-педіатр",H341/L341,IF($B$339="Лікар-терапевт","х",IF($B$339="Лікар загальної практики - сімейний лікар",H341/L341,0)))</f>
        <v>0</v>
      </c>
      <c r="I342" s="203">
        <f>IF($B$339="Лікар-педіатр","x",IF($B$339="Лікар-терапевт",I341/L341,IF($B$339="Лікар загальної практики - сімейний лікар",I341/L341,0)))</f>
        <v>0</v>
      </c>
      <c r="J342" s="203">
        <f>IF($B$339="Лікар-педіатр","x",IF($B$339="Лікар-терапевт",J341/L341,IF($B$339="Лікар загальної практики - сімейний лікар",J341/L341,0)))</f>
        <v>0</v>
      </c>
      <c r="K342" s="203">
        <f>IF($B$339="Лікар-педіатр","x",IF($B$339="Лікар-терапевт",K341/L341,IF($B$339="Лікар загальної практики - сімейний лікар",K341/L341,0)))</f>
        <v>0</v>
      </c>
      <c r="L342" s="203">
        <f>SUM(G342:K342)</f>
        <v>0</v>
      </c>
      <c r="M342" s="945"/>
      <c r="N342" s="203">
        <f>IF($B$339="Лікар-педіатр",N341/S341,IF($B$339="Лікар-терапевт","х",IF($B$339="Лікар загальної практики - сімейний лікар",N341/S341,0)))</f>
        <v>0</v>
      </c>
      <c r="O342" s="203">
        <f>IF($B$339="Лікар-педіатр",O341/S341,IF($B$339="Лікар-терапевт","х",IF($B$339="Лікар загальної практики - сімейний лікар",O341/S341,0)))</f>
        <v>0</v>
      </c>
      <c r="P342" s="203">
        <f>IF($B$339="Лікар-педіатр","x",IF($B$339="Лікар-терапевт",P341/S341,IF($B$339="Лікар загальної практики - сімейний лікар",P341/S341,0)))</f>
        <v>0</v>
      </c>
      <c r="Q342" s="203">
        <f>IF($B$339="Лікар-педіатр","x",IF($B$339="Лікар-терапевт",Q341/S341,IF($B$339="Лікар загальної практики - сімейний лікар",Q341/S341,0)))</f>
        <v>0</v>
      </c>
      <c r="R342" s="203">
        <f>IF($B$339="Лікар-педіатр","x",IF($B$339="Лікар-терапевт",R341/S341,IF($B$339="Лікар загальної практики - сімейний лікар",R341/S341,0)))</f>
        <v>0</v>
      </c>
      <c r="S342" s="203">
        <f>SUM(N342:R342)</f>
        <v>0</v>
      </c>
      <c r="T342" s="945"/>
      <c r="U342" s="203">
        <f>IF($B$339="Лікар-педіатр",U341/Z341,IF($B$339="Лікар-терапевт","х",IF($B$339="Лікар загальної практики - сімейний лікар",U341/Z341,0)))</f>
        <v>0</v>
      </c>
      <c r="V342" s="203">
        <f>IF($B$339="Лікар-педіатр",V341/Z341,IF($B$339="Лікар-терапевт","х",IF($B$339="Лікар загальної практики - сімейний лікар",V341/Z341,0)))</f>
        <v>0</v>
      </c>
      <c r="W342" s="203">
        <f>IF($B$339="Лікар-педіатр","x",IF($B$339="Лікар-терапевт",W341/Z341,IF($B$339="Лікар загальної практики - сімейний лікар",W341/Z341,0)))</f>
        <v>0</v>
      </c>
      <c r="X342" s="203">
        <f>IF($B$339="Лікар-педіатр","x",IF($B$339="Лікар-терапевт",X341/Z341,IF($B$339="Лікар загальної практики - сімейний лікар",X341/Z341,0)))</f>
        <v>0</v>
      </c>
      <c r="Y342" s="203">
        <f>IF($B$339="Лікар-педіатр","x",IF($B$339="Лікар-терапевт",Y341/Z341,IF($B$339="Лікар загальної практики - сімейний лікар",Y341/Z341,0)))</f>
        <v>0</v>
      </c>
      <c r="Z342" s="203">
        <f>SUM(U342:Y342)</f>
        <v>0</v>
      </c>
      <c r="AA342" s="945"/>
      <c r="AB342" s="203">
        <f>IF($B$339="Лікар-педіатр",AB341/AG341,IF($B$339="Лікар-терапевт","х",IF($B$339="Лікар загальної практики - сімейний лікар",AB341/AG341,0)))</f>
        <v>0</v>
      </c>
      <c r="AC342" s="203">
        <f>IF($B$339="Лікар-педіатр",AC341/AG341,IF($B$339="Лікар-терапевт","х",IF($B$339="Лікар загальної практики - сімейний лікар",AC341/AG341,0)))</f>
        <v>0</v>
      </c>
      <c r="AD342" s="203">
        <f>IF($B$339="Лікар-педіатр","x",IF($B$339="Лікар-терапевт",AD341/AG341,IF($B$339="Лікар загальної практики - сімейний лікар",AD341/AG341,0)))</f>
        <v>0</v>
      </c>
      <c r="AE342" s="203">
        <f>IF($B$339="Лікар-педіатр","x",IF($B$339="Лікар-терапевт",AE341/AG341,IF($B$339="Лікар загальної практики - сімейний лікар",AE341/AG341,0)))</f>
        <v>0</v>
      </c>
      <c r="AF342" s="203">
        <f>IF($B$339="Лікар-педіатр","x",IF($B$339="Лікар-терапевт",AF341/AG341,IF($B$339="Лікар загальної практики - сімейний лікар",AF341/AG341,0)))</f>
        <v>0</v>
      </c>
      <c r="AG342" s="203">
        <f>SUM(AB342:AF342)</f>
        <v>0</v>
      </c>
      <c r="AH342" s="945"/>
      <c r="AI342" s="201"/>
      <c r="AJ342" s="933"/>
      <c r="AK342" s="927"/>
      <c r="AL342" s="927"/>
      <c r="AM342" s="902"/>
      <c r="AN342" s="924"/>
      <c r="AO342" s="924"/>
      <c r="AP342" s="924"/>
      <c r="AQ342" s="924"/>
      <c r="AR342" s="915"/>
    </row>
    <row r="343" spans="1:44" s="50" customFormat="1" ht="45" hidden="1" customHeight="1" thickBot="1">
      <c r="A343" s="197"/>
      <c r="B343" s="941"/>
      <c r="C343" s="1077"/>
      <c r="D343" s="943"/>
      <c r="E343" s="944"/>
      <c r="F343" s="204" t="s">
        <v>585</v>
      </c>
      <c r="G343" s="205">
        <f>IF($B$339="Лікар загальної практики - сімейний лікар",AVERAGE(G339:G341),IF($B$339="Лікар-педіатр",AVERAGE(G339:G341),IF($B$339="Лікар-терапевт","х",0)))</f>
        <v>0</v>
      </c>
      <c r="H343" s="205">
        <f>IF($B$339="Лікар загальної практики - сімейний лікар",AVERAGE(H339:H341),IF($B$339="Лікар-педіатр",AVERAGE(H339:H341),IF($B$339="Лікар-терапевт","х",0)))</f>
        <v>0</v>
      </c>
      <c r="I343" s="205">
        <f>IF($B$339="Лікар загальної практики - сімейний лікар",AVERAGE(I339:I341),IF($B$339="Лікар-педіатр","x",IF($B$339="Лікар-терапевт",AVERAGE(I339:I341),0)))</f>
        <v>0</v>
      </c>
      <c r="J343" s="205">
        <f>IF($B$339="Лікар загальної практики - сімейний лікар",AVERAGE(J339:J341),IF($B$339="Лікар-педіатр","x",IF($B$339="Лікар-терапевт",AVERAGE(J339:J341),0)))</f>
        <v>0</v>
      </c>
      <c r="K343" s="205">
        <f>IF($B$339="Лікар загальної практики - сімейний лікар",AVERAGE(K339:K341),IF($B$339="Лікар-педіатр","x",IF($B$339="Лікар-терапевт",AVERAGE(K339:K341),0)))</f>
        <v>0</v>
      </c>
      <c r="L343" s="206">
        <f>SUM(G343:K343)</f>
        <v>0</v>
      </c>
      <c r="M343" s="946"/>
      <c r="N343" s="205">
        <f>IF($B$339="Лікар загальної практики - сімейний лікар",AVERAGE(N339:N341),IF($B$339="Лікар-педіатр",AVERAGE(N339:N341),IF($B$339="Лікар-терапевт","х",0)))</f>
        <v>0</v>
      </c>
      <c r="O343" s="205">
        <f>IF($B$339="Лікар загальної практики - сімейний лікар",AVERAGE(O339:O341),IF($B$339="Лікар-педіатр",AVERAGE(O339:O341),IF($B$339="Лікар-терапевт","х",0)))</f>
        <v>0</v>
      </c>
      <c r="P343" s="205">
        <f>IF($B$339="Лікар загальної практики - сімейний лікар",AVERAGE(P339:P341),IF($B$339="Лікар-педіатр","x",IF($B$339="Лікар-терапевт",AVERAGE(P339:P341),0)))</f>
        <v>0</v>
      </c>
      <c r="Q343" s="205">
        <f>IF($B$339="Лікар загальної практики - сімейний лікар",AVERAGE(Q339:Q341),IF($B$339="Лікар-педіатр","x",IF($B$339="Лікар-терапевт",AVERAGE(Q339:Q341),0)))</f>
        <v>0</v>
      </c>
      <c r="R343" s="205">
        <f>IF($B$339="Лікар загальної практики - сімейний лікар",AVERAGE(R339:R341),IF($B$339="Лікар-педіатр","x",IF($B$339="Лікар-терапевт",AVERAGE(R339:R341),0)))</f>
        <v>0</v>
      </c>
      <c r="S343" s="206">
        <f>SUM(N343:R343)</f>
        <v>0</v>
      </c>
      <c r="T343" s="946"/>
      <c r="U343" s="205">
        <f>IF($B$339="Лікар загальної практики - сімейний лікар",AVERAGE(U339:U341),IF($B$339="Лікар-педіатр",AVERAGE(U339:U341),IF($B$339="Лікар-терапевт","х",0)))</f>
        <v>0</v>
      </c>
      <c r="V343" s="205">
        <f>IF($B$339="Лікар загальної практики - сімейний лікар",AVERAGE(V339:V341),IF($B$339="Лікар-педіатр",AVERAGE(V339:V341),IF($B$339="Лікар-терапевт","х",0)))</f>
        <v>0</v>
      </c>
      <c r="W343" s="205">
        <f>IF($B$339="Лікар загальної практики - сімейний лікар",AVERAGE(W339:W341),IF($B$339="Лікар-педіатр","x",IF($B$339="Лікар-терапевт",AVERAGE(W339:W341),0)))</f>
        <v>0</v>
      </c>
      <c r="X343" s="205">
        <f>IF($B$339="Лікар загальної практики - сімейний лікар",AVERAGE(X339:X341),IF($B$339="Лікар-педіатр","x",IF($B$339="Лікар-терапевт",AVERAGE(X339:X341),0)))</f>
        <v>0</v>
      </c>
      <c r="Y343" s="205">
        <f>IF($B$339="Лікар загальної практики - сімейний лікар",AVERAGE(Y339:Y341),IF($B$339="Лікар-педіатр","x",IF($B$339="Лікар-терапевт",AVERAGE(Y339:Y341),0)))</f>
        <v>0</v>
      </c>
      <c r="Z343" s="206">
        <f>SUM(U343:Y343)</f>
        <v>0</v>
      </c>
      <c r="AA343" s="946"/>
      <c r="AB343" s="205">
        <f>IF($B$339="Лікар загальної практики - сімейний лікар",AVERAGE(AB339:AB341),IF($B$339="Лікар-педіатр",AVERAGE(AB339:AB341),IF($B$339="Лікар-терапевт","х",0)))</f>
        <v>0</v>
      </c>
      <c r="AC343" s="205">
        <f>IF($B$339="Лікар загальної практики - сімейний лікар",AVERAGE(AC339:AC341),IF($B$339="Лікар-педіатр",AVERAGE(AC339:AC341),IF($B$339="Лікар-терапевт","х",0)))</f>
        <v>0</v>
      </c>
      <c r="AD343" s="205">
        <f>IF($B$339="Лікар загальної практики - сімейний лікар",AVERAGE(AD339:AD341),IF($B$339="Лікар-педіатр","x",IF($B$339="Лікар-терапевт",AVERAGE(AD339:AD341),0)))</f>
        <v>0</v>
      </c>
      <c r="AE343" s="205">
        <f>IF($B$339="Лікар загальної практики - сімейний лікар",AVERAGE(AE339:AE341),IF($B$339="Лікар-педіатр","x",IF($B$339="Лікар-терапевт",AVERAGE(AE339:AE341),0)))</f>
        <v>0</v>
      </c>
      <c r="AF343" s="205">
        <f>IF($B$339="Лікар загальної практики - сімейний лікар",AVERAGE(AF339:AF341),IF($B$339="Лікар-педіатр","x",IF($B$339="Лікар-терапевт",AVERAGE(AF339:AF341),0)))</f>
        <v>0</v>
      </c>
      <c r="AG343" s="206">
        <f>SUM(AB343:AF343)</f>
        <v>0</v>
      </c>
      <c r="AH343" s="947"/>
      <c r="AI343" s="201"/>
      <c r="AJ343" s="933"/>
      <c r="AK343" s="927"/>
      <c r="AL343" s="927"/>
      <c r="AM343" s="903"/>
      <c r="AN343" s="925"/>
      <c r="AO343" s="925"/>
      <c r="AP343" s="925"/>
      <c r="AQ343" s="925"/>
      <c r="AR343" s="916"/>
    </row>
    <row r="344" spans="1:44" s="50" customFormat="1" ht="40.5" hidden="1">
      <c r="A344" s="197"/>
      <c r="B344" s="941"/>
      <c r="C344" s="1077"/>
      <c r="D344" s="943"/>
      <c r="E344" s="943"/>
      <c r="F344" s="237" t="str">
        <f ca="1">IF(B339="Лікар-педіатр",Законод!$C$17,IF(B339="Лікар загальної практики - сімейний лікар",Законод!$C$21,IF(B339="Лікар-терапевт",Законод!$C$25,"х")))</f>
        <v>х</v>
      </c>
      <c r="G344" s="208">
        <f ca="1">IF($B$339="Лікар загальної практики - сімейний лікар",IF(L343&lt;=Законод!$C$22,G343,Законод!$C$22*'01_Доходи'!G342),IF($B$339="Лікар-педіатр",IF(L343&lt;=Законод!$C$18,G343,Законод!$C$18*'01_Доходи'!G342),IF($B$339="Лікар-терапевт","x",0)))</f>
        <v>0</v>
      </c>
      <c r="H344" s="208">
        <f ca="1">IF($B$339="Лікар загальної практики - сімейний лікар",IF(L343&lt;=Законод!$C$22,H343,Законод!$C$22*'01_Доходи'!H342),IF($B$339="Лікар-педіатр",IF(L343&lt;=Законод!$C$18,H343,Законод!$C$18*'01_Доходи'!H342),IF($B$339="Лікар-терапевт","x",0)))</f>
        <v>0</v>
      </c>
      <c r="I344" s="208">
        <f ca="1">IF($B$339="Лікар загальної практики - сімейний лікар",IF(L343&lt;=Законод!$C$22,I343,Законод!$C$22*'01_Доходи'!I342),IF($B$339="Лікар-педіатр","x",IF($B$339="Лікар-терапевт",IF(L343&lt;=Законод!$C$26,I343,Законод!$C$26*'01_Доходи'!I342),0)))</f>
        <v>0</v>
      </c>
      <c r="J344" s="208">
        <f ca="1">IF($B$339="Лікар загальної практики - сімейний лікар",IF(L343&lt;=Законод!$C$22,J343,Законод!$C$22*'01_Доходи'!J342),IF($B$339="Лікар-педіатр","x",IF($B$339="Лікар-терапевт",IF(L343&lt;=Законод!$C$26,J343,Законод!$C$26*'01_Доходи'!J342),0)))</f>
        <v>0</v>
      </c>
      <c r="K344" s="208">
        <f ca="1">IF($B$339="Лікар загальної практики - сімейний лікар",IF(L343&lt;=Законод!$C$22,K343,Законод!$C$22*'01_Доходи'!K342),IF($B$339="Лікар-педіатр","x",IF($B$339="Лікар-терапевт",IF(L343&lt;=Законод!$C$26,K343,Законод!$C$26*'01_Доходи'!K342),0)))</f>
        <v>0</v>
      </c>
      <c r="L344" s="209">
        <f ca="1">SUM(G344:K344)</f>
        <v>0</v>
      </c>
      <c r="M344" s="945"/>
      <c r="N344" s="208">
        <f ca="1">IF($B$339="Лікар загальної практики - сімейний лікар",IF(S343&lt;=Законод!$C$22,N343,Законод!$C$22*'01_Доходи'!N342),IF($B$339="Лікар-педіатр",IF(S343&lt;=Законод!$C$18,N343,Законод!$C$18*'01_Доходи'!N342),IF($B$339="Лікар-терапевт","x",0)))</f>
        <v>0</v>
      </c>
      <c r="O344" s="208">
        <f ca="1">IF($B$339="Лікар загальної практики - сімейний лікар",IF(S343&lt;=Законод!$C$22,O343,Законод!$C$22*'01_Доходи'!O342),IF($B$339="Лікар-педіатр",IF(S343&lt;=Законод!$C$18,O343,Законод!$C$18*'01_Доходи'!O342),IF($B$339="Лікар-терапевт","x",0)))</f>
        <v>0</v>
      </c>
      <c r="P344" s="208">
        <f ca="1">IF($B$339="Лікар загальної практики - сімейний лікар",IF(S343&lt;=Законод!$C$22,P343,Законод!$C$22*'01_Доходи'!P342),IF($B$339="Лікар-педіатр","x",IF($B$339="Лікар-терапевт",IF(S343&lt;=Законод!$C$26,P343,Законод!$C$26*'01_Доходи'!P342),0)))</f>
        <v>0</v>
      </c>
      <c r="Q344" s="208">
        <f ca="1">IF($B$339="Лікар загальної практики - сімейний лікар",IF(S343&lt;=Законод!$C$22,Q343,Законод!$C$22*'01_Доходи'!Q342),IF($B$339="Лікар-педіатр","x",IF($B$339="Лікар-терапевт",IF(S343&lt;=Законод!$C$26,Q343,Законод!$C$26*'01_Доходи'!Q342),0)))</f>
        <v>0</v>
      </c>
      <c r="R344" s="208">
        <f ca="1">IF($B$339="Лікар загальної практики - сімейний лікар",IF(S343&lt;=Законод!$C$22,R343,Законод!$C$22*'01_Доходи'!R342),IF($B$339="Лікар-педіатр","x",IF($B$339="Лікар-терапевт",IF(S343&lt;=Законод!$C$26,R343,Законод!$C$26*'01_Доходи'!R342),0)))</f>
        <v>0</v>
      </c>
      <c r="S344" s="209">
        <f ca="1">SUM(N344:R344)</f>
        <v>0</v>
      </c>
      <c r="T344" s="945"/>
      <c r="U344" s="208">
        <f ca="1">IF($B$339="Лікар загальної практики - сімейний лікар",IF(Z343&lt;=Законод!$C$22,U343,Законод!$C$22*'01_Доходи'!U342),IF($B$339="Лікар-педіатр",IF(Z343&lt;=Законод!$C$18,U343,Законод!$C$18*'01_Доходи'!U342),IF($B$339="Лікар-терапевт","x",0)))</f>
        <v>0</v>
      </c>
      <c r="V344" s="208">
        <f ca="1">IF($B$339="Лікар загальної практики - сімейний лікар",IF(Z343&lt;=Законод!$C$22,V343,Законод!$C$22*'01_Доходи'!V342),IF($B$339="Лікар-педіатр",IF(Z343&lt;=Законод!$C$18,V343,Законод!$C$18*'01_Доходи'!V342),IF($B$339="Лікар-терапевт","x",0)))</f>
        <v>0</v>
      </c>
      <c r="W344" s="208">
        <f ca="1">IF($B$339="Лікар загальної практики - сімейний лікар",IF(Z343&lt;=Законод!$C$22,W343,Законод!$C$22*'01_Доходи'!W342),IF($B$339="Лікар-педіатр","x",IF($B$339="Лікар-терапевт",IF(Z343&lt;=Законод!$C$26,W343,Законод!$C$26*'01_Доходи'!W342),0)))</f>
        <v>0</v>
      </c>
      <c r="X344" s="208">
        <f ca="1">IF($B$339="Лікар загальної практики - сімейний лікар",IF(Z343&lt;=Законод!$C$22,X343,Законод!$C$22*'01_Доходи'!X342),IF($B$339="Лікар-педіатр","x",IF($B$339="Лікар-терапевт",IF(Z343&lt;=Законод!$C$26,X343,Законод!$C$26*'01_Доходи'!X342),0)))</f>
        <v>0</v>
      </c>
      <c r="Y344" s="208">
        <f ca="1">IF($B$339="Лікар загальної практики - сімейний лікар",IF(Z343&lt;=Законод!$C$22,Y343,Законод!$C$22*'01_Доходи'!Y342),IF($B$339="Лікар-педіатр","x",IF($B$339="Лікар-терапевт",IF(Z343&lt;=Законод!$C$26,Y343,Законод!$C$26*'01_Доходи'!Y342),0)))</f>
        <v>0</v>
      </c>
      <c r="Z344" s="209">
        <f ca="1">SUM(U344:Y344)</f>
        <v>0</v>
      </c>
      <c r="AA344" s="945"/>
      <c r="AB344" s="208">
        <f ca="1">IF($B$339="Лікар загальної практики - сімейний лікар",IF(AG343&lt;=Законод!$C$22,AB343,Законод!$C$22*'01_Доходи'!AB342),IF($B$339="Лікар-педіатр",IF(AG343&lt;=Законод!$C$18,AB343,Законод!$C$18*'01_Доходи'!AB342),IF($B$339="Лікар-терапевт","x",0)))</f>
        <v>0</v>
      </c>
      <c r="AC344" s="208">
        <f ca="1">IF($B$339="Лікар загальної практики - сімейний лікар",IF(AG343&lt;=Законод!$C$22,AC343,Законод!$C$22*'01_Доходи'!AC342),IF($B$339="Лікар-педіатр",IF(AG343&lt;=Законод!$C$18,AC343,Законод!$C$18*'01_Доходи'!AC342),IF($B$339="Лікар-терапевт","x",0)))</f>
        <v>0</v>
      </c>
      <c r="AD344" s="208">
        <f ca="1">IF($B$339="Лікар загальної практики - сімейний лікар",IF(AG343&lt;=Законод!$C$22,AD343,Законод!$C$22*'01_Доходи'!AD342),IF($B$339="Лікар-педіатр","x",IF($B$339="Лікар-терапевт",IF(AG343&lt;=Законод!$C$26,AD343,Законод!$C$26*'01_Доходи'!AD342),0)))</f>
        <v>0</v>
      </c>
      <c r="AE344" s="208">
        <f ca="1">IF($B$339="Лікар загальної практики - сімейний лікар",IF(AG343&lt;=Законод!$C$22,AE343,Законод!$C$22*'01_Доходи'!AE342),IF($B$339="Лікар-педіатр","x",IF($B$339="Лікар-терапевт",IF(AG343&lt;=Законод!$C$26,AE343,Законод!$C$26*'01_Доходи'!AE342),0)))</f>
        <v>0</v>
      </c>
      <c r="AF344" s="208">
        <f ca="1">IF($B$339="Лікар загальної практики - сімейний лікар",IF(AG343&lt;=Законод!$C$22,AF343,Законод!$C$22*'01_Доходи'!AF342),IF($B$339="Лікар-педіатр","x",IF($B$339="Лікар-терапевт",IF(AG343&lt;=Законод!$C$26,AF343,Законод!$C$26*'01_Доходи'!AF342),0)))</f>
        <v>0</v>
      </c>
      <c r="AG344" s="209">
        <f ca="1">SUM(AB344:AF344)</f>
        <v>0</v>
      </c>
      <c r="AH344" s="945"/>
      <c r="AI344" s="201"/>
      <c r="AJ344" s="933"/>
      <c r="AK344" s="927"/>
      <c r="AL344" s="927"/>
      <c r="AM344" s="348" t="s">
        <v>374</v>
      </c>
      <c r="AN344" s="210">
        <f ca="1">IF(B339="Лікар загальної практики - сімейний лікар",G344*Законод!$C$11+'01_Доходи'!H344*Законод!$D$11+'01_Доходи'!I344*Законод!$E$11+'01_Доходи'!J344*Законод!$F$11+'01_Доходи'!K344*Законод!$G$11,IF(B339="Лікар-педіатр",G344*Законод!$C$11+'01_Доходи'!H344*Законод!$D$11,IF(B339="Лікар-терапевт",'01_Доходи'!I344*Законод!$E$11+'01_Доходи'!J344*Законод!$F$11+'01_Доходи'!K344*Законод!$G$11,0)))</f>
        <v>0</v>
      </c>
      <c r="AO344" s="210">
        <f ca="1">IF(B339="Лікар загальної практики - сімейний лікар",N344*Законод!$C$11+'01_Доходи'!O344*Законод!$D$11+'01_Доходи'!P344*Законод!$E$11+'01_Доходи'!Q344*Законод!$F$11+'01_Доходи'!R344*Законод!$G$11,IF(B339="Лікар-педіатр",N344*Законод!$C$11+'01_Доходи'!O344*Законод!$D$11,IF(B339="Лікар-терапевт",'01_Доходи'!P344*Законод!$E$11+'01_Доходи'!Q344*Законод!$F$11+'01_Доходи'!R344*Законод!$G$11,0)))</f>
        <v>0</v>
      </c>
      <c r="AP344" s="210">
        <f ca="1">IF(B339="Лікар загальної практики - сімейний лікар",U344*Законод!$C$11+'01_Доходи'!V344*Законод!$D$11+'01_Доходи'!W344*Законод!$E$11+'01_Доходи'!X344*Законод!$F$11+'01_Доходи'!Y344*Законод!$G$11,IF(B339="Лікар-педіатр",U344*Законод!$C$11+'01_Доходи'!V344*Законод!$D$11,IF(B339="Лікар-терапевт",'01_Доходи'!W344*Законод!$E$11+'01_Доходи'!X344*Законод!$F$11+'01_Доходи'!Y344*Законод!$G$11,0)))</f>
        <v>0</v>
      </c>
      <c r="AQ344" s="210">
        <f ca="1">IF(B339="Лікар загальної практики - сімейний лікар",AB344*Законод!$C$11+'01_Доходи'!AC344*Законод!$D$11+'01_Доходи'!AD344*Законод!$E$11+'01_Доходи'!AE344*Законод!$F$11+'01_Доходи'!AF344*Законод!$G$11,IF(B339="Лікар-педіатр",AB344*Законод!$C$11+'01_Доходи'!AC344*Законод!$D$11,IF(B339="Лікар-терапевт",'01_Доходи'!AD344*Законод!$E$11+'01_Доходи'!AE344*Законод!$F$11+'01_Доходи'!AF344*Законод!$G$11,0)))</f>
        <v>0</v>
      </c>
      <c r="AR344" s="211">
        <f t="shared" ref="AR344:AR350" si="53">SUM(AN344:AQ344)</f>
        <v>0</v>
      </c>
    </row>
    <row r="345" spans="1:44" s="50" customFormat="1" ht="31.9" hidden="1" customHeight="1">
      <c r="A345" s="197"/>
      <c r="B345" s="941"/>
      <c r="C345" s="1077"/>
      <c r="D345" s="943"/>
      <c r="E345" s="943"/>
      <c r="F345" s="238" t="str">
        <f ca="1">IF(B339="Лікар-педіатр",Законод!$E$17,IF(B339="Лікар загальної практики - сімейний лікар",Законод!$E$21,IF(B339="Лікар-терапевт",Законод!$E$25,"х")))</f>
        <v>х</v>
      </c>
      <c r="G345" s="940" t="s">
        <v>346</v>
      </c>
      <c r="H345" s="940"/>
      <c r="I345" s="940"/>
      <c r="J345" s="940"/>
      <c r="K345" s="940"/>
      <c r="L345" s="196">
        <f ca="1">IF($B$339="Лікар загальної практики - сімейний лікар",IF(L343&lt;Законод!$C$22,0,(IF(AND(L343&gt;=Законод!$E$22,L343&lt;=Законод!$E$23),L343-Законод!$C$22,IF('01_Доходи'!L343&gt;=Законод!$F$22,Законод!$E$24,0)))),IF($B$339="Лікар-педіатр",IF(L343&lt;Законод!$C$18,0,(IF(AND(L343&gt;=Законод!$E$18,L343&lt;=Законод!$E$19),L343-Законод!$C$18,IF('01_Доходи'!L343&gt;=Законод!$F$18,Законод!$E$20,0)))),IF($B$339="Лікар-терапевт",IF(L343&lt;Законод!$C$26,0,(IF(AND(L343&gt;=Законод!$E$26,L343&lt;=Законод!$E$27),L343-Законод!$C$26,IF('01_Доходи'!L343&gt;=Законод!$F$26,Законод!$E$28,0)))),0)))</f>
        <v>0</v>
      </c>
      <c r="M345" s="945"/>
      <c r="N345" s="940" t="s">
        <v>346</v>
      </c>
      <c r="O345" s="940"/>
      <c r="P345" s="940"/>
      <c r="Q345" s="940"/>
      <c r="R345" s="940"/>
      <c r="S345" s="196">
        <f ca="1">IF($B$339="Лікар загальної практики - сімейний лікар",IF(S343&lt;Законод!$C$22,0,(IF(AND(S343&gt;=Законод!$E$22,S343&lt;=Законод!$E$23),S343-Законод!$C$22,IF('01_Доходи'!S343&gt;=Законод!$F$22,Законод!$E$24,0)))),IF($B$339="Лікар-педіатр",IF(S343&lt;Законод!$C$18,0,(IF(AND(S343&gt;=Законод!$E$18,S343&lt;=Законод!$E$19),S343-Законод!$C$18,IF('01_Доходи'!S343&gt;=Законод!$F$18,Законод!$E$20,0)))),IF($B$339="Лікар-терапевт",IF(S343&lt;Законод!$C$26,0,(IF(AND(S343&gt;=Законод!$E$26,S343&lt;=Законод!$E$27),S343-Законод!$C$26,IF('01_Доходи'!S343&gt;=Законод!$F$26,Законод!$E$28,0)))),0)))</f>
        <v>0</v>
      </c>
      <c r="T345" s="945"/>
      <c r="U345" s="940" t="s">
        <v>346</v>
      </c>
      <c r="V345" s="940"/>
      <c r="W345" s="940"/>
      <c r="X345" s="940"/>
      <c r="Y345" s="940"/>
      <c r="Z345" s="196">
        <f ca="1">IF($B$339="Лікар загальної практики - сімейний лікар",IF(Z343&lt;Законод!$C$22,0,(IF(AND(Z343&gt;=Законод!$E$22,Z343&lt;=Законод!$E$23),Z343-Законод!$C$22,IF('01_Доходи'!Z343&gt;=Законод!$F$22,Законод!$E$24,0)))),IF($B$339="Лікар-педіатр",IF(Z343&lt;Законод!$C$18,0,(IF(AND(Z343&gt;=Законод!$E$18,Z343&lt;=Законод!$E$19),Z343-Законод!$C$18,IF('01_Доходи'!Z343&gt;=Законод!$F$18,Законод!$E$20,0)))),IF($B$339="Лікар-терапевт",IF(Z343&lt;Законод!$C$26,0,(IF(AND(Z343&gt;=Законод!$E$26,Z343&lt;=Законод!$E$27),Z343-Законод!$C$26,IF('01_Доходи'!Z343&gt;=Законод!$F$26,Законод!$E$28,0)))),0)))</f>
        <v>0</v>
      </c>
      <c r="AA345" s="945"/>
      <c r="AB345" s="940" t="s">
        <v>346</v>
      </c>
      <c r="AC345" s="940"/>
      <c r="AD345" s="940"/>
      <c r="AE345" s="940"/>
      <c r="AF345" s="940"/>
      <c r="AG345" s="196">
        <f ca="1">IF($B$339="Лікар загальної практики - сімейний лікар",IF(AG343&lt;Законод!$C$22,0,(IF(AND(AG343&gt;=Законод!$E$22,AG343&lt;=Законод!$E$23),AG343-Законод!$C$22,IF('01_Доходи'!AG343&gt;=Законод!$F$22,Законод!$E$24,0)))),IF($B$339="Лікар-педіатр",IF(AG343&lt;Законод!$C$18,0,(IF(AND(AG343&gt;=Законод!$E$18,AG343&lt;=Законод!$E$19),AG343-Законод!$C$18,IF('01_Доходи'!AG343&gt;=Законод!$F$18,Законод!$E$20,0)))),IF($B$339="Лікар-терапевт",IF(AG343&lt;Законод!$C$26,0,(IF(AND(AG343&gt;=Законод!$E$26,AG343&lt;=Законод!$E$27),AG343-Законод!$C$26,IF('01_Доходи'!AG343&gt;=Законод!$F$26,Законод!$E$28,0)))),0)))</f>
        <v>0</v>
      </c>
      <c r="AH345" s="945"/>
      <c r="AI345" s="201"/>
      <c r="AJ345" s="933"/>
      <c r="AK345" s="927"/>
      <c r="AL345" s="927"/>
      <c r="AM345" s="898" t="s">
        <v>375</v>
      </c>
      <c r="AN345" s="210">
        <f ca="1">IF(B339="Лікар загальної практики - сімейний лікар",L345*Законод!$C$9/4*Законод!$E$16,IF(B339="Лікар-педіатр",L345*Законод!$C$9/4*Законод!$E$16,IF(B339="Лікар-терапевт",L345*Законод!$C$9/4*Законод!$E$16,0)))</f>
        <v>0</v>
      </c>
      <c r="AO345" s="210">
        <f ca="1">IF(B339="Лікар загальної практики - сімейний лікар",S345*Законод!$C$9/4*Законод!$E$16,IF(B339="Лікар-педіатр",S345*Законод!$C$9/4*Законод!$E$16,IF(B339="Лікар-терапевт",S345*Законод!$C$9/4*Законод!$E$16,0)))</f>
        <v>0</v>
      </c>
      <c r="AP345" s="210">
        <f ca="1">IF(B339="Лікар загальної практики - сімейний лікар",Z345*Законод!$C$9/4*Законод!$E$16,IF(B339="Лікар-педіатр",Z345*Законод!$C$9/4*Законод!$E$16,IF(B339="Лікар-терапевт",Z345*Законод!$C$9/4*Законод!$E$16,0)))</f>
        <v>0</v>
      </c>
      <c r="AQ345" s="210">
        <f ca="1">IF(B339="Лікар загальної практики - сімейний лікар",AG345*Законод!$C$9/4*Законод!$E$16,IF(B339="Лікар-педіатр",AG345*Законод!$C$9/4*Законод!$E$16,IF(B339="Лікар-терапевт",AG345*Законод!$C$9/4*Законод!$E$16,0)))</f>
        <v>0</v>
      </c>
      <c r="AR345" s="211">
        <f t="shared" si="53"/>
        <v>0</v>
      </c>
    </row>
    <row r="346" spans="1:44" s="50" customFormat="1" ht="31.9" hidden="1" customHeight="1">
      <c r="A346" s="197"/>
      <c r="B346" s="941"/>
      <c r="C346" s="1077"/>
      <c r="D346" s="943"/>
      <c r="E346" s="943"/>
      <c r="F346" s="238" t="str">
        <f ca="1">IF(B339="Лікар-педіатр",Законод!$F$17,IF(B339="Лікар загальної практики - сімейний лікар",Законод!$F$21,IF(B339="Лікар-терапевт",Законод!$F$25,"х")))</f>
        <v>х</v>
      </c>
      <c r="G346" s="940" t="s">
        <v>346</v>
      </c>
      <c r="H346" s="940"/>
      <c r="I346" s="940"/>
      <c r="J346" s="940"/>
      <c r="K346" s="940"/>
      <c r="L346" s="196">
        <f ca="1">IF($B$339="Лікар загальної практики - сімейний лікар",IF(L343&lt;Законод!$C$22,0,(IF(AND(L343&gt;=Законод!$F$22,L343&lt;=Законод!$F$23),L343-Законод!$E$23,IF('01_Доходи'!L343&gt;=Законод!$G$22,Законод!$F$24,0)))),IF($B$339="Лікар-педіатр",IF(L343&lt;Законод!$C$18,0,(IF(AND(L343&gt;=Законод!$F$18,L343&lt;=Законод!$F$19),L343-Законод!$E$19,IF('01_Доходи'!L343&gt;=Законод!$G$18,Законод!$F$20,0)))),IF($B$339="Лікар-терапевт",IF(L343&lt;Законод!$C$26,0,(IF(AND(L343&gt;=Законод!$F$26,L343&lt;=Законод!$F$27),L343-Законод!$E$27,IF('01_Доходи'!L343&gt;=Законод!$G$26,Законод!$F$28,0)))),0)))</f>
        <v>0</v>
      </c>
      <c r="M346" s="945"/>
      <c r="N346" s="940" t="s">
        <v>346</v>
      </c>
      <c r="O346" s="940"/>
      <c r="P346" s="940"/>
      <c r="Q346" s="940"/>
      <c r="R346" s="940"/>
      <c r="S346" s="196">
        <f ca="1">IF($B$339="Лікар загальної практики - сімейний лікар",IF(S343&lt;Законод!$C$22,0,(IF(AND(S343&gt;=Законод!$F$22,S343&lt;=Законод!$F$23),S343-Законод!$E$23,IF('01_Доходи'!S343&gt;=Законод!$G$22,Законод!$F$24,0)))),IF($B$339="Лікар-педіатр",IF(S343&lt;Законод!$C$18,0,(IF(AND(S343&gt;=Законод!$F$18,S343&lt;=Законод!$F$19),S343-Законод!$E$19,IF('01_Доходи'!S343&gt;=Законод!$G$18,Законод!$F$20,0)))),IF($B$339="Лікар-терапевт",IF(S343&lt;Законод!$C$26,0,(IF(AND(S343&gt;=Законод!$F$26,S343&lt;=Законод!$F$27),S343-Законод!$E$27,IF('01_Доходи'!S343&gt;=Законод!$G$26,Законод!$F$28,0)))),0)))</f>
        <v>0</v>
      </c>
      <c r="T346" s="945"/>
      <c r="U346" s="940" t="s">
        <v>346</v>
      </c>
      <c r="V346" s="940"/>
      <c r="W346" s="940"/>
      <c r="X346" s="940"/>
      <c r="Y346" s="940"/>
      <c r="Z346" s="196">
        <f ca="1">IF($B$339="Лікар загальної практики - сімейний лікар",IF(Z343&lt;Законод!$C$22,0,(IF(AND(Z343&gt;=Законод!$F$22,Z343&lt;=Законод!$F$23),Z343-Законод!$E$23,IF('01_Доходи'!Z343&gt;=Законод!$G$22,Законод!$F$24,0)))),IF($B$339="Лікар-педіатр",IF(Z343&lt;Законод!$C$18,0,(IF(AND(Z343&gt;=Законод!$F$18,Z343&lt;=Законод!$F$19),Z343-Законод!$E$19,IF('01_Доходи'!Z343&gt;=Законод!$G$18,Законод!$F$20,0)))),IF($B$339="Лікар-терапевт",IF(Z343&lt;Законод!$C$26,0,(IF(AND(Z343&gt;=Законод!$F$26,Z343&lt;=Законод!$F$27),Z343-Законод!$E$27,IF('01_Доходи'!Z343&gt;=Законод!$G$26,Законод!$F$28,0)))),0)))</f>
        <v>0</v>
      </c>
      <c r="AA346" s="945"/>
      <c r="AB346" s="940" t="s">
        <v>346</v>
      </c>
      <c r="AC346" s="940"/>
      <c r="AD346" s="940"/>
      <c r="AE346" s="940"/>
      <c r="AF346" s="940"/>
      <c r="AG346" s="196">
        <f ca="1">IF($B$339="Лікар загальної практики - сімейний лікар",IF(AG343&lt;Законод!$C$22,0,(IF(AND(AG343&gt;=Законод!$F$22,AG343&lt;=Законод!$F$23),AG343-Законод!$E$23,IF('01_Доходи'!AG343&gt;=Законод!$G$22,Законод!$F$24,0)))),IF($B$339="Лікар-педіатр",IF(AG343&lt;Законод!$C$18,0,(IF(AND(AG343&gt;=Законод!$F$18,AG343&lt;=Законод!$F$19),AG343-Законод!$E$19,IF('01_Доходи'!AG343&gt;=Законод!$G$18,Законод!$F$20,0)))),IF($B$339="Лікар-терапевт",IF(AG343&lt;Законод!$C$26,0,(IF(AND(AG343&gt;=Законод!$F$26,AG343&lt;=Законод!$F$27),AG343-Законод!$E$27,IF('01_Доходи'!AG343&gt;=Законод!$G$26,Законод!$F$28,0)))),0)))</f>
        <v>0</v>
      </c>
      <c r="AH346" s="945"/>
      <c r="AI346" s="201"/>
      <c r="AJ346" s="933"/>
      <c r="AK346" s="927"/>
      <c r="AL346" s="927"/>
      <c r="AM346" s="899"/>
      <c r="AN346" s="210">
        <f ca="1">IF(B339="Лікар загальної практики - сімейний лікар",L346*Законод!$C$9/4*Законод!$F$16,IF(B339="Лікар-педіатр",L346*Законод!$C$9/4*Законод!$F$16,IF(B339="Лікар-терапевт",L346*Законод!$C$9/4*Законод!$F$16,0)))</f>
        <v>0</v>
      </c>
      <c r="AO346" s="210">
        <f ca="1">IF(B339="Лікар загальної практики - сімейний лікар",S346*Законод!$C$9/4*Законод!$F$16,IF(B339="Лікар-педіатр",S346*Законод!$C$9/4*Законод!$F$16,IF(B339="Лікар-терапевт",S346*Законод!$C$9/4*Законод!$F$16,0)))</f>
        <v>0</v>
      </c>
      <c r="AP346" s="210">
        <f ca="1">IF(B339="Лікар загальної практики - сімейний лікар",Z346*Законод!$C$9/4*Законод!$F$16,IF(B339="Лікар-педіатр",Z346*Законод!$C$9/4*Законод!$F$16,IF(B339="Лікар-терапевт",Z346*Законод!$C$9/4*Законод!$F$16,0)))</f>
        <v>0</v>
      </c>
      <c r="AQ346" s="210">
        <f ca="1">IF(B339="Лікар загальної практики - сімейний лікар",AG346*Законод!$C$9/4*Законод!$F$16,IF(B339="Лікар-педіатр",AG346*Законод!$C$9/4*Законод!$F$16,IF(B339="Лікар-терапевт",AG346*Законод!$C$9/4*Законод!$F$16,0)))</f>
        <v>0</v>
      </c>
      <c r="AR346" s="211">
        <f t="shared" si="53"/>
        <v>0</v>
      </c>
    </row>
    <row r="347" spans="1:44" s="50" customFormat="1" ht="31.9" hidden="1" customHeight="1">
      <c r="A347" s="197"/>
      <c r="B347" s="941"/>
      <c r="C347" s="1077"/>
      <c r="D347" s="943"/>
      <c r="E347" s="943"/>
      <c r="F347" s="238" t="str">
        <f ca="1">IF(B339="Лікар-педіатр",Законод!$G$17,IF(B339="Лікар загальної практики - сімейний лікар",Законод!$G$21,IF(B339="Лікар-терапевт",Законод!$G$25,"х")))</f>
        <v>х</v>
      </c>
      <c r="G347" s="940" t="s">
        <v>346</v>
      </c>
      <c r="H347" s="940"/>
      <c r="I347" s="940"/>
      <c r="J347" s="940"/>
      <c r="K347" s="940"/>
      <c r="L347" s="196">
        <f ca="1">IF($B$339="Лікар загальної практики - сімейний лікар",IF(L343&lt;Законод!$C$22,0,(IF(AND(L343&gt;=Законод!$G$22,L343&lt;=Законод!$G$23),L343-Законод!$F$23,IF('01_Доходи'!L343&gt;=Законод!$H$22,Законод!$G$24,0)))),IF($B$339="Лікар-педіатр",IF(L343&lt;Законод!$C$18,0,(IF(AND(L343&gt;=Законод!$G$18,L343&lt;=Законод!$G$19),L343-Законод!$F$19,IF('01_Доходи'!L343&gt;=Законод!$H$18,Законод!$G$20,0)))),IF($B$339="Лікар-терапевт",IF(L343&lt;Законод!$C$26,0,(IF(AND(L343&gt;=Законод!$G$26,L343&lt;=Законод!$G$27),L343-Законод!$F$27,IF('01_Доходи'!L343&gt;=Законод!$H$26,Законод!$G$28,0)))),0)))</f>
        <v>0</v>
      </c>
      <c r="M347" s="945"/>
      <c r="N347" s="940" t="s">
        <v>346</v>
      </c>
      <c r="O347" s="940"/>
      <c r="P347" s="940"/>
      <c r="Q347" s="940"/>
      <c r="R347" s="940"/>
      <c r="S347" s="196">
        <f ca="1">IF($B$339="Лікар загальної практики - сімейний лікар",IF(S343&lt;Законод!$C$22,0,(IF(AND(S343&gt;=Законод!$G$22,S343&lt;=Законод!$G$23),S343-Законод!$F$23,IF('01_Доходи'!S343&gt;=Законод!$H$22,Законод!$G$24,0)))),IF($B$339="Лікар-педіатр",IF(S343&lt;Законод!$C$18,0,(IF(AND(S343&gt;=Законод!$G$18,S343&lt;=Законод!$G$19),S343-Законод!$F$19,IF('01_Доходи'!S343&gt;=Законод!$H$18,Законод!$G$20,0)))),IF($B$339="Лікар-терапевт",IF(S343&lt;Законод!$C$26,0,(IF(AND(S343&gt;=Законод!$G$26,S343&lt;=Законод!$G$27),S343-Законод!$F$27,IF('01_Доходи'!S343&gt;=Законод!$H$26,Законод!$G$28,0)))),0)))</f>
        <v>0</v>
      </c>
      <c r="T347" s="945"/>
      <c r="U347" s="940" t="s">
        <v>346</v>
      </c>
      <c r="V347" s="940"/>
      <c r="W347" s="940"/>
      <c r="X347" s="940"/>
      <c r="Y347" s="940"/>
      <c r="Z347" s="196">
        <f ca="1">IF($B$339="Лікар загальної практики - сімейний лікар",IF(Z343&lt;Законод!$C$22,0,(IF(AND(Z343&gt;=Законод!$G$22,Z343&lt;=Законод!$G$23),Z343-Законод!$F$23,IF('01_Доходи'!Z343&gt;=Законод!$H$22,Законод!$G$24,0)))),IF($B$339="Лікар-педіатр",IF(Z343&lt;Законод!$C$18,0,(IF(AND(Z343&gt;=Законод!$G$18,Z343&lt;=Законод!$G$19),Z343-Законод!$F$19,IF('01_Доходи'!Z343&gt;=Законод!$H$18,Законод!$G$20,0)))),IF($B$339="Лікар-терапевт",IF(Z343&lt;Законод!$C$26,0,(IF(AND(Z343&gt;=Законод!$G$26,Z343&lt;=Законод!$G$27),Z343-Законод!$F$27,IF('01_Доходи'!Z343&gt;=Законод!$H$26,Законод!$G$28,0)))),0)))</f>
        <v>0</v>
      </c>
      <c r="AA347" s="945"/>
      <c r="AB347" s="940" t="s">
        <v>346</v>
      </c>
      <c r="AC347" s="940"/>
      <c r="AD347" s="940"/>
      <c r="AE347" s="940"/>
      <c r="AF347" s="940"/>
      <c r="AG347" s="196">
        <f ca="1">IF($B$339="Лікар загальної практики - сімейний лікар",IF(AG343&lt;Законод!$C$22,0,(IF(AND(AG343&gt;=Законод!$G$22,AG343&lt;=Законод!$G$23),AG343-Законод!$F$23,IF('01_Доходи'!AG343&gt;=Законод!$H$22,Законод!$G$24,0)))),IF($B$339="Лікар-педіатр",IF(AG343&lt;Законод!$C$18,0,(IF(AND(AG343&gt;=Законод!$G$18,AG343&lt;=Законод!$G$19),AG343-Законод!$F$19,IF('01_Доходи'!AG343&gt;=Законод!$H$18,Законод!$G$20,0)))),IF($B$339="Лікар-терапевт",IF(AG343&lt;Законод!$C$26,0,(IF(AND(AG343&gt;=Законод!$G$26,AG343&lt;=Законод!$G$27),AG343-Законод!$F$27,IF('01_Доходи'!AG343&gt;=Законод!$H$26,Законод!$G$28,0)))),0)))</f>
        <v>0</v>
      </c>
      <c r="AH347" s="945"/>
      <c r="AI347" s="201"/>
      <c r="AJ347" s="933"/>
      <c r="AK347" s="927"/>
      <c r="AL347" s="927"/>
      <c r="AM347" s="899"/>
      <c r="AN347" s="210">
        <f ca="1">IF(B339="Лікар загальної практики - сімейний лікар",L347*Законод!$C$9/4*Законод!$G$16,IF(B339="Лікар-педіатр",L347*Законод!$C$9/4*Законод!$G$16,IF(B339="Лікар-терапевт",L347*Законод!$C$9/4*Законод!$G$16,0)))</f>
        <v>0</v>
      </c>
      <c r="AO347" s="210">
        <f ca="1">IF(B339="Лікар загальної практики - сімейний лікар",S347*Законод!$C$9/4*Законод!$G$16,IF(B339="Лікар-педіатр",S347*Законод!$C$9/4*Законод!$G$16,IF(B339="Лікар-терапевт",S347*Законод!$C$9/4*Законод!$G$16,0)))</f>
        <v>0</v>
      </c>
      <c r="AP347" s="210">
        <f ca="1">IF(B339="Лікар загальної практики - сімейний лікар",Z347*Законод!$C$9/4*Законод!$G$16,IF(B339="Лікар-педіатр",Z347*Законод!$C$9/4*Законод!$G$16,IF(B339="Лікар-терапевт",Z347*Законод!$C$9/4*Законод!$G$16,0)))</f>
        <v>0</v>
      </c>
      <c r="AQ347" s="210">
        <f ca="1">IF(B339="Лікар загальної практики - сімейний лікар",AG347*Законод!$C$9/4*Законод!$G$16,IF(B339="Лікар-педіатр",AG347*Законод!$C$9/4*Законод!$G$16,IF(B339="Лікар-терапевт",AG347*Законод!$C$9/4*Законод!$G$16,0)))</f>
        <v>0</v>
      </c>
      <c r="AR347" s="211">
        <f t="shared" si="53"/>
        <v>0</v>
      </c>
    </row>
    <row r="348" spans="1:44" s="50" customFormat="1" ht="31.9" hidden="1" customHeight="1">
      <c r="A348" s="197"/>
      <c r="B348" s="941"/>
      <c r="C348" s="1077"/>
      <c r="D348" s="943"/>
      <c r="E348" s="943"/>
      <c r="F348" s="238" t="str">
        <f ca="1">IF(B339="Лікар-педіатр",Законод!$H$17,IF(B339="Лікар загальної практики - сімейний лікар",Законод!$H$21,IF(B339="Лікар-терапевт",Законод!$H$25,"х")))</f>
        <v>х</v>
      </c>
      <c r="G348" s="940" t="s">
        <v>346</v>
      </c>
      <c r="H348" s="940"/>
      <c r="I348" s="940"/>
      <c r="J348" s="940"/>
      <c r="K348" s="940"/>
      <c r="L348" s="196">
        <f ca="1">IF($B$339="Лікар загальної практики - сімейний лікар",IF(L343&lt;Законод!$C$22,0,(IF(AND(L343&gt;=Законод!$H$22,L343&lt;=Законод!$H$23),L343-Законод!$G$23,IF('01_Доходи'!L343&gt;=Законод!$I$22,Законод!$H$24,0)))),IF($B$339="Лікар-педіатр",IF(L343&lt;Законод!$C$18,0,(IF(AND(L343&gt;=Законод!$H$18,L343&lt;=Законод!$H$19),L343-Законод!$G$19,IF('01_Доходи'!L343&gt;=Законод!$I$18,Законод!$H$20,0)))),IF($B$339="Лікар-терапевт",IF(L343&lt;Законод!$C$26,0,(IF(AND(L343&gt;=Законод!$H$26,L343&lt;=Законод!$H$27),L343-Законод!$G$27,IF(L343&gt;=Законод!$I$26,Законод!$H$28,0)))),0)))</f>
        <v>0</v>
      </c>
      <c r="M348" s="945"/>
      <c r="N348" s="940" t="s">
        <v>346</v>
      </c>
      <c r="O348" s="940"/>
      <c r="P348" s="940"/>
      <c r="Q348" s="940"/>
      <c r="R348" s="940"/>
      <c r="S348" s="196">
        <f ca="1">IF($B$339="Лікар загальної практики - сімейний лікар",IF(S343&lt;Законод!$C$22,0,(IF(AND(S343&gt;=Законод!$H$22,S343&lt;=Законод!$H$23),S343-Законод!$G$23,IF('01_Доходи'!S343&gt;=Законод!$I$22,Законод!$H$24,0)))),IF($B$339="Лікар-педіатр",IF(S343&lt;Законод!$C$18,0,(IF(AND(S343&gt;=Законод!$H$18,S343&lt;=Законод!$H$19),S343-Законод!$G$19,IF('01_Доходи'!S343&gt;=Законод!$I$18,Законод!$H$20,0)))),IF($B$339="Лікар-терапевт",IF(S343&lt;Законод!$C$26,0,(IF(AND(S343&gt;=Законод!$H$26,S343&lt;=Законод!$H$27),S343-Законод!$G$27,IF(S343&gt;=Законод!$I$26,Законод!$H$28,0)))),0)))</f>
        <v>0</v>
      </c>
      <c r="T348" s="945"/>
      <c r="U348" s="940" t="s">
        <v>346</v>
      </c>
      <c r="V348" s="940"/>
      <c r="W348" s="940"/>
      <c r="X348" s="940"/>
      <c r="Y348" s="940"/>
      <c r="Z348" s="196">
        <f ca="1">IF($B$339="Лікар загальної практики - сімейний лікар",IF(Z343&lt;Законод!$C$22,0,(IF(AND(Z343&gt;=Законод!$H$22,Z343&lt;=Законод!$H$23),Z343-Законод!$G$23,IF('01_Доходи'!Z343&gt;=Законод!$I$22,Законод!$H$24,0)))),IF($B$339="Лікар-педіатр",IF(Z343&lt;Законод!$C$18,0,(IF(AND(Z343&gt;=Законод!$H$18,Z343&lt;=Законод!$H$19),Z343-Законод!$G$19,IF('01_Доходи'!Z343&gt;=Законод!$I$18,Законод!$H$20,0)))),IF($B$339="Лікар-терапевт",IF(Z343&lt;Законод!$C$26,0,(IF(AND(Z343&gt;=Законод!$H$26,Z343&lt;=Законод!$H$27),Z343-Законод!$G$27,IF(Z343&gt;=Законод!$I$26,Законод!$H$28,0)))),0)))</f>
        <v>0</v>
      </c>
      <c r="AA348" s="945"/>
      <c r="AB348" s="940" t="s">
        <v>346</v>
      </c>
      <c r="AC348" s="940"/>
      <c r="AD348" s="940"/>
      <c r="AE348" s="940"/>
      <c r="AF348" s="940"/>
      <c r="AG348" s="196">
        <f ca="1">IF($B$339="Лікар загальної практики - сімейний лікар",IF(AG343&lt;Законод!$C$22,0,(IF(AND(AG343&gt;=Законод!$H$22,AG343&lt;=Законод!$H$23),AG343-Законод!$G$23,IF('01_Доходи'!AG343&gt;=Законод!$I$22,Законод!$H$24,0)))),IF($B$339="Лікар-педіатр",IF(AG343&lt;Законод!$C$18,0,(IF(AND(AG343&gt;=Законод!$H$18,AG343&lt;=Законод!$H$19),AG343-Законод!$G$19,IF('01_Доходи'!AG343&gt;=Законод!$I$18,Законод!$H$20,0)))),IF($B$339="Лікар-терапевт",IF(AG343&lt;Законод!$C$26,0,(IF(AND(AG343&gt;=Законод!$H$26,AG343&lt;=Законод!$H$27),AG343-Законод!$G$27,IF(AG343&gt;=Законод!$I$26,Законод!$H$28,0)))),0)))</f>
        <v>0</v>
      </c>
      <c r="AH348" s="945"/>
      <c r="AI348" s="201"/>
      <c r="AJ348" s="933"/>
      <c r="AK348" s="927"/>
      <c r="AL348" s="927"/>
      <c r="AM348" s="899"/>
      <c r="AN348" s="210">
        <f ca="1">IF(B339="Лікар загальної практики - сімейний лікар",L348*Законод!$C$9/4*Законод!$H$16,IF(B339="Лікар-педіатр",L348*Законод!$C$9/4*Законод!$H$16,IF(B339="Лікар-терапевт",L348*Законод!$C$9/4*Законод!$H$16,0)))</f>
        <v>0</v>
      </c>
      <c r="AO348" s="210">
        <f ca="1">IF(B339="Лікар загальної практики - сімейний лікар",S348*Законод!$C$9/4*Законод!$H$16,IF(B339="Лікар-педіатр",S348*Законод!$C$9/4*Законод!$H$16,IF(B339="Лікар-терапевт",S348*Законод!$C$9/4*Законод!$H$16,0)))</f>
        <v>0</v>
      </c>
      <c r="AP348" s="210">
        <f ca="1">IF(B339="Лікар загальної практики - сімейний лікар",Z348*Законод!$C$9/4*Законод!$H$16,IF(B339="Лікар-педіатр",Z348*Законод!$C$9/4*Законод!$H$16,IF(B339="Лікар-терапевт",Z348*Законод!$C$9/4*Законод!$H$16,0)))</f>
        <v>0</v>
      </c>
      <c r="AQ348" s="210">
        <f ca="1">IF(B339="Лікар загальної практики - сімейний лікар",AG348*Законод!$C$9/4*Законод!$H$16,IF(B339="Лікар-педіатр",AG348*Законод!$C$9/4*Законод!$H$16,IF(B339="Лікар-терапевт",AG348*Законод!$C$9/4*Законод!$H$16,0)))</f>
        <v>0</v>
      </c>
      <c r="AR348" s="211">
        <f t="shared" si="53"/>
        <v>0</v>
      </c>
    </row>
    <row r="349" spans="1:44" s="50" customFormat="1" ht="31.9" hidden="1" customHeight="1">
      <c r="A349" s="197"/>
      <c r="B349" s="941"/>
      <c r="C349" s="1077"/>
      <c r="D349" s="943"/>
      <c r="E349" s="943"/>
      <c r="F349" s="238" t="str">
        <f ca="1">IF(B339="Лікар-педіатр",Законод!$I$17,IF(B339="Лікар загальної практики - сімейний лікар",Законод!$I$21,IF(B339="Лікар-терапевт",Законод!$I$25,"х")))</f>
        <v>х</v>
      </c>
      <c r="G349" s="940" t="s">
        <v>346</v>
      </c>
      <c r="H349" s="940"/>
      <c r="I349" s="940"/>
      <c r="J349" s="940"/>
      <c r="K349" s="940"/>
      <c r="L349" s="196">
        <f ca="1">IF($B$339="Лікар загальної практики - сімейний лікар",IF(L343&lt;Законод!$C$22,0,(IF(AND(L343&gt;=Законод!$I$22,L343&lt;=Законод!$I$23),L343-Законод!$H$23,IF('01_Доходи'!L343&gt;=Законод!$I$22,Законод!$I$24,0)))),IF($B$339="Лікар-педіатр",IF(L343&lt;Законод!$C$18,0,(IF(AND(L343&gt;=Законод!$I$18,L343&lt;=Законод!$I$19),L343-Законод!$H$19,IF('01_Доходи'!L343&gt;=Законод!$I$18,Законод!$H$20,0)))),IF($B$339="Лікар-терапевт",IF(L343&lt;Законод!$C$26,0,(IF(AND(L343&gt;=Законод!$I$26,L343&lt;=Законод!$I$27),L343-Законод!$H$27,IF('01_Доходи'!L343&gt;=Законод!$I$26,Законод!$H$28,0)))),0)))</f>
        <v>0</v>
      </c>
      <c r="M349" s="945"/>
      <c r="N349" s="940" t="s">
        <v>346</v>
      </c>
      <c r="O349" s="940"/>
      <c r="P349" s="940"/>
      <c r="Q349" s="940"/>
      <c r="R349" s="940"/>
      <c r="S349" s="196">
        <f ca="1">IF($B$339="Лікар загальної практики - сімейний лікар",IF(S343&lt;Законод!$C$22,0,(IF(AND(S343&gt;=Законод!$I$22,S343&lt;=Законод!$I$23),S343-Законод!$H$23,IF('01_Доходи'!S343&gt;=Законод!$I$22,Законод!$I$24,0)))),IF($B$339="Лікар-педіатр",IF(S343&lt;Законод!$C$18,0,(IF(AND(S343&gt;=Законод!$I$18,S343&lt;=Законод!$I$19),S343-Законод!$H$19,IF('01_Доходи'!S343&gt;=Законод!$I$18,Законод!$H$20,0)))),IF($B$339="Лікар-терапевт",IF(S343&lt;Законод!$C$26,0,(IF(AND(S343&gt;=Законод!$I$26,S343&lt;=Законод!$I$27),S343-Законод!$H$27,IF('01_Доходи'!S343&gt;=Законод!$I$26,Законод!$H$28,0)))),0)))</f>
        <v>0</v>
      </c>
      <c r="T349" s="945"/>
      <c r="U349" s="940" t="s">
        <v>346</v>
      </c>
      <c r="V349" s="940"/>
      <c r="W349" s="940"/>
      <c r="X349" s="940"/>
      <c r="Y349" s="940"/>
      <c r="Z349" s="196">
        <f ca="1">IF($B$339="Лікар загальної практики - сімейний лікар",IF(Z343&lt;Законод!$C$22,0,(IF(AND(Z343&gt;=Законод!$I$22,Z343&lt;=Законод!$I$23),Z343-Законод!$H$23,IF('01_Доходи'!Z343&gt;=Законод!$I$22,Законод!$I$24,0)))),IF($B$339="Лікар-педіатр",IF(Z343&lt;Законод!$C$18,0,(IF(AND(Z343&gt;=Законод!$I$18,Z343&lt;=Законод!$I$19),Z343-Законод!$H$19,IF('01_Доходи'!Z343&gt;=Законод!$I$18,Законод!$H$20,0)))),IF($B$339="Лікар-терапевт",IF(Z343&lt;Законод!$C$26,0,(IF(AND(Z343&gt;=Законод!$I$26,Z343&lt;=Законод!$I$27),Z343-Законод!$H$27,IF('01_Доходи'!Z343&gt;=Законод!$I$26,Законод!$H$28,0)))),0)))</f>
        <v>0</v>
      </c>
      <c r="AA349" s="945"/>
      <c r="AB349" s="940" t="s">
        <v>346</v>
      </c>
      <c r="AC349" s="940"/>
      <c r="AD349" s="940"/>
      <c r="AE349" s="940"/>
      <c r="AF349" s="940"/>
      <c r="AG349" s="196">
        <f ca="1">IF($B$339="Лікар загальної практики - сімейний лікар",IF(AG343&lt;Законод!$C$22,0,(IF(AND(AG343&gt;=Законод!$I$22,AG343&lt;=Законод!$I$23),AG343-Законод!$H$23,IF('01_Доходи'!AG343&gt;=Законод!$I$22,Законод!$I$24,0)))),IF($B$339="Лікар-педіатр",IF(AG343&lt;Законод!$C$18,0,(IF(AND(AG343&gt;=Законод!$I$18,AG343&lt;=Законод!$I$19),AG343-Законод!$H$19,IF('01_Доходи'!AG343&gt;=Законод!$I$18,Законод!$H$20,0)))),IF($B$339="Лікар-терапевт",IF(AG343&lt;Законод!$C$26,0,(IF(AND(AG343&gt;=Законод!$I$26,AG343&lt;=Законод!$I$27),AG343-Законод!$H$27,IF('01_Доходи'!AG343&gt;=Законод!$I$26,Законод!$H$28,0)))),0)))</f>
        <v>0</v>
      </c>
      <c r="AH349" s="945"/>
      <c r="AI349" s="201"/>
      <c r="AJ349" s="933"/>
      <c r="AK349" s="927"/>
      <c r="AL349" s="927"/>
      <c r="AM349" s="899"/>
      <c r="AN349" s="210">
        <f ca="1">IF(B339="Лікар загальної практики - сімейний лікар",L349*Законод!$C$9/4*Законод!$I$16,IF(B339="Лікар-педіатр",L349*Законод!$C$9/4*Законод!$I$16,IF(B339="Лікар-терапевт",L349*Законод!$C$9/4*Законод!$I$16,0)))</f>
        <v>0</v>
      </c>
      <c r="AO349" s="210">
        <f ca="1">IF(B339="Лікар загальної практики - сімейний лікар",S349*Законод!$C$9/4*Законод!$I$16,IF(B339="Лікар-педіатр",S349*Законод!$C$9/4*Законод!$I$16,IF(B339="Лікар-терапевт",S349*Законод!$C$9/4*Законод!$I$16,0)))</f>
        <v>0</v>
      </c>
      <c r="AP349" s="210">
        <f ca="1">IF(B339="Лікар загальної практики - сімейний лікар",Z349*Законод!$C$9/4*Законод!$I$16,IF(B339="Лікар-педіатр",Z349*Законод!$C$9/4*Законод!$I$16,IF(B339="Лікар-терапевт",Z349*Законод!$C$9/4*Законод!$I$16,0)))</f>
        <v>0</v>
      </c>
      <c r="AQ349" s="210">
        <f ca="1">IF(B339="Лікар загальної практики - сімейний лікар",AG349*Законод!$C$9/4*Законод!$I$16,IF(B339="Лікар-педіатр",AG349*Законод!$C$9/4*Законод!$I$16,IF(B339="Лікар-терапевт",AG349*Законод!$C$9/4*Законод!$I$16,0)))</f>
        <v>0</v>
      </c>
      <c r="AR349" s="211">
        <f t="shared" si="53"/>
        <v>0</v>
      </c>
    </row>
    <row r="350" spans="1:44" s="218" customFormat="1" ht="31.9" hidden="1" customHeight="1" thickBot="1">
      <c r="A350" s="213"/>
      <c r="B350" s="941"/>
      <c r="C350" s="1077"/>
      <c r="D350" s="943"/>
      <c r="E350" s="943"/>
      <c r="F350" s="239" t="str">
        <f ca="1">IF(B339="Лікар-педіатр",Законод!$J$17,IF(B339="Лікар загальної практики - сімейний лікар",Законод!$J$21,IF(B339="Лікар-терапевт",Законод!$J$25,"х")))</f>
        <v>х</v>
      </c>
      <c r="G350" s="939" t="s">
        <v>346</v>
      </c>
      <c r="H350" s="939"/>
      <c r="I350" s="939"/>
      <c r="J350" s="939"/>
      <c r="K350" s="939"/>
      <c r="L350" s="196">
        <f ca="1">IF($B$339="Лікар загальної практики - сімейний лікар",IF(L343&gt;=Законод!$J$22,'01_Доходи'!L343-('01_Доходи'!L344+'01_Доходи'!L345+'01_Доходи'!L346+'01_Доходи'!L347+'01_Доходи'!L348+'01_Доходи'!L349),0),IF($B$339="Лікар-педіатр",IF(L343&gt;=Законод!$J$18,'01_Доходи'!L343-('01_Доходи'!L344+'01_Доходи'!L345+'01_Доходи'!L346+'01_Доходи'!L347+'01_Доходи'!L348+'01_Доходи'!L349),0),IF($B$339="Лікар-терапевт",IF('01_Доходи'!L343&gt;=Законод!$J$26,L343-Законод!$I$27,0),0)))</f>
        <v>0</v>
      </c>
      <c r="M350" s="945"/>
      <c r="N350" s="939" t="s">
        <v>346</v>
      </c>
      <c r="O350" s="939"/>
      <c r="P350" s="939"/>
      <c r="Q350" s="939"/>
      <c r="R350" s="939"/>
      <c r="S350" s="196">
        <f ca="1">IF($B$339="Лікар загальної практики - сімейний лікар",IF(S343&gt;=Законод!$J$22,'01_Доходи'!S343-('01_Доходи'!S344+'01_Доходи'!S345+'01_Доходи'!S346+'01_Доходи'!S347+'01_Доходи'!S348+'01_Доходи'!S349),0),IF($B$339="Лікар-педіатр",IF(S343&gt;=Законод!$J$18,'01_Доходи'!S343-('01_Доходи'!S344+'01_Доходи'!S345+'01_Доходи'!S346+'01_Доходи'!S347+'01_Доходи'!S348+'01_Доходи'!S349),0),IF($B$339="Лікар-терапевт",IF('01_Доходи'!S343&gt;=Законод!$J$26,S343-Законод!$I$27,0),0)))</f>
        <v>0</v>
      </c>
      <c r="T350" s="945"/>
      <c r="U350" s="939" t="s">
        <v>346</v>
      </c>
      <c r="V350" s="939"/>
      <c r="W350" s="939"/>
      <c r="X350" s="939"/>
      <c r="Y350" s="939"/>
      <c r="Z350" s="196">
        <f ca="1">IF($B$339="Лікар загальної практики - сімейний лікар",IF(Z343&gt;=Законод!$J$22,'01_Доходи'!Z343-('01_Доходи'!Z344+'01_Доходи'!Z345+'01_Доходи'!Z346+'01_Доходи'!Z347+'01_Доходи'!Z348+'01_Доходи'!Z349),0),IF($B$339="Лікар-педіатр",IF(Z343&gt;=Законод!$J$18,'01_Доходи'!Z343-('01_Доходи'!Z344+'01_Доходи'!Z345+'01_Доходи'!Z346+'01_Доходи'!Z347+'01_Доходи'!Z348+'01_Доходи'!Z349),0),IF($B$339="Лікар-терапевт",IF('01_Доходи'!Z343&gt;=Законод!$J$26,Z343-Законод!$I$27,0),0)))</f>
        <v>0</v>
      </c>
      <c r="AA350" s="945"/>
      <c r="AB350" s="939" t="s">
        <v>346</v>
      </c>
      <c r="AC350" s="939"/>
      <c r="AD350" s="939"/>
      <c r="AE350" s="939"/>
      <c r="AF350" s="939"/>
      <c r="AG350" s="196">
        <f ca="1">IF($B$339="Лікар загальної практики - сімейний лікар",IF(AG343&gt;=Законод!$J$22,'01_Доходи'!AG343-('01_Доходи'!AG344+'01_Доходи'!AG345+'01_Доходи'!AG346+'01_Доходи'!AG347+'01_Доходи'!AG348+'01_Доходи'!AG349),0),IF($B$339="Лікар-педіатр",IF(AG343&gt;=Законод!$J$18,'01_Доходи'!AG343-('01_Доходи'!AG344+'01_Доходи'!AG345+'01_Доходи'!AG346+'01_Доходи'!AG347+'01_Доходи'!AG348+'01_Доходи'!AG349),0),IF($B$339="Лікар-терапевт",IF('01_Доходи'!AG343&gt;=Законод!$J$26,AG343-Законод!$I$27,0),0)))</f>
        <v>0</v>
      </c>
      <c r="AH350" s="945"/>
      <c r="AI350" s="215"/>
      <c r="AJ350" s="934"/>
      <c r="AK350" s="928"/>
      <c r="AL350" s="928"/>
      <c r="AM350" s="900"/>
      <c r="AN350" s="216">
        <f ca="1">IF(B339="Лікар загальної практики - сімейний лікар",L350*Законод!$C$9/4*Законод!$J$16,IF(B339="Лікар-педіатр",L350*Законод!$C$9/4*Законод!$J$16,IF(B339="Лікар-терапевт",L350*Законод!$C$9/4*Законод!$J$16,0)))</f>
        <v>0</v>
      </c>
      <c r="AO350" s="216">
        <f ca="1">IF(B339="Лікар загальної практики - сімейний лікар",S350*Законод!$C$9/4*Законод!$J$16,IF(B339="Лікар-педіатр",S350*Законод!$C$9/4*Законод!$J$16,IF(B339="Лікар-терапевт",S350*Законод!$C$9/4*Законод!$J$16,0)))</f>
        <v>0</v>
      </c>
      <c r="AP350" s="216">
        <f ca="1">IF(B339="Лікар загальної практики - сімейний лікар",S350*Законод!$C$9/4*Законод!$J$16,IF(B339="Лікар-педіатр",S350*Законод!$C$9/4*Законод!$J$16,IF(B339="Лікар-терапевт",S350*Законод!$C$9/4*Законод!$J$16,0)))</f>
        <v>0</v>
      </c>
      <c r="AQ350" s="216">
        <f ca="1">IF(B339="Лікар загальної практики - сімейний лікар",AG350*Законод!$C$9/4*Законод!$J$16,IF(B339="Лікар-педіатр",AG350*Законод!$C$9/4*Законод!$J$16,IF(B339="Лікар-терапевт",AG350*Законод!$C$9/4*Законод!$J$16,0)))</f>
        <v>0</v>
      </c>
      <c r="AR350" s="217">
        <f t="shared" si="53"/>
        <v>0</v>
      </c>
    </row>
    <row r="351" spans="1:44" s="247" customFormat="1" ht="23.45" hidden="1" customHeight="1" thickBot="1">
      <c r="A351" s="243"/>
      <c r="B351" s="244"/>
      <c r="C351" s="244"/>
      <c r="D351" s="244"/>
      <c r="E351" s="244"/>
      <c r="F351" s="245"/>
      <c r="G351" s="246"/>
      <c r="H351" s="246"/>
      <c r="L351" s="248"/>
      <c r="S351" s="248"/>
      <c r="Z351" s="248"/>
      <c r="AG351" s="248"/>
      <c r="AM351" s="249"/>
      <c r="AR351" s="250"/>
    </row>
    <row r="352" spans="1:44" s="191" customFormat="1" ht="27.6" hidden="1" customHeight="1">
      <c r="A352" s="194">
        <f>A339+1</f>
        <v>25</v>
      </c>
      <c r="B352" s="892"/>
      <c r="C352" s="895"/>
      <c r="D352" s="911"/>
      <c r="E352" s="908"/>
      <c r="F352" s="234" t="s">
        <v>582</v>
      </c>
      <c r="G352" s="196">
        <f>IF($B$352="Лікар-педіатр",G355*L352,IF($B$352="Лікар-терапевт","х",IF($B$352="Лікар загальної практики - сімейний лікар",G355*L352,0)))</f>
        <v>0</v>
      </c>
      <c r="H352" s="196">
        <f>IF($B$352="Лікар-педіатр",H355*L352,IF($B$352="Лікар-терапевт","х",IF($B$352="Лікар загальної практики - сімейний лікар",H355*L352,0)))</f>
        <v>0</v>
      </c>
      <c r="I352" s="196">
        <f>IF($B$352="Лікар-педіатр","x",IF($B$352="Лікар-терапевт",I355*L352,IF($B$352="Лікар загальної практики - сімейний лікар",I355*L352,0)))</f>
        <v>0</v>
      </c>
      <c r="J352" s="196">
        <f>IF($B$352="Лікар-педіатр","x",IF($B$352="Лікар-терапевт",J355*L352,IF($B$352="Лікар загальної практики - сімейний лікар",J355*L352,0)))</f>
        <v>0</v>
      </c>
      <c r="K352" s="196">
        <f>IF($B$352="Лікар-педіатр","x",IF($B$352="Лікар-терапевт",K355*L352,IF($B$352="Лікар загальної практики - сімейний лікар",K355*L352,0)))</f>
        <v>0</v>
      </c>
      <c r="L352" s="558"/>
      <c r="M352" s="929"/>
      <c r="N352" s="196">
        <f>IF($B$352="Лікар-педіатр",N355*S352,IF($B$352="Лікар-терапевт","х",IF($B$352="Лікар загальної практики - сімейний лікар",N355*S352,0)))</f>
        <v>0</v>
      </c>
      <c r="O352" s="196">
        <f>IF($B$352="Лікар-педіатр",O355*S352,IF($B$352="Лікар-терапевт","х",IF($B$352="Лікар загальної практики - сімейний лікар",O355*S352,0)))</f>
        <v>0</v>
      </c>
      <c r="P352" s="196">
        <f>IF($B$352="Лікар-педіатр","x",IF($B$352="Лікар-терапевт",P355*S352,IF($B$352="Лікар загальної практики - сімейний лікар",P355*S352,0)))</f>
        <v>0</v>
      </c>
      <c r="Q352" s="196">
        <f>IF($B$352="Лікар-педіатр","x",IF($B$352="Лікар-терапевт",Q355*S352,IF($B$352="Лікар загальної практики - сімейний лікар",Q355*S352,0)))</f>
        <v>0</v>
      </c>
      <c r="R352" s="196">
        <f>IF($B$352="Лікар-педіатр","x",IF($B$352="Лікар-терапевт",R355*S352,IF($B$352="Лікар загальної практики - сімейний лікар",R355*S352,0)))</f>
        <v>0</v>
      </c>
      <c r="S352" s="558"/>
      <c r="T352" s="929"/>
      <c r="U352" s="196">
        <f>IF($B$352="Лікар-педіатр",U355*Z352,IF($B$352="Лікар-терапевт","х",IF($B$352="Лікар загальної практики - сімейний лікар",U355*Z352,0)))</f>
        <v>0</v>
      </c>
      <c r="V352" s="196">
        <f>IF($B$352="Лікар-педіатр",V355*Z352,IF($B$352="Лікар-терапевт","х",IF($B$352="Лікар загальної практики - сімейний лікар",V355*Z352,0)))</f>
        <v>0</v>
      </c>
      <c r="W352" s="196">
        <f>IF($B$352="Лікар-педіатр","x",IF($B$352="Лікар-терапевт",W355*Z352,IF($B$352="Лікар загальної практики - сімейний лікар",W355*Z352,0)))</f>
        <v>0</v>
      </c>
      <c r="X352" s="196">
        <f>IF($B$352="Лікар-педіатр","x",IF($B$352="Лікар-терапевт",X355*Z352,IF($B$352="Лікар загальної практики - сімейний лікар",X355*Z352,0)))</f>
        <v>0</v>
      </c>
      <c r="Y352" s="196">
        <f>IF($B$352="Лікар-педіатр","x",IF($B$352="Лікар-терапевт",Y355*Z352,IF($B$352="Лікар загальної практики - сімейний лікар",Y355*Z352,0)))</f>
        <v>0</v>
      </c>
      <c r="Z352" s="558"/>
      <c r="AA352" s="929"/>
      <c r="AB352" s="196">
        <f>IF($B$352="Лікар-педіатр",AB355*AG352,IF($B$352="Лікар-терапевт","х",IF($B$352="Лікар загальної практики - сімейний лікар",AB355*AG352,0)))</f>
        <v>0</v>
      </c>
      <c r="AC352" s="196">
        <f>IF($B$352="Лікар-педіатр",AC355*AG352,IF($B$352="Лікар-терапевт","х",IF($B$352="Лікар загальної практики - сімейний лікар",AC355*AG352,0)))</f>
        <v>0</v>
      </c>
      <c r="AD352" s="196">
        <f>IF($B$352="Лікар-педіатр","x",IF($B$352="Лікар-терапевт",AD355*AG352,IF($B$352="Лікар загальної практики - сімейний лікар",AD355*AG352,0)))</f>
        <v>0</v>
      </c>
      <c r="AE352" s="196">
        <f>IF($B$352="Лікар-педіатр","x",IF($B$352="Лікар-терапевт",AE355*AG352,IF($B$352="Лікар загальної практики - сімейний лікар",AE355*AG352,0)))</f>
        <v>0</v>
      </c>
      <c r="AF352" s="196">
        <f>IF($B$352="Лікар-педіатр","x",IF($B$352="Лікар-терапевт",AF355*AG352,IF($B$352="Лікар загальної практики - сімейний лікар",AF355*AG352,0)))</f>
        <v>0</v>
      </c>
      <c r="AG352" s="558"/>
      <c r="AH352" s="929"/>
      <c r="AI352" s="541">
        <f>A352</f>
        <v>25</v>
      </c>
      <c r="AJ352" s="932">
        <f>B352</f>
        <v>0</v>
      </c>
      <c r="AK352" s="926">
        <f>C352</f>
        <v>0</v>
      </c>
      <c r="AL352" s="926">
        <f>D352</f>
        <v>0</v>
      </c>
      <c r="AM352" s="901" t="s">
        <v>785</v>
      </c>
      <c r="AN352" s="923">
        <f>SUM(AN357:AN363)</f>
        <v>0</v>
      </c>
      <c r="AO352" s="923">
        <f>SUM(AO357:AO363)</f>
        <v>0</v>
      </c>
      <c r="AP352" s="923">
        <f>SUM(AP357:AP363)</f>
        <v>0</v>
      </c>
      <c r="AQ352" s="923">
        <f>SUM(AQ357:AQ363)</f>
        <v>0</v>
      </c>
      <c r="AR352" s="914">
        <f>SUM(AN352:AQ356)</f>
        <v>0</v>
      </c>
    </row>
    <row r="353" spans="1:44" s="50" customFormat="1" ht="28.15" hidden="1" customHeight="1">
      <c r="A353" s="197"/>
      <c r="B353" s="893"/>
      <c r="C353" s="896"/>
      <c r="D353" s="912"/>
      <c r="E353" s="909"/>
      <c r="F353" s="234" t="s">
        <v>583</v>
      </c>
      <c r="G353" s="196">
        <f>IF($B$352="Лікар-педіатр",G355*L353,IF($B$352="Лікар-терапевт","х",IF($B$352="Лікар загальної практики - сімейний лікар",G355*L353,0)))</f>
        <v>0</v>
      </c>
      <c r="H353" s="196">
        <f>IF($B$352="Лікар-педіатр",H355*L353,IF($B$352="Лікар-терапевт","х",IF($B$352="Лікар загальної практики - сімейний лікар",H355*L353,0)))</f>
        <v>0</v>
      </c>
      <c r="I353" s="196">
        <f>IF($B$352="Лікар-педіатр","x",IF($B$352="Лікар-терапевт",I355*L353,IF($B$352="Лікар загальної практики - сімейний лікар",I355*L353,0)))</f>
        <v>0</v>
      </c>
      <c r="J353" s="196">
        <f>IF($B$352="Лікар-педіатр","x",IF($B$352="Лікар-терапевт",J355*L353,IF($B$352="Лікар загальної практики - сімейний лікар",J355*L353,0)))</f>
        <v>0</v>
      </c>
      <c r="K353" s="196">
        <f>IF($B$352="Лікар-педіатр","x",IF($B$352="Лікар-терапевт",K355*L353,IF($B$352="Лікар загальної практики - сімейний лікар",K355*L353,0)))</f>
        <v>0</v>
      </c>
      <c r="L353" s="558"/>
      <c r="M353" s="930"/>
      <c r="N353" s="196">
        <f>IF($B$352="Лікар-педіатр",N355*S353,IF($B$352="Лікар-терапевт","х",IF($B$352="Лікар загальної практики - сімейний лікар",N355*S353,0)))</f>
        <v>0</v>
      </c>
      <c r="O353" s="196">
        <f>IF($B$352="Лікар-педіатр",O355*S353,IF($B$352="Лікар-терапевт","х",IF($B$352="Лікар загальної практики - сімейний лікар",O355*S353,0)))</f>
        <v>0</v>
      </c>
      <c r="P353" s="196">
        <f>IF($B$352="Лікар-педіатр","x",IF($B$352="Лікар-терапевт",P355*S353,IF($B$352="Лікар загальної практики - сімейний лікар",P355*S353,0)))</f>
        <v>0</v>
      </c>
      <c r="Q353" s="196">
        <f>IF($B$352="Лікар-педіатр","x",IF($B$352="Лікар-терапевт",Q355*S353,IF($B$352="Лікар загальної практики - сімейний лікар",Q355*S353,0)))</f>
        <v>0</v>
      </c>
      <c r="R353" s="196">
        <f>IF($B$352="Лікар-педіатр","x",IF($B$352="Лікар-терапевт",R355*S353,IF($B$352="Лікар загальної практики - сімейний лікар",R355*S353,0)))</f>
        <v>0</v>
      </c>
      <c r="S353" s="558"/>
      <c r="T353" s="930"/>
      <c r="U353" s="196">
        <f>IF($B$352="Лікар-педіатр",U355*Z353,IF($B$352="Лікар-терапевт","х",IF($B$352="Лікар загальної практики - сімейний лікар",U355*Z353,0)))</f>
        <v>0</v>
      </c>
      <c r="V353" s="196">
        <f>IF($B$352="Лікар-педіатр",V355*Z353,IF($B$352="Лікар-терапевт","х",IF($B$352="Лікар загальної практики - сімейний лікар",V355*Z353,0)))</f>
        <v>0</v>
      </c>
      <c r="W353" s="196">
        <f>IF($B$352="Лікар-педіатр","x",IF($B$352="Лікар-терапевт",W355*Z353,IF($B$352="Лікар загальної практики - сімейний лікар",W355*Z353,0)))</f>
        <v>0</v>
      </c>
      <c r="X353" s="196">
        <f>IF($B$352="Лікар-педіатр","x",IF($B$352="Лікар-терапевт",X355*Z353,IF($B$352="Лікар загальної практики - сімейний лікар",X355*Z353,0)))</f>
        <v>0</v>
      </c>
      <c r="Y353" s="196">
        <f>IF($B$352="Лікар-педіатр","x",IF($B$352="Лікар-терапевт",Y355*Z353,IF($B$352="Лікар загальної практики - сімейний лікар",Y355*Z353,0)))</f>
        <v>0</v>
      </c>
      <c r="Z353" s="558"/>
      <c r="AA353" s="930"/>
      <c r="AB353" s="196">
        <f>IF($B$352="Лікар-педіатр",AB355*AG353,IF($B$352="Лікар-терапевт","х",IF($B$352="Лікар загальної практики - сімейний лікар",AB355*AG353,0)))</f>
        <v>0</v>
      </c>
      <c r="AC353" s="196">
        <f>IF($B$352="Лікар-педіатр",AC355*AG353,IF($B$352="Лікар-терапевт","х",IF($B$352="Лікар загальної практики - сімейний лікар",AC355*AG353,0)))</f>
        <v>0</v>
      </c>
      <c r="AD353" s="196">
        <f>IF($B$352="Лікар-педіатр","x",IF($B$352="Лікар-терапевт",AD355*AG353,IF($B$352="Лікар загальної практики - сімейний лікар",AD355*AG353,0)))</f>
        <v>0</v>
      </c>
      <c r="AE353" s="196">
        <f>IF($B$352="Лікар-педіатр","x",IF($B$352="Лікар-терапевт",AE355*AG353,IF($B$352="Лікар загальної практики - сімейний лікар",AE355*AG353,0)))</f>
        <v>0</v>
      </c>
      <c r="AF353" s="196">
        <f>IF($B$352="Лікар-педіатр","x",IF($B$352="Лікар-терапевт",AF355*AG353,IF($B$352="Лікар загальної практики - сімейний лікар",AF355*AG353,0)))</f>
        <v>0</v>
      </c>
      <c r="AG353" s="558"/>
      <c r="AH353" s="930"/>
      <c r="AI353" s="198"/>
      <c r="AJ353" s="933"/>
      <c r="AK353" s="927"/>
      <c r="AL353" s="927"/>
      <c r="AM353" s="902"/>
      <c r="AN353" s="924"/>
      <c r="AO353" s="924"/>
      <c r="AP353" s="924"/>
      <c r="AQ353" s="924"/>
      <c r="AR353" s="915"/>
    </row>
    <row r="354" spans="1:44" s="90" customFormat="1" ht="31.15" hidden="1" customHeight="1">
      <c r="A354" s="240"/>
      <c r="B354" s="893"/>
      <c r="C354" s="896"/>
      <c r="D354" s="912"/>
      <c r="E354" s="909"/>
      <c r="F354" s="241" t="s">
        <v>584</v>
      </c>
      <c r="G354" s="199">
        <f>IF(B352="Лікар загальної практики - сімейний лікар"," ",IF(B352="Лікар-педіатр"," ",IF(B352="Лікар-терапевт","х",0)))</f>
        <v>0</v>
      </c>
      <c r="H354" s="199">
        <f>IF(B352="Лікар загальної практики - сімейний лікар"," ",IF(B352="Лікар-педіатр"," ",IF(B352="Лікар-терапевт","х",0)))</f>
        <v>0</v>
      </c>
      <c r="I354" s="199">
        <f>IF(B352="Лікар загальної практики - сімейний лікар"," ",IF(B352="Лікар-педіатр","х",IF(B352="Лікар-терапевт"," ",0)))</f>
        <v>0</v>
      </c>
      <c r="J354" s="199">
        <f>IF(B352="Лікар загальної практики - сімейний лікар"," ",IF(B352="Лікар-педіатр","х",IF(B352="Лікар-терапевт"," ",0)))</f>
        <v>0</v>
      </c>
      <c r="K354" s="199">
        <f>IF(B352="Лікар загальної практики - сімейний лікар"," ",IF(B352="Лікар-педіатр","х",IF(B352="Лікар-терапевт"," ",0)))</f>
        <v>0</v>
      </c>
      <c r="L354" s="200">
        <f>SUM(G354:K354)</f>
        <v>0</v>
      </c>
      <c r="M354" s="930"/>
      <c r="N354" s="199">
        <f>IF(B352="Лікар загальної практики - сімейний лікар"," ",IF(B352="Лікар-педіатр"," ",IF(B352="Лікар-терапевт","х",0)))</f>
        <v>0</v>
      </c>
      <c r="O354" s="199">
        <f>IF(B352="Лікар загальної практики - сімейний лікар"," ",IF(B352="Лікар-педіатр"," ",IF(B352="Лікар-терапевт","х",0)))</f>
        <v>0</v>
      </c>
      <c r="P354" s="199">
        <f>IF(B352="Лікар загальної практики - сімейний лікар"," ",IF(B352="Лікар-педіатр","х",IF(B352="Лікар-терапевт"," ",0)))</f>
        <v>0</v>
      </c>
      <c r="Q354" s="199">
        <f>IF(B352="Лікар загальної практики - сімейний лікар"," ",IF(B352="Лікар-педіатр","х",IF(B352="Лікар-терапевт"," ",0)))</f>
        <v>0</v>
      </c>
      <c r="R354" s="199">
        <f>IF(B352="Лікар загальної практики - сімейний лікар"," ",IF(B352="Лікар-педіатр","х",IF(B352="Лікар-терапевт"," ",0)))</f>
        <v>0</v>
      </c>
      <c r="S354" s="200">
        <f>SUM(N354:R354)</f>
        <v>0</v>
      </c>
      <c r="T354" s="930"/>
      <c r="U354" s="199">
        <f>IF(B352="Лікар загальної практики - сімейний лікар"," ",IF(B352="Лікар-педіатр"," ",IF(B352="Лікар-терапевт","х",0)))</f>
        <v>0</v>
      </c>
      <c r="V354" s="199">
        <f>IF(B352="Лікар загальної практики - сімейний лікар"," ",IF(B352="Лікар-педіатр"," ",IF(B352="Лікар-терапевт","х",0)))</f>
        <v>0</v>
      </c>
      <c r="W354" s="199">
        <f>IF(B352="Лікар загальної практики - сімейний лікар"," ",IF(B352="Лікар-педіатр","х",IF(B352="Лікар-терапевт"," ",0)))</f>
        <v>0</v>
      </c>
      <c r="X354" s="199">
        <f>IF(B352="Лікар загальної практики - сімейний лікар"," ",IF(B352="Лікар-педіатр","х",IF(B352="Лікар-терапевт"," ",0)))</f>
        <v>0</v>
      </c>
      <c r="Y354" s="199">
        <f>IF(B352="Лікар загальної практики - сімейний лікар"," ",IF(B352="Лікар-педіатр","х",IF(B352="Лікар-терапевт"," ",0)))</f>
        <v>0</v>
      </c>
      <c r="Z354" s="200">
        <f>SUM(U354:Y354)</f>
        <v>0</v>
      </c>
      <c r="AA354" s="930"/>
      <c r="AB354" s="199">
        <f>IF(B352="Лікар загальної практики - сімейний лікар"," ",IF(B352="Лікар-педіатр"," ",IF(B352="Лікар-терапевт","х",0)))</f>
        <v>0</v>
      </c>
      <c r="AC354" s="199">
        <f>IF(B352="Лікар загальної практики - сімейний лікар"," ",IF(B352="Лікар-педіатр"," ",IF(B352="Лікар-терапевт","х",0)))</f>
        <v>0</v>
      </c>
      <c r="AD354" s="199">
        <f>IF(B352="Лікар загальної практики - сімейний лікар"," ",IF(B352="Лікар-педіатр","х",IF(B352="Лікар-терапевт"," ",0)))</f>
        <v>0</v>
      </c>
      <c r="AE354" s="199">
        <f>IF(B352="Лікар загальної практики - сімейний лікар"," ",IF(B352="Лікар-педіатр","х",IF(B352="Лікар-терапевт"," ",0)))</f>
        <v>0</v>
      </c>
      <c r="AF354" s="199">
        <f>IF(B352="Лікар загальної практики - сімейний лікар"," ",IF(B352="Лікар-педіатр","х",IF(B352="Лікар-терапевт"," ",0)))</f>
        <v>0</v>
      </c>
      <c r="AG354" s="200">
        <f>SUM(AB354:AF354)</f>
        <v>0</v>
      </c>
      <c r="AH354" s="930"/>
      <c r="AI354" s="242"/>
      <c r="AJ354" s="933"/>
      <c r="AK354" s="927"/>
      <c r="AL354" s="927"/>
      <c r="AM354" s="902"/>
      <c r="AN354" s="924"/>
      <c r="AO354" s="924"/>
      <c r="AP354" s="924"/>
      <c r="AQ354" s="924"/>
      <c r="AR354" s="915"/>
    </row>
    <row r="355" spans="1:44" s="50" customFormat="1" ht="31.9" hidden="1" customHeight="1" thickBot="1">
      <c r="A355" s="197"/>
      <c r="B355" s="893"/>
      <c r="C355" s="896"/>
      <c r="D355" s="912"/>
      <c r="E355" s="909"/>
      <c r="F355" s="236" t="s">
        <v>349</v>
      </c>
      <c r="G355" s="203">
        <f>IF($B$352="Лікар-педіатр",G354/L354,IF($B$352="Лікар-терапевт","х",IF($B$352="Лікар загальної практики - сімейний лікар",G354/L354,0)))</f>
        <v>0</v>
      </c>
      <c r="H355" s="203">
        <f>IF($B$352="Лікар-педіатр",H354/L354,IF($B$352="Лікар-терапевт","х",IF($B$352="Лікар загальної практики - сімейний лікар",H354/L354,0)))</f>
        <v>0</v>
      </c>
      <c r="I355" s="203">
        <f>IF($B$352="Лікар-педіатр","x",IF($B$352="Лікар-терапевт",I354/L354,IF($B$352="Лікар загальної практики - сімейний лікар",I354/L354,0)))</f>
        <v>0</v>
      </c>
      <c r="J355" s="203">
        <f>IF($B$352="Лікар-педіатр","x",IF($B$352="Лікар-терапевт",J354/L354,IF($B$352="Лікар загальної практики - сімейний лікар",J354/L354,0)))</f>
        <v>0</v>
      </c>
      <c r="K355" s="203">
        <f>IF($B$352="Лікар-педіатр","x",IF($B$352="Лікар-терапевт",K354/L354,IF($B$352="Лікар загальної практики - сімейний лікар",K354/L354,0)))</f>
        <v>0</v>
      </c>
      <c r="L355" s="203">
        <f>SUM(G355:K355)</f>
        <v>0</v>
      </c>
      <c r="M355" s="930"/>
      <c r="N355" s="203">
        <f>IF($B$352="Лікар-педіатр",N354/S354,IF($B$352="Лікар-терапевт","х",IF($B$352="Лікар загальної практики - сімейний лікар",N354/S354,0)))</f>
        <v>0</v>
      </c>
      <c r="O355" s="203">
        <f>IF($B$352="Лікар-педіатр",O354/S354,IF($B$352="Лікар-терапевт","х",IF($B$352="Лікар загальної практики - сімейний лікар",O354/S354,0)))</f>
        <v>0</v>
      </c>
      <c r="P355" s="203">
        <f>IF($B$352="Лікар-педіатр","x",IF($B$352="Лікар-терапевт",P354/S354,IF($B$352="Лікар загальної практики - сімейний лікар",P354/S354,0)))</f>
        <v>0</v>
      </c>
      <c r="Q355" s="203">
        <f>IF($B$352="Лікар-педіатр","x",IF($B$352="Лікар-терапевт",Q354/S354,IF($B$352="Лікар загальної практики - сімейний лікар",Q354/S354,0)))</f>
        <v>0</v>
      </c>
      <c r="R355" s="203">
        <f>IF($B$352="Лікар-педіатр","x",IF($B$352="Лікар-терапевт",R354/S354,IF($B$352="Лікар загальної практики - сімейний лікар",R354/S354,0)))</f>
        <v>0</v>
      </c>
      <c r="S355" s="203">
        <f>SUM(N355:R355)</f>
        <v>0</v>
      </c>
      <c r="T355" s="930"/>
      <c r="U355" s="203">
        <f>IF($B$352="Лікар-педіатр",U354/Z354,IF($B$352="Лікар-терапевт","х",IF($B$352="Лікар загальної практики - сімейний лікар",U354/Z354,0)))</f>
        <v>0</v>
      </c>
      <c r="V355" s="203">
        <f>IF($B$352="Лікар-педіатр",V354/Z354,IF($B$352="Лікар-терапевт","х",IF($B$352="Лікар загальної практики - сімейний лікар",V354/Z354,0)))</f>
        <v>0</v>
      </c>
      <c r="W355" s="203">
        <f>IF($B$352="Лікар-педіатр","x",IF($B$352="Лікар-терапевт",W354/Z354,IF($B$352="Лікар загальної практики - сімейний лікар",W354/Z354,0)))</f>
        <v>0</v>
      </c>
      <c r="X355" s="203">
        <f>IF($B$352="Лікар-педіатр","x",IF($B$352="Лікар-терапевт",X354/Z354,IF($B$352="Лікар загальної практики - сімейний лікар",X354/Z354,0)))</f>
        <v>0</v>
      </c>
      <c r="Y355" s="203">
        <f>IF($B$352="Лікар-педіатр","x",IF($B$352="Лікар-терапевт",Y354/Z354,IF($B$352="Лікар загальної практики - сімейний лікар",Y354/Z354,0)))</f>
        <v>0</v>
      </c>
      <c r="Z355" s="203">
        <f>SUM(U355:Y355)</f>
        <v>0</v>
      </c>
      <c r="AA355" s="930"/>
      <c r="AB355" s="203">
        <f>IF($B$352="Лікар-педіатр",AB354/AG354,IF($B$352="Лікар-терапевт","х",IF($B$352="Лікар загальної практики - сімейний лікар",AB354/AG354,0)))</f>
        <v>0</v>
      </c>
      <c r="AC355" s="203">
        <f>IF($B$352="Лікар-педіатр",AC354/AG354,IF($B$352="Лікар-терапевт","х",IF($B$352="Лікар загальної практики - сімейний лікар",AC354/AG354,0)))</f>
        <v>0</v>
      </c>
      <c r="AD355" s="203">
        <f>IF($B$352="Лікар-педіатр","x",IF($B$352="Лікар-терапевт",AD354/AG354,IF($B$352="Лікар загальної практики - сімейний лікар",AD354/AG354,0)))</f>
        <v>0</v>
      </c>
      <c r="AE355" s="203">
        <f>IF($B$352="Лікар-педіатр","x",IF($B$352="Лікар-терапевт",AE354/AG354,IF($B$352="Лікар загальної практики - сімейний лікар",AE354/AG354,0)))</f>
        <v>0</v>
      </c>
      <c r="AF355" s="203">
        <f>IF($B$352="Лікар-педіатр","x",IF($B$352="Лікар-терапевт",AF354/AG354,IF($B$352="Лікар загальної практики - сімейний лікар",AF354/AG354,0)))</f>
        <v>0</v>
      </c>
      <c r="AG355" s="203">
        <f>SUM(AB355:AF355)</f>
        <v>0</v>
      </c>
      <c r="AH355" s="930"/>
      <c r="AI355" s="201"/>
      <c r="AJ355" s="933"/>
      <c r="AK355" s="927"/>
      <c r="AL355" s="927"/>
      <c r="AM355" s="902"/>
      <c r="AN355" s="924"/>
      <c r="AO355" s="924"/>
      <c r="AP355" s="924"/>
      <c r="AQ355" s="924"/>
      <c r="AR355" s="915"/>
    </row>
    <row r="356" spans="1:44" s="50" customFormat="1" ht="45" hidden="1" customHeight="1" thickBot="1">
      <c r="A356" s="197"/>
      <c r="B356" s="893"/>
      <c r="C356" s="896"/>
      <c r="D356" s="912"/>
      <c r="E356" s="909"/>
      <c r="F356" s="204" t="s">
        <v>585</v>
      </c>
      <c r="G356" s="205">
        <f>IF($B$352="Лікар загальної практики - сімейний лікар",AVERAGE(G352:G354),IF($B$352="Лікар-педіатр",AVERAGE(G352:G354),IF($B$352="Лікар-терапевт","х",0)))</f>
        <v>0</v>
      </c>
      <c r="H356" s="205">
        <f>IF($B$352="Лікар загальної практики - сімейний лікар",AVERAGE(H352:H354),IF($B$352="Лікар-педіатр",AVERAGE(H352:H354),IF($B$352="Лікар-терапевт","х",0)))</f>
        <v>0</v>
      </c>
      <c r="I356" s="205">
        <f>IF($B$352="Лікар загальної практики - сімейний лікар",AVERAGE(I352:I354),IF($B$352="Лікар-педіатр","x",IF($B$352="Лікар-терапевт",AVERAGE(I352:I354),0)))</f>
        <v>0</v>
      </c>
      <c r="J356" s="205">
        <f>IF($B$352="Лікар загальної практики - сімейний лікар",AVERAGE(J352:J354),IF($B$352="Лікар-педіатр","x",IF($B$352="Лікар-терапевт",AVERAGE(J352:J354),0)))</f>
        <v>0</v>
      </c>
      <c r="K356" s="205">
        <f>IF($B$352="Лікар загальної практики - сімейний лікар",AVERAGE(K352:K354),IF($B$352="Лікар-педіатр","x",IF($B$352="Лікар-терапевт",AVERAGE(K352:K354),0)))</f>
        <v>0</v>
      </c>
      <c r="L356" s="206">
        <f>SUM(G356:K356)</f>
        <v>0</v>
      </c>
      <c r="M356" s="930"/>
      <c r="N356" s="205">
        <f>IF($B$352="Лікар загальної практики - сімейний лікар",AVERAGE(N352:N354),IF($B$352="Лікар-педіатр",AVERAGE(N352:N354),IF($B$352="Лікар-терапевт","х",0)))</f>
        <v>0</v>
      </c>
      <c r="O356" s="205">
        <f>IF($B$352="Лікар загальної практики - сімейний лікар",AVERAGE(O352:O354),IF($B$352="Лікар-педіатр",AVERAGE(O352:O354),IF($B$352="Лікар-терапевт","х",0)))</f>
        <v>0</v>
      </c>
      <c r="P356" s="205">
        <f>IF($B$352="Лікар загальної практики - сімейний лікар",AVERAGE(P352:P354),IF($B$352="Лікар-педіатр","x",IF($B$352="Лікар-терапевт",AVERAGE(P352:P354),0)))</f>
        <v>0</v>
      </c>
      <c r="Q356" s="205">
        <f>IF($B$352="Лікар загальної практики - сімейний лікар",AVERAGE(Q352:Q354),IF($B$352="Лікар-педіатр","x",IF($B$352="Лікар-терапевт",AVERAGE(Q352:Q354),0)))</f>
        <v>0</v>
      </c>
      <c r="R356" s="205">
        <f>IF($B$352="Лікар загальної практики - сімейний лікар",AVERAGE(R352:R354),IF($B$352="Лікар-педіатр","x",IF($B$352="Лікар-терапевт",AVERAGE(R352:R354),0)))</f>
        <v>0</v>
      </c>
      <c r="S356" s="206">
        <f>SUM(N356:R356)</f>
        <v>0</v>
      </c>
      <c r="T356" s="930"/>
      <c r="U356" s="205">
        <f>IF($B$352="Лікар загальної практики - сімейний лікар",AVERAGE(U352:U354),IF($B$352="Лікар-педіатр",AVERAGE(U352:U354),IF($B$352="Лікар-терапевт","х",0)))</f>
        <v>0</v>
      </c>
      <c r="V356" s="205">
        <f>IF($B$352="Лікар загальної практики - сімейний лікар",AVERAGE(V352:V354),IF($B$352="Лікар-педіатр",AVERAGE(V352:V354),IF($B$352="Лікар-терапевт","х",0)))</f>
        <v>0</v>
      </c>
      <c r="W356" s="205">
        <f>IF($B$352="Лікар загальної практики - сімейний лікар",AVERAGE(W352:W354),IF($B$352="Лікар-педіатр","x",IF($B$352="Лікар-терапевт",AVERAGE(W352:W354),0)))</f>
        <v>0</v>
      </c>
      <c r="X356" s="205">
        <f>IF($B$352="Лікар загальної практики - сімейний лікар",AVERAGE(X352:X354),IF($B$352="Лікар-педіатр","x",IF($B$352="Лікар-терапевт",AVERAGE(X352:X354),0)))</f>
        <v>0</v>
      </c>
      <c r="Y356" s="205">
        <f>IF($B$352="Лікар загальної практики - сімейний лікар",AVERAGE(Y352:Y354),IF($B$352="Лікар-педіатр","x",IF($B$352="Лікар-терапевт",AVERAGE(Y352:Y354),0)))</f>
        <v>0</v>
      </c>
      <c r="Z356" s="206">
        <f>SUM(U356:Y356)</f>
        <v>0</v>
      </c>
      <c r="AA356" s="930"/>
      <c r="AB356" s="205">
        <f>IF($B$352="Лікар загальної практики - сімейний лікар",AVERAGE(AB352:AB354),IF($B$352="Лікар-педіатр",AVERAGE(AB352:AB354),IF($B$352="Лікар-терапевт","х",0)))</f>
        <v>0</v>
      </c>
      <c r="AC356" s="205">
        <f>IF($B$352="Лікар загальної практики - сімейний лікар",AVERAGE(AC352:AC354),IF($B$352="Лікар-педіатр",AVERAGE(AC352:AC354),IF($B$352="Лікар-терапевт","х",0)))</f>
        <v>0</v>
      </c>
      <c r="AD356" s="205">
        <f>IF($B$352="Лікар загальної практики - сімейний лікар",AVERAGE(AD352:AD354),IF($B$352="Лікар-педіатр","x",IF($B$352="Лікар-терапевт",AVERAGE(AD352:AD354),0)))</f>
        <v>0</v>
      </c>
      <c r="AE356" s="205">
        <f>IF($B$352="Лікар загальної практики - сімейний лікар",AVERAGE(AE352:AE354),IF($B$352="Лікар-педіатр","x",IF($B$352="Лікар-терапевт",AVERAGE(AE352:AE354),0)))</f>
        <v>0</v>
      </c>
      <c r="AF356" s="205">
        <f>IF($B$352="Лікар загальної практики - сімейний лікар",AVERAGE(AF352:AF354),IF($B$352="Лікар-педіатр","x",IF($B$352="Лікар-терапевт",AVERAGE(AF352:AF354),0)))</f>
        <v>0</v>
      </c>
      <c r="AG356" s="206">
        <f>SUM(AB356:AF356)</f>
        <v>0</v>
      </c>
      <c r="AH356" s="930"/>
      <c r="AI356" s="201"/>
      <c r="AJ356" s="933"/>
      <c r="AK356" s="927"/>
      <c r="AL356" s="927"/>
      <c r="AM356" s="903"/>
      <c r="AN356" s="925"/>
      <c r="AO356" s="925"/>
      <c r="AP356" s="925"/>
      <c r="AQ356" s="925"/>
      <c r="AR356" s="916"/>
    </row>
    <row r="357" spans="1:44" s="50" customFormat="1" ht="40.5" hidden="1">
      <c r="A357" s="197"/>
      <c r="B357" s="893"/>
      <c r="C357" s="896"/>
      <c r="D357" s="912"/>
      <c r="E357" s="909"/>
      <c r="F357" s="237" t="str">
        <f ca="1">IF(B352="Лікар-педіатр",Законод!$C$17,IF(B352="Лікар загальної практики - сімейний лікар",Законод!$C$21,IF(B352="Лікар-терапевт",Законод!$C$25,"х")))</f>
        <v>х</v>
      </c>
      <c r="G357" s="208">
        <f ca="1">IF($B$352="Лікар загальної практики - сімейний лікар",IF(L356&lt;=Законод!$C$22,G356,Законод!$C$22*'01_Доходи'!G355),IF($B$352="Лікар-педіатр",IF(L356&lt;=Законод!$C$18,G356,Законод!$C$18*'01_Доходи'!G355),IF($B$352="Лікар-терапевт","x",0)))</f>
        <v>0</v>
      </c>
      <c r="H357" s="208">
        <f ca="1">IF($B$352="Лікар загальної практики - сімейний лікар",IF(L356&lt;=Законод!$C$22,H356,Законод!$C$22*'01_Доходи'!H355),IF($B$352="Лікар-педіатр",IF(L356&lt;=Законод!$C$18,H356,Законод!$C$18*'01_Доходи'!H355),IF($B$352="Лікар-терапевт","x",0)))</f>
        <v>0</v>
      </c>
      <c r="I357" s="208">
        <f ca="1">IF($B$352="Лікар загальної практики - сімейний лікар",IF(L356&lt;=Законод!$C$22,I356,Законод!$C$22*'01_Доходи'!I355),IF($B$352="Лікар-педіатр","x",IF($B$352="Лікар-терапевт",IF(L356&lt;=Законод!$C$26,I356,Законод!$C$26*'01_Доходи'!I355),0)))</f>
        <v>0</v>
      </c>
      <c r="J357" s="208">
        <f ca="1">IF($B$352="Лікар загальної практики - сімейний лікар",IF(L356&lt;=Законод!$C$22,J356,Законод!$C$22*'01_Доходи'!J355),IF($B$352="Лікар-педіатр","x",IF($B$352="Лікар-терапевт",IF(L356&lt;=Законод!$C$26,J356,Законод!$C$26*'01_Доходи'!J355),0)))</f>
        <v>0</v>
      </c>
      <c r="K357" s="208">
        <f ca="1">IF($B$352="Лікар загальної практики - сімейний лікар",IF(L356&lt;=Законод!$C$22,K356,Законод!$C$22*'01_Доходи'!K355),IF($B$352="Лікар-педіатр","x",IF($B$352="Лікар-терапевт",IF(L356&lt;=Законод!$C$26,K356,Законод!$C$26*'01_Доходи'!K355),0)))</f>
        <v>0</v>
      </c>
      <c r="L357" s="209">
        <f ca="1">SUM(G357:K357)</f>
        <v>0</v>
      </c>
      <c r="M357" s="930"/>
      <c r="N357" s="208">
        <f ca="1">IF($B$352="Лікар загальної практики - сімейний лікар",IF(S356&lt;=Законод!$C$22,N356,Законод!$C$22*'01_Доходи'!N355),IF($B$352="Лікар-педіатр",IF(S356&lt;=Законод!$C$18,N356,Законод!$C$18*'01_Доходи'!N355),IF($B$352="Лікар-терапевт","x",0)))</f>
        <v>0</v>
      </c>
      <c r="O357" s="208">
        <f ca="1">IF($B$352="Лікар загальної практики - сімейний лікар",IF(S356&lt;=Законод!$C$22,O356,Законод!$C$22*'01_Доходи'!O355),IF($B$352="Лікар-педіатр",IF(S356&lt;=Законод!$C$18,O356,Законод!$C$18*'01_Доходи'!O355),IF($B$352="Лікар-терапевт","x",0)))</f>
        <v>0</v>
      </c>
      <c r="P357" s="208">
        <f ca="1">IF($B$352="Лікар загальної практики - сімейний лікар",IF(S356&lt;=Законод!$C$22,P356,Законод!$C$22*'01_Доходи'!P355),IF($B$352="Лікар-педіатр","x",IF($B$352="Лікар-терапевт",IF(S356&lt;=Законод!$C$26,P356,Законод!$C$26*'01_Доходи'!P355),0)))</f>
        <v>0</v>
      </c>
      <c r="Q357" s="208">
        <f ca="1">IF($B$352="Лікар загальної практики - сімейний лікар",IF(S356&lt;=Законод!$C$22,Q356,Законод!$C$22*'01_Доходи'!Q355),IF($B$352="Лікар-педіатр","x",IF($B$352="Лікар-терапевт",IF(S356&lt;=Законод!$C$26,Q356,Законод!$C$26*'01_Доходи'!Q355),0)))</f>
        <v>0</v>
      </c>
      <c r="R357" s="208">
        <f ca="1">IF($B$352="Лікар загальної практики - сімейний лікар",IF(S356&lt;=Законод!$C$22,R356,Законод!$C$22*'01_Доходи'!R355),IF($B$352="Лікар-педіатр","x",IF($B$352="Лікар-терапевт",IF(S356&lt;=Законод!$C$26,R356,Законод!$C$26*'01_Доходи'!R355),0)))</f>
        <v>0</v>
      </c>
      <c r="S357" s="209">
        <f ca="1">SUM(N357:R357)</f>
        <v>0</v>
      </c>
      <c r="T357" s="930"/>
      <c r="U357" s="208">
        <f ca="1">IF($B$352="Лікар загальної практики - сімейний лікар",IF(Z356&lt;=Законод!$C$22,U356,Законод!$C$22*'01_Доходи'!U355),IF($B$352="Лікар-педіатр",IF(Z356&lt;=Законод!$C$18,U356,Законод!$C$18*'01_Доходи'!U355),IF($B$352="Лікар-терапевт","x",0)))</f>
        <v>0</v>
      </c>
      <c r="V357" s="208">
        <f ca="1">IF($B$352="Лікар загальної практики - сімейний лікар",IF(Z356&lt;=Законод!$C$22,V356,Законод!$C$22*'01_Доходи'!V355),IF($B$352="Лікар-педіатр",IF(Z356&lt;=Законод!$C$18,V356,Законод!$C$18*'01_Доходи'!V355),IF($B$352="Лікар-терапевт","x",0)))</f>
        <v>0</v>
      </c>
      <c r="W357" s="208">
        <f ca="1">IF($B$352="Лікар загальної практики - сімейний лікар",IF(Z356&lt;=Законод!$C$22,W356,Законод!$C$22*'01_Доходи'!W355),IF($B$352="Лікар-педіатр","x",IF($B$352="Лікар-терапевт",IF(Z356&lt;=Законод!$C$26,W356,Законод!$C$26*'01_Доходи'!W355),0)))</f>
        <v>0</v>
      </c>
      <c r="X357" s="208">
        <f ca="1">IF($B$352="Лікар загальної практики - сімейний лікар",IF(Z356&lt;=Законод!$C$22,X356,Законод!$C$22*'01_Доходи'!X355),IF($B$352="Лікар-педіатр","x",IF($B$352="Лікар-терапевт",IF(Z356&lt;=Законод!$C$26,X356,Законод!$C$26*'01_Доходи'!X355),0)))</f>
        <v>0</v>
      </c>
      <c r="Y357" s="208">
        <f ca="1">IF($B$352="Лікар загальної практики - сімейний лікар",IF(Z356&lt;=Законод!$C$22,Y356,Законод!$C$22*'01_Доходи'!Y355),IF($B$352="Лікар-педіатр","x",IF($B$352="Лікар-терапевт",IF(Z356&lt;=Законод!$C$26,Y356,Законод!$C$26*'01_Доходи'!Y355),0)))</f>
        <v>0</v>
      </c>
      <c r="Z357" s="209">
        <f ca="1">SUM(U357:Y357)</f>
        <v>0</v>
      </c>
      <c r="AA357" s="930"/>
      <c r="AB357" s="208">
        <f ca="1">IF($B$352="Лікар загальної практики - сімейний лікар",IF(AG356&lt;=Законод!$C$22,AB356,Законод!$C$22*'01_Доходи'!AB355),IF($B$352="Лікар-педіатр",IF(AG356&lt;=Законод!$C$18,AB356,Законод!$C$18*'01_Доходи'!AB355),IF($B$352="Лікар-терапевт","x",0)))</f>
        <v>0</v>
      </c>
      <c r="AC357" s="208">
        <f ca="1">IF($B$352="Лікар загальної практики - сімейний лікар",IF(AG356&lt;=Законод!$C$22,AC356,Законод!$C$22*'01_Доходи'!AC355),IF($B$352="Лікар-педіатр",IF(AG356&lt;=Законод!$C$18,AC356,Законод!$C$18*'01_Доходи'!AC355),IF($B$352="Лікар-терапевт","x",0)))</f>
        <v>0</v>
      </c>
      <c r="AD357" s="208">
        <f ca="1">IF($B$352="Лікар загальної практики - сімейний лікар",IF(AG356&lt;=Законод!$C$22,AD356,Законод!$C$22*'01_Доходи'!AD355),IF($B$352="Лікар-педіатр","x",IF($B$352="Лікар-терапевт",IF(AG356&lt;=Законод!$C$26,AD356,Законод!$C$26*'01_Доходи'!AD355),0)))</f>
        <v>0</v>
      </c>
      <c r="AE357" s="208">
        <f ca="1">IF($B$352="Лікар загальної практики - сімейний лікар",IF(AG356&lt;=Законод!$C$22,AE356,Законод!$C$22*'01_Доходи'!AE355),IF($B$352="Лікар-педіатр","x",IF($B$352="Лікар-терапевт",IF(AG356&lt;=Законод!$C$26,AE356,Законод!$C$26*'01_Доходи'!AE355),0)))</f>
        <v>0</v>
      </c>
      <c r="AF357" s="208">
        <f ca="1">IF($B$352="Лікар загальної практики - сімейний лікар",IF(AG356&lt;=Законод!$C$22,AF356,Законод!$C$22*'01_Доходи'!AF355),IF($B$352="Лікар-педіатр","x",IF($B$352="Лікар-терапевт",IF(AG356&lt;=Законод!$C$26,AF356,Законод!$C$26*'01_Доходи'!AF355),0)))</f>
        <v>0</v>
      </c>
      <c r="AG357" s="209">
        <f ca="1">SUM(AB357:AF357)</f>
        <v>0</v>
      </c>
      <c r="AH357" s="930"/>
      <c r="AI357" s="201"/>
      <c r="AJ357" s="933"/>
      <c r="AK357" s="927"/>
      <c r="AL357" s="927"/>
      <c r="AM357" s="348" t="s">
        <v>374</v>
      </c>
      <c r="AN357" s="210">
        <f ca="1">IF(B352="Лікар загальної практики - сімейний лікар",G357*Законод!$C$11+'01_Доходи'!H357*Законод!$D$11+'01_Доходи'!I357*Законод!$E$11+'01_Доходи'!J357*Законод!$F$11+'01_Доходи'!K357*Законод!$G$11,IF(B352="Лікар-педіатр",G357*Законод!$C$11+'01_Доходи'!H357*Законод!$D$11,IF(B352="Лікар-терапевт",'01_Доходи'!I357*Законод!$E$11+'01_Доходи'!J357*Законод!$F$11+'01_Доходи'!K357*Законод!$G$11,0)))</f>
        <v>0</v>
      </c>
      <c r="AO357" s="210">
        <f ca="1">IF(B352="Лікар загальної практики - сімейний лікар",N357*Законод!$C$11+'01_Доходи'!O357*Законод!$D$11+'01_Доходи'!P357*Законод!$E$11+'01_Доходи'!Q357*Законод!$F$11+'01_Доходи'!R357*Законод!$G$11,IF(B352="Лікар-педіатр",N357*Законод!$C$11+'01_Доходи'!O357*Законод!$D$11,IF(B352="Лікар-терапевт",'01_Доходи'!P357*Законод!$E$11+'01_Доходи'!Q357*Законод!$F$11+'01_Доходи'!R357*Законод!$G$11,0)))</f>
        <v>0</v>
      </c>
      <c r="AP357" s="210">
        <f ca="1">IF(B352="Лікар загальної практики - сімейний лікар",U357*Законод!$C$11+'01_Доходи'!V357*Законод!$D$11+'01_Доходи'!W357*Законод!$E$11+'01_Доходи'!X357*Законод!$F$11+'01_Доходи'!Y357*Законод!$G$11,IF(B352="Лікар-педіатр",U357*Законод!$C$11+'01_Доходи'!V357*Законод!$D$11,IF(B352="Лікар-терапевт",'01_Доходи'!W357*Законод!$E$11+'01_Доходи'!X357*Законод!$F$11+'01_Доходи'!Y357*Законод!$G$11,0)))</f>
        <v>0</v>
      </c>
      <c r="AQ357" s="210">
        <f ca="1">IF(B352="Лікар загальної практики - сімейний лікар",AB357*Законод!$C$11+'01_Доходи'!AC357*Законод!$D$11+'01_Доходи'!AD357*Законод!$E$11+'01_Доходи'!AE357*Законод!$F$11+'01_Доходи'!AF357*Законод!$G$11,IF(B352="Лікар-педіатр",AB357*Законод!$C$11+'01_Доходи'!AC357*Законод!$D$11,IF(B352="Лікар-терапевт",'01_Доходи'!AD357*Законод!$E$11+'01_Доходи'!AE357*Законод!$F$11+'01_Доходи'!AF357*Законод!$G$11,0)))</f>
        <v>0</v>
      </c>
      <c r="AR357" s="211">
        <f t="shared" ref="AR357:AR363" si="54">SUM(AN357:AQ357)</f>
        <v>0</v>
      </c>
    </row>
    <row r="358" spans="1:44" s="50" customFormat="1" ht="31.9" hidden="1" customHeight="1">
      <c r="A358" s="197"/>
      <c r="B358" s="893"/>
      <c r="C358" s="896"/>
      <c r="D358" s="912"/>
      <c r="E358" s="909"/>
      <c r="F358" s="238" t="str">
        <f ca="1">IF(B352="Лікар-педіатр",Законод!$E$17,IF(B352="Лікар загальної практики - сімейний лікар",Законод!$E$21,IF(B352="Лікар-терапевт",Законод!$E$25,"х")))</f>
        <v>х</v>
      </c>
      <c r="G358" s="889" t="s">
        <v>346</v>
      </c>
      <c r="H358" s="890"/>
      <c r="I358" s="890"/>
      <c r="J358" s="890"/>
      <c r="K358" s="891"/>
      <c r="L358" s="196">
        <f ca="1">IF($B$352="Лікар загальної практики - сімейний лікар",IF(L356&lt;Законод!$C$22,0,(IF(AND(L356&gt;=Законод!$E$22,L356&lt;=Законод!$E$23),L356-Законод!$C$22,IF('01_Доходи'!L356&gt;=Законод!$F$22,Законод!$E$24,0)))),IF($B$352="Лікар-педіатр",IF(L356&lt;Законод!$C$18,0,(IF(AND(L356&gt;=Законод!$E$18,L356&lt;=Законод!$E$19),L356-Законод!$C$18,IF('01_Доходи'!L356&gt;=Законод!$F$18,Законод!$E$20,0)))),IF($B$352="Лікар-терапевт",IF(L356&lt;Законод!$C$26,0,(IF(AND(L356&gt;=Законод!$E$26,L356&lt;=Законод!$E$27),L356-Законод!$C$26,IF('01_Доходи'!L356&gt;=Законод!$F$26,Законод!$E$28,0)))),0)))</f>
        <v>0</v>
      </c>
      <c r="M358" s="930"/>
      <c r="N358" s="889" t="s">
        <v>346</v>
      </c>
      <c r="O358" s="890"/>
      <c r="P358" s="890"/>
      <c r="Q358" s="890"/>
      <c r="R358" s="891"/>
      <c r="S358" s="196">
        <f ca="1">IF($B$352="Лікар загальної практики - сімейний лікар",IF(S356&lt;Законод!$C$22,0,(IF(AND(S356&gt;=Законод!$E$22,S356&lt;=Законод!$E$23),S356-Законод!$C$22,IF('01_Доходи'!S356&gt;=Законод!$F$22,Законод!$E$24,0)))),IF($B$352="Лікар-педіатр",IF(S356&lt;Законод!$C$18,0,(IF(AND(S356&gt;=Законод!$E$18,S356&lt;=Законод!$E$19),S356-Законод!$C$18,IF('01_Доходи'!S356&gt;=Законод!$F$18,Законод!$E$20,0)))),IF($B$352="Лікар-терапевт",IF(S356&lt;Законод!$C$26,0,(IF(AND(S356&gt;=Законод!$E$26,S356&lt;=Законод!$E$27),S356-Законод!$C$26,IF('01_Доходи'!S356&gt;=Законод!$F$26,Законод!$E$28,0)))),0)))</f>
        <v>0</v>
      </c>
      <c r="T358" s="930"/>
      <c r="U358" s="889" t="s">
        <v>346</v>
      </c>
      <c r="V358" s="890"/>
      <c r="W358" s="890"/>
      <c r="X358" s="890"/>
      <c r="Y358" s="891"/>
      <c r="Z358" s="196">
        <f ca="1">IF($B$352="Лікар загальної практики - сімейний лікар",IF(Z356&lt;Законод!$C$22,0,(IF(AND(Z356&gt;=Законод!$E$22,Z356&lt;=Законод!$E$23),Z356-Законод!$C$22,IF('01_Доходи'!Z356&gt;=Законод!$F$22,Законод!$E$24,0)))),IF($B$352="Лікар-педіатр",IF(Z356&lt;Законод!$C$18,0,(IF(AND(Z356&gt;=Законод!$E$18,Z356&lt;=Законод!$E$19),Z356-Законод!$C$18,IF('01_Доходи'!Z356&gt;=Законод!$F$18,Законод!$E$20,0)))),IF($B$352="Лікар-терапевт",IF(Z356&lt;Законод!$C$26,0,(IF(AND(Z356&gt;=Законод!$E$26,Z356&lt;=Законод!$E$27),Z356-Законод!$C$26,IF('01_Доходи'!Z356&gt;=Законод!$F$26,Законод!$E$28,0)))),0)))</f>
        <v>0</v>
      </c>
      <c r="AA358" s="930"/>
      <c r="AB358" s="889" t="s">
        <v>346</v>
      </c>
      <c r="AC358" s="890"/>
      <c r="AD358" s="890"/>
      <c r="AE358" s="890"/>
      <c r="AF358" s="891"/>
      <c r="AG358" s="196">
        <f ca="1">IF($B$352="Лікар загальної практики - сімейний лікар",IF(AG356&lt;Законод!$C$22,0,(IF(AND(AG356&gt;=Законод!$E$22,AG356&lt;=Законод!$E$23),AG356-Законод!$C$22,IF('01_Доходи'!AG356&gt;=Законод!$F$22,Законод!$E$24,0)))),IF($B$352="Лікар-педіатр",IF(AG356&lt;Законод!$C$18,0,(IF(AND(AG356&gt;=Законод!$E$18,AG356&lt;=Законод!$E$19),AG356-Законод!$C$18,IF('01_Доходи'!AG356&gt;=Законод!$F$18,Законод!$E$20,0)))),IF($B$352="Лікар-терапевт",IF(AG356&lt;Законод!$C$26,0,(IF(AND(AG356&gt;=Законод!$E$26,AG356&lt;=Законод!$E$27),AG356-Законод!$C$26,IF('01_Доходи'!AG356&gt;=Законод!$F$26,Законод!$E$28,0)))),0)))</f>
        <v>0</v>
      </c>
      <c r="AH358" s="930"/>
      <c r="AI358" s="201"/>
      <c r="AJ358" s="933"/>
      <c r="AK358" s="927"/>
      <c r="AL358" s="927"/>
      <c r="AM358" s="898" t="s">
        <v>375</v>
      </c>
      <c r="AN358" s="210">
        <f ca="1">IF(B352="Лікар загальної практики - сімейний лікар",L358*Законод!$C$9/4*Законод!$E$16,IF(B352="Лікар-педіатр",L358*Законод!$C$9/4*Законод!$E$16,IF(B352="Лікар-терапевт",L358*Законод!$C$9/4*Законод!$E$16,0)))</f>
        <v>0</v>
      </c>
      <c r="AO358" s="210">
        <f ca="1">IF(B352="Лікар загальної практики - сімейний лікар",S358*Законод!$C$9/4*Законод!$E$16,IF(B352="Лікар-педіатр",S358*Законод!$C$9/4*Законод!$E$16,IF(B352="Лікар-терапевт",S358*Законод!$C$9/4*Законод!$E$16,0)))</f>
        <v>0</v>
      </c>
      <c r="AP358" s="210">
        <f ca="1">IF(B352="Лікар загальної практики - сімейний лікар",Z358*Законод!$C$9/4*Законод!$E$16,IF(B352="Лікар-педіатр",Z358*Законод!$C$9/4*Законод!$E$16,IF(B352="Лікар-терапевт",Z358*Законод!$C$9/4*Законод!$E$16,0)))</f>
        <v>0</v>
      </c>
      <c r="AQ358" s="210">
        <f ca="1">IF(B352="Лікар загальної практики - сімейний лікар",AG358*Законод!$C$9/4*Законод!$E$16,IF(B352="Лікар-педіатр",AG358*Законод!$C$9/4*Законод!$E$16,IF(B352="Лікар-терапевт",AG358*Законод!$C$9/4*Законод!$E$16,0)))</f>
        <v>0</v>
      </c>
      <c r="AR358" s="211">
        <f t="shared" si="54"/>
        <v>0</v>
      </c>
    </row>
    <row r="359" spans="1:44" s="50" customFormat="1" ht="31.9" hidden="1" customHeight="1">
      <c r="A359" s="197"/>
      <c r="B359" s="893"/>
      <c r="C359" s="896"/>
      <c r="D359" s="912"/>
      <c r="E359" s="909"/>
      <c r="F359" s="238" t="str">
        <f ca="1">IF(B352="Лікар-педіатр",Законод!$F$17,IF(B352="Лікар загальної практики - сімейний лікар",Законод!$F$21,IF(B352="Лікар-терапевт",Законод!$F$25,"х")))</f>
        <v>х</v>
      </c>
      <c r="G359" s="889" t="s">
        <v>346</v>
      </c>
      <c r="H359" s="890"/>
      <c r="I359" s="890"/>
      <c r="J359" s="890"/>
      <c r="K359" s="891"/>
      <c r="L359" s="196">
        <f ca="1">IF($B$352="Лікар загальної практики - сімейний лікар",IF(L356&lt;Законод!$C$22,0,(IF(AND(L356&gt;=Законод!$F$22,L356&lt;=Законод!$F$23),L356-Законод!$E$23,IF('01_Доходи'!L356&gt;=Законод!$G$22,Законод!$F$24,0)))),IF($B$352="Лікар-педіатр",IF(L356&lt;Законод!$C$18,0,(IF(AND(L356&gt;=Законод!$F$18,L356&lt;=Законод!$F$19),L356-Законод!$E$19,IF('01_Доходи'!L356&gt;=Законод!$G$18,Законод!$F$20,0)))),IF($B$352="Лікар-терапевт",IF(L356&lt;Законод!$C$26,0,(IF(AND(L356&gt;=Законод!$F$26,L356&lt;=Законод!$F$27),L356-Законод!$E$27,IF('01_Доходи'!L356&gt;=Законод!$G$26,Законод!$F$28,0)))),0)))</f>
        <v>0</v>
      </c>
      <c r="M359" s="930"/>
      <c r="N359" s="889" t="s">
        <v>346</v>
      </c>
      <c r="O359" s="890"/>
      <c r="P359" s="890"/>
      <c r="Q359" s="890"/>
      <c r="R359" s="891"/>
      <c r="S359" s="196">
        <f ca="1">IF($B$352="Лікар загальної практики - сімейний лікар",IF(S356&lt;Законод!$C$22,0,(IF(AND(S356&gt;=Законод!$F$22,S356&lt;=Законод!$F$23),S356-Законод!$E$23,IF('01_Доходи'!S356&gt;=Законод!$G$22,Законод!$F$24,0)))),IF($B$352="Лікар-педіатр",IF(S356&lt;Законод!$C$18,0,(IF(AND(S356&gt;=Законод!$F$18,S356&lt;=Законод!$F$19),S356-Законод!$E$19,IF('01_Доходи'!S356&gt;=Законод!$G$18,Законод!$F$20,0)))),IF($B$352="Лікар-терапевт",IF(S356&lt;Законод!$C$26,0,(IF(AND(S356&gt;=Законод!$F$26,S356&lt;=Законод!$F$27),S356-Законод!$E$27,IF('01_Доходи'!S356&gt;=Законод!$G$26,Законод!$F$28,0)))),0)))</f>
        <v>0</v>
      </c>
      <c r="T359" s="930"/>
      <c r="U359" s="889" t="s">
        <v>346</v>
      </c>
      <c r="V359" s="890"/>
      <c r="W359" s="890"/>
      <c r="X359" s="890"/>
      <c r="Y359" s="891"/>
      <c r="Z359" s="196">
        <f ca="1">IF($B$352="Лікар загальної практики - сімейний лікар",IF(Z356&lt;Законод!$C$22,0,(IF(AND(Z356&gt;=Законод!$F$22,Z356&lt;=Законод!$F$23),Z356-Законод!$E$23,IF('01_Доходи'!Z356&gt;=Законод!$G$22,Законод!$F$24,0)))),IF($B$352="Лікар-педіатр",IF(Z356&lt;Законод!$C$18,0,(IF(AND(Z356&gt;=Законод!$F$18,Z356&lt;=Законод!$F$19),Z356-Законод!$E$19,IF('01_Доходи'!Z356&gt;=Законод!$G$18,Законод!$F$20,0)))),IF($B$352="Лікар-терапевт",IF(Z356&lt;Законод!$C$26,0,(IF(AND(Z356&gt;=Законод!$F$26,Z356&lt;=Законод!$F$27),Z356-Законод!$E$27,IF('01_Доходи'!Z356&gt;=Законод!$G$26,Законод!$F$28,0)))),0)))</f>
        <v>0</v>
      </c>
      <c r="AA359" s="930"/>
      <c r="AB359" s="889" t="s">
        <v>346</v>
      </c>
      <c r="AC359" s="890"/>
      <c r="AD359" s="890"/>
      <c r="AE359" s="890"/>
      <c r="AF359" s="891"/>
      <c r="AG359" s="196">
        <f ca="1">IF($B$352="Лікар загальної практики - сімейний лікар",IF(AG356&lt;Законод!$C$22,0,(IF(AND(AG356&gt;=Законод!$F$22,AG356&lt;=Законод!$F$23),AG356-Законод!$E$23,IF('01_Доходи'!AG356&gt;=Законод!$G$22,Законод!$F$24,0)))),IF($B$352="Лікар-педіатр",IF(AG356&lt;Законод!$C$18,0,(IF(AND(AG356&gt;=Законод!$F$18,AG356&lt;=Законод!$F$19),AG356-Законод!$E$19,IF('01_Доходи'!AG356&gt;=Законод!$G$18,Законод!$F$20,0)))),IF($B$352="Лікар-терапевт",IF(AG356&lt;Законод!$C$26,0,(IF(AND(AG356&gt;=Законод!$F$26,AG356&lt;=Законод!$F$27),AG356-Законод!$E$27,IF('01_Доходи'!AG356&gt;=Законод!$G$26,Законод!$F$28,0)))),0)))</f>
        <v>0</v>
      </c>
      <c r="AH359" s="930"/>
      <c r="AI359" s="201"/>
      <c r="AJ359" s="933"/>
      <c r="AK359" s="927"/>
      <c r="AL359" s="927"/>
      <c r="AM359" s="899"/>
      <c r="AN359" s="210">
        <f ca="1">IF(B352="Лікар загальної практики - сімейний лікар",L359*Законод!$C$9/4*Законод!$F$16,IF(B352="Лікар-педіатр",L359*Законод!$C$9/4*Законод!$F$16,IF(B352="Лікар-терапевт",L359*Законод!$C$9/4*Законод!$F$16,0)))</f>
        <v>0</v>
      </c>
      <c r="AO359" s="210">
        <f ca="1">IF(B352="Лікар загальної практики - сімейний лікар",S359*Законод!$C$9/4*Законод!$F$16,IF(B352="Лікар-педіатр",S359*Законод!$C$9/4*Законод!$F$16,IF(B352="Лікар-терапевт",S359*Законод!$C$9/4*Законод!$F$16,0)))</f>
        <v>0</v>
      </c>
      <c r="AP359" s="210">
        <f ca="1">IF(B352="Лікар загальної практики - сімейний лікар",Z359*Законод!$C$9/4*Законод!$F$16,IF(B352="Лікар-педіатр",Z359*Законод!$C$9/4*Законод!$F$16,IF(B352="Лікар-терапевт",Z359*Законод!$C$9/4*Законод!$F$16,0)))</f>
        <v>0</v>
      </c>
      <c r="AQ359" s="210">
        <f ca="1">IF(B352="Лікар загальної практики - сімейний лікар",AG359*Законод!$C$9/4*Законод!$F$16,IF(B352="Лікар-педіатр",AG359*Законод!$C$9/4*Законод!$F$16,IF(B352="Лікар-терапевт",AG359*Законод!$C$9/4*Законод!$F$16,0)))</f>
        <v>0</v>
      </c>
      <c r="AR359" s="211">
        <f t="shared" si="54"/>
        <v>0</v>
      </c>
    </row>
    <row r="360" spans="1:44" s="50" customFormat="1" ht="31.9" hidden="1" customHeight="1">
      <c r="A360" s="197"/>
      <c r="B360" s="893"/>
      <c r="C360" s="896"/>
      <c r="D360" s="912"/>
      <c r="E360" s="909"/>
      <c r="F360" s="238" t="str">
        <f ca="1">IF(B352="Лікар-педіатр",Законод!$G$17,IF(B352="Лікар загальної практики - сімейний лікар",Законод!$G$21,IF(B352="Лікар-терапевт",Законод!$G$25,"х")))</f>
        <v>х</v>
      </c>
      <c r="G360" s="889" t="s">
        <v>346</v>
      </c>
      <c r="H360" s="890"/>
      <c r="I360" s="890"/>
      <c r="J360" s="890"/>
      <c r="K360" s="891"/>
      <c r="L360" s="196">
        <f ca="1">IF($B$352="Лікар загальної практики - сімейний лікар",IF(L356&lt;Законод!$C$22,0,(IF(AND(L356&gt;=Законод!$G$22,L356&lt;=Законод!$G$23),L356-Законод!$F$23,IF('01_Доходи'!L356&gt;=Законод!$H$22,Законод!$G$24,0)))),IF($B$352="Лікар-педіатр",IF(L356&lt;Законод!$C$18,0,(IF(AND(L356&gt;=Законод!$G$18,L356&lt;=Законод!$G$19),L356-Законод!$F$19,IF('01_Доходи'!L356&gt;=Законод!$H$18,Законод!$G$20,0)))),IF($B$352="Лікар-терапевт",IF(L356&lt;Законод!$C$26,0,(IF(AND(L356&gt;=Законод!$G$26,L356&lt;=Законод!$G$27),L356-Законод!$F$27,IF('01_Доходи'!L356&gt;=Законод!$H$26,Законод!$G$28,0)))),0)))</f>
        <v>0</v>
      </c>
      <c r="M360" s="930"/>
      <c r="N360" s="889" t="s">
        <v>346</v>
      </c>
      <c r="O360" s="890"/>
      <c r="P360" s="890"/>
      <c r="Q360" s="890"/>
      <c r="R360" s="891"/>
      <c r="S360" s="196">
        <f ca="1">IF($B$352="Лікар загальної практики - сімейний лікар",IF(S356&lt;Законод!$C$22,0,(IF(AND(S356&gt;=Законод!$G$22,S356&lt;=Законод!$G$23),S356-Законод!$F$23,IF('01_Доходи'!S356&gt;=Законод!$H$22,Законод!$G$24,0)))),IF($B$352="Лікар-педіатр",IF(S356&lt;Законод!$C$18,0,(IF(AND(S356&gt;=Законод!$G$18,S356&lt;=Законод!$G$19),S356-Законод!$F$19,IF('01_Доходи'!S356&gt;=Законод!$H$18,Законод!$G$20,0)))),IF($B$352="Лікар-терапевт",IF(S356&lt;Законод!$C$26,0,(IF(AND(S356&gt;=Законод!$G$26,S356&lt;=Законод!$G$27),S356-Законод!$F$27,IF('01_Доходи'!S356&gt;=Законод!$H$26,Законод!$G$28,0)))),0)))</f>
        <v>0</v>
      </c>
      <c r="T360" s="930"/>
      <c r="U360" s="889" t="s">
        <v>346</v>
      </c>
      <c r="V360" s="890"/>
      <c r="W360" s="890"/>
      <c r="X360" s="890"/>
      <c r="Y360" s="891"/>
      <c r="Z360" s="196">
        <f ca="1">IF($B$352="Лікар загальної практики - сімейний лікар",IF(Z356&lt;Законод!$C$22,0,(IF(AND(Z356&gt;=Законод!$G$22,Z356&lt;=Законод!$G$23),Z356-Законод!$F$23,IF('01_Доходи'!Z356&gt;=Законод!$H$22,Законод!$G$24,0)))),IF($B$352="Лікар-педіатр",IF(Z356&lt;Законод!$C$18,0,(IF(AND(Z356&gt;=Законод!$G$18,Z356&lt;=Законод!$G$19),Z356-Законод!$F$19,IF('01_Доходи'!Z356&gt;=Законод!$H$18,Законод!$G$20,0)))),IF($B$352="Лікар-терапевт",IF(Z356&lt;Законод!$C$26,0,(IF(AND(Z356&gt;=Законод!$G$26,Z356&lt;=Законод!$G$27),Z356-Законод!$F$27,IF('01_Доходи'!Z356&gt;=Законод!$H$26,Законод!$G$28,0)))),0)))</f>
        <v>0</v>
      </c>
      <c r="AA360" s="930"/>
      <c r="AB360" s="889" t="s">
        <v>346</v>
      </c>
      <c r="AC360" s="890"/>
      <c r="AD360" s="890"/>
      <c r="AE360" s="890"/>
      <c r="AF360" s="891"/>
      <c r="AG360" s="196">
        <f ca="1">IF($B$352="Лікар загальної практики - сімейний лікар",IF(AG356&lt;Законод!$C$22,0,(IF(AND(AG356&gt;=Законод!$G$22,AG356&lt;=Законод!$G$23),AG356-Законод!$F$23,IF('01_Доходи'!AG356&gt;=Законод!$H$22,Законод!$G$24,0)))),IF($B$352="Лікар-педіатр",IF(AG356&lt;Законод!$C$18,0,(IF(AND(AG356&gt;=Законод!$G$18,AG356&lt;=Законод!$G$19),AG356-Законод!$F$19,IF('01_Доходи'!AG356&gt;=Законод!$H$18,Законод!$G$20,0)))),IF($B$352="Лікар-терапевт",IF(AG356&lt;Законод!$C$26,0,(IF(AND(AG356&gt;=Законод!$G$26,AG356&lt;=Законод!$G$27),AG356-Законод!$F$27,IF('01_Доходи'!AG356&gt;=Законод!$H$26,Законод!$G$28,0)))),0)))</f>
        <v>0</v>
      </c>
      <c r="AH360" s="930"/>
      <c r="AI360" s="201"/>
      <c r="AJ360" s="933"/>
      <c r="AK360" s="927"/>
      <c r="AL360" s="927"/>
      <c r="AM360" s="899"/>
      <c r="AN360" s="210">
        <f ca="1">IF(B352="Лікар загальної практики - сімейний лікар",L360*Законод!$C$9/4*Законод!$G$16,IF(B352="Лікар-педіатр",L360*Законод!$C$9/4*Законод!$G$16,IF(B352="Лікар-терапевт",L360*Законод!$C$9/4*Законод!$G$16,0)))</f>
        <v>0</v>
      </c>
      <c r="AO360" s="210">
        <f ca="1">IF(B352="Лікар загальної практики - сімейний лікар",S360*Законод!$C$9/4*Законод!$G$16,IF(B352="Лікар-педіатр",S360*Законод!$C$9/4*Законод!$G$16,IF(B352="Лікар-терапевт",S360*Законод!$C$9/4*Законод!$G$16,0)))</f>
        <v>0</v>
      </c>
      <c r="AP360" s="210">
        <f ca="1">IF(B352="Лікар загальної практики - сімейний лікар",Z360*Законод!$C$9/4*Законод!$G$16,IF(B352="Лікар-педіатр",Z360*Законод!$C$9/4*Законод!$G$16,IF(B352="Лікар-терапевт",Z360*Законод!$C$9/4*Законод!$G$16,0)))</f>
        <v>0</v>
      </c>
      <c r="AQ360" s="210">
        <f ca="1">IF(B352="Лікар загальної практики - сімейний лікар",AG360*Законод!$C$9/4*Законод!$G$16,IF(B352="Лікар-педіатр",AG360*Законод!$C$9/4*Законод!$G$16,IF(B352="Лікар-терапевт",AG360*Законод!$C$9/4*Законод!$G$16,0)))</f>
        <v>0</v>
      </c>
      <c r="AR360" s="211">
        <f t="shared" si="54"/>
        <v>0</v>
      </c>
    </row>
    <row r="361" spans="1:44" s="50" customFormat="1" ht="31.9" hidden="1" customHeight="1">
      <c r="A361" s="197"/>
      <c r="B361" s="893"/>
      <c r="C361" s="896"/>
      <c r="D361" s="912"/>
      <c r="E361" s="909"/>
      <c r="F361" s="238" t="str">
        <f ca="1">IF(B352="Лікар-педіатр",Законод!$H$17,IF(B352="Лікар загальної практики - сімейний лікар",Законод!$H$21,IF(B352="Лікар-терапевт",Законод!$H$25,"х")))</f>
        <v>х</v>
      </c>
      <c r="G361" s="889" t="s">
        <v>346</v>
      </c>
      <c r="H361" s="890"/>
      <c r="I361" s="890"/>
      <c r="J361" s="890"/>
      <c r="K361" s="891"/>
      <c r="L361" s="196">
        <f ca="1">IF($B$352="Лікар загальної практики - сімейний лікар",IF(L356&lt;Законод!$C$22,0,(IF(AND(L356&gt;=Законод!$H$22,L356&lt;=Законод!$H$23),L356-Законод!$G$23,IF('01_Доходи'!L356&gt;=Законод!$I$22,Законод!$H$24,0)))),IF($B$352="Лікар-педіатр",IF(L356&lt;Законод!$C$18,0,(IF(AND(L356&gt;=Законод!$H$18,L356&lt;=Законод!$H$19),L356-Законод!$G$19,IF('01_Доходи'!L356&gt;=Законод!$I$18,Законод!$H$20,0)))),IF($B$352="Лікар-терапевт",IF(L356&lt;Законод!$C$26,0,(IF(AND(L356&gt;=Законод!$H$26,L356&lt;=Законод!$H$27),L356-Законод!$G$27,IF(L356&gt;=Законод!$I$26,Законод!$H$28,0)))),0)))</f>
        <v>0</v>
      </c>
      <c r="M361" s="930"/>
      <c r="N361" s="889" t="s">
        <v>346</v>
      </c>
      <c r="O361" s="890"/>
      <c r="P361" s="890"/>
      <c r="Q361" s="890"/>
      <c r="R361" s="891"/>
      <c r="S361" s="196">
        <f ca="1">IF($B$352="Лікар загальної практики - сімейний лікар",IF(S356&lt;Законод!$C$22,0,(IF(AND(S356&gt;=Законод!$H$22,S356&lt;=Законод!$H$23),S356-Законод!$G$23,IF('01_Доходи'!S356&gt;=Законод!$I$22,Законод!$H$24,0)))),IF($B$352="Лікар-педіатр",IF(S356&lt;Законод!$C$18,0,(IF(AND(S356&gt;=Законод!$H$18,S356&lt;=Законод!$H$19),S356-Законод!$G$19,IF('01_Доходи'!S356&gt;=Законод!$I$18,Законод!$H$20,0)))),IF($B$352="Лікар-терапевт",IF(S356&lt;Законод!$C$26,0,(IF(AND(S356&gt;=Законод!$H$26,S356&lt;=Законод!$H$27),S356-Законод!$G$27,IF(S356&gt;=Законод!$I$26,Законод!$H$28,0)))),0)))</f>
        <v>0</v>
      </c>
      <c r="T361" s="930"/>
      <c r="U361" s="889" t="s">
        <v>346</v>
      </c>
      <c r="V361" s="890"/>
      <c r="W361" s="890"/>
      <c r="X361" s="890"/>
      <c r="Y361" s="891"/>
      <c r="Z361" s="196">
        <f ca="1">IF($B$352="Лікар загальної практики - сімейний лікар",IF(Z356&lt;Законод!$C$22,0,(IF(AND(Z356&gt;=Законод!$H$22,Z356&lt;=Законод!$H$23),Z356-Законод!$G$23,IF('01_Доходи'!Z356&gt;=Законод!$I$22,Законод!$H$24,0)))),IF($B$352="Лікар-педіатр",IF(Z356&lt;Законод!$C$18,0,(IF(AND(Z356&gt;=Законод!$H$18,Z356&lt;=Законод!$H$19),Z356-Законод!$G$19,IF('01_Доходи'!Z356&gt;=Законод!$I$18,Законод!$H$20,0)))),IF($B$352="Лікар-терапевт",IF(Z356&lt;Законод!$C$26,0,(IF(AND(Z356&gt;=Законод!$H$26,Z356&lt;=Законод!$H$27),Z356-Законод!$G$27,IF(Z356&gt;=Законод!$I$26,Законод!$H$28,0)))),0)))</f>
        <v>0</v>
      </c>
      <c r="AA361" s="930"/>
      <c r="AB361" s="889" t="s">
        <v>346</v>
      </c>
      <c r="AC361" s="890"/>
      <c r="AD361" s="890"/>
      <c r="AE361" s="890"/>
      <c r="AF361" s="891"/>
      <c r="AG361" s="196">
        <f ca="1">IF($B$352="Лікар загальної практики - сімейний лікар",IF(AG356&lt;Законод!$C$22,0,(IF(AND(AG356&gt;=Законод!$H$22,AG356&lt;=Законод!$H$23),AG356-Законод!$G$23,IF('01_Доходи'!AG356&gt;=Законод!$I$22,Законод!$H$24,0)))),IF($B$352="Лікар-педіатр",IF(AG356&lt;Законод!$C$18,0,(IF(AND(AG356&gt;=Законод!$H$18,AG356&lt;=Законод!$H$19),AG356-Законод!$G$19,IF('01_Доходи'!AG356&gt;=Законод!$I$18,Законод!$H$20,0)))),IF($B$352="Лікар-терапевт",IF(AG356&lt;Законод!$C$26,0,(IF(AND(AG356&gt;=Законод!$H$26,AG356&lt;=Законод!$H$27),AG356-Законод!$G$27,IF(AG356&gt;=Законод!$I$26,Законод!$H$28,0)))),0)))</f>
        <v>0</v>
      </c>
      <c r="AH361" s="930"/>
      <c r="AI361" s="201"/>
      <c r="AJ361" s="933"/>
      <c r="AK361" s="927"/>
      <c r="AL361" s="927"/>
      <c r="AM361" s="899"/>
      <c r="AN361" s="210">
        <f ca="1">IF(B352="Лікар загальної практики - сімейний лікар",L361*Законод!$C$9/4*Законод!$H$16,IF(B352="Лікар-педіатр",L361*Законод!$C$9/4*Законод!$H$16,IF(B352="Лікар-терапевт",L361*Законод!$C$9/4*Законод!$H$16,0)))</f>
        <v>0</v>
      </c>
      <c r="AO361" s="210">
        <f ca="1">IF(B352="Лікар загальної практики - сімейний лікар",S361*Законод!$C$9/4*Законод!$H$16,IF(B352="Лікар-педіатр",S361*Законод!$C$9/4*Законод!$H$16,IF(B352="Лікар-терапевт",S361*Законод!$C$9/4*Законод!$H$16,0)))</f>
        <v>0</v>
      </c>
      <c r="AP361" s="210">
        <f ca="1">IF(B352="Лікар загальної практики - сімейний лікар",Z361*Законод!$C$9/4*Законод!$H$16,IF(B352="Лікар-педіатр",Z361*Законод!$C$9/4*Законод!$H$16,IF(B352="Лікар-терапевт",Z361*Законод!$C$9/4*Законод!$H$16,0)))</f>
        <v>0</v>
      </c>
      <c r="AQ361" s="210">
        <f ca="1">IF(B352="Лікар загальної практики - сімейний лікар",AG361*Законод!$C$9/4*Законод!$H$16,IF(B352="Лікар-педіатр",AG361*Законод!$C$9/4*Законод!$H$16,IF(B352="Лікар-терапевт",AG361*Законод!$C$9/4*Законод!$H$16,0)))</f>
        <v>0</v>
      </c>
      <c r="AR361" s="211">
        <f t="shared" si="54"/>
        <v>0</v>
      </c>
    </row>
    <row r="362" spans="1:44" s="50" customFormat="1" ht="31.9" hidden="1" customHeight="1">
      <c r="A362" s="197"/>
      <c r="B362" s="893"/>
      <c r="C362" s="896"/>
      <c r="D362" s="912"/>
      <c r="E362" s="909"/>
      <c r="F362" s="238" t="str">
        <f ca="1">IF(B352="Лікар-педіатр",Законод!$I$17,IF(B352="Лікар загальної практики - сімейний лікар",Законод!$I$21,IF(B352="Лікар-терапевт",Законод!$I$25,"х")))</f>
        <v>х</v>
      </c>
      <c r="G362" s="889" t="s">
        <v>346</v>
      </c>
      <c r="H362" s="890"/>
      <c r="I362" s="890"/>
      <c r="J362" s="890"/>
      <c r="K362" s="891"/>
      <c r="L362" s="196">
        <f ca="1">IF($B$352="Лікар загальної практики - сімейний лікар",IF(L356&lt;Законод!$C$22,0,(IF(AND(L356&gt;=Законод!$I$22,L356&lt;=Законод!$I$23),L356-Законод!$H$23,IF('01_Доходи'!L356&gt;=Законод!$I$22,Законод!$I$24,0)))),IF($B$352="Лікар-педіатр",IF(L356&lt;Законод!$C$18,0,(IF(AND(L356&gt;=Законод!$I$18,L356&lt;=Законод!$I$19),L356-Законод!$H$19,IF('01_Доходи'!L356&gt;=Законод!$I$18,Законод!$H$20,0)))),IF($B$352="Лікар-терапевт",IF(L356&lt;Законод!$C$26,0,(IF(AND(L356&gt;=Законод!$I$26,L356&lt;=Законод!$I$27),L356-Законод!$H$27,IF('01_Доходи'!L356&gt;=Законод!$I$26,Законод!$H$28,0)))),0)))</f>
        <v>0</v>
      </c>
      <c r="M362" s="930"/>
      <c r="N362" s="889" t="s">
        <v>346</v>
      </c>
      <c r="O362" s="890"/>
      <c r="P362" s="890"/>
      <c r="Q362" s="890"/>
      <c r="R362" s="891"/>
      <c r="S362" s="196">
        <f ca="1">IF($B$352="Лікар загальної практики - сімейний лікар",IF(S356&lt;Законод!$C$22,0,(IF(AND(S356&gt;=Законод!$I$22,S356&lt;=Законод!$I$23),S356-Законод!$H$23,IF('01_Доходи'!S356&gt;=Законод!$I$22,Законод!$I$24,0)))),IF($B$352="Лікар-педіатр",IF(S356&lt;Законод!$C$18,0,(IF(AND(S356&gt;=Законод!$I$18,S356&lt;=Законод!$I$19),S356-Законод!$H$19,IF('01_Доходи'!S356&gt;=Законод!$I$18,Законод!$H$20,0)))),IF($B$352="Лікар-терапевт",IF(S356&lt;Законод!$C$26,0,(IF(AND(S356&gt;=Законод!$I$26,S356&lt;=Законод!$I$27),S356-Законод!$H$27,IF('01_Доходи'!S356&gt;=Законод!$I$26,Законод!$H$28,0)))),0)))</f>
        <v>0</v>
      </c>
      <c r="T362" s="930"/>
      <c r="U362" s="889" t="s">
        <v>346</v>
      </c>
      <c r="V362" s="890"/>
      <c r="W362" s="890"/>
      <c r="X362" s="890"/>
      <c r="Y362" s="891"/>
      <c r="Z362" s="196">
        <f ca="1">IF($B$352="Лікар загальної практики - сімейний лікар",IF(Z356&lt;Законод!$C$22,0,(IF(AND(Z356&gt;=Законод!$I$22,Z356&lt;=Законод!$I$23),Z356-Законод!$H$23,IF('01_Доходи'!Z356&gt;=Законод!$I$22,Законод!$I$24,0)))),IF($B$352="Лікар-педіатр",IF(Z356&lt;Законод!$C$18,0,(IF(AND(Z356&gt;=Законод!$I$18,Z356&lt;=Законод!$I$19),Z356-Законод!$H$19,IF('01_Доходи'!Z356&gt;=Законод!$I$18,Законод!$H$20,0)))),IF($B$352="Лікар-терапевт",IF(Z356&lt;Законод!$C$26,0,(IF(AND(Z356&gt;=Законод!$I$26,Z356&lt;=Законод!$I$27),Z356-Законод!$H$27,IF('01_Доходи'!Z356&gt;=Законод!$I$26,Законод!$H$28,0)))),0)))</f>
        <v>0</v>
      </c>
      <c r="AA362" s="930"/>
      <c r="AB362" s="889" t="s">
        <v>346</v>
      </c>
      <c r="AC362" s="890"/>
      <c r="AD362" s="890"/>
      <c r="AE362" s="890"/>
      <c r="AF362" s="891"/>
      <c r="AG362" s="196">
        <f ca="1">IF($B$352="Лікар загальної практики - сімейний лікар",IF(AG356&lt;Законод!$C$22,0,(IF(AND(AG356&gt;=Законод!$I$22,AG356&lt;=Законод!$I$23),AG356-Законод!$H$23,IF('01_Доходи'!AG356&gt;=Законод!$I$22,Законод!$I$24,0)))),IF($B$352="Лікар-педіатр",IF(AG356&lt;Законод!$C$18,0,(IF(AND(AG356&gt;=Законод!$I$18,AG356&lt;=Законод!$I$19),AG356-Законод!$H$19,IF('01_Доходи'!AG356&gt;=Законод!$I$18,Законод!$H$20,0)))),IF($B$352="Лікар-терапевт",IF(AG356&lt;Законод!$C$26,0,(IF(AND(AG356&gt;=Законод!$I$26,AG356&lt;=Законод!$I$27),AG356-Законод!$H$27,IF('01_Доходи'!AG356&gt;=Законод!$I$26,Законод!$H$28,0)))),0)))</f>
        <v>0</v>
      </c>
      <c r="AH362" s="930"/>
      <c r="AI362" s="201"/>
      <c r="AJ362" s="933"/>
      <c r="AK362" s="927"/>
      <c r="AL362" s="927"/>
      <c r="AM362" s="899"/>
      <c r="AN362" s="210">
        <f ca="1">IF(B352="Лікар загальної практики - сімейний лікар",L362*Законод!$C$9/4*Законод!$I$16,IF(B352="Лікар-педіатр",L362*Законод!$C$9/4*Законод!$I$16,IF(B352="Лікар-терапевт",L362*Законод!$C$9/4*Законод!$I$16,0)))</f>
        <v>0</v>
      </c>
      <c r="AO362" s="210">
        <f ca="1">IF(B352="Лікар загальної практики - сімейний лікар",S362*Законод!$C$9/4*Законод!$I$16,IF(B352="Лікар-педіатр",S362*Законод!$C$9/4*Законод!$I$16,IF(B352="Лікар-терапевт",S362*Законод!$C$9/4*Законод!$I$16,0)))</f>
        <v>0</v>
      </c>
      <c r="AP362" s="210">
        <f ca="1">IF(B352="Лікар загальної практики - сімейний лікар",Z362*Законод!$C$9/4*Законод!$I$16,IF(B352="Лікар-педіатр",Z362*Законод!$C$9/4*Законод!$I$16,IF(B352="Лікар-терапевт",Z362*Законод!$C$9/4*Законод!$I$16,0)))</f>
        <v>0</v>
      </c>
      <c r="AQ362" s="210">
        <f ca="1">IF(B352="Лікар загальної практики - сімейний лікар",AG362*Законод!$C$9/4*Законод!$I$16,IF(B352="Лікар-педіатр",AG362*Законод!$C$9/4*Законод!$I$16,IF(B352="Лікар-терапевт",AG362*Законод!$C$9/4*Законод!$I$16,0)))</f>
        <v>0</v>
      </c>
      <c r="AR362" s="211">
        <f t="shared" si="54"/>
        <v>0</v>
      </c>
    </row>
    <row r="363" spans="1:44" s="218" customFormat="1" ht="31.9" hidden="1" customHeight="1" thickBot="1">
      <c r="A363" s="213"/>
      <c r="B363" s="894"/>
      <c r="C363" s="897"/>
      <c r="D363" s="913"/>
      <c r="E363" s="910"/>
      <c r="F363" s="239" t="str">
        <f ca="1">IF(B352="Лікар-педіатр",Законод!$J$17,IF(B352="Лікар загальної практики - сімейний лікар",Законод!$J$21,IF(B352="Лікар-терапевт",Законод!$J$25,"х")))</f>
        <v>х</v>
      </c>
      <c r="G363" s="935" t="s">
        <v>346</v>
      </c>
      <c r="H363" s="936"/>
      <c r="I363" s="936"/>
      <c r="J363" s="936"/>
      <c r="K363" s="937"/>
      <c r="L363" s="196">
        <f ca="1">IF($B$352="Лікар загальної практики - сімейний лікар",IF(L356&gt;=Законод!$J$22,'01_Доходи'!L356-('01_Доходи'!L357+'01_Доходи'!L358+'01_Доходи'!L359+'01_Доходи'!L360+'01_Доходи'!L361+'01_Доходи'!L362),0),IF($B$352="Лікар-педіатр",IF(L356&gt;=Законод!$J$18,'01_Доходи'!L356-('01_Доходи'!L357+'01_Доходи'!L358+'01_Доходи'!L359+'01_Доходи'!L360+'01_Доходи'!L361+'01_Доходи'!L362),0),IF($B$352="Лікар-терапевт",IF('01_Доходи'!L356&gt;=Законод!$J$26,L356-Законод!$I$27,0),0)))</f>
        <v>0</v>
      </c>
      <c r="M363" s="931"/>
      <c r="N363" s="935" t="s">
        <v>346</v>
      </c>
      <c r="O363" s="936"/>
      <c r="P363" s="936"/>
      <c r="Q363" s="936"/>
      <c r="R363" s="937"/>
      <c r="S363" s="196">
        <f ca="1">IF($B$352="Лікар загальної практики - сімейний лікар",IF(S356&gt;=Законод!$J$22,'01_Доходи'!S356-('01_Доходи'!S357+'01_Доходи'!S358+'01_Доходи'!S359+'01_Доходи'!S360+'01_Доходи'!S361+'01_Доходи'!S362),0),IF($B$352="Лікар-педіатр",IF(S356&gt;=Законод!$J$18,'01_Доходи'!S356-('01_Доходи'!S357+'01_Доходи'!S358+'01_Доходи'!S359+'01_Доходи'!S360+'01_Доходи'!S361+'01_Доходи'!S362),0),IF($B$352="Лікар-терапевт",IF('01_Доходи'!S356&gt;=Законод!$J$26,S356-Законод!$I$27,0),0)))</f>
        <v>0</v>
      </c>
      <c r="T363" s="931"/>
      <c r="U363" s="935" t="s">
        <v>346</v>
      </c>
      <c r="V363" s="936"/>
      <c r="W363" s="936"/>
      <c r="X363" s="936"/>
      <c r="Y363" s="937"/>
      <c r="Z363" s="196">
        <f ca="1">IF($B$352="Лікар загальної практики - сімейний лікар",IF(Z356&gt;=Законод!$J$22,'01_Доходи'!Z356-('01_Доходи'!Z357+'01_Доходи'!Z358+'01_Доходи'!Z359+'01_Доходи'!Z360+'01_Доходи'!Z361+'01_Доходи'!Z362),0),IF($B$352="Лікар-педіатр",IF(Z356&gt;=Законод!$J$18,'01_Доходи'!Z356-('01_Доходи'!Z357+'01_Доходи'!Z358+'01_Доходи'!Z359+'01_Доходи'!Z360+'01_Доходи'!Z361+'01_Доходи'!Z362),0),IF($B$352="Лікар-терапевт",IF('01_Доходи'!Z356&gt;=Законод!$J$26,Z356-Законод!$I$27,0),0)))</f>
        <v>0</v>
      </c>
      <c r="AA363" s="931"/>
      <c r="AB363" s="935" t="s">
        <v>346</v>
      </c>
      <c r="AC363" s="936"/>
      <c r="AD363" s="936"/>
      <c r="AE363" s="936"/>
      <c r="AF363" s="937"/>
      <c r="AG363" s="196">
        <f ca="1">IF($B$352="Лікар загальної практики - сімейний лікар",IF(AG356&gt;=Законод!$J$22,'01_Доходи'!AG356-('01_Доходи'!AG357+'01_Доходи'!AG358+'01_Доходи'!AG359+'01_Доходи'!AG360+'01_Доходи'!AG361+'01_Доходи'!AG362),0),IF($B$352="Лікар-педіатр",IF(AG356&gt;=Законод!$J$18,'01_Доходи'!AG356-('01_Доходи'!AG357+'01_Доходи'!AG358+'01_Доходи'!AG359+'01_Доходи'!AG360+'01_Доходи'!AG361+'01_Доходи'!AG362),0),IF($B$352="Лікар-терапевт",IF('01_Доходи'!AG356&gt;=Законод!$J$26,AG356-Законод!$I$27,0),0)))</f>
        <v>0</v>
      </c>
      <c r="AH363" s="931"/>
      <c r="AI363" s="215"/>
      <c r="AJ363" s="934"/>
      <c r="AK363" s="928"/>
      <c r="AL363" s="928"/>
      <c r="AM363" s="900"/>
      <c r="AN363" s="216">
        <f ca="1">IF(B352="Лікар загальної практики - сімейний лікар",L363*Законод!$C$9/4*Законод!$J$16,IF(B352="Лікар-педіатр",L363*Законод!$C$9/4*Законод!$J$16,IF(B352="Лікар-терапевт",L363*Законод!$C$9/4*Законод!$J$16,0)))</f>
        <v>0</v>
      </c>
      <c r="AO363" s="216">
        <f ca="1">IF(B352="Лікар загальної практики - сімейний лікар",S363*Законод!$C$9/4*Законод!$J$16,IF(B352="Лікар-педіатр",S363*Законод!$C$9/4*Законод!$J$16,IF(B352="Лікар-терапевт",S363*Законод!$C$9/4*Законод!$J$16,0)))</f>
        <v>0</v>
      </c>
      <c r="AP363" s="216">
        <f ca="1">IF(B352="Лікар загальної практики - сімейний лікар",S363*Законод!$C$9/4*Законод!$J$16,IF(B352="Лікар-педіатр",S363*Законод!$C$9/4*Законод!$J$16,IF(B352="Лікар-терапевт",S363*Законод!$C$9/4*Законод!$J$16,0)))</f>
        <v>0</v>
      </c>
      <c r="AQ363" s="216">
        <f ca="1">IF(B352="Лікар загальної практики - сімейний лікар",AG363*Законод!$C$9/4*Законод!$J$16,IF(B352="Лікар-педіатр",AG363*Законод!$C$9/4*Законод!$J$16,IF(B352="Лікар-терапевт",AG363*Законод!$C$9/4*Законод!$J$16,0)))</f>
        <v>0</v>
      </c>
      <c r="AR363" s="217">
        <f t="shared" si="54"/>
        <v>0</v>
      </c>
    </row>
    <row r="364" spans="1:44" s="247" customFormat="1" ht="23.45" hidden="1" customHeight="1" thickBot="1">
      <c r="A364" s="243"/>
      <c r="B364" s="244"/>
      <c r="C364" s="244"/>
      <c r="D364" s="244"/>
      <c r="E364" s="244"/>
      <c r="F364" s="245"/>
      <c r="G364" s="246"/>
      <c r="H364" s="246"/>
      <c r="L364" s="248"/>
      <c r="S364" s="248"/>
      <c r="Z364" s="248"/>
      <c r="AG364" s="248"/>
      <c r="AM364" s="249"/>
      <c r="AR364" s="250"/>
    </row>
    <row r="365" spans="1:44" s="191" customFormat="1" ht="27.6" hidden="1" customHeight="1">
      <c r="A365" s="194">
        <f>A352+1</f>
        <v>26</v>
      </c>
      <c r="B365" s="892"/>
      <c r="C365" s="895"/>
      <c r="D365" s="911"/>
      <c r="E365" s="908"/>
      <c r="F365" s="234" t="s">
        <v>582</v>
      </c>
      <c r="G365" s="196">
        <f>IF($B$365="Лікар-педіатр",G368*L365,IF($B$365="Лікар-терапевт","х",IF($B$365="Лікар загальної практики - сімейний лікар",G368*L365,0)))</f>
        <v>0</v>
      </c>
      <c r="H365" s="196">
        <f>IF($B$365="Лікар-педіатр",H368*L365,IF($B$365="Лікар-терапевт","х",IF($B$365="Лікар загальної практики - сімейний лікар",H368*L365,0)))</f>
        <v>0</v>
      </c>
      <c r="I365" s="196">
        <f>IF($B$365="Лікар-педіатр","x",IF($B$365="Лікар-терапевт",I368*L365,IF($B$365="Лікар загальної практики - сімейний лікар",I368*L365,0)))</f>
        <v>0</v>
      </c>
      <c r="J365" s="196">
        <f>IF($B$365="Лікар-педіатр","x",IF($B$365="Лікар-терапевт",J368*L365,IF($B$365="Лікар загальної практики - сімейний лікар",J368*L365,0)))</f>
        <v>0</v>
      </c>
      <c r="K365" s="196">
        <f>IF($B$365="Лікар-педіатр","x",IF($B$365="Лікар-терапевт",K368*L365,IF($B$365="Лікар загальної практики - сімейний лікар",K368*L365,0)))</f>
        <v>0</v>
      </c>
      <c r="L365" s="558"/>
      <c r="M365" s="929"/>
      <c r="N365" s="196">
        <f>IF($B$365="Лікар-педіатр",N368*S365,IF($B$365="Лікар-терапевт","х",IF($B$365="Лікар загальної практики - сімейний лікар",N368*S365,0)))</f>
        <v>0</v>
      </c>
      <c r="O365" s="196">
        <f>IF($B$365="Лікар-педіатр",O368*S365,IF($B$365="Лікар-терапевт","х",IF($B$365="Лікар загальної практики - сімейний лікар",O368*S365,0)))</f>
        <v>0</v>
      </c>
      <c r="P365" s="196">
        <f>IF($B$365="Лікар-педіатр","x",IF($B$365="Лікар-терапевт",P368*S365,IF($B$365="Лікар загальної практики - сімейний лікар",P368*S365,0)))</f>
        <v>0</v>
      </c>
      <c r="Q365" s="196">
        <f>IF($B$365="Лікар-педіатр","x",IF($B$365="Лікар-терапевт",Q368*S365,IF($B$365="Лікар загальної практики - сімейний лікар",Q368*S365,0)))</f>
        <v>0</v>
      </c>
      <c r="R365" s="196">
        <f>IF($B$365="Лікар-педіатр","x",IF($B$365="Лікар-терапевт",R368*S365,IF($B$365="Лікар загальної практики - сімейний лікар",R368*S365,0)))</f>
        <v>0</v>
      </c>
      <c r="S365" s="558"/>
      <c r="T365" s="929"/>
      <c r="U365" s="196">
        <f>IF($B$365="Лікар-педіатр",U368*Z365,IF($B$365="Лікар-терапевт","х",IF($B$365="Лікар загальної практики - сімейний лікар",U368*Z365,0)))</f>
        <v>0</v>
      </c>
      <c r="V365" s="196">
        <f>IF($B$365="Лікар-педіатр",V368*Z365,IF($B$365="Лікар-терапевт","х",IF($B$365="Лікар загальної практики - сімейний лікар",V368*Z365,0)))</f>
        <v>0</v>
      </c>
      <c r="W365" s="196">
        <f>IF($B$365="Лікар-педіатр","x",IF($B$365="Лікар-терапевт",W368*Z365,IF($B$365="Лікар загальної практики - сімейний лікар",W368*Z365,0)))</f>
        <v>0</v>
      </c>
      <c r="X365" s="196">
        <f>IF($B$365="Лікар-педіатр","x",IF($B$365="Лікар-терапевт",X368*Z365,IF($B$365="Лікар загальної практики - сімейний лікар",X368*Z365,0)))</f>
        <v>0</v>
      </c>
      <c r="Y365" s="196">
        <f>IF($B$365="Лікар-педіатр","x",IF($B$365="Лікар-терапевт",Y368*Z365,IF($B$365="Лікар загальної практики - сімейний лікар",Y368*Z365,0)))</f>
        <v>0</v>
      </c>
      <c r="Z365" s="558"/>
      <c r="AA365" s="929"/>
      <c r="AB365" s="196">
        <f>IF($B$365="Лікар-педіатр",AB368*AG365,IF($B$365="Лікар-терапевт","х",IF($B$365="Лікар загальної практики - сімейний лікар",AB368*AG365,0)))</f>
        <v>0</v>
      </c>
      <c r="AC365" s="196">
        <f>IF($B$365="Лікар-педіатр",AC368*AG365,IF($B$365="Лікар-терапевт","х",IF($B$365="Лікар загальної практики - сімейний лікар",AC368*AG365,0)))</f>
        <v>0</v>
      </c>
      <c r="AD365" s="196">
        <f>IF($B$365="Лікар-педіатр","x",IF($B$365="Лікар-терапевт",AD368*AG365,IF($B$365="Лікар загальної практики - сімейний лікар",AD368*AG365,0)))</f>
        <v>0</v>
      </c>
      <c r="AE365" s="196">
        <f>IF($B$365="Лікар-педіатр","x",IF($B$365="Лікар-терапевт",AE368*AG365,IF($B$365="Лікар загальної практики - сімейний лікар",AE368*AG365,0)))</f>
        <v>0</v>
      </c>
      <c r="AF365" s="196">
        <f>IF($B$365="Лікар-педіатр","x",IF($B$365="Лікар-терапевт",AF368*AG365,IF($B$365="Лікар загальної практики - сімейний лікар",AF368*AG365,0)))</f>
        <v>0</v>
      </c>
      <c r="AG365" s="558"/>
      <c r="AH365" s="929"/>
      <c r="AI365" s="541">
        <f>A365</f>
        <v>26</v>
      </c>
      <c r="AJ365" s="932">
        <f>B365</f>
        <v>0</v>
      </c>
      <c r="AK365" s="926">
        <f>C365</f>
        <v>0</v>
      </c>
      <c r="AL365" s="926">
        <f>D365</f>
        <v>0</v>
      </c>
      <c r="AM365" s="901" t="s">
        <v>785</v>
      </c>
      <c r="AN365" s="923">
        <f>SUM(AN370:AN376)</f>
        <v>0</v>
      </c>
      <c r="AO365" s="923">
        <f>SUM(AO370:AO376)</f>
        <v>0</v>
      </c>
      <c r="AP365" s="923">
        <f>SUM(AP370:AP376)</f>
        <v>0</v>
      </c>
      <c r="AQ365" s="923">
        <f>SUM(AQ370:AQ376)</f>
        <v>0</v>
      </c>
      <c r="AR365" s="914">
        <f>SUM(AN365:AQ369)</f>
        <v>0</v>
      </c>
    </row>
    <row r="366" spans="1:44" s="50" customFormat="1" ht="28.15" hidden="1" customHeight="1">
      <c r="A366" s="197"/>
      <c r="B366" s="893"/>
      <c r="C366" s="896"/>
      <c r="D366" s="912"/>
      <c r="E366" s="909"/>
      <c r="F366" s="234" t="s">
        <v>583</v>
      </c>
      <c r="G366" s="196">
        <f>IF($B$365="Лікар-педіатр",G368*L366,IF($B$365="Лікар-терапевт","х",IF($B$365="Лікар загальної практики - сімейний лікар",G368*L366,0)))</f>
        <v>0</v>
      </c>
      <c r="H366" s="196">
        <f>IF($B$365="Лікар-педіатр",H368*L366,IF($B$365="Лікар-терапевт","х",IF($B$365="Лікар загальної практики - сімейний лікар",H368*L366,0)))</f>
        <v>0</v>
      </c>
      <c r="I366" s="196">
        <f>IF($B$365="Лікар-педіатр","x",IF($B$365="Лікар-терапевт",I368*L366,IF($B$365="Лікар загальної практики - сімейний лікар",I368*L366,0)))</f>
        <v>0</v>
      </c>
      <c r="J366" s="196">
        <f>IF($B$365="Лікар-педіатр","x",IF($B$365="Лікар-терапевт",J368*L366,IF($B$365="Лікар загальної практики - сімейний лікар",J368*L366,0)))</f>
        <v>0</v>
      </c>
      <c r="K366" s="196">
        <f>IF($B$365="Лікар-педіатр","x",IF($B$365="Лікар-терапевт",K368*L366,IF($B$365="Лікар загальної практики - сімейний лікар",K368*L366,0)))</f>
        <v>0</v>
      </c>
      <c r="L366" s="558"/>
      <c r="M366" s="930"/>
      <c r="N366" s="196">
        <f>IF($B$365="Лікар-педіатр",N368*S366,IF($B$365="Лікар-терапевт","х",IF($B$365="Лікар загальної практики - сімейний лікар",N368*S366,0)))</f>
        <v>0</v>
      </c>
      <c r="O366" s="196">
        <f>IF($B$365="Лікар-педіатр",O368*S366,IF($B$365="Лікар-терапевт","х",IF($B$365="Лікар загальної практики - сімейний лікар",O368*S366,0)))</f>
        <v>0</v>
      </c>
      <c r="P366" s="196">
        <f>IF($B$365="Лікар-педіатр","x",IF($B$365="Лікар-терапевт",P368*S366,IF($B$365="Лікар загальної практики - сімейний лікар",P368*S366,0)))</f>
        <v>0</v>
      </c>
      <c r="Q366" s="196">
        <f>IF($B$365="Лікар-педіатр","x",IF($B$365="Лікар-терапевт",Q368*S366,IF($B$365="Лікар загальної практики - сімейний лікар",Q368*S366,0)))</f>
        <v>0</v>
      </c>
      <c r="R366" s="196">
        <f>IF($B$365="Лікар-педіатр","x",IF($B$365="Лікар-терапевт",R368*S366,IF($B$365="Лікар загальної практики - сімейний лікар",R368*S366,0)))</f>
        <v>0</v>
      </c>
      <c r="S366" s="558"/>
      <c r="T366" s="930"/>
      <c r="U366" s="196">
        <f>IF($B$365="Лікар-педіатр",U368*Z366,IF($B$365="Лікар-терапевт","х",IF($B$365="Лікар загальної практики - сімейний лікар",U368*Z366,0)))</f>
        <v>0</v>
      </c>
      <c r="V366" s="196">
        <f>IF($B$365="Лікар-педіатр",V368*Z366,IF($B$365="Лікар-терапевт","х",IF($B$365="Лікар загальної практики - сімейний лікар",V368*Z366,0)))</f>
        <v>0</v>
      </c>
      <c r="W366" s="196">
        <f>IF($B$365="Лікар-педіатр","x",IF($B$365="Лікар-терапевт",W368*Z366,IF($B$365="Лікар загальної практики - сімейний лікар",W368*Z366,0)))</f>
        <v>0</v>
      </c>
      <c r="X366" s="196">
        <f>IF($B$365="Лікар-педіатр","x",IF($B$365="Лікар-терапевт",X368*Z366,IF($B$365="Лікар загальної практики - сімейний лікар",X368*Z366,0)))</f>
        <v>0</v>
      </c>
      <c r="Y366" s="196">
        <f>IF($B$365="Лікар-педіатр","x",IF($B$365="Лікар-терапевт",Y368*Z366,IF($B$365="Лікар загальної практики - сімейний лікар",Y368*Z366,0)))</f>
        <v>0</v>
      </c>
      <c r="Z366" s="558"/>
      <c r="AA366" s="930"/>
      <c r="AB366" s="196">
        <f>IF($B$365="Лікар-педіатр",AB368*AG366,IF($B$365="Лікар-терапевт","х",IF($B$365="Лікар загальної практики - сімейний лікар",AB368*AG366,0)))</f>
        <v>0</v>
      </c>
      <c r="AC366" s="196">
        <f>IF($B$365="Лікар-педіатр",AC368*AG366,IF($B$365="Лікар-терапевт","х",IF($B$365="Лікар загальної практики - сімейний лікар",AC368*AG366,0)))</f>
        <v>0</v>
      </c>
      <c r="AD366" s="196">
        <f>IF($B$365="Лікар-педіатр","x",IF($B$365="Лікар-терапевт",AD368*AG366,IF($B$365="Лікар загальної практики - сімейний лікар",AD368*AG366,0)))</f>
        <v>0</v>
      </c>
      <c r="AE366" s="196">
        <f>IF($B$365="Лікар-педіатр","x",IF($B$365="Лікар-терапевт",AE368*AG366,IF($B$365="Лікар загальної практики - сімейний лікар",AE368*AG366,0)))</f>
        <v>0</v>
      </c>
      <c r="AF366" s="196">
        <f>IF($B$365="Лікар-педіатр","x",IF($B$365="Лікар-терапевт",AF368*AG366,IF($B$365="Лікар загальної практики - сімейний лікар",AF368*AG366,0)))</f>
        <v>0</v>
      </c>
      <c r="AG366" s="558"/>
      <c r="AH366" s="930"/>
      <c r="AI366" s="198"/>
      <c r="AJ366" s="933"/>
      <c r="AK366" s="927"/>
      <c r="AL366" s="927"/>
      <c r="AM366" s="902"/>
      <c r="AN366" s="924"/>
      <c r="AO366" s="924"/>
      <c r="AP366" s="924"/>
      <c r="AQ366" s="924"/>
      <c r="AR366" s="915"/>
    </row>
    <row r="367" spans="1:44" s="90" customFormat="1" ht="31.15" hidden="1" customHeight="1">
      <c r="A367" s="240"/>
      <c r="B367" s="893"/>
      <c r="C367" s="896"/>
      <c r="D367" s="912"/>
      <c r="E367" s="909"/>
      <c r="F367" s="241" t="s">
        <v>584</v>
      </c>
      <c r="G367" s="199">
        <f>IF(B365="Лікар загальної практики - сімейний лікар"," ",IF(B365="Лікар-педіатр"," ",IF(B365="Лікар-терапевт","х",0)))</f>
        <v>0</v>
      </c>
      <c r="H367" s="199">
        <f>IF(B365="Лікар загальної практики - сімейний лікар"," ",IF(B365="Лікар-педіатр"," ",IF(B365="Лікар-терапевт","х",0)))</f>
        <v>0</v>
      </c>
      <c r="I367" s="199">
        <f>IF(B365="Лікар загальної практики - сімейний лікар"," ",IF(B365="Лікар-педіатр","х",IF(B365="Лікар-терапевт"," ",0)))</f>
        <v>0</v>
      </c>
      <c r="J367" s="199">
        <f>IF(B365="Лікар загальної практики - сімейний лікар"," ",IF(B365="Лікар-педіатр","х",IF(B365="Лікар-терапевт"," ",0)))</f>
        <v>0</v>
      </c>
      <c r="K367" s="199">
        <f>IF(B365="Лікар загальної практики - сімейний лікар"," ",IF(B365="Лікар-педіатр","х",IF(B365="Лікар-терапевт"," ",0)))</f>
        <v>0</v>
      </c>
      <c r="L367" s="200">
        <f>SUM(G367:K367)</f>
        <v>0</v>
      </c>
      <c r="M367" s="930"/>
      <c r="N367" s="199">
        <f>IF(B365="Лікар загальної практики - сімейний лікар"," ",IF(B365="Лікар-педіатр"," ",IF(B365="Лікар-терапевт","х",0)))</f>
        <v>0</v>
      </c>
      <c r="O367" s="199">
        <f>IF(B365="Лікар загальної практики - сімейний лікар"," ",IF(B365="Лікар-педіатр"," ",IF(B365="Лікар-терапевт","х",0)))</f>
        <v>0</v>
      </c>
      <c r="P367" s="199">
        <f>IF(B365="Лікар загальної практики - сімейний лікар"," ",IF(B365="Лікар-педіатр","х",IF(B365="Лікар-терапевт"," ",0)))</f>
        <v>0</v>
      </c>
      <c r="Q367" s="199">
        <f>IF(B365="Лікар загальної практики - сімейний лікар"," ",IF(B365="Лікар-педіатр","х",IF(B365="Лікар-терапевт"," ",0)))</f>
        <v>0</v>
      </c>
      <c r="R367" s="199">
        <f>IF(B365="Лікар загальної практики - сімейний лікар"," ",IF(B365="Лікар-педіатр","х",IF(B365="Лікар-терапевт"," ",0)))</f>
        <v>0</v>
      </c>
      <c r="S367" s="200">
        <f>SUM(N367:R367)</f>
        <v>0</v>
      </c>
      <c r="T367" s="930"/>
      <c r="U367" s="199">
        <f>IF(B365="Лікар загальної практики - сімейний лікар"," ",IF(B365="Лікар-педіатр"," ",IF(B365="Лікар-терапевт","х",0)))</f>
        <v>0</v>
      </c>
      <c r="V367" s="199">
        <f>IF(B365="Лікар загальної практики - сімейний лікар"," ",IF(B365="Лікар-педіатр"," ",IF(B365="Лікар-терапевт","х",0)))</f>
        <v>0</v>
      </c>
      <c r="W367" s="199">
        <f>IF(B365="Лікар загальної практики - сімейний лікар"," ",IF(B365="Лікар-педіатр","х",IF(B365="Лікар-терапевт"," ",0)))</f>
        <v>0</v>
      </c>
      <c r="X367" s="199">
        <f>IF(B365="Лікар загальної практики - сімейний лікар"," ",IF(B365="Лікар-педіатр","х",IF(B365="Лікар-терапевт"," ",0)))</f>
        <v>0</v>
      </c>
      <c r="Y367" s="199">
        <f>IF(B365="Лікар загальної практики - сімейний лікар"," ",IF(B365="Лікар-педіатр","х",IF(B365="Лікар-терапевт"," ",0)))</f>
        <v>0</v>
      </c>
      <c r="Z367" s="200">
        <f>SUM(U367:Y367)</f>
        <v>0</v>
      </c>
      <c r="AA367" s="930"/>
      <c r="AB367" s="199">
        <f>IF(B365="Лікар загальної практики - сімейний лікар"," ",IF(B365="Лікар-педіатр"," ",IF(B365="Лікар-терапевт","х",0)))</f>
        <v>0</v>
      </c>
      <c r="AC367" s="199">
        <f>IF(B365="Лікар загальної практики - сімейний лікар"," ",IF(B365="Лікар-педіатр"," ",IF(B365="Лікар-терапевт","х",0)))</f>
        <v>0</v>
      </c>
      <c r="AD367" s="199">
        <f>IF(B365="Лікар загальної практики - сімейний лікар"," ",IF(B365="Лікар-педіатр","х",IF(B365="Лікар-терапевт"," ",0)))</f>
        <v>0</v>
      </c>
      <c r="AE367" s="199">
        <f>IF(B365="Лікар загальної практики - сімейний лікар"," ",IF(B365="Лікар-педіатр","х",IF(B365="Лікар-терапевт"," ",0)))</f>
        <v>0</v>
      </c>
      <c r="AF367" s="199">
        <f>IF(B365="Лікар загальної практики - сімейний лікар"," ",IF(B365="Лікар-педіатр","х",IF(B365="Лікар-терапевт"," ",0)))</f>
        <v>0</v>
      </c>
      <c r="AG367" s="200">
        <f>SUM(AB367:AF367)</f>
        <v>0</v>
      </c>
      <c r="AH367" s="930"/>
      <c r="AI367" s="242"/>
      <c r="AJ367" s="933"/>
      <c r="AK367" s="927"/>
      <c r="AL367" s="927"/>
      <c r="AM367" s="902"/>
      <c r="AN367" s="924"/>
      <c r="AO367" s="924"/>
      <c r="AP367" s="924"/>
      <c r="AQ367" s="924"/>
      <c r="AR367" s="915"/>
    </row>
    <row r="368" spans="1:44" s="50" customFormat="1" ht="31.9" hidden="1" customHeight="1" thickBot="1">
      <c r="A368" s="197"/>
      <c r="B368" s="893"/>
      <c r="C368" s="896"/>
      <c r="D368" s="912"/>
      <c r="E368" s="909"/>
      <c r="F368" s="236" t="s">
        <v>349</v>
      </c>
      <c r="G368" s="203">
        <f>IF($B$365="Лікар-педіатр",G367/L367,IF($B$365="Лікар-терапевт","х",IF($B$365="Лікар загальної практики - сімейний лікар",G367/L367,0)))</f>
        <v>0</v>
      </c>
      <c r="H368" s="203">
        <f>IF($B$365="Лікар-педіатр",H367/L367,IF($B$365="Лікар-терапевт","х",IF($B$365="Лікар загальної практики - сімейний лікар",H367/L367,0)))</f>
        <v>0</v>
      </c>
      <c r="I368" s="203">
        <f>IF($B$365="Лікар-педіатр","x",IF($B$365="Лікар-терапевт",I367/L367,IF($B$365="Лікар загальної практики - сімейний лікар",I367/L367,0)))</f>
        <v>0</v>
      </c>
      <c r="J368" s="203">
        <f>IF($B$365="Лікар-педіатр","x",IF($B$365="Лікар-терапевт",J367/L367,IF($B$365="Лікар загальної практики - сімейний лікар",J367/L367,0)))</f>
        <v>0</v>
      </c>
      <c r="K368" s="203">
        <f>IF($B$365="Лікар-педіатр","x",IF($B$365="Лікар-терапевт",K367/L367,IF($B$365="Лікар загальної практики - сімейний лікар",K367/L367,0)))</f>
        <v>0</v>
      </c>
      <c r="L368" s="203">
        <f>SUM(G368:K368)</f>
        <v>0</v>
      </c>
      <c r="M368" s="930"/>
      <c r="N368" s="203">
        <f>IF($B$365="Лікар-педіатр",N367/S367,IF($B$365="Лікар-терапевт","х",IF($B$365="Лікар загальної практики - сімейний лікар",N367/S367,0)))</f>
        <v>0</v>
      </c>
      <c r="O368" s="203">
        <f>IF($B$365="Лікар-педіатр",O367/S367,IF($B$365="Лікар-терапевт","х",IF($B$365="Лікар загальної практики - сімейний лікар",O367/S367,0)))</f>
        <v>0</v>
      </c>
      <c r="P368" s="203">
        <f>IF($B$365="Лікар-педіатр","x",IF($B$365="Лікар-терапевт",P367/S367,IF($B$365="Лікар загальної практики - сімейний лікар",P367/S367,0)))</f>
        <v>0</v>
      </c>
      <c r="Q368" s="203">
        <f>IF($B$365="Лікар-педіатр","x",IF($B$365="Лікар-терапевт",Q367/S367,IF($B$365="Лікар загальної практики - сімейний лікар",Q367/S367,0)))</f>
        <v>0</v>
      </c>
      <c r="R368" s="203">
        <f>IF($B$365="Лікар-педіатр","x",IF($B$365="Лікар-терапевт",R367/S367,IF($B$365="Лікар загальної практики - сімейний лікар",R367/S367,0)))</f>
        <v>0</v>
      </c>
      <c r="S368" s="203">
        <f>SUM(N368:R368)</f>
        <v>0</v>
      </c>
      <c r="T368" s="930"/>
      <c r="U368" s="203">
        <f>IF($B$365="Лікар-педіатр",U367/Z367,IF($B$365="Лікар-терапевт","х",IF($B$365="Лікар загальної практики - сімейний лікар",U367/Z367,0)))</f>
        <v>0</v>
      </c>
      <c r="V368" s="203">
        <f>IF($B$365="Лікар-педіатр",V367/Z367,IF($B$365="Лікар-терапевт","х",IF($B$365="Лікар загальної практики - сімейний лікар",V367/Z367,0)))</f>
        <v>0</v>
      </c>
      <c r="W368" s="203">
        <f>IF($B$365="Лікар-педіатр","x",IF($B$365="Лікар-терапевт",W367/Z367,IF($B$365="Лікар загальної практики - сімейний лікар",W367/Z367,0)))</f>
        <v>0</v>
      </c>
      <c r="X368" s="203">
        <f>IF($B$365="Лікар-педіатр","x",IF($B$365="Лікар-терапевт",X367/Z367,IF($B$365="Лікар загальної практики - сімейний лікар",X367/Z367,0)))</f>
        <v>0</v>
      </c>
      <c r="Y368" s="203">
        <f>IF($B$365="Лікар-педіатр","x",IF($B$365="Лікар-терапевт",Y367/Z367,IF($B$365="Лікар загальної практики - сімейний лікар",Y367/Z367,0)))</f>
        <v>0</v>
      </c>
      <c r="Z368" s="203">
        <f>SUM(U368:Y368)</f>
        <v>0</v>
      </c>
      <c r="AA368" s="930"/>
      <c r="AB368" s="203">
        <f>IF($B$365="Лікар-педіатр",AB367/AG367,IF($B$365="Лікар-терапевт","х",IF($B$365="Лікар загальної практики - сімейний лікар",AB367/AG367,0)))</f>
        <v>0</v>
      </c>
      <c r="AC368" s="203">
        <f>IF($B$365="Лікар-педіатр",AC367/AG367,IF($B$365="Лікар-терапевт","х",IF($B$365="Лікар загальної практики - сімейний лікар",AC367/AG367,0)))</f>
        <v>0</v>
      </c>
      <c r="AD368" s="203">
        <f>IF($B$365="Лікар-педіатр","x",IF($B$365="Лікар-терапевт",AD367/AG367,IF($B$365="Лікар загальної практики - сімейний лікар",AD367/AG367,0)))</f>
        <v>0</v>
      </c>
      <c r="AE368" s="203">
        <f>IF($B$365="Лікар-педіатр","x",IF($B$365="Лікар-терапевт",AE367/AG367,IF($B$365="Лікар загальної практики - сімейний лікар",AE367/AG367,0)))</f>
        <v>0</v>
      </c>
      <c r="AF368" s="203">
        <f>IF($B$365="Лікар-педіатр","x",IF($B$365="Лікар-терапевт",AF367/AG367,IF($B$365="Лікар загальної практики - сімейний лікар",AF367/AG367,0)))</f>
        <v>0</v>
      </c>
      <c r="AG368" s="203">
        <f>SUM(AB368:AF368)</f>
        <v>0</v>
      </c>
      <c r="AH368" s="930"/>
      <c r="AI368" s="201"/>
      <c r="AJ368" s="933"/>
      <c r="AK368" s="927"/>
      <c r="AL368" s="927"/>
      <c r="AM368" s="902"/>
      <c r="AN368" s="924"/>
      <c r="AO368" s="924"/>
      <c r="AP368" s="924"/>
      <c r="AQ368" s="924"/>
      <c r="AR368" s="915"/>
    </row>
    <row r="369" spans="1:44" s="50" customFormat="1" ht="45" hidden="1" customHeight="1" thickBot="1">
      <c r="A369" s="197"/>
      <c r="B369" s="893"/>
      <c r="C369" s="896"/>
      <c r="D369" s="912"/>
      <c r="E369" s="909"/>
      <c r="F369" s="204" t="s">
        <v>585</v>
      </c>
      <c r="G369" s="205">
        <f>IF($B$365="Лікар загальної практики - сімейний лікар",AVERAGE(G365:G367),IF($B$365="Лікар-педіатр",AVERAGE(G365:G367),IF($B$365="Лікар-терапевт","х",0)))</f>
        <v>0</v>
      </c>
      <c r="H369" s="205">
        <f>IF($B$365="Лікар загальної практики - сімейний лікар",AVERAGE(H365:H367),IF($B$365="Лікар-педіатр",AVERAGE(H365:H367),IF($B$365="Лікар-терапевт","х",0)))</f>
        <v>0</v>
      </c>
      <c r="I369" s="205">
        <f>IF($B$365="Лікар загальної практики - сімейний лікар",AVERAGE(I365:I367),IF($B$365="Лікар-педіатр","x",IF($B$365="Лікар-терапевт",AVERAGE(I365:I367),0)))</f>
        <v>0</v>
      </c>
      <c r="J369" s="205">
        <f>IF($B$365="Лікар загальної практики - сімейний лікар",AVERAGE(J365:J367),IF($B$365="Лікар-педіатр","x",IF($B$365="Лікар-терапевт",AVERAGE(J365:J367),0)))</f>
        <v>0</v>
      </c>
      <c r="K369" s="205">
        <f>IF($B$365="Лікар загальної практики - сімейний лікар",AVERAGE(K365:K367),IF($B$365="Лікар-педіатр","x",IF($B$365="Лікар-терапевт",AVERAGE(K365:K367),0)))</f>
        <v>0</v>
      </c>
      <c r="L369" s="206">
        <f>SUM(G369:K369)</f>
        <v>0</v>
      </c>
      <c r="M369" s="930"/>
      <c r="N369" s="205">
        <f>IF($B$365="Лікар загальної практики - сімейний лікар",AVERAGE(N365:N367),IF($B$365="Лікар-педіатр",AVERAGE(N365:N367),IF($B$365="Лікар-терапевт","х",0)))</f>
        <v>0</v>
      </c>
      <c r="O369" s="205">
        <f>IF($B$365="Лікар загальної практики - сімейний лікар",AVERAGE(O365:O367),IF($B$365="Лікар-педіатр",AVERAGE(O365:O367),IF($B$365="Лікар-терапевт","х",0)))</f>
        <v>0</v>
      </c>
      <c r="P369" s="205">
        <f>IF($B$365="Лікар загальної практики - сімейний лікар",AVERAGE(P365:P367),IF($B$365="Лікар-педіатр","x",IF($B$365="Лікар-терапевт",AVERAGE(P365:P367),0)))</f>
        <v>0</v>
      </c>
      <c r="Q369" s="205">
        <f>IF($B$365="Лікар загальної практики - сімейний лікар",AVERAGE(Q365:Q367),IF($B$365="Лікар-педіатр","x",IF($B$365="Лікар-терапевт",AVERAGE(Q365:Q367),0)))</f>
        <v>0</v>
      </c>
      <c r="R369" s="205">
        <f>IF($B$365="Лікар загальної практики - сімейний лікар",AVERAGE(R365:R367),IF($B$365="Лікар-педіатр","x",IF($B$365="Лікар-терапевт",AVERAGE(R365:R367),0)))</f>
        <v>0</v>
      </c>
      <c r="S369" s="206">
        <f>SUM(N369:R369)</f>
        <v>0</v>
      </c>
      <c r="T369" s="930"/>
      <c r="U369" s="205">
        <f>IF($B$365="Лікар загальної практики - сімейний лікар",AVERAGE(U365:U367),IF($B$365="Лікар-педіатр",AVERAGE(U365:U367),IF($B$365="Лікар-терапевт","х",0)))</f>
        <v>0</v>
      </c>
      <c r="V369" s="205">
        <f>IF($B$365="Лікар загальної практики - сімейний лікар",AVERAGE(V365:V367),IF($B$365="Лікар-педіатр",AVERAGE(V365:V367),IF($B$365="Лікар-терапевт","х",0)))</f>
        <v>0</v>
      </c>
      <c r="W369" s="205">
        <f>IF($B$365="Лікар загальної практики - сімейний лікар",AVERAGE(W365:W367),IF($B$365="Лікар-педіатр","x",IF($B$365="Лікар-терапевт",AVERAGE(W365:W367),0)))</f>
        <v>0</v>
      </c>
      <c r="X369" s="205">
        <f>IF($B$365="Лікар загальної практики - сімейний лікар",AVERAGE(X365:X367),IF($B$365="Лікар-педіатр","x",IF($B$365="Лікар-терапевт",AVERAGE(X365:X367),0)))</f>
        <v>0</v>
      </c>
      <c r="Y369" s="205">
        <f>IF($B$365="Лікар загальної практики - сімейний лікар",AVERAGE(Y365:Y367),IF($B$365="Лікар-педіатр","x",IF($B$365="Лікар-терапевт",AVERAGE(Y365:Y367),0)))</f>
        <v>0</v>
      </c>
      <c r="Z369" s="206">
        <f>SUM(U369:Y369)</f>
        <v>0</v>
      </c>
      <c r="AA369" s="930"/>
      <c r="AB369" s="205">
        <f>IF($B$365="Лікар загальної практики - сімейний лікар",AVERAGE(AB365:AB367),IF($B$365="Лікар-педіатр",AVERAGE(AB365:AB367),IF($B$365="Лікар-терапевт","х",0)))</f>
        <v>0</v>
      </c>
      <c r="AC369" s="205">
        <f>IF($B$365="Лікар загальної практики - сімейний лікар",AVERAGE(AC365:AC367),IF($B$365="Лікар-педіатр",AVERAGE(AC365:AC367),IF($B$365="Лікар-терапевт","х",0)))</f>
        <v>0</v>
      </c>
      <c r="AD369" s="205">
        <f>IF($B$365="Лікар загальної практики - сімейний лікар",AVERAGE(AD365:AD367),IF($B$365="Лікар-педіатр","x",IF($B$365="Лікар-терапевт",AVERAGE(AD365:AD367),0)))</f>
        <v>0</v>
      </c>
      <c r="AE369" s="205">
        <f>IF($B$365="Лікар загальної практики - сімейний лікар",AVERAGE(AE365:AE367),IF($B$365="Лікар-педіатр","x",IF($B$365="Лікар-терапевт",AVERAGE(AE365:AE367),0)))</f>
        <v>0</v>
      </c>
      <c r="AF369" s="205">
        <f>IF($B$365="Лікар загальної практики - сімейний лікар",AVERAGE(AF365:AF367),IF($B$365="Лікар-педіатр","x",IF($B$365="Лікар-терапевт",AVERAGE(AF365:AF367),0)))</f>
        <v>0</v>
      </c>
      <c r="AG369" s="206">
        <f>SUM(AB369:AF369)</f>
        <v>0</v>
      </c>
      <c r="AH369" s="930"/>
      <c r="AI369" s="201"/>
      <c r="AJ369" s="933"/>
      <c r="AK369" s="927"/>
      <c r="AL369" s="927"/>
      <c r="AM369" s="903"/>
      <c r="AN369" s="925"/>
      <c r="AO369" s="925"/>
      <c r="AP369" s="925"/>
      <c r="AQ369" s="925"/>
      <c r="AR369" s="916"/>
    </row>
    <row r="370" spans="1:44" s="50" customFormat="1" ht="40.5" hidden="1">
      <c r="A370" s="197"/>
      <c r="B370" s="893"/>
      <c r="C370" s="896"/>
      <c r="D370" s="912"/>
      <c r="E370" s="909"/>
      <c r="F370" s="237" t="str">
        <f ca="1">IF(B365="Лікар-педіатр",Законод!$C$17,IF(B365="Лікар загальної практики - сімейний лікар",Законод!$C$21,IF(B365="Лікар-терапевт",Законод!$C$25,"х")))</f>
        <v>х</v>
      </c>
      <c r="G370" s="208">
        <f ca="1">IF($B$365="Лікар загальної практики - сімейний лікар",IF(L369&lt;=Законод!$C$22,G369,Законод!$C$22*'01_Доходи'!G368),IF($B$365="Лікар-педіатр",IF(L369&lt;=Законод!$C$18,G369,Законод!$C$18*'01_Доходи'!G368),IF($B$365="Лікар-терапевт","x",0)))</f>
        <v>0</v>
      </c>
      <c r="H370" s="208">
        <f ca="1">IF($B$365="Лікар загальної практики - сімейний лікар",IF(L369&lt;=Законод!$C$22,H369,Законод!$C$22*'01_Доходи'!H368),IF($B$365="Лікар-педіатр",IF(L369&lt;=Законод!$C$18,H369,Законод!$C$18*'01_Доходи'!H368),IF($B$365="Лікар-терапевт","x",0)))</f>
        <v>0</v>
      </c>
      <c r="I370" s="208">
        <f ca="1">IF($B$365="Лікар загальної практики - сімейний лікар",IF(L369&lt;=Законод!$C$22,I369,Законод!$C$22*'01_Доходи'!I368),IF($B$365="Лікар-педіатр","x",IF($B$365="Лікар-терапевт",IF(L369&lt;=Законод!$C$26,I369,Законод!$C$26*'01_Доходи'!I368),0)))</f>
        <v>0</v>
      </c>
      <c r="J370" s="208">
        <f ca="1">IF($B$365="Лікар загальної практики - сімейний лікар",IF(L369&lt;=Законод!$C$22,J369,Законод!$C$22*'01_Доходи'!J368),IF($B$365="Лікар-педіатр","x",IF($B$365="Лікар-терапевт",IF(L369&lt;=Законод!$C$26,J369,Законод!$C$26*'01_Доходи'!J368),0)))</f>
        <v>0</v>
      </c>
      <c r="K370" s="208">
        <f ca="1">IF($B$365="Лікар загальної практики - сімейний лікар",IF(L369&lt;=Законод!$C$22,K369,Законод!$C$22*'01_Доходи'!K368),IF($B$365="Лікар-педіатр","x",IF($B$365="Лікар-терапевт",IF(L369&lt;=Законод!$C$26,K369,Законод!$C$26*'01_Доходи'!K368),0)))</f>
        <v>0</v>
      </c>
      <c r="L370" s="209">
        <f ca="1">SUM(G370:K370)</f>
        <v>0</v>
      </c>
      <c r="M370" s="930"/>
      <c r="N370" s="208">
        <f ca="1">IF($B$365="Лікар загальної практики - сімейний лікар",IF(S369&lt;=Законод!$C$22,N369,Законод!$C$22*'01_Доходи'!N368),IF($B$365="Лікар-педіатр",IF(S369&lt;=Законод!$C$18,N369,Законод!$C$18*'01_Доходи'!N368),IF($B$365="Лікар-терапевт","x",0)))</f>
        <v>0</v>
      </c>
      <c r="O370" s="208">
        <f ca="1">IF($B$365="Лікар загальної практики - сімейний лікар",IF(S369&lt;=Законод!$C$22,O369,Законод!$C$22*'01_Доходи'!O368),IF($B$365="Лікар-педіатр",IF(S369&lt;=Законод!$C$18,O369,Законод!$C$18*'01_Доходи'!O368),IF($B$365="Лікар-терапевт","x",0)))</f>
        <v>0</v>
      </c>
      <c r="P370" s="208">
        <f ca="1">IF($B$365="Лікар загальної практики - сімейний лікар",IF(S369&lt;=Законод!$C$22,P369,Законод!$C$22*'01_Доходи'!P368),IF($B$365="Лікар-педіатр","x",IF($B$365="Лікар-терапевт",IF(S369&lt;=Законод!$C$26,P369,Законод!$C$26*'01_Доходи'!P368),0)))</f>
        <v>0</v>
      </c>
      <c r="Q370" s="208">
        <f ca="1">IF($B$365="Лікар загальної практики - сімейний лікар",IF(S369&lt;=Законод!$C$22,Q369,Законод!$C$22*'01_Доходи'!Q368),IF($B$365="Лікар-педіатр","x",IF($B$365="Лікар-терапевт",IF(S369&lt;=Законод!$C$26,Q369,Законод!$C$26*'01_Доходи'!Q368),0)))</f>
        <v>0</v>
      </c>
      <c r="R370" s="208">
        <f ca="1">IF($B$365="Лікар загальної практики - сімейний лікар",IF(S369&lt;=Законод!$C$22,R369,Законод!$C$22*'01_Доходи'!R368),IF($B$365="Лікар-педіатр","x",IF($B$365="Лікар-терапевт",IF(S369&lt;=Законод!$C$26,R369,Законод!$C$26*'01_Доходи'!R368),0)))</f>
        <v>0</v>
      </c>
      <c r="S370" s="209">
        <f ca="1">SUM(N370:R370)</f>
        <v>0</v>
      </c>
      <c r="T370" s="930"/>
      <c r="U370" s="208">
        <f ca="1">IF($B$365="Лікар загальної практики - сімейний лікар",IF(Z369&lt;=Законод!$C$22,U369,Законод!$C$22*'01_Доходи'!U368),IF($B$365="Лікар-педіатр",IF(Z369&lt;=Законод!$C$18,U369,Законод!$C$18*'01_Доходи'!U368),IF($B$365="Лікар-терапевт","x",0)))</f>
        <v>0</v>
      </c>
      <c r="V370" s="208">
        <f ca="1">IF($B$365="Лікар загальної практики - сімейний лікар",IF(Z369&lt;=Законод!$C$22,V369,Законод!$C$22*'01_Доходи'!V368),IF($B$365="Лікар-педіатр",IF(Z369&lt;=Законод!$C$18,V369,Законод!$C$18*'01_Доходи'!V368),IF($B$365="Лікар-терапевт","x",0)))</f>
        <v>0</v>
      </c>
      <c r="W370" s="208">
        <f ca="1">IF($B$365="Лікар загальної практики - сімейний лікар",IF(Z369&lt;=Законод!$C$22,W369,Законод!$C$22*'01_Доходи'!W368),IF($B$365="Лікар-педіатр","x",IF($B$365="Лікар-терапевт",IF(Z369&lt;=Законод!$C$26,W369,Законод!$C$26*'01_Доходи'!W368),0)))</f>
        <v>0</v>
      </c>
      <c r="X370" s="208">
        <f ca="1">IF($B$365="Лікар загальної практики - сімейний лікар",IF(Z369&lt;=Законод!$C$22,X369,Законод!$C$22*'01_Доходи'!X368),IF($B$365="Лікар-педіатр","x",IF($B$365="Лікар-терапевт",IF(Z369&lt;=Законод!$C$26,X369,Законод!$C$26*'01_Доходи'!X368),0)))</f>
        <v>0</v>
      </c>
      <c r="Y370" s="208">
        <f ca="1">IF($B$365="Лікар загальної практики - сімейний лікар",IF(Z369&lt;=Законод!$C$22,Y369,Законод!$C$22*'01_Доходи'!Y368),IF($B$365="Лікар-педіатр","x",IF($B$365="Лікар-терапевт",IF(Z369&lt;=Законод!$C$26,Y369,Законод!$C$26*'01_Доходи'!Y368),0)))</f>
        <v>0</v>
      </c>
      <c r="Z370" s="209">
        <f ca="1">SUM(U370:Y370)</f>
        <v>0</v>
      </c>
      <c r="AA370" s="930"/>
      <c r="AB370" s="208">
        <f ca="1">IF($B$365="Лікар загальної практики - сімейний лікар",IF(AG369&lt;=Законод!$C$22,AB369,Законод!$C$22*'01_Доходи'!AB368),IF($B$365="Лікар-педіатр",IF(AG369&lt;=Законод!$C$18,AB369,Законод!$C$18*'01_Доходи'!AB368),IF($B$365="Лікар-терапевт","x",0)))</f>
        <v>0</v>
      </c>
      <c r="AC370" s="208">
        <f ca="1">IF($B$365="Лікар загальної практики - сімейний лікар",IF(AG369&lt;=Законод!$C$22,AC369,Законод!$C$22*'01_Доходи'!AC368),IF($B$365="Лікар-педіатр",IF(AG369&lt;=Законод!$C$18,AC369,Законод!$C$18*'01_Доходи'!AC368),IF($B$365="Лікар-терапевт","x",0)))</f>
        <v>0</v>
      </c>
      <c r="AD370" s="208">
        <f ca="1">IF($B$365="Лікар загальної практики - сімейний лікар",IF(AG369&lt;=Законод!$C$22,AD369,Законод!$C$22*'01_Доходи'!AD368),IF($B$365="Лікар-педіатр","x",IF($B$365="Лікар-терапевт",IF(AG369&lt;=Законод!$C$26,AD369,Законод!$C$26*'01_Доходи'!AD368),0)))</f>
        <v>0</v>
      </c>
      <c r="AE370" s="208">
        <f ca="1">IF($B$365="Лікар загальної практики - сімейний лікар",IF(AG369&lt;=Законод!$C$22,AE369,Законод!$C$22*'01_Доходи'!AE368),IF($B$365="Лікар-педіатр","x",IF($B$365="Лікар-терапевт",IF(AG369&lt;=Законод!$C$26,AE369,Законод!$C$26*'01_Доходи'!AE368),0)))</f>
        <v>0</v>
      </c>
      <c r="AF370" s="208">
        <f ca="1">IF($B$365="Лікар загальної практики - сімейний лікар",IF(AG369&lt;=Законод!$C$22,AF369,Законод!$C$22*'01_Доходи'!AF368),IF($B$365="Лікар-педіатр","x",IF($B$365="Лікар-терапевт",IF(AG369&lt;=Законод!$C$26,AF369,Законод!$C$26*'01_Доходи'!AF368),0)))</f>
        <v>0</v>
      </c>
      <c r="AG370" s="209">
        <f ca="1">SUM(AB370:AF370)</f>
        <v>0</v>
      </c>
      <c r="AH370" s="930"/>
      <c r="AI370" s="201"/>
      <c r="AJ370" s="933"/>
      <c r="AK370" s="927"/>
      <c r="AL370" s="927"/>
      <c r="AM370" s="348" t="s">
        <v>374</v>
      </c>
      <c r="AN370" s="210">
        <f ca="1">IF(B365="Лікар загальної практики - сімейний лікар",G370*Законод!$C$11+'01_Доходи'!H370*Законод!$D$11+'01_Доходи'!I370*Законод!$E$11+'01_Доходи'!J370*Законод!$F$11+'01_Доходи'!K370*Законод!$G$11,IF(B365="Лікар-педіатр",G370*Законод!$C$11+'01_Доходи'!H370*Законод!$D$11,IF(B365="Лікар-терапевт",'01_Доходи'!I370*Законод!$E$11+'01_Доходи'!J370*Законод!$F$11+'01_Доходи'!K370*Законод!$G$11,0)))</f>
        <v>0</v>
      </c>
      <c r="AO370" s="210">
        <f ca="1">IF(B365="Лікар загальної практики - сімейний лікар",N370*Законод!$C$11+'01_Доходи'!O370*Законод!$D$11+'01_Доходи'!P370*Законод!$E$11+'01_Доходи'!Q370*Законод!$F$11+'01_Доходи'!R370*Законод!$G$11,IF(B365="Лікар-педіатр",N370*Законод!$C$11+'01_Доходи'!O370*Законод!$D$11,IF(B365="Лікар-терапевт",'01_Доходи'!P370*Законод!$E$11+'01_Доходи'!Q370*Законод!$F$11+'01_Доходи'!R370*Законод!$G$11,0)))</f>
        <v>0</v>
      </c>
      <c r="AP370" s="210">
        <f ca="1">IF(B365="Лікар загальної практики - сімейний лікар",U370*Законод!$C$11+'01_Доходи'!V370*Законод!$D$11+'01_Доходи'!W370*Законод!$E$11+'01_Доходи'!X370*Законод!$F$11+'01_Доходи'!Y370*Законод!$G$11,IF(B365="Лікар-педіатр",U370*Законод!$C$11+'01_Доходи'!V370*Законод!$D$11,IF(B365="Лікар-терапевт",'01_Доходи'!W370*Законод!$E$11+'01_Доходи'!X370*Законод!$F$11+'01_Доходи'!Y370*Законод!$G$11,0)))</f>
        <v>0</v>
      </c>
      <c r="AQ370" s="210">
        <f ca="1">IF(B365="Лікар загальної практики - сімейний лікар",AB370*Законод!$C$11+'01_Доходи'!AC370*Законод!$D$11+'01_Доходи'!AD370*Законод!$E$11+'01_Доходи'!AE370*Законод!$F$11+'01_Доходи'!AF370*Законод!$G$11,IF(B365="Лікар-педіатр",AB370*Законод!$C$11+'01_Доходи'!AC370*Законод!$D$11,IF(B365="Лікар-терапевт",'01_Доходи'!AD370*Законод!$E$11+'01_Доходи'!AE370*Законод!$F$11+'01_Доходи'!AF370*Законод!$G$11,0)))</f>
        <v>0</v>
      </c>
      <c r="AR370" s="211">
        <f t="shared" ref="AR370:AR376" si="55">SUM(AN370:AQ370)</f>
        <v>0</v>
      </c>
    </row>
    <row r="371" spans="1:44" s="50" customFormat="1" ht="31.9" hidden="1" customHeight="1">
      <c r="A371" s="197"/>
      <c r="B371" s="893"/>
      <c r="C371" s="896"/>
      <c r="D371" s="912"/>
      <c r="E371" s="909"/>
      <c r="F371" s="238" t="str">
        <f ca="1">IF(B365="Лікар-педіатр",Законод!$E$17,IF(B365="Лікар загальної практики - сімейний лікар",Законод!$E$21,IF(B365="Лікар-терапевт",Законод!$E$25,"х")))</f>
        <v>х</v>
      </c>
      <c r="G371" s="889" t="s">
        <v>346</v>
      </c>
      <c r="H371" s="890"/>
      <c r="I371" s="890"/>
      <c r="J371" s="890"/>
      <c r="K371" s="891"/>
      <c r="L371" s="196">
        <f ca="1">IF($B$365="Лікар загальної практики - сімейний лікар",IF(L369&lt;Законод!$C$22,0,(IF(AND(L369&gt;=Законод!$E$22,L369&lt;=Законод!$E$23),L369-Законод!$C$22,IF('01_Доходи'!L369&gt;=Законод!$F$22,Законод!$E$24,0)))),IF($B$365="Лікар-педіатр",IF(L369&lt;Законод!$C$18,0,(IF(AND(L369&gt;=Законод!$E$18,L369&lt;=Законод!$E$19),L369-Законод!$C$18,IF('01_Доходи'!L369&gt;=Законод!$F$18,Законод!$E$20,0)))),IF($B$365="Лікар-терапевт",IF(L369&lt;Законод!$C$26,0,(IF(AND(L369&gt;=Законод!$E$26,L369&lt;=Законод!$E$27),L369-Законод!$C$26,IF('01_Доходи'!L369&gt;=Законод!$F$26,Законод!$E$28,0)))),0)))</f>
        <v>0</v>
      </c>
      <c r="M371" s="930"/>
      <c r="N371" s="889" t="s">
        <v>346</v>
      </c>
      <c r="O371" s="890"/>
      <c r="P371" s="890"/>
      <c r="Q371" s="890"/>
      <c r="R371" s="891"/>
      <c r="S371" s="196">
        <f ca="1">IF($B$365="Лікар загальної практики - сімейний лікар",IF(S369&lt;Законод!$C$22,0,(IF(AND(S369&gt;=Законод!$E$22,S369&lt;=Законод!$E$23),S369-Законод!$C$22,IF('01_Доходи'!S369&gt;=Законод!$F$22,Законод!$E$24,0)))),IF($B$365="Лікар-педіатр",IF(S369&lt;Законод!$C$18,0,(IF(AND(S369&gt;=Законод!$E$18,S369&lt;=Законод!$E$19),S369-Законод!$C$18,IF('01_Доходи'!S369&gt;=Законод!$F$18,Законод!$E$20,0)))),IF($B$365="Лікар-терапевт",IF(S369&lt;Законод!$C$26,0,(IF(AND(S369&gt;=Законод!$E$26,S369&lt;=Законод!$E$27),S369-Законод!$C$26,IF('01_Доходи'!S369&gt;=Законод!$F$26,Законод!$E$28,0)))),0)))</f>
        <v>0</v>
      </c>
      <c r="T371" s="930"/>
      <c r="U371" s="889" t="s">
        <v>346</v>
      </c>
      <c r="V371" s="890"/>
      <c r="W371" s="890"/>
      <c r="X371" s="890"/>
      <c r="Y371" s="891"/>
      <c r="Z371" s="196">
        <f ca="1">IF($B$365="Лікар загальної практики - сімейний лікар",IF(Z369&lt;Законод!$C$22,0,(IF(AND(Z369&gt;=Законод!$E$22,Z369&lt;=Законод!$E$23),Z369-Законод!$C$22,IF('01_Доходи'!Z369&gt;=Законод!$F$22,Законод!$E$24,0)))),IF($B$365="Лікар-педіатр",IF(Z369&lt;Законод!$C$18,0,(IF(AND(Z369&gt;=Законод!$E$18,Z369&lt;=Законод!$E$19),Z369-Законод!$C$18,IF('01_Доходи'!Z369&gt;=Законод!$F$18,Законод!$E$20,0)))),IF($B$365="Лікар-терапевт",IF(Z369&lt;Законод!$C$26,0,(IF(AND(Z369&gt;=Законод!$E$26,Z369&lt;=Законод!$E$27),Z369-Законод!$C$26,IF('01_Доходи'!Z369&gt;=Законод!$F$26,Законод!$E$28,0)))),0)))</f>
        <v>0</v>
      </c>
      <c r="AA371" s="930"/>
      <c r="AB371" s="889" t="s">
        <v>346</v>
      </c>
      <c r="AC371" s="890"/>
      <c r="AD371" s="890"/>
      <c r="AE371" s="890"/>
      <c r="AF371" s="891"/>
      <c r="AG371" s="196">
        <f ca="1">IF($B$365="Лікар загальної практики - сімейний лікар",IF(AG369&lt;Законод!$C$22,0,(IF(AND(AG369&gt;=Законод!$E$22,AG369&lt;=Законод!$E$23),AG369-Законод!$C$22,IF('01_Доходи'!AG369&gt;=Законод!$F$22,Законод!$E$24,0)))),IF($B$365="Лікар-педіатр",IF(AG369&lt;Законод!$C$18,0,(IF(AND(AG369&gt;=Законод!$E$18,AG369&lt;=Законод!$E$19),AG369-Законод!$C$18,IF('01_Доходи'!AG369&gt;=Законод!$F$18,Законод!$E$20,0)))),IF($B$365="Лікар-терапевт",IF(AG369&lt;Законод!$C$26,0,(IF(AND(AG369&gt;=Законод!$E$26,AG369&lt;=Законод!$E$27),AG369-Законод!$C$26,IF('01_Доходи'!AG369&gt;=Законод!$F$26,Законод!$E$28,0)))),0)))</f>
        <v>0</v>
      </c>
      <c r="AH371" s="930"/>
      <c r="AI371" s="201"/>
      <c r="AJ371" s="933"/>
      <c r="AK371" s="927"/>
      <c r="AL371" s="927"/>
      <c r="AM371" s="898" t="s">
        <v>375</v>
      </c>
      <c r="AN371" s="210">
        <f ca="1">IF(B365="Лікар загальної практики - сімейний лікар",L371*Законод!$C$9/4*Законод!$E$16,IF(B365="Лікар-педіатр",L371*Законод!$C$9/4*Законод!$E$16,IF(B365="Лікар-терапевт",L371*Законод!$C$9/4*Законод!$E$16,0)))</f>
        <v>0</v>
      </c>
      <c r="AO371" s="210">
        <f ca="1">IF(B365="Лікар загальної практики - сімейний лікар",S371*Законод!$C$9/4*Законод!$E$16,IF(B365="Лікар-педіатр",S371*Законод!$C$9/4*Законод!$E$16,IF(B365="Лікар-терапевт",S371*Законод!$C$9/4*Законод!$E$16,0)))</f>
        <v>0</v>
      </c>
      <c r="AP371" s="210">
        <f ca="1">IF(B365="Лікар загальної практики - сімейний лікар",Z371*Законод!$C$9/4*Законод!$E$16,IF(B365="Лікар-педіатр",Z371*Законод!$C$9/4*Законод!$E$16,IF(B365="Лікар-терапевт",Z371*Законод!$C$9/4*Законод!$E$16,0)))</f>
        <v>0</v>
      </c>
      <c r="AQ371" s="210">
        <f ca="1">IF(B365="Лікар загальної практики - сімейний лікар",AG371*Законод!$C$9/4*Законод!$E$16,IF(B365="Лікар-педіатр",AG371*Законод!$C$9/4*Законод!$E$16,IF(B365="Лікар-терапевт",AG371*Законод!$C$9/4*Законод!$E$16,0)))</f>
        <v>0</v>
      </c>
      <c r="AR371" s="211">
        <f t="shared" si="55"/>
        <v>0</v>
      </c>
    </row>
    <row r="372" spans="1:44" s="50" customFormat="1" ht="31.9" hidden="1" customHeight="1">
      <c r="A372" s="197"/>
      <c r="B372" s="893"/>
      <c r="C372" s="896"/>
      <c r="D372" s="912"/>
      <c r="E372" s="909"/>
      <c r="F372" s="238" t="str">
        <f ca="1">IF(B365="Лікар-педіатр",Законод!$F$17,IF(B365="Лікар загальної практики - сімейний лікар",Законод!$F$21,IF(B365="Лікар-терапевт",Законод!$F$25,"х")))</f>
        <v>х</v>
      </c>
      <c r="G372" s="889" t="s">
        <v>346</v>
      </c>
      <c r="H372" s="890"/>
      <c r="I372" s="890"/>
      <c r="J372" s="890"/>
      <c r="K372" s="891"/>
      <c r="L372" s="196">
        <f ca="1">IF($B$365="Лікар загальної практики - сімейний лікар",IF(L369&lt;Законод!$C$22,0,(IF(AND(L369&gt;=Законод!$F$22,L369&lt;=Законод!$F$23),L369-Законод!$E$23,IF('01_Доходи'!L369&gt;=Законод!$G$22,Законод!$F$24,0)))),IF($B$365="Лікар-педіатр",IF(L369&lt;Законод!$C$18,0,(IF(AND(L369&gt;=Законод!$F$18,L369&lt;=Законод!$F$19),L369-Законод!$E$19,IF('01_Доходи'!L369&gt;=Законод!$G$18,Законод!$F$20,0)))),IF($B$365="Лікар-терапевт",IF(L369&lt;Законод!$C$26,0,(IF(AND(L369&gt;=Законод!$F$26,L369&lt;=Законод!$F$27),L369-Законод!$E$27,IF('01_Доходи'!L369&gt;=Законод!$G$26,Законод!$F$28,0)))),0)))</f>
        <v>0</v>
      </c>
      <c r="M372" s="930"/>
      <c r="N372" s="889" t="s">
        <v>346</v>
      </c>
      <c r="O372" s="890"/>
      <c r="P372" s="890"/>
      <c r="Q372" s="890"/>
      <c r="R372" s="891"/>
      <c r="S372" s="196">
        <f ca="1">IF($B$365="Лікар загальної практики - сімейний лікар",IF(S369&lt;Законод!$C$22,0,(IF(AND(S369&gt;=Законод!$F$22,S369&lt;=Законод!$F$23),S369-Законод!$E$23,IF('01_Доходи'!S369&gt;=Законод!$G$22,Законод!$F$24,0)))),IF($B$365="Лікар-педіатр",IF(S369&lt;Законод!$C$18,0,(IF(AND(S369&gt;=Законод!$F$18,S369&lt;=Законод!$F$19),S369-Законод!$E$19,IF('01_Доходи'!S369&gt;=Законод!$G$18,Законод!$F$20,0)))),IF($B$365="Лікар-терапевт",IF(S369&lt;Законод!$C$26,0,(IF(AND(S369&gt;=Законод!$F$26,S369&lt;=Законод!$F$27),S369-Законод!$E$27,IF('01_Доходи'!S369&gt;=Законод!$G$26,Законод!$F$28,0)))),0)))</f>
        <v>0</v>
      </c>
      <c r="T372" s="930"/>
      <c r="U372" s="889" t="s">
        <v>346</v>
      </c>
      <c r="V372" s="890"/>
      <c r="W372" s="890"/>
      <c r="X372" s="890"/>
      <c r="Y372" s="891"/>
      <c r="Z372" s="196">
        <f ca="1">IF($B$365="Лікар загальної практики - сімейний лікар",IF(Z369&lt;Законод!$C$22,0,(IF(AND(Z369&gt;=Законод!$F$22,Z369&lt;=Законод!$F$23),Z369-Законод!$E$23,IF('01_Доходи'!Z369&gt;=Законод!$G$22,Законод!$F$24,0)))),IF($B$365="Лікар-педіатр",IF(Z369&lt;Законод!$C$18,0,(IF(AND(Z369&gt;=Законод!$F$18,Z369&lt;=Законод!$F$19),Z369-Законод!$E$19,IF('01_Доходи'!Z369&gt;=Законод!$G$18,Законод!$F$20,0)))),IF($B$365="Лікар-терапевт",IF(Z369&lt;Законод!$C$26,0,(IF(AND(Z369&gt;=Законод!$F$26,Z369&lt;=Законод!$F$27),Z369-Законод!$E$27,IF('01_Доходи'!Z369&gt;=Законод!$G$26,Законод!$F$28,0)))),0)))</f>
        <v>0</v>
      </c>
      <c r="AA372" s="930"/>
      <c r="AB372" s="889" t="s">
        <v>346</v>
      </c>
      <c r="AC372" s="890"/>
      <c r="AD372" s="890"/>
      <c r="AE372" s="890"/>
      <c r="AF372" s="891"/>
      <c r="AG372" s="196">
        <f ca="1">IF($B$365="Лікар загальної практики - сімейний лікар",IF(AG369&lt;Законод!$C$22,0,(IF(AND(AG369&gt;=Законод!$F$22,AG369&lt;=Законод!$F$23),AG369-Законод!$E$23,IF('01_Доходи'!AG369&gt;=Законод!$G$22,Законод!$F$24,0)))),IF($B$365="Лікар-педіатр",IF(AG369&lt;Законод!$C$18,0,(IF(AND(AG369&gt;=Законод!$F$18,AG369&lt;=Законод!$F$19),AG369-Законод!$E$19,IF('01_Доходи'!AG369&gt;=Законод!$G$18,Законод!$F$20,0)))),IF($B$365="Лікар-терапевт",IF(AG369&lt;Законод!$C$26,0,(IF(AND(AG369&gt;=Законод!$F$26,AG369&lt;=Законод!$F$27),AG369-Законод!$E$27,IF('01_Доходи'!AG369&gt;=Законод!$G$26,Законод!$F$28,0)))),0)))</f>
        <v>0</v>
      </c>
      <c r="AH372" s="930"/>
      <c r="AI372" s="201"/>
      <c r="AJ372" s="933"/>
      <c r="AK372" s="927"/>
      <c r="AL372" s="927"/>
      <c r="AM372" s="899"/>
      <c r="AN372" s="210">
        <f ca="1">IF(B365="Лікар загальної практики - сімейний лікар",L372*Законод!$C$9/4*Законод!$F$16,IF(B365="Лікар-педіатр",L372*Законод!$C$9/4*Законод!$F$16,IF(B365="Лікар-терапевт",L372*Законод!$C$9/4*Законод!$F$16,0)))</f>
        <v>0</v>
      </c>
      <c r="AO372" s="210">
        <f ca="1">IF(B365="Лікар загальної практики - сімейний лікар",S372*Законод!$C$9/4*Законод!$F$16,IF(B365="Лікар-педіатр",S372*Законод!$C$9/4*Законод!$F$16,IF(B365="Лікар-терапевт",S372*Законод!$C$9/4*Законод!$F$16,0)))</f>
        <v>0</v>
      </c>
      <c r="AP372" s="210">
        <f ca="1">IF(B365="Лікар загальної практики - сімейний лікар",Z372*Законод!$C$9/4*Законод!$F$16,IF(B365="Лікар-педіатр",Z372*Законод!$C$9/4*Законод!$F$16,IF(B365="Лікар-терапевт",Z372*Законод!$C$9/4*Законод!$F$16,0)))</f>
        <v>0</v>
      </c>
      <c r="AQ372" s="210">
        <f ca="1">IF(B365="Лікар загальної практики - сімейний лікар",AG372*Законод!$C$9/4*Законод!$F$16,IF(B365="Лікар-педіатр",AG372*Законод!$C$9/4*Законод!$F$16,IF(B365="Лікар-терапевт",AG372*Законод!$C$9/4*Законод!$F$16,0)))</f>
        <v>0</v>
      </c>
      <c r="AR372" s="211">
        <f t="shared" si="55"/>
        <v>0</v>
      </c>
    </row>
    <row r="373" spans="1:44" s="50" customFormat="1" ht="31.9" hidden="1" customHeight="1">
      <c r="A373" s="197"/>
      <c r="B373" s="893"/>
      <c r="C373" s="896"/>
      <c r="D373" s="912"/>
      <c r="E373" s="909"/>
      <c r="F373" s="238" t="str">
        <f ca="1">IF(B365="Лікар-педіатр",Законод!$G$17,IF(B365="Лікар загальної практики - сімейний лікар",Законод!$G$21,IF(B365="Лікар-терапевт",Законод!$G$25,"х")))</f>
        <v>х</v>
      </c>
      <c r="G373" s="889" t="s">
        <v>346</v>
      </c>
      <c r="H373" s="890"/>
      <c r="I373" s="890"/>
      <c r="J373" s="890"/>
      <c r="K373" s="891"/>
      <c r="L373" s="196">
        <f ca="1">IF($B$365="Лікар загальної практики - сімейний лікар",IF(L369&lt;Законод!$C$22,0,(IF(AND(L369&gt;=Законод!$G$22,L369&lt;=Законод!$G$23),L369-Законод!$F$23,IF('01_Доходи'!L369&gt;=Законод!$H$22,Законод!$G$24,0)))),IF($B$365="Лікар-педіатр",IF(L369&lt;Законод!$C$18,0,(IF(AND(L369&gt;=Законод!$G$18,L369&lt;=Законод!$G$19),L369-Законод!$F$19,IF('01_Доходи'!L369&gt;=Законод!$H$18,Законод!$G$20,0)))),IF($B$365="Лікар-терапевт",IF(L369&lt;Законод!$C$26,0,(IF(AND(L369&gt;=Законод!$G$26,L369&lt;=Законод!$G$27),L369-Законод!$F$27,IF('01_Доходи'!L369&gt;=Законод!$H$26,Законод!$G$28,0)))),0)))</f>
        <v>0</v>
      </c>
      <c r="M373" s="930"/>
      <c r="N373" s="889" t="s">
        <v>346</v>
      </c>
      <c r="O373" s="890"/>
      <c r="P373" s="890"/>
      <c r="Q373" s="890"/>
      <c r="R373" s="891"/>
      <c r="S373" s="196">
        <f ca="1">IF($B$365="Лікар загальної практики - сімейний лікар",IF(S369&lt;Законод!$C$22,0,(IF(AND(S369&gt;=Законод!$G$22,S369&lt;=Законод!$G$23),S369-Законод!$F$23,IF('01_Доходи'!S369&gt;=Законод!$H$22,Законод!$G$24,0)))),IF($B$365="Лікар-педіатр",IF(S369&lt;Законод!$C$18,0,(IF(AND(S369&gt;=Законод!$G$18,S369&lt;=Законод!$G$19),S369-Законод!$F$19,IF('01_Доходи'!S369&gt;=Законод!$H$18,Законод!$G$20,0)))),IF($B$365="Лікар-терапевт",IF(S369&lt;Законод!$C$26,0,(IF(AND(S369&gt;=Законод!$G$26,S369&lt;=Законод!$G$27),S369-Законод!$F$27,IF('01_Доходи'!S369&gt;=Законод!$H$26,Законод!$G$28,0)))),0)))</f>
        <v>0</v>
      </c>
      <c r="T373" s="930"/>
      <c r="U373" s="889" t="s">
        <v>346</v>
      </c>
      <c r="V373" s="890"/>
      <c r="W373" s="890"/>
      <c r="X373" s="890"/>
      <c r="Y373" s="891"/>
      <c r="Z373" s="196">
        <f ca="1">IF($B$365="Лікар загальної практики - сімейний лікар",IF(Z369&lt;Законод!$C$22,0,(IF(AND(Z369&gt;=Законод!$G$22,Z369&lt;=Законод!$G$23),Z369-Законод!$F$23,IF('01_Доходи'!Z369&gt;=Законод!$H$22,Законод!$G$24,0)))),IF($B$365="Лікар-педіатр",IF(Z369&lt;Законод!$C$18,0,(IF(AND(Z369&gt;=Законод!$G$18,Z369&lt;=Законод!$G$19),Z369-Законод!$F$19,IF('01_Доходи'!Z369&gt;=Законод!$H$18,Законод!$G$20,0)))),IF($B$365="Лікар-терапевт",IF(Z369&lt;Законод!$C$26,0,(IF(AND(Z369&gt;=Законод!$G$26,Z369&lt;=Законод!$G$27),Z369-Законод!$F$27,IF('01_Доходи'!Z369&gt;=Законод!$H$26,Законод!$G$28,0)))),0)))</f>
        <v>0</v>
      </c>
      <c r="AA373" s="930"/>
      <c r="AB373" s="889" t="s">
        <v>346</v>
      </c>
      <c r="AC373" s="890"/>
      <c r="AD373" s="890"/>
      <c r="AE373" s="890"/>
      <c r="AF373" s="891"/>
      <c r="AG373" s="196">
        <f ca="1">IF($B$365="Лікар загальної практики - сімейний лікар",IF(AG369&lt;Законод!$C$22,0,(IF(AND(AG369&gt;=Законод!$G$22,AG369&lt;=Законод!$G$23),AG369-Законод!$F$23,IF('01_Доходи'!AG369&gt;=Законод!$H$22,Законод!$G$24,0)))),IF($B$365="Лікар-педіатр",IF(AG369&lt;Законод!$C$18,0,(IF(AND(AG369&gt;=Законод!$G$18,AG369&lt;=Законод!$G$19),AG369-Законод!$F$19,IF('01_Доходи'!AG369&gt;=Законод!$H$18,Законод!$G$20,0)))),IF($B$365="Лікар-терапевт",IF(AG369&lt;Законод!$C$26,0,(IF(AND(AG369&gt;=Законод!$G$26,AG369&lt;=Законод!$G$27),AG369-Законод!$F$27,IF('01_Доходи'!AG369&gt;=Законод!$H$26,Законод!$G$28,0)))),0)))</f>
        <v>0</v>
      </c>
      <c r="AH373" s="930"/>
      <c r="AI373" s="201"/>
      <c r="AJ373" s="933"/>
      <c r="AK373" s="927"/>
      <c r="AL373" s="927"/>
      <c r="AM373" s="899"/>
      <c r="AN373" s="210">
        <f ca="1">IF(B365="Лікар загальної практики - сімейний лікар",L373*Законод!$C$9/4*Законод!$G$16,IF(B365="Лікар-педіатр",L373*Законод!$C$9/4*Законод!$G$16,IF(B365="Лікар-терапевт",L373*Законод!$C$9/4*Законод!$G$16,0)))</f>
        <v>0</v>
      </c>
      <c r="AO373" s="210">
        <f ca="1">IF(B365="Лікар загальної практики - сімейний лікар",S373*Законод!$C$9/4*Законод!$G$16,IF(B365="Лікар-педіатр",S373*Законод!$C$9/4*Законод!$G$16,IF(B365="Лікар-терапевт",S373*Законод!$C$9/4*Законод!$G$16,0)))</f>
        <v>0</v>
      </c>
      <c r="AP373" s="210">
        <f ca="1">IF(B365="Лікар загальної практики - сімейний лікар",Z373*Законод!$C$9/4*Законод!$G$16,IF(B365="Лікар-педіатр",Z373*Законод!$C$9/4*Законод!$G$16,IF(B365="Лікар-терапевт",Z373*Законод!$C$9/4*Законод!$G$16,0)))</f>
        <v>0</v>
      </c>
      <c r="AQ373" s="210">
        <f ca="1">IF(B365="Лікар загальної практики - сімейний лікар",AG373*Законод!$C$9/4*Законод!$G$16,IF(B365="Лікар-педіатр",AG373*Законод!$C$9/4*Законод!$G$16,IF(B365="Лікар-терапевт",AG373*Законод!$C$9/4*Законод!$G$16,0)))</f>
        <v>0</v>
      </c>
      <c r="AR373" s="211">
        <f t="shared" si="55"/>
        <v>0</v>
      </c>
    </row>
    <row r="374" spans="1:44" s="50" customFormat="1" ht="31.9" hidden="1" customHeight="1">
      <c r="A374" s="197"/>
      <c r="B374" s="893"/>
      <c r="C374" s="896"/>
      <c r="D374" s="912"/>
      <c r="E374" s="909"/>
      <c r="F374" s="238" t="str">
        <f ca="1">IF(B365="Лікар-педіатр",Законод!$H$17,IF(B365="Лікар загальної практики - сімейний лікар",Законод!$H$21,IF(B365="Лікар-терапевт",Законод!$H$25,"х")))</f>
        <v>х</v>
      </c>
      <c r="G374" s="889" t="s">
        <v>346</v>
      </c>
      <c r="H374" s="890"/>
      <c r="I374" s="890"/>
      <c r="J374" s="890"/>
      <c r="K374" s="891"/>
      <c r="L374" s="196">
        <f ca="1">IF($B$365="Лікар загальної практики - сімейний лікар",IF(L369&lt;Законод!$C$22,0,(IF(AND(L369&gt;=Законод!$H$22,L369&lt;=Законод!$H$23),L369-Законод!$G$23,IF('01_Доходи'!L369&gt;=Законод!$I$22,Законод!$H$24,0)))),IF($B$365="Лікар-педіатр",IF(L369&lt;Законод!$C$18,0,(IF(AND(L369&gt;=Законод!$H$18,L369&lt;=Законод!$H$19),L369-Законод!$G$19,IF('01_Доходи'!L369&gt;=Законод!$I$18,Законод!$H$20,0)))),IF($B$365="Лікар-терапевт",IF(L369&lt;Законод!$C$26,0,(IF(AND(L369&gt;=Законод!$H$26,L369&lt;=Законод!$H$27),L369-Законод!$G$27,IF(L369&gt;=Законод!$I$26,Законод!$H$28,0)))),0)))</f>
        <v>0</v>
      </c>
      <c r="M374" s="930"/>
      <c r="N374" s="889" t="s">
        <v>346</v>
      </c>
      <c r="O374" s="890"/>
      <c r="P374" s="890"/>
      <c r="Q374" s="890"/>
      <c r="R374" s="891"/>
      <c r="S374" s="196">
        <f ca="1">IF($B$365="Лікар загальної практики - сімейний лікар",IF(S369&lt;Законод!$C$22,0,(IF(AND(S369&gt;=Законод!$H$22,S369&lt;=Законод!$H$23),S369-Законод!$G$23,IF('01_Доходи'!S369&gt;=Законод!$I$22,Законод!$H$24,0)))),IF($B$365="Лікар-педіатр",IF(S369&lt;Законод!$C$18,0,(IF(AND(S369&gt;=Законод!$H$18,S369&lt;=Законод!$H$19),S369-Законод!$G$19,IF('01_Доходи'!S369&gt;=Законод!$I$18,Законод!$H$20,0)))),IF($B$365="Лікар-терапевт",IF(S369&lt;Законод!$C$26,0,(IF(AND(S369&gt;=Законод!$H$26,S369&lt;=Законод!$H$27),S369-Законод!$G$27,IF(S369&gt;=Законод!$I$26,Законод!$H$28,0)))),0)))</f>
        <v>0</v>
      </c>
      <c r="T374" s="930"/>
      <c r="U374" s="889" t="s">
        <v>346</v>
      </c>
      <c r="V374" s="890"/>
      <c r="W374" s="890"/>
      <c r="X374" s="890"/>
      <c r="Y374" s="891"/>
      <c r="Z374" s="196">
        <f ca="1">IF($B$365="Лікар загальної практики - сімейний лікар",IF(Z369&lt;Законод!$C$22,0,(IF(AND(Z369&gt;=Законод!$H$22,Z369&lt;=Законод!$H$23),Z369-Законод!$G$23,IF('01_Доходи'!Z369&gt;=Законод!$I$22,Законод!$H$24,0)))),IF($B$365="Лікар-педіатр",IF(Z369&lt;Законод!$C$18,0,(IF(AND(Z369&gt;=Законод!$H$18,Z369&lt;=Законод!$H$19),Z369-Законод!$G$19,IF('01_Доходи'!Z369&gt;=Законод!$I$18,Законод!$H$20,0)))),IF($B$365="Лікар-терапевт",IF(Z369&lt;Законод!$C$26,0,(IF(AND(Z369&gt;=Законод!$H$26,Z369&lt;=Законод!$H$27),Z369-Законод!$G$27,IF(Z369&gt;=Законод!$I$26,Законод!$H$28,0)))),0)))</f>
        <v>0</v>
      </c>
      <c r="AA374" s="930"/>
      <c r="AB374" s="889" t="s">
        <v>346</v>
      </c>
      <c r="AC374" s="890"/>
      <c r="AD374" s="890"/>
      <c r="AE374" s="890"/>
      <c r="AF374" s="891"/>
      <c r="AG374" s="196">
        <f ca="1">IF($B$365="Лікар загальної практики - сімейний лікар",IF(AG369&lt;Законод!$C$22,0,(IF(AND(AG369&gt;=Законод!$H$22,AG369&lt;=Законод!$H$23),AG369-Законод!$G$23,IF('01_Доходи'!AG369&gt;=Законод!$I$22,Законод!$H$24,0)))),IF($B$365="Лікар-педіатр",IF(AG369&lt;Законод!$C$18,0,(IF(AND(AG369&gt;=Законод!$H$18,AG369&lt;=Законод!$H$19),AG369-Законод!$G$19,IF('01_Доходи'!AG369&gt;=Законод!$I$18,Законод!$H$20,0)))),IF($B$365="Лікар-терапевт",IF(AG369&lt;Законод!$C$26,0,(IF(AND(AG369&gt;=Законод!$H$26,AG369&lt;=Законод!$H$27),AG369-Законод!$G$27,IF(AG369&gt;=Законод!$I$26,Законод!$H$28,0)))),0)))</f>
        <v>0</v>
      </c>
      <c r="AH374" s="930"/>
      <c r="AI374" s="201"/>
      <c r="AJ374" s="933"/>
      <c r="AK374" s="927"/>
      <c r="AL374" s="927"/>
      <c r="AM374" s="899"/>
      <c r="AN374" s="210">
        <f ca="1">IF(B365="Лікар загальної практики - сімейний лікар",L374*Законод!$C$9/4*Законод!$H$16,IF(B365="Лікар-педіатр",L374*Законод!$C$9/4*Законод!$H$16,IF(B365="Лікар-терапевт",L374*Законод!$C$9/4*Законод!$H$16,0)))</f>
        <v>0</v>
      </c>
      <c r="AO374" s="210">
        <f ca="1">IF(B365="Лікар загальної практики - сімейний лікар",S374*Законод!$C$9/4*Законод!$H$16,IF(B365="Лікар-педіатр",S374*Законод!$C$9/4*Законод!$H$16,IF(B365="Лікар-терапевт",S374*Законод!$C$9/4*Законод!$H$16,0)))</f>
        <v>0</v>
      </c>
      <c r="AP374" s="210">
        <f ca="1">IF(B365="Лікар загальної практики - сімейний лікар",Z374*Законод!$C$9/4*Законод!$H$16,IF(B365="Лікар-педіатр",Z374*Законод!$C$9/4*Законод!$H$16,IF(B365="Лікар-терапевт",Z374*Законод!$C$9/4*Законод!$H$16,0)))</f>
        <v>0</v>
      </c>
      <c r="AQ374" s="210">
        <f ca="1">IF(B365="Лікар загальної практики - сімейний лікар",AG374*Законод!$C$9/4*Законод!$H$16,IF(B365="Лікар-педіатр",AG374*Законод!$C$9/4*Законод!$H$16,IF(B365="Лікар-терапевт",AG374*Законод!$C$9/4*Законод!$H$16,0)))</f>
        <v>0</v>
      </c>
      <c r="AR374" s="211">
        <f t="shared" si="55"/>
        <v>0</v>
      </c>
    </row>
    <row r="375" spans="1:44" s="50" customFormat="1" ht="31.9" hidden="1" customHeight="1">
      <c r="A375" s="197"/>
      <c r="B375" s="893"/>
      <c r="C375" s="896"/>
      <c r="D375" s="912"/>
      <c r="E375" s="909"/>
      <c r="F375" s="238" t="str">
        <f ca="1">IF(B365="Лікар-педіатр",Законод!$I$17,IF(B365="Лікар загальної практики - сімейний лікар",Законод!$I$21,IF(B365="Лікар-терапевт",Законод!$I$25,"х")))</f>
        <v>х</v>
      </c>
      <c r="G375" s="889" t="s">
        <v>346</v>
      </c>
      <c r="H375" s="890"/>
      <c r="I375" s="890"/>
      <c r="J375" s="890"/>
      <c r="K375" s="891"/>
      <c r="L375" s="196">
        <f ca="1">IF($B$365="Лікар загальної практики - сімейний лікар",IF(L369&lt;Законод!$C$22,0,(IF(AND(L369&gt;=Законод!$I$22,L369&lt;=Законод!$I$23),L369-Законод!$H$23,IF('01_Доходи'!L369&gt;=Законод!$I$22,Законод!$I$24,0)))),IF($B$365="Лікар-педіатр",IF(L369&lt;Законод!$C$18,0,(IF(AND(L369&gt;=Законод!$I$18,L369&lt;=Законод!$I$19),L369-Законод!$H$19,IF('01_Доходи'!L369&gt;=Законод!$I$18,Законод!$H$20,0)))),IF($B$365="Лікар-терапевт",IF(L369&lt;Законод!$C$26,0,(IF(AND(L369&gt;=Законод!$I$26,L369&lt;=Законод!$I$27),L369-Законод!$H$27,IF('01_Доходи'!L369&gt;=Законод!$I$26,Законод!$H$28,0)))),0)))</f>
        <v>0</v>
      </c>
      <c r="M375" s="930"/>
      <c r="N375" s="889" t="s">
        <v>346</v>
      </c>
      <c r="O375" s="890"/>
      <c r="P375" s="890"/>
      <c r="Q375" s="890"/>
      <c r="R375" s="891"/>
      <c r="S375" s="196">
        <f ca="1">IF($B$365="Лікар загальної практики - сімейний лікар",IF(S369&lt;Законод!$C$22,0,(IF(AND(S369&gt;=Законод!$I$22,S369&lt;=Законод!$I$23),S369-Законод!$H$23,IF('01_Доходи'!S369&gt;=Законод!$I$22,Законод!$I$24,0)))),IF($B$365="Лікар-педіатр",IF(S369&lt;Законод!$C$18,0,(IF(AND(S369&gt;=Законод!$I$18,S369&lt;=Законод!$I$19),S369-Законод!$H$19,IF('01_Доходи'!S369&gt;=Законод!$I$18,Законод!$H$20,0)))),IF($B$365="Лікар-терапевт",IF(S369&lt;Законод!$C$26,0,(IF(AND(S369&gt;=Законод!$I$26,S369&lt;=Законод!$I$27),S369-Законод!$H$27,IF('01_Доходи'!S369&gt;=Законод!$I$26,Законод!$H$28,0)))),0)))</f>
        <v>0</v>
      </c>
      <c r="T375" s="930"/>
      <c r="U375" s="889" t="s">
        <v>346</v>
      </c>
      <c r="V375" s="890"/>
      <c r="W375" s="890"/>
      <c r="X375" s="890"/>
      <c r="Y375" s="891"/>
      <c r="Z375" s="196">
        <f ca="1">IF($B$365="Лікар загальної практики - сімейний лікар",IF(Z369&lt;Законод!$C$22,0,(IF(AND(Z369&gt;=Законод!$I$22,Z369&lt;=Законод!$I$23),Z369-Законод!$H$23,IF('01_Доходи'!Z369&gt;=Законод!$I$22,Законод!$I$24,0)))),IF($B$365="Лікар-педіатр",IF(Z369&lt;Законод!$C$18,0,(IF(AND(Z369&gt;=Законод!$I$18,Z369&lt;=Законод!$I$19),Z369-Законод!$H$19,IF('01_Доходи'!Z369&gt;=Законод!$I$18,Законод!$H$20,0)))),IF($B$365="Лікар-терапевт",IF(Z369&lt;Законод!$C$26,0,(IF(AND(Z369&gt;=Законод!$I$26,Z369&lt;=Законод!$I$27),Z369-Законод!$H$27,IF('01_Доходи'!Z369&gt;=Законод!$I$26,Законод!$H$28,0)))),0)))</f>
        <v>0</v>
      </c>
      <c r="AA375" s="930"/>
      <c r="AB375" s="889" t="s">
        <v>346</v>
      </c>
      <c r="AC375" s="890"/>
      <c r="AD375" s="890"/>
      <c r="AE375" s="890"/>
      <c r="AF375" s="891"/>
      <c r="AG375" s="196">
        <f ca="1">IF($B$365="Лікар загальної практики - сімейний лікар",IF(AG369&lt;Законод!$C$22,0,(IF(AND(AG369&gt;=Законод!$I$22,AG369&lt;=Законод!$I$23),AG369-Законод!$H$23,IF('01_Доходи'!AG369&gt;=Законод!$I$22,Законод!$I$24,0)))),IF($B$365="Лікар-педіатр",IF(AG369&lt;Законод!$C$18,0,(IF(AND(AG369&gt;=Законод!$I$18,AG369&lt;=Законод!$I$19),AG369-Законод!$H$19,IF('01_Доходи'!AG369&gt;=Законод!$I$18,Законод!$H$20,0)))),IF($B$365="Лікар-терапевт",IF(AG369&lt;Законод!$C$26,0,(IF(AND(AG369&gt;=Законод!$I$26,AG369&lt;=Законод!$I$27),AG369-Законод!$H$27,IF('01_Доходи'!AG369&gt;=Законод!$I$26,Законод!$H$28,0)))),0)))</f>
        <v>0</v>
      </c>
      <c r="AH375" s="930"/>
      <c r="AI375" s="201"/>
      <c r="AJ375" s="933"/>
      <c r="AK375" s="927"/>
      <c r="AL375" s="927"/>
      <c r="AM375" s="899"/>
      <c r="AN375" s="210">
        <f ca="1">IF(B365="Лікар загальної практики - сімейний лікар",L375*Законод!$C$9/4*Законод!$I$16,IF(B365="Лікар-педіатр",L375*Законод!$C$9/4*Законод!$I$16,IF(B365="Лікар-терапевт",L375*Законод!$C$9/4*Законод!$I$16,0)))</f>
        <v>0</v>
      </c>
      <c r="AO375" s="210">
        <f ca="1">IF(B365="Лікар загальної практики - сімейний лікар",S375*Законод!$C$9/4*Законод!$I$16,IF(B365="Лікар-педіатр",S375*Законод!$C$9/4*Законод!$I$16,IF(B365="Лікар-терапевт",S375*Законод!$C$9/4*Законод!$I$16,0)))</f>
        <v>0</v>
      </c>
      <c r="AP375" s="210">
        <f ca="1">IF(B365="Лікар загальної практики - сімейний лікар",Z375*Законод!$C$9/4*Законод!$I$16,IF(B365="Лікар-педіатр",Z375*Законод!$C$9/4*Законод!$I$16,IF(B365="Лікар-терапевт",Z375*Законод!$C$9/4*Законод!$I$16,0)))</f>
        <v>0</v>
      </c>
      <c r="AQ375" s="210">
        <f ca="1">IF(B365="Лікар загальної практики - сімейний лікар",AG375*Законод!$C$9/4*Законод!$I$16,IF(B365="Лікар-педіатр",AG375*Законод!$C$9/4*Законод!$I$16,IF(B365="Лікар-терапевт",AG375*Законод!$C$9/4*Законод!$I$16,0)))</f>
        <v>0</v>
      </c>
      <c r="AR375" s="211">
        <f t="shared" si="55"/>
        <v>0</v>
      </c>
    </row>
    <row r="376" spans="1:44" s="218" customFormat="1" ht="31.9" hidden="1" customHeight="1" thickBot="1">
      <c r="A376" s="213"/>
      <c r="B376" s="894"/>
      <c r="C376" s="897"/>
      <c r="D376" s="913"/>
      <c r="E376" s="910"/>
      <c r="F376" s="239" t="str">
        <f ca="1">IF(B365="Лікар-педіатр",Законод!$J$17,IF(B365="Лікар загальної практики - сімейний лікар",Законод!$J$21,IF(B365="Лікар-терапевт",Законод!$J$25,"х")))</f>
        <v>х</v>
      </c>
      <c r="G376" s="935" t="s">
        <v>346</v>
      </c>
      <c r="H376" s="936"/>
      <c r="I376" s="936"/>
      <c r="J376" s="936"/>
      <c r="K376" s="937"/>
      <c r="L376" s="196">
        <f ca="1">IF($B$365="Лікар загальної практики - сімейний лікар",IF(L369&gt;=Законод!$J$22,'01_Доходи'!L369-('01_Доходи'!L370+'01_Доходи'!L371+'01_Доходи'!L372+'01_Доходи'!L373+'01_Доходи'!L374+'01_Доходи'!L375),0),IF($B$365="Лікар-педіатр",IF(L369&gt;=Законод!$J$18,'01_Доходи'!L369-('01_Доходи'!L370+'01_Доходи'!L371+'01_Доходи'!L372+'01_Доходи'!L373+'01_Доходи'!L374+'01_Доходи'!L375),0),IF($B$365="Лікар-терапевт",IF('01_Доходи'!L369&gt;=Законод!$J$26,L369-Законод!$I$27,0),0)))</f>
        <v>0</v>
      </c>
      <c r="M376" s="931"/>
      <c r="N376" s="935" t="s">
        <v>346</v>
      </c>
      <c r="O376" s="936"/>
      <c r="P376" s="936"/>
      <c r="Q376" s="936"/>
      <c r="R376" s="937"/>
      <c r="S376" s="196">
        <f ca="1">IF($B$365="Лікар загальної практики - сімейний лікар",IF(S369&gt;=Законод!$J$22,'01_Доходи'!S369-('01_Доходи'!S370+'01_Доходи'!S371+'01_Доходи'!S372+'01_Доходи'!S373+'01_Доходи'!S374+'01_Доходи'!S375),0),IF($B$365="Лікар-педіатр",IF(S369&gt;=Законод!$J$18,'01_Доходи'!S369-('01_Доходи'!S370+'01_Доходи'!S371+'01_Доходи'!S372+'01_Доходи'!S373+'01_Доходи'!S374+'01_Доходи'!S375),0),IF($B$365="Лікар-терапевт",IF('01_Доходи'!S369&gt;=Законод!$J$26,S369-Законод!$I$27,0),0)))</f>
        <v>0</v>
      </c>
      <c r="T376" s="931"/>
      <c r="U376" s="935" t="s">
        <v>346</v>
      </c>
      <c r="V376" s="936"/>
      <c r="W376" s="936"/>
      <c r="X376" s="936"/>
      <c r="Y376" s="937"/>
      <c r="Z376" s="196">
        <f ca="1">IF($B$365="Лікар загальної практики - сімейний лікар",IF(Z369&gt;=Законод!$J$22,'01_Доходи'!Z369-('01_Доходи'!Z370+'01_Доходи'!Z371+'01_Доходи'!Z372+'01_Доходи'!Z373+'01_Доходи'!Z374+'01_Доходи'!Z375),0),IF($B$365="Лікар-педіатр",IF(Z369&gt;=Законод!$J$18,'01_Доходи'!Z369-('01_Доходи'!Z370+'01_Доходи'!Z371+'01_Доходи'!Z372+'01_Доходи'!Z373+'01_Доходи'!Z374+'01_Доходи'!Z375),0),IF($B$365="Лікар-терапевт",IF('01_Доходи'!Z369&gt;=Законод!$J$26,Z369-Законод!$I$27,0),0)))</f>
        <v>0</v>
      </c>
      <c r="AA376" s="931"/>
      <c r="AB376" s="935" t="s">
        <v>346</v>
      </c>
      <c r="AC376" s="936"/>
      <c r="AD376" s="936"/>
      <c r="AE376" s="936"/>
      <c r="AF376" s="937"/>
      <c r="AG376" s="196">
        <f ca="1">IF($B$365="Лікар загальної практики - сімейний лікар",IF(AG369&gt;=Законод!$J$22,'01_Доходи'!AG369-('01_Доходи'!AG370+'01_Доходи'!AG371+'01_Доходи'!AG372+'01_Доходи'!AG373+'01_Доходи'!AG374+'01_Доходи'!AG375),0),IF($B$365="Лікар-педіатр",IF(AG369&gt;=Законод!$J$18,'01_Доходи'!AG369-('01_Доходи'!AG370+'01_Доходи'!AG371+'01_Доходи'!AG372+'01_Доходи'!AG373+'01_Доходи'!AG374+'01_Доходи'!AG375),0),IF($B$365="Лікар-терапевт",IF('01_Доходи'!AG369&gt;=Законод!$J$26,AG369-Законод!$I$27,0),0)))</f>
        <v>0</v>
      </c>
      <c r="AH376" s="931"/>
      <c r="AI376" s="215"/>
      <c r="AJ376" s="934"/>
      <c r="AK376" s="928"/>
      <c r="AL376" s="928"/>
      <c r="AM376" s="900"/>
      <c r="AN376" s="216">
        <f ca="1">IF(B365="Лікар загальної практики - сімейний лікар",L376*Законод!$C$9/4*Законод!$J$16,IF(B365="Лікар-педіатр",L376*Законод!$C$9/4*Законод!$J$16,IF(B365="Лікар-терапевт",L376*Законод!$C$9/4*Законод!$J$16,0)))</f>
        <v>0</v>
      </c>
      <c r="AO376" s="216">
        <f ca="1">IF(B365="Лікар загальної практики - сімейний лікар",S376*Законод!$C$9/4*Законод!$J$16,IF(B365="Лікар-педіатр",S376*Законод!$C$9/4*Законод!$J$16,IF(B365="Лікар-терапевт",S376*Законод!$C$9/4*Законод!$J$16,0)))</f>
        <v>0</v>
      </c>
      <c r="AP376" s="216">
        <f ca="1">IF(B365="Лікар загальної практики - сімейний лікар",S376*Законод!$C$9/4*Законод!$J$16,IF(B365="Лікар-педіатр",S376*Законод!$C$9/4*Законод!$J$16,IF(B365="Лікар-терапевт",S376*Законод!$C$9/4*Законод!$J$16,0)))</f>
        <v>0</v>
      </c>
      <c r="AQ376" s="216">
        <f ca="1">IF(B365="Лікар загальної практики - сімейний лікар",AG376*Законод!$C$9/4*Законод!$J$16,IF(B365="Лікар-педіатр",AG376*Законод!$C$9/4*Законод!$J$16,IF(B365="Лікар-терапевт",AG376*Законод!$C$9/4*Законод!$J$16,0)))</f>
        <v>0</v>
      </c>
      <c r="AR376" s="217">
        <f t="shared" si="55"/>
        <v>0</v>
      </c>
    </row>
    <row r="377" spans="1:44" s="247" customFormat="1" ht="23.45" hidden="1" customHeight="1" thickBot="1">
      <c r="A377" s="243"/>
      <c r="B377" s="244"/>
      <c r="C377" s="244"/>
      <c r="D377" s="244"/>
      <c r="E377" s="244"/>
      <c r="F377" s="245"/>
      <c r="G377" s="246"/>
      <c r="H377" s="246"/>
      <c r="L377" s="248"/>
      <c r="S377" s="248"/>
      <c r="Z377" s="248"/>
      <c r="AG377" s="248"/>
      <c r="AM377" s="249"/>
      <c r="AR377" s="250"/>
    </row>
    <row r="378" spans="1:44" s="191" customFormat="1" ht="27.6" hidden="1" customHeight="1">
      <c r="A378" s="194">
        <f>A365+1</f>
        <v>27</v>
      </c>
      <c r="B378" s="892"/>
      <c r="C378" s="895"/>
      <c r="D378" s="911"/>
      <c r="E378" s="908"/>
      <c r="F378" s="234" t="s">
        <v>582</v>
      </c>
      <c r="G378" s="196">
        <f>IF($B$378="Лікар-педіатр",G381*L378,IF($B$378="Лікар-терапевт","х",IF($B$378="Лікар загальної практики - сімейний лікар",G381*L378,0)))</f>
        <v>0</v>
      </c>
      <c r="H378" s="196">
        <f>IF($B$378="Лікар-педіатр",H381*L378,IF($B$378="Лікар-терапевт","х",IF($B$378="Лікар загальної практики - сімейний лікар",H381*L378,0)))</f>
        <v>0</v>
      </c>
      <c r="I378" s="196">
        <f>IF($B$378="Лікар-педіатр","x",IF($B$378="Лікар-терапевт",I381*L378,IF($B$378="Лікар загальної практики - сімейний лікар",I381*L378,0)))</f>
        <v>0</v>
      </c>
      <c r="J378" s="196">
        <f>IF($B$378="Лікар-педіатр","x",IF($B$378="Лікар-терапевт",J381*L378,IF($B$378="Лікар загальної практики - сімейний лікар",J381*L378,0)))</f>
        <v>0</v>
      </c>
      <c r="K378" s="196">
        <f>IF($B$378="Лікар-педіатр","x",IF($B$378="Лікар-терапевт",K381*L378,IF($B$378="Лікар загальної практики - сімейний лікар",K381*L378,0)))</f>
        <v>0</v>
      </c>
      <c r="L378" s="558"/>
      <c r="M378" s="929"/>
      <c r="N378" s="196">
        <f>IF($B$378="Лікар-педіатр",N381*S378,IF($B$378="Лікар-терапевт","х",IF($B$378="Лікар загальної практики - сімейний лікар",N381*S378,0)))</f>
        <v>0</v>
      </c>
      <c r="O378" s="196">
        <f>IF($B$378="Лікар-педіатр",O381*S378,IF($B$378="Лікар-терапевт","х",IF($B$378="Лікар загальної практики - сімейний лікар",O381*S378,0)))</f>
        <v>0</v>
      </c>
      <c r="P378" s="196">
        <f>IF($B$378="Лікар-педіатр","x",IF($B$378="Лікар-терапевт",P381*S378,IF($B$378="Лікар загальної практики - сімейний лікар",P381*S378,0)))</f>
        <v>0</v>
      </c>
      <c r="Q378" s="196">
        <f>IF($B$378="Лікар-педіатр","x",IF($B$378="Лікар-терапевт",Q381*S378,IF($B$378="Лікар загальної практики - сімейний лікар",Q381*S378,0)))</f>
        <v>0</v>
      </c>
      <c r="R378" s="196">
        <f>IF($B$378="Лікар-педіатр","x",IF($B$378="Лікар-терапевт",R381*S378,IF($B$378="Лікар загальної практики - сімейний лікар",R381*S378,0)))</f>
        <v>0</v>
      </c>
      <c r="S378" s="558"/>
      <c r="T378" s="929"/>
      <c r="U378" s="196">
        <f>IF($B$378="Лікар-педіатр",U381*Z378,IF($B$378="Лікар-терапевт","х",IF($B$378="Лікар загальної практики - сімейний лікар",U381*Z378,0)))</f>
        <v>0</v>
      </c>
      <c r="V378" s="196">
        <f>IF($B$378="Лікар-педіатр",V381*Z378,IF($B$378="Лікар-терапевт","х",IF($B$378="Лікар загальної практики - сімейний лікар",V381*Z378,0)))</f>
        <v>0</v>
      </c>
      <c r="W378" s="196">
        <f>IF($B$378="Лікар-педіатр","x",IF($B$378="Лікар-терапевт",W381*Z378,IF($B$378="Лікар загальної практики - сімейний лікар",W381*Z378,0)))</f>
        <v>0</v>
      </c>
      <c r="X378" s="196">
        <f>IF($B$378="Лікар-педіатр","x",IF($B$378="Лікар-терапевт",X381*Z378,IF($B$378="Лікар загальної практики - сімейний лікар",X381*Z378,0)))</f>
        <v>0</v>
      </c>
      <c r="Y378" s="196">
        <f>IF($B$378="Лікар-педіатр","x",IF($B$378="Лікар-терапевт",Y381*Z378,IF($B$378="Лікар загальної практики - сімейний лікар",Y381*Z378,0)))</f>
        <v>0</v>
      </c>
      <c r="Z378" s="558"/>
      <c r="AA378" s="929"/>
      <c r="AB378" s="196">
        <f>IF($B$378="Лікар-педіатр",AB381*AG378,IF($B$378="Лікар-терапевт","х",IF($B$378="Лікар загальної практики - сімейний лікар",AB381*AG378,0)))</f>
        <v>0</v>
      </c>
      <c r="AC378" s="196">
        <f>IF($B$378="Лікар-педіатр",AC381*AG378,IF($B$378="Лікар-терапевт","х",IF($B$378="Лікар загальної практики - сімейний лікар",AC381*AG378,0)))</f>
        <v>0</v>
      </c>
      <c r="AD378" s="196">
        <f>IF($B$378="Лікар-педіатр","x",IF($B$378="Лікар-терапевт",AD381*AG378,IF($B$378="Лікар загальної практики - сімейний лікар",AD381*AG378,0)))</f>
        <v>0</v>
      </c>
      <c r="AE378" s="196">
        <f>IF($B$378="Лікар-педіатр","x",IF($B$378="Лікар-терапевт",AE381*AG378,IF($B$378="Лікар загальної практики - сімейний лікар",AE381*AG378,0)))</f>
        <v>0</v>
      </c>
      <c r="AF378" s="196">
        <f>IF($B$378="Лікар-педіатр","x",IF($B$378="Лікар-терапевт",AF381*AG378,IF($B$378="Лікар загальної практики - сімейний лікар",AF381*AG378,0)))</f>
        <v>0</v>
      </c>
      <c r="AG378" s="558"/>
      <c r="AH378" s="929"/>
      <c r="AI378" s="541">
        <f>A378</f>
        <v>27</v>
      </c>
      <c r="AJ378" s="932">
        <f>B378</f>
        <v>0</v>
      </c>
      <c r="AK378" s="926">
        <f>C378</f>
        <v>0</v>
      </c>
      <c r="AL378" s="926">
        <f>D378</f>
        <v>0</v>
      </c>
      <c r="AM378" s="901" t="s">
        <v>785</v>
      </c>
      <c r="AN378" s="923">
        <f>SUM(AN383:AN389)</f>
        <v>0</v>
      </c>
      <c r="AO378" s="923">
        <f>SUM(AO383:AO389)</f>
        <v>0</v>
      </c>
      <c r="AP378" s="923">
        <f>SUM(AP383:AP389)</f>
        <v>0</v>
      </c>
      <c r="AQ378" s="923">
        <f>SUM(AQ383:AQ389)</f>
        <v>0</v>
      </c>
      <c r="AR378" s="914">
        <f>SUM(AN378:AQ382)</f>
        <v>0</v>
      </c>
    </row>
    <row r="379" spans="1:44" s="50" customFormat="1" ht="28.15" hidden="1" customHeight="1">
      <c r="A379" s="197"/>
      <c r="B379" s="893"/>
      <c r="C379" s="896"/>
      <c r="D379" s="912"/>
      <c r="E379" s="909"/>
      <c r="F379" s="234" t="s">
        <v>583</v>
      </c>
      <c r="G379" s="196">
        <f>IF($B$378="Лікар-педіатр",G381*L379,IF($B$378="Лікар-терапевт","х",IF($B$378="Лікар загальної практики - сімейний лікар",G381*L379,0)))</f>
        <v>0</v>
      </c>
      <c r="H379" s="196">
        <f>IF($B$378="Лікар-педіатр",H381*L379,IF($B$378="Лікар-терапевт","х",IF($B$378="Лікар загальної практики - сімейний лікар",H381*L379,0)))</f>
        <v>0</v>
      </c>
      <c r="I379" s="196">
        <f>IF($B$378="Лікар-педіатр","x",IF($B$378="Лікар-терапевт",I381*L379,IF($B$378="Лікар загальної практики - сімейний лікар",I381*L379,0)))</f>
        <v>0</v>
      </c>
      <c r="J379" s="196">
        <f>IF($B$378="Лікар-педіатр","x",IF($B$378="Лікар-терапевт",J381*L379,IF($B$378="Лікар загальної практики - сімейний лікар",J381*L379,0)))</f>
        <v>0</v>
      </c>
      <c r="K379" s="196">
        <f>IF($B$378="Лікар-педіатр","x",IF($B$378="Лікар-терапевт",K381*L379,IF($B$378="Лікар загальної практики - сімейний лікар",K381*L379,0)))</f>
        <v>0</v>
      </c>
      <c r="L379" s="558"/>
      <c r="M379" s="930"/>
      <c r="N379" s="196">
        <f>IF($B$378="Лікар-педіатр",N381*S379,IF($B$378="Лікар-терапевт","х",IF($B$378="Лікар загальної практики - сімейний лікар",N381*S379,0)))</f>
        <v>0</v>
      </c>
      <c r="O379" s="196">
        <f>IF($B$378="Лікар-педіатр",O381*S379,IF($B$378="Лікар-терапевт","х",IF($B$378="Лікар загальної практики - сімейний лікар",O381*S379,0)))</f>
        <v>0</v>
      </c>
      <c r="P379" s="196">
        <f>IF($B$378="Лікар-педіатр","x",IF($B$378="Лікар-терапевт",P381*S379,IF($B$378="Лікар загальної практики - сімейний лікар",P381*S379,0)))</f>
        <v>0</v>
      </c>
      <c r="Q379" s="196">
        <f>IF($B$378="Лікар-педіатр","x",IF($B$378="Лікар-терапевт",Q381*S379,IF($B$378="Лікар загальної практики - сімейний лікар",Q381*S379,0)))</f>
        <v>0</v>
      </c>
      <c r="R379" s="196">
        <f>IF($B$378="Лікар-педіатр","x",IF($B$378="Лікар-терапевт",R381*S379,IF($B$378="Лікар загальної практики - сімейний лікар",R381*S379,0)))</f>
        <v>0</v>
      </c>
      <c r="S379" s="558"/>
      <c r="T379" s="930"/>
      <c r="U379" s="196">
        <f>IF($B$378="Лікар-педіатр",U381*Z379,IF($B$378="Лікар-терапевт","х",IF($B$378="Лікар загальної практики - сімейний лікар",U381*Z379,0)))</f>
        <v>0</v>
      </c>
      <c r="V379" s="196">
        <f>IF($B$378="Лікар-педіатр",V381*Z379,IF($B$378="Лікар-терапевт","х",IF($B$378="Лікар загальної практики - сімейний лікар",V381*Z379,0)))</f>
        <v>0</v>
      </c>
      <c r="W379" s="196">
        <f>IF($B$378="Лікар-педіатр","x",IF($B$378="Лікар-терапевт",W381*Z379,IF($B$378="Лікар загальної практики - сімейний лікар",W381*Z379,0)))</f>
        <v>0</v>
      </c>
      <c r="X379" s="196">
        <f>IF($B$378="Лікар-педіатр","x",IF($B$378="Лікар-терапевт",X381*Z379,IF($B$378="Лікар загальної практики - сімейний лікар",X381*Z379,0)))</f>
        <v>0</v>
      </c>
      <c r="Y379" s="196">
        <f>IF($B$378="Лікар-педіатр","x",IF($B$378="Лікар-терапевт",Y381*Z379,IF($B$378="Лікар загальної практики - сімейний лікар",Y381*Z379,0)))</f>
        <v>0</v>
      </c>
      <c r="Z379" s="558"/>
      <c r="AA379" s="930"/>
      <c r="AB379" s="196">
        <f>IF($B$378="Лікар-педіатр",AB381*AG379,IF($B$378="Лікар-терапевт","х",IF($B$378="Лікар загальної практики - сімейний лікар",AB381*AG379,0)))</f>
        <v>0</v>
      </c>
      <c r="AC379" s="196">
        <f>IF($B$378="Лікар-педіатр",AC381*AG379,IF($B$378="Лікар-терапевт","х",IF($B$378="Лікар загальної практики - сімейний лікар",AC381*AG379,0)))</f>
        <v>0</v>
      </c>
      <c r="AD379" s="196">
        <f>IF($B$378="Лікар-педіатр","x",IF($B$378="Лікар-терапевт",AD381*AG379,IF($B$378="Лікар загальної практики - сімейний лікар",AD381*AG379,0)))</f>
        <v>0</v>
      </c>
      <c r="AE379" s="196">
        <f>IF($B$378="Лікар-педіатр","x",IF($B$378="Лікар-терапевт",AE381*AG379,IF($B$378="Лікар загальної практики - сімейний лікар",AE381*AG379,0)))</f>
        <v>0</v>
      </c>
      <c r="AF379" s="196">
        <f>IF($B$378="Лікар-педіатр","x",IF($B$378="Лікар-терапевт",AF381*AG379,IF($B$378="Лікар загальної практики - сімейний лікар",AF381*AG379,0)))</f>
        <v>0</v>
      </c>
      <c r="AG379" s="558"/>
      <c r="AH379" s="930"/>
      <c r="AI379" s="198"/>
      <c r="AJ379" s="933"/>
      <c r="AK379" s="927"/>
      <c r="AL379" s="927"/>
      <c r="AM379" s="902"/>
      <c r="AN379" s="924"/>
      <c r="AO379" s="924"/>
      <c r="AP379" s="924"/>
      <c r="AQ379" s="924"/>
      <c r="AR379" s="915"/>
    </row>
    <row r="380" spans="1:44" s="90" customFormat="1" ht="31.15" hidden="1" customHeight="1">
      <c r="A380" s="240"/>
      <c r="B380" s="893"/>
      <c r="C380" s="896"/>
      <c r="D380" s="912"/>
      <c r="E380" s="909"/>
      <c r="F380" s="241" t="s">
        <v>584</v>
      </c>
      <c r="G380" s="199">
        <f>IF(B378="Лікар загальної практики - сімейний лікар"," ",IF(B378="Лікар-педіатр"," ",IF(B378="Лікар-терапевт","х",0)))</f>
        <v>0</v>
      </c>
      <c r="H380" s="199">
        <f>IF(B378="Лікар загальної практики - сімейний лікар"," ",IF(B378="Лікар-педіатр"," ",IF(B378="Лікар-терапевт","х",0)))</f>
        <v>0</v>
      </c>
      <c r="I380" s="199">
        <f>IF(B378="Лікар загальної практики - сімейний лікар"," ",IF(B378="Лікар-педіатр","х",IF(B378="Лікар-терапевт"," ",0)))</f>
        <v>0</v>
      </c>
      <c r="J380" s="199">
        <f>IF(B378="Лікар загальної практики - сімейний лікар"," ",IF(B378="Лікар-педіатр","х",IF(B378="Лікар-терапевт"," ",0)))</f>
        <v>0</v>
      </c>
      <c r="K380" s="199">
        <f>IF(B378="Лікар загальної практики - сімейний лікар"," ",IF(B378="Лікар-педіатр","х",IF(B378="Лікар-терапевт"," ",0)))</f>
        <v>0</v>
      </c>
      <c r="L380" s="200">
        <f>SUM(G380:K380)</f>
        <v>0</v>
      </c>
      <c r="M380" s="930"/>
      <c r="N380" s="199">
        <f>IF(B378="Лікар загальної практики - сімейний лікар"," ",IF(B378="Лікар-педіатр"," ",IF(B378="Лікар-терапевт","х",0)))</f>
        <v>0</v>
      </c>
      <c r="O380" s="199">
        <f>IF(B378="Лікар загальної практики - сімейний лікар"," ",IF(B378="Лікар-педіатр"," ",IF(B378="Лікар-терапевт","х",0)))</f>
        <v>0</v>
      </c>
      <c r="P380" s="199">
        <f>IF(B378="Лікар загальної практики - сімейний лікар"," ",IF(B378="Лікар-педіатр","х",IF(B378="Лікар-терапевт"," ",0)))</f>
        <v>0</v>
      </c>
      <c r="Q380" s="199">
        <f>IF(B378="Лікар загальної практики - сімейний лікар"," ",IF(B378="Лікар-педіатр","х",IF(B378="Лікар-терапевт"," ",0)))</f>
        <v>0</v>
      </c>
      <c r="R380" s="199">
        <f>IF(B378="Лікар загальної практики - сімейний лікар"," ",IF(B378="Лікар-педіатр","х",IF(B378="Лікар-терапевт"," ",0)))</f>
        <v>0</v>
      </c>
      <c r="S380" s="200">
        <f>SUM(N380:R380)</f>
        <v>0</v>
      </c>
      <c r="T380" s="930"/>
      <c r="U380" s="199">
        <f>IF(B378="Лікар загальної практики - сімейний лікар"," ",IF(B378="Лікар-педіатр"," ",IF(B378="Лікар-терапевт","х",0)))</f>
        <v>0</v>
      </c>
      <c r="V380" s="199">
        <f>IF(B378="Лікар загальної практики - сімейний лікар"," ",IF(B378="Лікар-педіатр"," ",IF(B378="Лікар-терапевт","х",0)))</f>
        <v>0</v>
      </c>
      <c r="W380" s="199">
        <f>IF(B378="Лікар загальної практики - сімейний лікар"," ",IF(B378="Лікар-педіатр","х",IF(B378="Лікар-терапевт"," ",0)))</f>
        <v>0</v>
      </c>
      <c r="X380" s="199">
        <f>IF(B378="Лікар загальної практики - сімейний лікар"," ",IF(B378="Лікар-педіатр","х",IF(B378="Лікар-терапевт"," ",0)))</f>
        <v>0</v>
      </c>
      <c r="Y380" s="199">
        <f>IF(B378="Лікар загальної практики - сімейний лікар"," ",IF(B378="Лікар-педіатр","х",IF(B378="Лікар-терапевт"," ",0)))</f>
        <v>0</v>
      </c>
      <c r="Z380" s="200">
        <f>SUM(U380:Y380)</f>
        <v>0</v>
      </c>
      <c r="AA380" s="930"/>
      <c r="AB380" s="199">
        <f>IF(B378="Лікар загальної практики - сімейний лікар"," ",IF(B378="Лікар-педіатр"," ",IF(B378="Лікар-терапевт","х",0)))</f>
        <v>0</v>
      </c>
      <c r="AC380" s="199">
        <f>IF(B378="Лікар загальної практики - сімейний лікар"," ",IF(B378="Лікар-педіатр"," ",IF(B378="Лікар-терапевт","х",0)))</f>
        <v>0</v>
      </c>
      <c r="AD380" s="199">
        <f>IF(B378="Лікар загальної практики - сімейний лікар"," ",IF(B378="Лікар-педіатр","х",IF(B378="Лікар-терапевт"," ",0)))</f>
        <v>0</v>
      </c>
      <c r="AE380" s="199">
        <f>IF(B378="Лікар загальної практики - сімейний лікар"," ",IF(B378="Лікар-педіатр","х",IF(B378="Лікар-терапевт"," ",0)))</f>
        <v>0</v>
      </c>
      <c r="AF380" s="199">
        <f>IF(B378="Лікар загальної практики - сімейний лікар"," ",IF(B378="Лікар-педіатр","х",IF(B378="Лікар-терапевт"," ",0)))</f>
        <v>0</v>
      </c>
      <c r="AG380" s="200">
        <f>SUM(AB380:AF380)</f>
        <v>0</v>
      </c>
      <c r="AH380" s="930"/>
      <c r="AI380" s="242"/>
      <c r="AJ380" s="933"/>
      <c r="AK380" s="927"/>
      <c r="AL380" s="927"/>
      <c r="AM380" s="902"/>
      <c r="AN380" s="924"/>
      <c r="AO380" s="924"/>
      <c r="AP380" s="924"/>
      <c r="AQ380" s="924"/>
      <c r="AR380" s="915"/>
    </row>
    <row r="381" spans="1:44" s="50" customFormat="1" ht="31.9" hidden="1" customHeight="1" thickBot="1">
      <c r="A381" s="197"/>
      <c r="B381" s="893"/>
      <c r="C381" s="896"/>
      <c r="D381" s="912"/>
      <c r="E381" s="909"/>
      <c r="F381" s="236" t="s">
        <v>349</v>
      </c>
      <c r="G381" s="203">
        <f>IF($B$378="Лікар-педіатр",G380/L380,IF($B$378="Лікар-терапевт","х",IF($B$378="Лікар загальної практики - сімейний лікар",G380/L380,0)))</f>
        <v>0</v>
      </c>
      <c r="H381" s="203">
        <f>IF($B$378="Лікар-педіатр",H380/L380,IF($B$378="Лікар-терапевт","х",IF($B$378="Лікар загальної практики - сімейний лікар",H380/L380,0)))</f>
        <v>0</v>
      </c>
      <c r="I381" s="203">
        <f>IF($B$378="Лікар-педіатр","x",IF($B$378="Лікар-терапевт",I380/L380,IF($B$378="Лікар загальної практики - сімейний лікар",I380/L380,0)))</f>
        <v>0</v>
      </c>
      <c r="J381" s="203">
        <f>IF($B$378="Лікар-педіатр","x",IF($B$378="Лікар-терапевт",J380/L380,IF($B$378="Лікар загальної практики - сімейний лікар",J380/L380,0)))</f>
        <v>0</v>
      </c>
      <c r="K381" s="203">
        <f>IF($B$378="Лікар-педіатр","x",IF($B$378="Лікар-терапевт",K380/L380,IF($B$378="Лікар загальної практики - сімейний лікар",K380/L380,0)))</f>
        <v>0</v>
      </c>
      <c r="L381" s="203">
        <f>SUM(G381:K381)</f>
        <v>0</v>
      </c>
      <c r="M381" s="930"/>
      <c r="N381" s="203">
        <f>IF($B$378="Лікар-педіатр",N380/S380,IF($B$378="Лікар-терапевт","х",IF($B$378="Лікар загальної практики - сімейний лікар",N380/S380,0)))</f>
        <v>0</v>
      </c>
      <c r="O381" s="203">
        <f>IF($B$378="Лікар-педіатр",O380/S380,IF($B$378="Лікар-терапевт","х",IF($B$378="Лікар загальної практики - сімейний лікар",O380/S380,0)))</f>
        <v>0</v>
      </c>
      <c r="P381" s="203">
        <f>IF($B$378="Лікар-педіатр","x",IF($B$378="Лікар-терапевт",P380/S380,IF($B$378="Лікар загальної практики - сімейний лікар",P380/S380,0)))</f>
        <v>0</v>
      </c>
      <c r="Q381" s="203">
        <f>IF($B$378="Лікар-педіатр","x",IF($B$378="Лікар-терапевт",Q380/S380,IF($B$378="Лікар загальної практики - сімейний лікар",Q380/S380,0)))</f>
        <v>0</v>
      </c>
      <c r="R381" s="203">
        <f>IF($B$378="Лікар-педіатр","x",IF($B$378="Лікар-терапевт",R380/S380,IF($B$378="Лікар загальної практики - сімейний лікар",R380/S380,0)))</f>
        <v>0</v>
      </c>
      <c r="S381" s="203">
        <f>SUM(N381:R381)</f>
        <v>0</v>
      </c>
      <c r="T381" s="930"/>
      <c r="U381" s="203">
        <f>IF($B$378="Лікар-педіатр",U380/Z380,IF($B$378="Лікар-терапевт","х",IF($B$378="Лікар загальної практики - сімейний лікар",U380/Z380,0)))</f>
        <v>0</v>
      </c>
      <c r="V381" s="203">
        <f>IF($B$378="Лікар-педіатр",V380/Z380,IF($B$378="Лікар-терапевт","х",IF($B$378="Лікар загальної практики - сімейний лікар",V380/Z380,0)))</f>
        <v>0</v>
      </c>
      <c r="W381" s="203">
        <f>IF($B$378="Лікар-педіатр","x",IF($B$378="Лікар-терапевт",W380/Z380,IF($B$378="Лікар загальної практики - сімейний лікар",W380/Z380,0)))</f>
        <v>0</v>
      </c>
      <c r="X381" s="203">
        <f>IF($B$378="Лікар-педіатр","x",IF($B$378="Лікар-терапевт",X380/Z380,IF($B$378="Лікар загальної практики - сімейний лікар",X380/Z380,0)))</f>
        <v>0</v>
      </c>
      <c r="Y381" s="203">
        <f>IF($B$378="Лікар-педіатр","x",IF($B$378="Лікар-терапевт",Y380/Z380,IF($B$378="Лікар загальної практики - сімейний лікар",Y380/Z380,0)))</f>
        <v>0</v>
      </c>
      <c r="Z381" s="203">
        <f>SUM(U381:Y381)</f>
        <v>0</v>
      </c>
      <c r="AA381" s="930"/>
      <c r="AB381" s="203">
        <f>IF($B$378="Лікар-педіатр",AB380/AG380,IF($B$378="Лікар-терапевт","х",IF($B$378="Лікар загальної практики - сімейний лікар",AB380/AG380,0)))</f>
        <v>0</v>
      </c>
      <c r="AC381" s="203">
        <f>IF($B$378="Лікар-педіатр",AC380/AG380,IF($B$378="Лікар-терапевт","х",IF($B$378="Лікар загальної практики - сімейний лікар",AC380/AG380,0)))</f>
        <v>0</v>
      </c>
      <c r="AD381" s="203">
        <f>IF($B$378="Лікар-педіатр","x",IF($B$378="Лікар-терапевт",AD380/AG380,IF($B$378="Лікар загальної практики - сімейний лікар",AD380/AG380,0)))</f>
        <v>0</v>
      </c>
      <c r="AE381" s="203">
        <f>IF($B$378="Лікар-педіатр","x",IF($B$378="Лікар-терапевт",AE380/AG380,IF($B$378="Лікар загальної практики - сімейний лікар",AE380/AG380,0)))</f>
        <v>0</v>
      </c>
      <c r="AF381" s="203">
        <f>IF($B$378="Лікар-педіатр","x",IF($B$378="Лікар-терапевт",AF380/AG380,IF($B$378="Лікар загальної практики - сімейний лікар",AF380/AG380,0)))</f>
        <v>0</v>
      </c>
      <c r="AG381" s="203">
        <f>SUM(AB381:AF381)</f>
        <v>0</v>
      </c>
      <c r="AH381" s="930"/>
      <c r="AI381" s="201"/>
      <c r="AJ381" s="933"/>
      <c r="AK381" s="927"/>
      <c r="AL381" s="927"/>
      <c r="AM381" s="902"/>
      <c r="AN381" s="924"/>
      <c r="AO381" s="924"/>
      <c r="AP381" s="924"/>
      <c r="AQ381" s="924"/>
      <c r="AR381" s="915"/>
    </row>
    <row r="382" spans="1:44" s="50" customFormat="1" ht="45" hidden="1" customHeight="1" thickBot="1">
      <c r="A382" s="197"/>
      <c r="B382" s="893"/>
      <c r="C382" s="896"/>
      <c r="D382" s="912"/>
      <c r="E382" s="909"/>
      <c r="F382" s="204" t="s">
        <v>585</v>
      </c>
      <c r="G382" s="205">
        <f>IF($B$378="Лікар загальної практики - сімейний лікар",AVERAGE(G378:G380),IF($B$378="Лікар-педіатр",AVERAGE(G378:G380),IF($B$378="Лікар-терапевт","х",0)))</f>
        <v>0</v>
      </c>
      <c r="H382" s="205">
        <f>IF($B$378="Лікар загальної практики - сімейний лікар",AVERAGE(H378:H380),IF($B$378="Лікар-педіатр",AVERAGE(H378:H380),IF($B$378="Лікар-терапевт","х",0)))</f>
        <v>0</v>
      </c>
      <c r="I382" s="205">
        <f>IF($B$378="Лікар загальної практики - сімейний лікар",AVERAGE(I378:I380),IF($B$378="Лікар-педіатр","x",IF($B$378="Лікар-терапевт",AVERAGE(I378:I380),0)))</f>
        <v>0</v>
      </c>
      <c r="J382" s="205">
        <f>IF($B$378="Лікар загальної практики - сімейний лікар",AVERAGE(J378:J380),IF($B$378="Лікар-педіатр","x",IF($B$378="Лікар-терапевт",AVERAGE(J378:J380),0)))</f>
        <v>0</v>
      </c>
      <c r="K382" s="205">
        <f>IF($B$378="Лікар загальної практики - сімейний лікар",AVERAGE(K378:K380),IF($B$378="Лікар-педіатр","x",IF($B$378="Лікар-терапевт",AVERAGE(K378:K380),0)))</f>
        <v>0</v>
      </c>
      <c r="L382" s="206">
        <f>SUM(G382:K382)</f>
        <v>0</v>
      </c>
      <c r="M382" s="930"/>
      <c r="N382" s="205">
        <f>IF($B$378="Лікар загальної практики - сімейний лікар",AVERAGE(N378:N380),IF($B$378="Лікар-педіатр",AVERAGE(N378:N380),IF($B$378="Лікар-терапевт","х",0)))</f>
        <v>0</v>
      </c>
      <c r="O382" s="205">
        <f>IF($B$378="Лікар загальної практики - сімейний лікар",AVERAGE(O378:O380),IF($B$378="Лікар-педіатр",AVERAGE(O378:O380),IF($B$378="Лікар-терапевт","х",0)))</f>
        <v>0</v>
      </c>
      <c r="P382" s="205">
        <f>IF($B$378="Лікар загальної практики - сімейний лікар",AVERAGE(P378:P380),IF($B$378="Лікар-педіатр","x",IF($B$378="Лікар-терапевт",AVERAGE(P378:P380),0)))</f>
        <v>0</v>
      </c>
      <c r="Q382" s="205">
        <f>IF($B$378="Лікар загальної практики - сімейний лікар",AVERAGE(Q378:Q380),IF($B$378="Лікар-педіатр","x",IF($B$378="Лікар-терапевт",AVERAGE(Q378:Q380),0)))</f>
        <v>0</v>
      </c>
      <c r="R382" s="205">
        <f>IF($B$378="Лікар загальної практики - сімейний лікар",AVERAGE(R378:R380),IF($B$378="Лікар-педіатр","x",IF($B$378="Лікар-терапевт",AVERAGE(R378:R380),0)))</f>
        <v>0</v>
      </c>
      <c r="S382" s="206">
        <f>SUM(N382:R382)</f>
        <v>0</v>
      </c>
      <c r="T382" s="930"/>
      <c r="U382" s="205">
        <f>IF($B$378="Лікар загальної практики - сімейний лікар",AVERAGE(U378:U380),IF($B$378="Лікар-педіатр",AVERAGE(U378:U380),IF($B$378="Лікар-терапевт","х",0)))</f>
        <v>0</v>
      </c>
      <c r="V382" s="205">
        <f>IF($B$378="Лікар загальної практики - сімейний лікар",AVERAGE(V378:V380),IF($B$378="Лікар-педіатр",AVERAGE(V378:V380),IF($B$378="Лікар-терапевт","х",0)))</f>
        <v>0</v>
      </c>
      <c r="W382" s="205">
        <f>IF($B$378="Лікар загальної практики - сімейний лікар",AVERAGE(W378:W380),IF($B$378="Лікар-педіатр","x",IF($B$378="Лікар-терапевт",AVERAGE(W378:W380),0)))</f>
        <v>0</v>
      </c>
      <c r="X382" s="205">
        <f>IF($B$378="Лікар загальної практики - сімейний лікар",AVERAGE(X378:X380),IF($B$378="Лікар-педіатр","x",IF($B$378="Лікар-терапевт",AVERAGE(X378:X380),0)))</f>
        <v>0</v>
      </c>
      <c r="Y382" s="205">
        <f>IF($B$378="Лікар загальної практики - сімейний лікар",AVERAGE(Y378:Y380),IF($B$378="Лікар-педіатр","x",IF($B$378="Лікар-терапевт",AVERAGE(Y378:Y380),0)))</f>
        <v>0</v>
      </c>
      <c r="Z382" s="206">
        <f>SUM(U382:Y382)</f>
        <v>0</v>
      </c>
      <c r="AA382" s="930"/>
      <c r="AB382" s="205">
        <f>IF($B$378="Лікар загальної практики - сімейний лікар",AVERAGE(AB378:AB380),IF($B$378="Лікар-педіатр",AVERAGE(AB378:AB380),IF($B$378="Лікар-терапевт","х",0)))</f>
        <v>0</v>
      </c>
      <c r="AC382" s="205">
        <f>IF($B$378="Лікар загальної практики - сімейний лікар",AVERAGE(AC378:AC380),IF($B$378="Лікар-педіатр",AVERAGE(AC378:AC380),IF($B$378="Лікар-терапевт","х",0)))</f>
        <v>0</v>
      </c>
      <c r="AD382" s="205">
        <f>IF($B$378="Лікар загальної практики - сімейний лікар",AVERAGE(AD378:AD380),IF($B$378="Лікар-педіатр","x",IF($B$378="Лікар-терапевт",AVERAGE(AD378:AD380),0)))</f>
        <v>0</v>
      </c>
      <c r="AE382" s="205">
        <f>IF($B$378="Лікар загальної практики - сімейний лікар",AVERAGE(AE378:AE380),IF($B$378="Лікар-педіатр","x",IF($B$378="Лікар-терапевт",AVERAGE(AE378:AE380),0)))</f>
        <v>0</v>
      </c>
      <c r="AF382" s="205">
        <f>IF($B$378="Лікар загальної практики - сімейний лікар",AVERAGE(AF378:AF380),IF($B$378="Лікар-педіатр","x",IF($B$378="Лікар-терапевт",AVERAGE(AF378:AF380),0)))</f>
        <v>0</v>
      </c>
      <c r="AG382" s="206">
        <f>SUM(AB382:AF382)</f>
        <v>0</v>
      </c>
      <c r="AH382" s="930"/>
      <c r="AI382" s="201"/>
      <c r="AJ382" s="933"/>
      <c r="AK382" s="927"/>
      <c r="AL382" s="927"/>
      <c r="AM382" s="903"/>
      <c r="AN382" s="925"/>
      <c r="AO382" s="925"/>
      <c r="AP382" s="925"/>
      <c r="AQ382" s="925"/>
      <c r="AR382" s="916"/>
    </row>
    <row r="383" spans="1:44" s="50" customFormat="1" ht="40.5" hidden="1">
      <c r="A383" s="197"/>
      <c r="B383" s="893"/>
      <c r="C383" s="896"/>
      <c r="D383" s="912"/>
      <c r="E383" s="909"/>
      <c r="F383" s="237" t="str">
        <f ca="1">IF(B378="Лікар-педіатр",Законод!$C$17,IF(B378="Лікар загальної практики - сімейний лікар",Законод!$C$21,IF(B378="Лікар-терапевт",Законод!$C$25,"х")))</f>
        <v>х</v>
      </c>
      <c r="G383" s="208">
        <f ca="1">IF($B$378="Лікар загальної практики - сімейний лікар",IF(L382&lt;=Законод!$C$22,G382,Законод!$C$22*'01_Доходи'!G381),IF($B$378="Лікар-педіатр",IF(L382&lt;=Законод!$C$18,G382,Законод!$C$18*'01_Доходи'!G381),IF($B$378="Лікар-терапевт","x",0)))</f>
        <v>0</v>
      </c>
      <c r="H383" s="208">
        <f ca="1">IF($B$378="Лікар загальної практики - сімейний лікар",IF(L382&lt;=Законод!$C$22,H382,Законод!$C$22*'01_Доходи'!H381),IF($B$378="Лікар-педіатр",IF(L382&lt;=Законод!$C$18,H382,Законод!$C$18*'01_Доходи'!H381),IF($B$378="Лікар-терапевт","x",0)))</f>
        <v>0</v>
      </c>
      <c r="I383" s="208">
        <f ca="1">IF($B$378="Лікар загальної практики - сімейний лікар",IF(L382&lt;=Законод!$C$22,I382,Законод!$C$22*'01_Доходи'!I381),IF($B$378="Лікар-педіатр","x",IF($B$378="Лікар-терапевт",IF(L382&lt;=Законод!$C$26,I382,Законод!$C$26*'01_Доходи'!I381),0)))</f>
        <v>0</v>
      </c>
      <c r="J383" s="208">
        <f ca="1">IF($B$378="Лікар загальної практики - сімейний лікар",IF(L382&lt;=Законод!$C$22,J382,Законод!$C$22*'01_Доходи'!J381),IF($B$378="Лікар-педіатр","x",IF($B$378="Лікар-терапевт",IF(L382&lt;=Законод!$C$26,J382,Законод!$C$26*'01_Доходи'!J381),0)))</f>
        <v>0</v>
      </c>
      <c r="K383" s="208">
        <f ca="1">IF($B$378="Лікар загальної практики - сімейний лікар",IF(L382&lt;=Законод!$C$22,K382,Законод!$C$22*'01_Доходи'!K381),IF($B$378="Лікар-педіатр","x",IF($B$378="Лікар-терапевт",IF(L382&lt;=Законод!$C$26,K382,Законод!$C$26*'01_Доходи'!K381),0)))</f>
        <v>0</v>
      </c>
      <c r="L383" s="209">
        <f ca="1">SUM(G383:K383)</f>
        <v>0</v>
      </c>
      <c r="M383" s="930"/>
      <c r="N383" s="208">
        <f ca="1">IF($B$378="Лікар загальної практики - сімейний лікар",IF(S382&lt;=Законод!$C$22,N382,Законод!$C$22*'01_Доходи'!N381),IF($B$378="Лікар-педіатр",IF(S382&lt;=Законод!$C$18,N382,Законод!$C$18*'01_Доходи'!N381),IF($B$378="Лікар-терапевт","x",0)))</f>
        <v>0</v>
      </c>
      <c r="O383" s="208">
        <f ca="1">IF($B$378="Лікар загальної практики - сімейний лікар",IF(S382&lt;=Законод!$C$22,O382,Законод!$C$22*'01_Доходи'!O381),IF($B$378="Лікар-педіатр",IF(S382&lt;=Законод!$C$18,O382,Законод!$C$18*'01_Доходи'!O381),IF($B$378="Лікар-терапевт","x",0)))</f>
        <v>0</v>
      </c>
      <c r="P383" s="208">
        <f ca="1">IF($B$378="Лікар загальної практики - сімейний лікар",IF(S382&lt;=Законод!$C$22,P382,Законод!$C$22*'01_Доходи'!P381),IF($B$378="Лікар-педіатр","x",IF($B$378="Лікар-терапевт",IF(S382&lt;=Законод!$C$26,P382,Законод!$C$26*'01_Доходи'!P381),0)))</f>
        <v>0</v>
      </c>
      <c r="Q383" s="208">
        <f ca="1">IF($B$378="Лікар загальної практики - сімейний лікар",IF(S382&lt;=Законод!$C$22,Q382,Законод!$C$22*'01_Доходи'!Q381),IF($B$378="Лікар-педіатр","x",IF($B$378="Лікар-терапевт",IF(S382&lt;=Законод!$C$26,Q382,Законод!$C$26*'01_Доходи'!Q381),0)))</f>
        <v>0</v>
      </c>
      <c r="R383" s="208">
        <f ca="1">IF($B$378="Лікар загальної практики - сімейний лікар",IF(S382&lt;=Законод!$C$22,R382,Законод!$C$22*'01_Доходи'!R381),IF($B$378="Лікар-педіатр","x",IF($B$378="Лікар-терапевт",IF(S382&lt;=Законод!$C$26,R382,Законод!$C$26*'01_Доходи'!R381),0)))</f>
        <v>0</v>
      </c>
      <c r="S383" s="209">
        <f ca="1">SUM(N383:R383)</f>
        <v>0</v>
      </c>
      <c r="T383" s="930"/>
      <c r="U383" s="208">
        <f ca="1">IF($B$378="Лікар загальної практики - сімейний лікар",IF(Z382&lt;=Законод!$C$22,U382,Законод!$C$22*'01_Доходи'!U381),IF($B$378="Лікар-педіатр",IF(Z382&lt;=Законод!$C$18,U382,Законод!$C$18*'01_Доходи'!U381),IF($B$378="Лікар-терапевт","x",0)))</f>
        <v>0</v>
      </c>
      <c r="V383" s="208">
        <f ca="1">IF($B$378="Лікар загальної практики - сімейний лікар",IF(Z382&lt;=Законод!$C$22,V382,Законод!$C$22*'01_Доходи'!V381),IF($B$378="Лікар-педіатр",IF(Z382&lt;=Законод!$C$18,V382,Законод!$C$18*'01_Доходи'!V381),IF($B$378="Лікар-терапевт","x",0)))</f>
        <v>0</v>
      </c>
      <c r="W383" s="208">
        <f ca="1">IF($B$378="Лікар загальної практики - сімейний лікар",IF(Z382&lt;=Законод!$C$22,W382,Законод!$C$22*'01_Доходи'!W381),IF($B$378="Лікар-педіатр","x",IF($B$378="Лікар-терапевт",IF(Z382&lt;=Законод!$C$26,W382,Законод!$C$26*'01_Доходи'!W381),0)))</f>
        <v>0</v>
      </c>
      <c r="X383" s="208">
        <f ca="1">IF($B$378="Лікар загальної практики - сімейний лікар",IF(Z382&lt;=Законод!$C$22,X382,Законод!$C$22*'01_Доходи'!X381),IF($B$378="Лікар-педіатр","x",IF($B$378="Лікар-терапевт",IF(Z382&lt;=Законод!$C$26,X382,Законод!$C$26*'01_Доходи'!X381),0)))</f>
        <v>0</v>
      </c>
      <c r="Y383" s="208">
        <f ca="1">IF($B$378="Лікар загальної практики - сімейний лікар",IF(Z382&lt;=Законод!$C$22,Y382,Законод!$C$22*'01_Доходи'!Y381),IF($B$378="Лікар-педіатр","x",IF($B$378="Лікар-терапевт",IF(Z382&lt;=Законод!$C$26,Y382,Законод!$C$26*'01_Доходи'!Y381),0)))</f>
        <v>0</v>
      </c>
      <c r="Z383" s="209">
        <f ca="1">SUM(U383:Y383)</f>
        <v>0</v>
      </c>
      <c r="AA383" s="930"/>
      <c r="AB383" s="208">
        <f ca="1">IF($B$378="Лікар загальної практики - сімейний лікар",IF(AG382&lt;=Законод!$C$22,AB382,Законод!$C$22*'01_Доходи'!AB381),IF($B$378="Лікар-педіатр",IF(AG382&lt;=Законод!$C$18,AB382,Законод!$C$18*'01_Доходи'!AB381),IF($B$378="Лікар-терапевт","x",0)))</f>
        <v>0</v>
      </c>
      <c r="AC383" s="208">
        <f ca="1">IF($B$378="Лікар загальної практики - сімейний лікар",IF(AG382&lt;=Законод!$C$22,AC382,Законод!$C$22*'01_Доходи'!AC381),IF($B$378="Лікар-педіатр",IF(AG382&lt;=Законод!$C$18,AC382,Законод!$C$18*'01_Доходи'!AC381),IF($B$378="Лікар-терапевт","x",0)))</f>
        <v>0</v>
      </c>
      <c r="AD383" s="208">
        <f ca="1">IF($B$378="Лікар загальної практики - сімейний лікар",IF(AG382&lt;=Законод!$C$22,AD382,Законод!$C$22*'01_Доходи'!AD381),IF($B$378="Лікар-педіатр","x",IF($B$378="Лікар-терапевт",IF(AG382&lt;=Законод!$C$26,AD382,Законод!$C$26*'01_Доходи'!AD381),0)))</f>
        <v>0</v>
      </c>
      <c r="AE383" s="208">
        <f ca="1">IF($B$378="Лікар загальної практики - сімейний лікар",IF(AG382&lt;=Законод!$C$22,AE382,Законод!$C$22*'01_Доходи'!AE381),IF($B$378="Лікар-педіатр","x",IF($B$378="Лікар-терапевт",IF(AG382&lt;=Законод!$C$26,AE382,Законод!$C$26*'01_Доходи'!AE381),0)))</f>
        <v>0</v>
      </c>
      <c r="AF383" s="208">
        <f ca="1">IF($B$378="Лікар загальної практики - сімейний лікар",IF(AG382&lt;=Законод!$C$22,AF382,Законод!$C$22*'01_Доходи'!AF381),IF($B$378="Лікар-педіатр","x",IF($B$378="Лікар-терапевт",IF(AG382&lt;=Законод!$C$26,AF382,Законод!$C$26*'01_Доходи'!AF381),0)))</f>
        <v>0</v>
      </c>
      <c r="AG383" s="209">
        <f ca="1">SUM(AB383:AF383)</f>
        <v>0</v>
      </c>
      <c r="AH383" s="930"/>
      <c r="AI383" s="201"/>
      <c r="AJ383" s="933"/>
      <c r="AK383" s="927"/>
      <c r="AL383" s="927"/>
      <c r="AM383" s="348" t="s">
        <v>374</v>
      </c>
      <c r="AN383" s="210">
        <f ca="1">IF(B378="Лікар загальної практики - сімейний лікар",G383*Законод!$C$11+'01_Доходи'!H383*Законод!$D$11+'01_Доходи'!I383*Законод!$E$11+'01_Доходи'!J383*Законод!$F$11+'01_Доходи'!K383*Законод!$G$11,IF(B378="Лікар-педіатр",G383*Законод!$C$11+'01_Доходи'!H383*Законод!$D$11,IF(B378="Лікар-терапевт",'01_Доходи'!I383*Законод!$E$11+'01_Доходи'!J383*Законод!$F$11+'01_Доходи'!K383*Законод!$G$11,0)))</f>
        <v>0</v>
      </c>
      <c r="AO383" s="210">
        <f ca="1">IF(B378="Лікар загальної практики - сімейний лікар",N383*Законод!$C$11+'01_Доходи'!O383*Законод!$D$11+'01_Доходи'!P383*Законод!$E$11+'01_Доходи'!Q383*Законод!$F$11+'01_Доходи'!R383*Законод!$G$11,IF(B378="Лікар-педіатр",N383*Законод!$C$11+'01_Доходи'!O383*Законод!$D$11,IF(B378="Лікар-терапевт",'01_Доходи'!P383*Законод!$E$11+'01_Доходи'!Q383*Законод!$F$11+'01_Доходи'!R383*Законод!$G$11,0)))</f>
        <v>0</v>
      </c>
      <c r="AP383" s="210">
        <f ca="1">IF(B378="Лікар загальної практики - сімейний лікар",U383*Законод!$C$11+'01_Доходи'!V383*Законод!$D$11+'01_Доходи'!W383*Законод!$E$11+'01_Доходи'!X383*Законод!$F$11+'01_Доходи'!Y383*Законод!$G$11,IF(B378="Лікар-педіатр",U383*Законод!$C$11+'01_Доходи'!V383*Законод!$D$11,IF(B378="Лікар-терапевт",'01_Доходи'!W383*Законод!$E$11+'01_Доходи'!X383*Законод!$F$11+'01_Доходи'!Y383*Законод!$G$11,0)))</f>
        <v>0</v>
      </c>
      <c r="AQ383" s="210">
        <f ca="1">IF(B378="Лікар загальної практики - сімейний лікар",AB383*Законод!$C$11+'01_Доходи'!AC383*Законод!$D$11+'01_Доходи'!AD383*Законод!$E$11+'01_Доходи'!AE383*Законод!$F$11+'01_Доходи'!AF383*Законод!$G$11,IF(B378="Лікар-педіатр",AB383*Законод!$C$11+'01_Доходи'!AC383*Законод!$D$11,IF(B378="Лікар-терапевт",'01_Доходи'!AD383*Законод!$E$11+'01_Доходи'!AE383*Законод!$F$11+'01_Доходи'!AF383*Законод!$G$11,0)))</f>
        <v>0</v>
      </c>
      <c r="AR383" s="211">
        <f t="shared" ref="AR383:AR389" si="56">SUM(AN383:AQ383)</f>
        <v>0</v>
      </c>
    </row>
    <row r="384" spans="1:44" s="50" customFormat="1" ht="31.9" hidden="1" customHeight="1">
      <c r="A384" s="197"/>
      <c r="B384" s="893"/>
      <c r="C384" s="896"/>
      <c r="D384" s="912"/>
      <c r="E384" s="909"/>
      <c r="F384" s="238" t="str">
        <f ca="1">IF(B378="Лікар-педіатр",Законод!$E$17,IF(B378="Лікар загальної практики - сімейний лікар",Законод!$E$21,IF(B378="Лікар-терапевт",Законод!$E$25,"х")))</f>
        <v>х</v>
      </c>
      <c r="G384" s="889" t="s">
        <v>346</v>
      </c>
      <c r="H384" s="890"/>
      <c r="I384" s="890"/>
      <c r="J384" s="890"/>
      <c r="K384" s="891"/>
      <c r="L384" s="196">
        <f ca="1">IF($B$378="Лікар загальної практики - сімейний лікар",IF(L382&lt;Законод!$C$22,0,(IF(AND(L382&gt;=Законод!$E$22,L382&lt;=Законод!$E$23),L382-Законод!$C$22,IF('01_Доходи'!L382&gt;=Законод!$F$22,Законод!$E$24,0)))),IF($B$378="Лікар-педіатр",IF(L382&lt;Законод!$C$18,0,(IF(AND(L382&gt;=Законод!$E$18,L382&lt;=Законод!$E$19),L382-Законод!$C$18,IF('01_Доходи'!L382&gt;=Законод!$F$18,Законод!$E$20,0)))),IF($B$378="Лікар-терапевт",IF(L382&lt;Законод!$C$26,0,(IF(AND(L382&gt;=Законод!$E$26,L382&lt;=Законод!$E$27),L382-Законод!$C$26,IF('01_Доходи'!L382&gt;=Законод!$F$26,Законод!$E$28,0)))),0)))</f>
        <v>0</v>
      </c>
      <c r="M384" s="930"/>
      <c r="N384" s="889" t="s">
        <v>346</v>
      </c>
      <c r="O384" s="890"/>
      <c r="P384" s="890"/>
      <c r="Q384" s="890"/>
      <c r="R384" s="891"/>
      <c r="S384" s="196">
        <f ca="1">IF($B$378="Лікар загальної практики - сімейний лікар",IF(S382&lt;Законод!$C$22,0,(IF(AND(S382&gt;=Законод!$E$22,S382&lt;=Законод!$E$23),S382-Законод!$C$22,IF('01_Доходи'!S382&gt;=Законод!$F$22,Законод!$E$24,0)))),IF($B$378="Лікар-педіатр",IF(S382&lt;Законод!$C$18,0,(IF(AND(S382&gt;=Законод!$E$18,S382&lt;=Законод!$E$19),S382-Законод!$C$18,IF('01_Доходи'!S382&gt;=Законод!$F$18,Законод!$E$20,0)))),IF($B$378="Лікар-терапевт",IF(S382&lt;Законод!$C$26,0,(IF(AND(S382&gt;=Законод!$E$26,S382&lt;=Законод!$E$27),S382-Законод!$C$26,IF('01_Доходи'!S382&gt;=Законод!$F$26,Законод!$E$28,0)))),0)))</f>
        <v>0</v>
      </c>
      <c r="T384" s="930"/>
      <c r="U384" s="889" t="s">
        <v>346</v>
      </c>
      <c r="V384" s="890"/>
      <c r="W384" s="890"/>
      <c r="X384" s="890"/>
      <c r="Y384" s="891"/>
      <c r="Z384" s="196">
        <f ca="1">IF($B$378="Лікар загальної практики - сімейний лікар",IF(Z382&lt;Законод!$C$22,0,(IF(AND(Z382&gt;=Законод!$E$22,Z382&lt;=Законод!$E$23),Z382-Законод!$C$22,IF('01_Доходи'!Z382&gt;=Законод!$F$22,Законод!$E$24,0)))),IF($B$378="Лікар-педіатр",IF(Z382&lt;Законод!$C$18,0,(IF(AND(Z382&gt;=Законод!$E$18,Z382&lt;=Законод!$E$19),Z382-Законод!$C$18,IF('01_Доходи'!Z382&gt;=Законод!$F$18,Законод!$E$20,0)))),IF($B$378="Лікар-терапевт",IF(Z382&lt;Законод!$C$26,0,(IF(AND(Z382&gt;=Законод!$E$26,Z382&lt;=Законод!$E$27),Z382-Законод!$C$26,IF('01_Доходи'!Z382&gt;=Законод!$F$26,Законод!$E$28,0)))),0)))</f>
        <v>0</v>
      </c>
      <c r="AA384" s="930"/>
      <c r="AB384" s="889" t="s">
        <v>346</v>
      </c>
      <c r="AC384" s="890"/>
      <c r="AD384" s="890"/>
      <c r="AE384" s="890"/>
      <c r="AF384" s="891"/>
      <c r="AG384" s="196">
        <f ca="1">IF($B$378="Лікар загальної практики - сімейний лікар",IF(AG382&lt;Законод!$C$22,0,(IF(AND(AG382&gt;=Законод!$E$22,AG382&lt;=Законод!$E$23),AG382-Законод!$C$22,IF('01_Доходи'!AG382&gt;=Законод!$F$22,Законод!$E$24,0)))),IF($B$378="Лікар-педіатр",IF(AG382&lt;Законод!$C$18,0,(IF(AND(AG382&gt;=Законод!$E$18,AG382&lt;=Законод!$E$19),AG382-Законод!$C$18,IF('01_Доходи'!AG382&gt;=Законод!$F$18,Законод!$E$20,0)))),IF($B$378="Лікар-терапевт",IF(AG382&lt;Законод!$C$26,0,(IF(AND(AG382&gt;=Законод!$E$26,AG382&lt;=Законод!$E$27),AG382-Законод!$C$26,IF('01_Доходи'!AG382&gt;=Законод!$F$26,Законод!$E$28,0)))),0)))</f>
        <v>0</v>
      </c>
      <c r="AH384" s="930"/>
      <c r="AI384" s="201"/>
      <c r="AJ384" s="933"/>
      <c r="AK384" s="927"/>
      <c r="AL384" s="927"/>
      <c r="AM384" s="898" t="s">
        <v>375</v>
      </c>
      <c r="AN384" s="210">
        <f ca="1">IF(B378="Лікар загальної практики - сімейний лікар",L384*Законод!$C$9/4*Законод!$E$16,IF(B378="Лікар-педіатр",L384*Законод!$C$9/4*Законод!$E$16,IF(B378="Лікар-терапевт",L384*Законод!$C$9/4*Законод!$E$16,0)))</f>
        <v>0</v>
      </c>
      <c r="AO384" s="210">
        <f ca="1">IF(B378="Лікар загальної практики - сімейний лікар",S384*Законод!$C$9/4*Законод!$E$16,IF(B378="Лікар-педіатр",S384*Законод!$C$9/4*Законод!$E$16,IF(B378="Лікар-терапевт",S384*Законод!$C$9/4*Законод!$E$16,0)))</f>
        <v>0</v>
      </c>
      <c r="AP384" s="210">
        <f ca="1">IF(B378="Лікар загальної практики - сімейний лікар",Z384*Законод!$C$9/4*Законод!$E$16,IF(B378="Лікар-педіатр",Z384*Законод!$C$9/4*Законод!$E$16,IF(B378="Лікар-терапевт",Z384*Законод!$C$9/4*Законод!$E$16,0)))</f>
        <v>0</v>
      </c>
      <c r="AQ384" s="210">
        <f ca="1">IF(B378="Лікар загальної практики - сімейний лікар",AG384*Законод!$C$9/4*Законод!$E$16,IF(B378="Лікар-педіатр",AG384*Законод!$C$9/4*Законод!$E$16,IF(B378="Лікар-терапевт",AG384*Законод!$C$9/4*Законод!$E$16,0)))</f>
        <v>0</v>
      </c>
      <c r="AR384" s="211">
        <f t="shared" si="56"/>
        <v>0</v>
      </c>
    </row>
    <row r="385" spans="1:44" s="50" customFormat="1" ht="31.9" hidden="1" customHeight="1">
      <c r="A385" s="197"/>
      <c r="B385" s="893"/>
      <c r="C385" s="896"/>
      <c r="D385" s="912"/>
      <c r="E385" s="909"/>
      <c r="F385" s="238" t="str">
        <f ca="1">IF(B378="Лікар-педіатр",Законод!$F$17,IF(B378="Лікар загальної практики - сімейний лікар",Законод!$F$21,IF(B378="Лікар-терапевт",Законод!$F$25,"х")))</f>
        <v>х</v>
      </c>
      <c r="G385" s="889" t="s">
        <v>346</v>
      </c>
      <c r="H385" s="890"/>
      <c r="I385" s="890"/>
      <c r="J385" s="890"/>
      <c r="K385" s="891"/>
      <c r="L385" s="196">
        <f ca="1">IF($B$378="Лікар загальної практики - сімейний лікар",IF(L382&lt;Законод!$C$22,0,(IF(AND(L382&gt;=Законод!$F$22,L382&lt;=Законод!$F$23),L382-Законод!$E$23,IF('01_Доходи'!L382&gt;=Законод!$G$22,Законод!$F$24,0)))),IF($B$378="Лікар-педіатр",IF(L382&lt;Законод!$C$18,0,(IF(AND(L382&gt;=Законод!$F$18,L382&lt;=Законод!$F$19),L382-Законод!$E$19,IF('01_Доходи'!L382&gt;=Законод!$G$18,Законод!$F$20,0)))),IF($B$378="Лікар-терапевт",IF(L382&lt;Законод!$C$26,0,(IF(AND(L382&gt;=Законод!$F$26,L382&lt;=Законод!$F$27),L382-Законод!$E$27,IF('01_Доходи'!L382&gt;=Законод!$G$26,Законод!$F$28,0)))),0)))</f>
        <v>0</v>
      </c>
      <c r="M385" s="930"/>
      <c r="N385" s="889" t="s">
        <v>346</v>
      </c>
      <c r="O385" s="890"/>
      <c r="P385" s="890"/>
      <c r="Q385" s="890"/>
      <c r="R385" s="891"/>
      <c r="S385" s="196">
        <f ca="1">IF($B$378="Лікар загальної практики - сімейний лікар",IF(S382&lt;Законод!$C$22,0,(IF(AND(S382&gt;=Законод!$F$22,S382&lt;=Законод!$F$23),S382-Законод!$E$23,IF('01_Доходи'!S382&gt;=Законод!$G$22,Законод!$F$24,0)))),IF($B$378="Лікар-педіатр",IF(S382&lt;Законод!$C$18,0,(IF(AND(S382&gt;=Законод!$F$18,S382&lt;=Законод!$F$19),S382-Законод!$E$19,IF('01_Доходи'!S382&gt;=Законод!$G$18,Законод!$F$20,0)))),IF($B$378="Лікар-терапевт",IF(S382&lt;Законод!$C$26,0,(IF(AND(S382&gt;=Законод!$F$26,S382&lt;=Законод!$F$27),S382-Законод!$E$27,IF('01_Доходи'!S382&gt;=Законод!$G$26,Законод!$F$28,0)))),0)))</f>
        <v>0</v>
      </c>
      <c r="T385" s="930"/>
      <c r="U385" s="889" t="s">
        <v>346</v>
      </c>
      <c r="V385" s="890"/>
      <c r="W385" s="890"/>
      <c r="X385" s="890"/>
      <c r="Y385" s="891"/>
      <c r="Z385" s="196">
        <f ca="1">IF($B$378="Лікар загальної практики - сімейний лікар",IF(Z382&lt;Законод!$C$22,0,(IF(AND(Z382&gt;=Законод!$F$22,Z382&lt;=Законод!$F$23),Z382-Законод!$E$23,IF('01_Доходи'!Z382&gt;=Законод!$G$22,Законод!$F$24,0)))),IF($B$378="Лікар-педіатр",IF(Z382&lt;Законод!$C$18,0,(IF(AND(Z382&gt;=Законод!$F$18,Z382&lt;=Законод!$F$19),Z382-Законод!$E$19,IF('01_Доходи'!Z382&gt;=Законод!$G$18,Законод!$F$20,0)))),IF($B$378="Лікар-терапевт",IF(Z382&lt;Законод!$C$26,0,(IF(AND(Z382&gt;=Законод!$F$26,Z382&lt;=Законод!$F$27),Z382-Законод!$E$27,IF('01_Доходи'!Z382&gt;=Законод!$G$26,Законод!$F$28,0)))),0)))</f>
        <v>0</v>
      </c>
      <c r="AA385" s="930"/>
      <c r="AB385" s="889" t="s">
        <v>346</v>
      </c>
      <c r="AC385" s="890"/>
      <c r="AD385" s="890"/>
      <c r="AE385" s="890"/>
      <c r="AF385" s="891"/>
      <c r="AG385" s="196">
        <f ca="1">IF($B$378="Лікар загальної практики - сімейний лікар",IF(AG382&lt;Законод!$C$22,0,(IF(AND(AG382&gt;=Законод!$F$22,AG382&lt;=Законод!$F$23),AG382-Законод!$E$23,IF('01_Доходи'!AG382&gt;=Законод!$G$22,Законод!$F$24,0)))),IF($B$378="Лікар-педіатр",IF(AG382&lt;Законод!$C$18,0,(IF(AND(AG382&gt;=Законод!$F$18,AG382&lt;=Законод!$F$19),AG382-Законод!$E$19,IF('01_Доходи'!AG382&gt;=Законод!$G$18,Законод!$F$20,0)))),IF($B$378="Лікар-терапевт",IF(AG382&lt;Законод!$C$26,0,(IF(AND(AG382&gt;=Законод!$F$26,AG382&lt;=Законод!$F$27),AG382-Законод!$E$27,IF('01_Доходи'!AG382&gt;=Законод!$G$26,Законод!$F$28,0)))),0)))</f>
        <v>0</v>
      </c>
      <c r="AH385" s="930"/>
      <c r="AI385" s="201"/>
      <c r="AJ385" s="933"/>
      <c r="AK385" s="927"/>
      <c r="AL385" s="927"/>
      <c r="AM385" s="899"/>
      <c r="AN385" s="210">
        <f ca="1">IF(B378="Лікар загальної практики - сімейний лікар",L385*Законод!$C$9/4*Законод!$F$16,IF(B378="Лікар-педіатр",L385*Законод!$C$9/4*Законод!$F$16,IF(B378="Лікар-терапевт",L385*Законод!$C$9/4*Законод!$F$16,0)))</f>
        <v>0</v>
      </c>
      <c r="AO385" s="210">
        <f ca="1">IF(B378="Лікар загальної практики - сімейний лікар",S385*Законод!$C$9/4*Законод!$F$16,IF(B378="Лікар-педіатр",S385*Законод!$C$9/4*Законод!$F$16,IF(B378="Лікар-терапевт",S385*Законод!$C$9/4*Законод!$F$16,0)))</f>
        <v>0</v>
      </c>
      <c r="AP385" s="210">
        <f ca="1">IF(B378="Лікар загальної практики - сімейний лікар",Z385*Законод!$C$9/4*Законод!$F$16,IF(B378="Лікар-педіатр",Z385*Законод!$C$9/4*Законод!$F$16,IF(B378="Лікар-терапевт",Z385*Законод!$C$9/4*Законод!$F$16,0)))</f>
        <v>0</v>
      </c>
      <c r="AQ385" s="210">
        <f ca="1">IF(B378="Лікар загальної практики - сімейний лікар",AG385*Законод!$C$9/4*Законод!$F$16,IF(B378="Лікар-педіатр",AG385*Законод!$C$9/4*Законод!$F$16,IF(B378="Лікар-терапевт",AG385*Законод!$C$9/4*Законод!$F$16,0)))</f>
        <v>0</v>
      </c>
      <c r="AR385" s="211">
        <f t="shared" si="56"/>
        <v>0</v>
      </c>
    </row>
    <row r="386" spans="1:44" s="50" customFormat="1" ht="31.9" hidden="1" customHeight="1">
      <c r="A386" s="197"/>
      <c r="B386" s="893"/>
      <c r="C386" s="896"/>
      <c r="D386" s="912"/>
      <c r="E386" s="909"/>
      <c r="F386" s="238" t="str">
        <f ca="1">IF(B378="Лікар-педіатр",Законод!$G$17,IF(B378="Лікар загальної практики - сімейний лікар",Законод!$G$21,IF(B378="Лікар-терапевт",Законод!$G$25,"х")))</f>
        <v>х</v>
      </c>
      <c r="G386" s="889" t="s">
        <v>346</v>
      </c>
      <c r="H386" s="890"/>
      <c r="I386" s="890"/>
      <c r="J386" s="890"/>
      <c r="K386" s="891"/>
      <c r="L386" s="196">
        <f ca="1">IF($B$378="Лікар загальної практики - сімейний лікар",IF(L382&lt;Законод!$C$22,0,(IF(AND(L382&gt;=Законод!$G$22,L382&lt;=Законод!$G$23),L382-Законод!$F$23,IF('01_Доходи'!L382&gt;=Законод!$H$22,Законод!$G$24,0)))),IF($B$378="Лікар-педіатр",IF(L382&lt;Законод!$C$18,0,(IF(AND(L382&gt;=Законод!$G$18,L382&lt;=Законод!$G$19),L382-Законод!$F$19,IF('01_Доходи'!L382&gt;=Законод!$H$18,Законод!$G$20,0)))),IF($B$378="Лікар-терапевт",IF(L382&lt;Законод!$C$26,0,(IF(AND(L382&gt;=Законод!$G$26,L382&lt;=Законод!$G$27),L382-Законод!$F$27,IF('01_Доходи'!L382&gt;=Законод!$H$26,Законод!$G$28,0)))),0)))</f>
        <v>0</v>
      </c>
      <c r="M386" s="930"/>
      <c r="N386" s="889" t="s">
        <v>346</v>
      </c>
      <c r="O386" s="890"/>
      <c r="P386" s="890"/>
      <c r="Q386" s="890"/>
      <c r="R386" s="891"/>
      <c r="S386" s="196">
        <f ca="1">IF($B$378="Лікар загальної практики - сімейний лікар",IF(S382&lt;Законод!$C$22,0,(IF(AND(S382&gt;=Законод!$G$22,S382&lt;=Законод!$G$23),S382-Законод!$F$23,IF('01_Доходи'!S382&gt;=Законод!$H$22,Законод!$G$24,0)))),IF($B$378="Лікар-педіатр",IF(S382&lt;Законод!$C$18,0,(IF(AND(S382&gt;=Законод!$G$18,S382&lt;=Законод!$G$19),S382-Законод!$F$19,IF('01_Доходи'!S382&gt;=Законод!$H$18,Законод!$G$20,0)))),IF($B$378="Лікар-терапевт",IF(S382&lt;Законод!$C$26,0,(IF(AND(S382&gt;=Законод!$G$26,S382&lt;=Законод!$G$27),S382-Законод!$F$27,IF('01_Доходи'!S382&gt;=Законод!$H$26,Законод!$G$28,0)))),0)))</f>
        <v>0</v>
      </c>
      <c r="T386" s="930"/>
      <c r="U386" s="889" t="s">
        <v>346</v>
      </c>
      <c r="V386" s="890"/>
      <c r="W386" s="890"/>
      <c r="X386" s="890"/>
      <c r="Y386" s="891"/>
      <c r="Z386" s="196">
        <f ca="1">IF($B$378="Лікар загальної практики - сімейний лікар",IF(Z382&lt;Законод!$C$22,0,(IF(AND(Z382&gt;=Законод!$G$22,Z382&lt;=Законод!$G$23),Z382-Законод!$F$23,IF('01_Доходи'!Z382&gt;=Законод!$H$22,Законод!$G$24,0)))),IF($B$378="Лікар-педіатр",IF(Z382&lt;Законод!$C$18,0,(IF(AND(Z382&gt;=Законод!$G$18,Z382&lt;=Законод!$G$19),Z382-Законод!$F$19,IF('01_Доходи'!Z382&gt;=Законод!$H$18,Законод!$G$20,0)))),IF($B$378="Лікар-терапевт",IF(Z382&lt;Законод!$C$26,0,(IF(AND(Z382&gt;=Законод!$G$26,Z382&lt;=Законод!$G$27),Z382-Законод!$F$27,IF('01_Доходи'!Z382&gt;=Законод!$H$26,Законод!$G$28,0)))),0)))</f>
        <v>0</v>
      </c>
      <c r="AA386" s="930"/>
      <c r="AB386" s="889" t="s">
        <v>346</v>
      </c>
      <c r="AC386" s="890"/>
      <c r="AD386" s="890"/>
      <c r="AE386" s="890"/>
      <c r="AF386" s="891"/>
      <c r="AG386" s="196">
        <f ca="1">IF($B$378="Лікар загальної практики - сімейний лікар",IF(AG382&lt;Законод!$C$22,0,(IF(AND(AG382&gt;=Законод!$G$22,AG382&lt;=Законод!$G$23),AG382-Законод!$F$23,IF('01_Доходи'!AG382&gt;=Законод!$H$22,Законод!$G$24,0)))),IF($B$378="Лікар-педіатр",IF(AG382&lt;Законод!$C$18,0,(IF(AND(AG382&gt;=Законод!$G$18,AG382&lt;=Законод!$G$19),AG382-Законод!$F$19,IF('01_Доходи'!AG382&gt;=Законод!$H$18,Законод!$G$20,0)))),IF($B$378="Лікар-терапевт",IF(AG382&lt;Законод!$C$26,0,(IF(AND(AG382&gt;=Законод!$G$26,AG382&lt;=Законод!$G$27),AG382-Законод!$F$27,IF('01_Доходи'!AG382&gt;=Законод!$H$26,Законод!$G$28,0)))),0)))</f>
        <v>0</v>
      </c>
      <c r="AH386" s="930"/>
      <c r="AI386" s="201"/>
      <c r="AJ386" s="933"/>
      <c r="AK386" s="927"/>
      <c r="AL386" s="927"/>
      <c r="AM386" s="899"/>
      <c r="AN386" s="210">
        <f ca="1">IF(B378="Лікар загальної практики - сімейний лікар",L386*Законод!$C$9/4*Законод!$G$16,IF(B378="Лікар-педіатр",L386*Законод!$C$9/4*Законод!$G$16,IF(B378="Лікар-терапевт",L386*Законод!$C$9/4*Законод!$G$16,0)))</f>
        <v>0</v>
      </c>
      <c r="AO386" s="210">
        <f ca="1">IF(B378="Лікар загальної практики - сімейний лікар",S386*Законод!$C$9/4*Законод!$G$16,IF(B378="Лікар-педіатр",S386*Законод!$C$9/4*Законод!$G$16,IF(B378="Лікар-терапевт",S386*Законод!$C$9/4*Законод!$G$16,0)))</f>
        <v>0</v>
      </c>
      <c r="AP386" s="210">
        <f ca="1">IF(B378="Лікар загальної практики - сімейний лікар",Z386*Законод!$C$9/4*Законод!$G$16,IF(B378="Лікар-педіатр",Z386*Законод!$C$9/4*Законод!$G$16,IF(B378="Лікар-терапевт",Z386*Законод!$C$9/4*Законод!$G$16,0)))</f>
        <v>0</v>
      </c>
      <c r="AQ386" s="210">
        <f ca="1">IF(B378="Лікар загальної практики - сімейний лікар",AG386*Законод!$C$9/4*Законод!$G$16,IF(B378="Лікар-педіатр",AG386*Законод!$C$9/4*Законод!$G$16,IF(B378="Лікар-терапевт",AG386*Законод!$C$9/4*Законод!$G$16,0)))</f>
        <v>0</v>
      </c>
      <c r="AR386" s="211">
        <f t="shared" si="56"/>
        <v>0</v>
      </c>
    </row>
    <row r="387" spans="1:44" s="50" customFormat="1" ht="31.9" hidden="1" customHeight="1">
      <c r="A387" s="197"/>
      <c r="B387" s="893"/>
      <c r="C387" s="896"/>
      <c r="D387" s="912"/>
      <c r="E387" s="909"/>
      <c r="F387" s="238" t="str">
        <f ca="1">IF(B378="Лікар-педіатр",Законод!$H$17,IF(B378="Лікар загальної практики - сімейний лікар",Законод!$H$21,IF(B378="Лікар-терапевт",Законод!$H$25,"х")))</f>
        <v>х</v>
      </c>
      <c r="G387" s="889" t="s">
        <v>346</v>
      </c>
      <c r="H387" s="890"/>
      <c r="I387" s="890"/>
      <c r="J387" s="890"/>
      <c r="K387" s="891"/>
      <c r="L387" s="196">
        <f ca="1">IF($B$378="Лікар загальної практики - сімейний лікар",IF(L382&lt;Законод!$C$22,0,(IF(AND(L382&gt;=Законод!$H$22,L382&lt;=Законод!$H$23),L382-Законод!$G$23,IF('01_Доходи'!L382&gt;=Законод!$I$22,Законод!$H$24,0)))),IF($B$378="Лікар-педіатр",IF(L382&lt;Законод!$C$18,0,(IF(AND(L382&gt;=Законод!$H$18,L382&lt;=Законод!$H$19),L382-Законод!$G$19,IF('01_Доходи'!L382&gt;=Законод!$I$18,Законод!$H$20,0)))),IF($B$378="Лікар-терапевт",IF(L382&lt;Законод!$C$26,0,(IF(AND(L382&gt;=Законод!$H$26,L382&lt;=Законод!$H$27),L382-Законод!$G$27,IF(L382&gt;=Законод!$I$26,Законод!$H$28,0)))),0)))</f>
        <v>0</v>
      </c>
      <c r="M387" s="930"/>
      <c r="N387" s="889" t="s">
        <v>346</v>
      </c>
      <c r="O387" s="890"/>
      <c r="P387" s="890"/>
      <c r="Q387" s="890"/>
      <c r="R387" s="891"/>
      <c r="S387" s="196">
        <f ca="1">IF($B$378="Лікар загальної практики - сімейний лікар",IF(S382&lt;Законод!$C$22,0,(IF(AND(S382&gt;=Законод!$H$22,S382&lt;=Законод!$H$23),S382-Законод!$G$23,IF('01_Доходи'!S382&gt;=Законод!$I$22,Законод!$H$24,0)))),IF($B$378="Лікар-педіатр",IF(S382&lt;Законод!$C$18,0,(IF(AND(S382&gt;=Законод!$H$18,S382&lt;=Законод!$H$19),S382-Законод!$G$19,IF('01_Доходи'!S382&gt;=Законод!$I$18,Законод!$H$20,0)))),IF($B$378="Лікар-терапевт",IF(S382&lt;Законод!$C$26,0,(IF(AND(S382&gt;=Законод!$H$26,S382&lt;=Законод!$H$27),S382-Законод!$G$27,IF(S382&gt;=Законод!$I$26,Законод!$H$28,0)))),0)))</f>
        <v>0</v>
      </c>
      <c r="T387" s="930"/>
      <c r="U387" s="889" t="s">
        <v>346</v>
      </c>
      <c r="V387" s="890"/>
      <c r="W387" s="890"/>
      <c r="X387" s="890"/>
      <c r="Y387" s="891"/>
      <c r="Z387" s="196">
        <f ca="1">IF($B$378="Лікар загальної практики - сімейний лікар",IF(Z382&lt;Законод!$C$22,0,(IF(AND(Z382&gt;=Законод!$H$22,Z382&lt;=Законод!$H$23),Z382-Законод!$G$23,IF('01_Доходи'!Z382&gt;=Законод!$I$22,Законод!$H$24,0)))),IF($B$378="Лікар-педіатр",IF(Z382&lt;Законод!$C$18,0,(IF(AND(Z382&gt;=Законод!$H$18,Z382&lt;=Законод!$H$19),Z382-Законод!$G$19,IF('01_Доходи'!Z382&gt;=Законод!$I$18,Законод!$H$20,0)))),IF($B$378="Лікар-терапевт",IF(Z382&lt;Законод!$C$26,0,(IF(AND(Z382&gt;=Законод!$H$26,Z382&lt;=Законод!$H$27),Z382-Законод!$G$27,IF(Z382&gt;=Законод!$I$26,Законод!$H$28,0)))),0)))</f>
        <v>0</v>
      </c>
      <c r="AA387" s="930"/>
      <c r="AB387" s="889" t="s">
        <v>346</v>
      </c>
      <c r="AC387" s="890"/>
      <c r="AD387" s="890"/>
      <c r="AE387" s="890"/>
      <c r="AF387" s="891"/>
      <c r="AG387" s="196">
        <f ca="1">IF($B$378="Лікар загальної практики - сімейний лікар",IF(AG382&lt;Законод!$C$22,0,(IF(AND(AG382&gt;=Законод!$H$22,AG382&lt;=Законод!$H$23),AG382-Законод!$G$23,IF('01_Доходи'!AG382&gt;=Законод!$I$22,Законод!$H$24,0)))),IF($B$378="Лікар-педіатр",IF(AG382&lt;Законод!$C$18,0,(IF(AND(AG382&gt;=Законод!$H$18,AG382&lt;=Законод!$H$19),AG382-Законод!$G$19,IF('01_Доходи'!AG382&gt;=Законод!$I$18,Законод!$H$20,0)))),IF($B$378="Лікар-терапевт",IF(AG382&lt;Законод!$C$26,0,(IF(AND(AG382&gt;=Законод!$H$26,AG382&lt;=Законод!$H$27),AG382-Законод!$G$27,IF(AG382&gt;=Законод!$I$26,Законод!$H$28,0)))),0)))</f>
        <v>0</v>
      </c>
      <c r="AH387" s="930"/>
      <c r="AI387" s="201"/>
      <c r="AJ387" s="933"/>
      <c r="AK387" s="927"/>
      <c r="AL387" s="927"/>
      <c r="AM387" s="899"/>
      <c r="AN387" s="210">
        <f ca="1">IF(B378="Лікар загальної практики - сімейний лікар",L387*Законод!$C$9/4*Законод!$H$16,IF(B378="Лікар-педіатр",L387*Законод!$C$9/4*Законод!$H$16,IF(B378="Лікар-терапевт",L387*Законод!$C$9/4*Законод!$H$16,0)))</f>
        <v>0</v>
      </c>
      <c r="AO387" s="210">
        <f ca="1">IF(B378="Лікар загальної практики - сімейний лікар",S387*Законод!$C$9/4*Законод!$H$16,IF(B378="Лікар-педіатр",S387*Законод!$C$9/4*Законод!$H$16,IF(B378="Лікар-терапевт",S387*Законод!$C$9/4*Законод!$H$16,0)))</f>
        <v>0</v>
      </c>
      <c r="AP387" s="210">
        <f ca="1">IF(B378="Лікар загальної практики - сімейний лікар",Z387*Законод!$C$9/4*Законод!$H$16,IF(B378="Лікар-педіатр",Z387*Законод!$C$9/4*Законод!$H$16,IF(B378="Лікар-терапевт",Z387*Законод!$C$9/4*Законод!$H$16,0)))</f>
        <v>0</v>
      </c>
      <c r="AQ387" s="210">
        <f ca="1">IF(B378="Лікар загальної практики - сімейний лікар",AG387*Законод!$C$9/4*Законод!$H$16,IF(B378="Лікар-педіатр",AG387*Законод!$C$9/4*Законод!$H$16,IF(B378="Лікар-терапевт",AG387*Законод!$C$9/4*Законод!$H$16,0)))</f>
        <v>0</v>
      </c>
      <c r="AR387" s="211">
        <f t="shared" si="56"/>
        <v>0</v>
      </c>
    </row>
    <row r="388" spans="1:44" s="50" customFormat="1" ht="31.9" hidden="1" customHeight="1">
      <c r="A388" s="197"/>
      <c r="B388" s="893"/>
      <c r="C388" s="896"/>
      <c r="D388" s="912"/>
      <c r="E388" s="909"/>
      <c r="F388" s="238" t="str">
        <f ca="1">IF(B378="Лікар-педіатр",Законод!$I$17,IF(B378="Лікар загальної практики - сімейний лікар",Законод!$I$21,IF(B378="Лікар-терапевт",Законод!$I$25,"х")))</f>
        <v>х</v>
      </c>
      <c r="G388" s="889" t="s">
        <v>346</v>
      </c>
      <c r="H388" s="890"/>
      <c r="I388" s="890"/>
      <c r="J388" s="890"/>
      <c r="K388" s="891"/>
      <c r="L388" s="196">
        <f ca="1">IF($B$378="Лікар загальної практики - сімейний лікар",IF(L382&lt;Законод!$C$22,0,(IF(AND(L382&gt;=Законод!$I$22,L382&lt;=Законод!$I$23),L382-Законод!$H$23,IF('01_Доходи'!L382&gt;=Законод!$I$22,Законод!$I$24,0)))),IF($B$378="Лікар-педіатр",IF(L382&lt;Законод!$C$18,0,(IF(AND(L382&gt;=Законод!$I$18,L382&lt;=Законод!$I$19),L382-Законод!$H$19,IF('01_Доходи'!L382&gt;=Законод!$I$18,Законод!$H$20,0)))),IF($B$378="Лікар-терапевт",IF(L382&lt;Законод!$C$26,0,(IF(AND(L382&gt;=Законод!$I$26,L382&lt;=Законод!$I$27),L382-Законод!$H$27,IF('01_Доходи'!L382&gt;=Законод!$I$26,Законод!$H$28,0)))),0)))</f>
        <v>0</v>
      </c>
      <c r="M388" s="930"/>
      <c r="N388" s="889" t="s">
        <v>346</v>
      </c>
      <c r="O388" s="890"/>
      <c r="P388" s="890"/>
      <c r="Q388" s="890"/>
      <c r="R388" s="891"/>
      <c r="S388" s="196">
        <f ca="1">IF($B$378="Лікар загальної практики - сімейний лікар",IF(S382&lt;Законод!$C$22,0,(IF(AND(S382&gt;=Законод!$I$22,S382&lt;=Законод!$I$23),S382-Законод!$H$23,IF('01_Доходи'!S382&gt;=Законод!$I$22,Законод!$I$24,0)))),IF($B$378="Лікар-педіатр",IF(S382&lt;Законод!$C$18,0,(IF(AND(S382&gt;=Законод!$I$18,S382&lt;=Законод!$I$19),S382-Законод!$H$19,IF('01_Доходи'!S382&gt;=Законод!$I$18,Законод!$H$20,0)))),IF($B$378="Лікар-терапевт",IF(S382&lt;Законод!$C$26,0,(IF(AND(S382&gt;=Законод!$I$26,S382&lt;=Законод!$I$27),S382-Законод!$H$27,IF('01_Доходи'!S382&gt;=Законод!$I$26,Законод!$H$28,0)))),0)))</f>
        <v>0</v>
      </c>
      <c r="T388" s="930"/>
      <c r="U388" s="889" t="s">
        <v>346</v>
      </c>
      <c r="V388" s="890"/>
      <c r="W388" s="890"/>
      <c r="X388" s="890"/>
      <c r="Y388" s="891"/>
      <c r="Z388" s="196">
        <f ca="1">IF($B$378="Лікар загальної практики - сімейний лікар",IF(Z382&lt;Законод!$C$22,0,(IF(AND(Z382&gt;=Законод!$I$22,Z382&lt;=Законод!$I$23),Z382-Законод!$H$23,IF('01_Доходи'!Z382&gt;=Законод!$I$22,Законод!$I$24,0)))),IF($B$378="Лікар-педіатр",IF(Z382&lt;Законод!$C$18,0,(IF(AND(Z382&gt;=Законод!$I$18,Z382&lt;=Законод!$I$19),Z382-Законод!$H$19,IF('01_Доходи'!Z382&gt;=Законод!$I$18,Законод!$H$20,0)))),IF($B$378="Лікар-терапевт",IF(Z382&lt;Законод!$C$26,0,(IF(AND(Z382&gt;=Законод!$I$26,Z382&lt;=Законод!$I$27),Z382-Законод!$H$27,IF('01_Доходи'!Z382&gt;=Законод!$I$26,Законод!$H$28,0)))),0)))</f>
        <v>0</v>
      </c>
      <c r="AA388" s="930"/>
      <c r="AB388" s="889" t="s">
        <v>346</v>
      </c>
      <c r="AC388" s="890"/>
      <c r="AD388" s="890"/>
      <c r="AE388" s="890"/>
      <c r="AF388" s="891"/>
      <c r="AG388" s="196">
        <f ca="1">IF($B$378="Лікар загальної практики - сімейний лікар",IF(AG382&lt;Законод!$C$22,0,(IF(AND(AG382&gt;=Законод!$I$22,AG382&lt;=Законод!$I$23),AG382-Законод!$H$23,IF('01_Доходи'!AG382&gt;=Законод!$I$22,Законод!$I$24,0)))),IF($B$378="Лікар-педіатр",IF(AG382&lt;Законод!$C$18,0,(IF(AND(AG382&gt;=Законод!$I$18,AG382&lt;=Законод!$I$19),AG382-Законод!$H$19,IF('01_Доходи'!AG382&gt;=Законод!$I$18,Законод!$H$20,0)))),IF($B$378="Лікар-терапевт",IF(AG382&lt;Законод!$C$26,0,(IF(AND(AG382&gt;=Законод!$I$26,AG382&lt;=Законод!$I$27),AG382-Законод!$H$27,IF('01_Доходи'!AG382&gt;=Законод!$I$26,Законод!$H$28,0)))),0)))</f>
        <v>0</v>
      </c>
      <c r="AH388" s="930"/>
      <c r="AI388" s="201"/>
      <c r="AJ388" s="933"/>
      <c r="AK388" s="927"/>
      <c r="AL388" s="927"/>
      <c r="AM388" s="899"/>
      <c r="AN388" s="210">
        <f ca="1">IF(B378="Лікар загальної практики - сімейний лікар",L388*Законод!$C$9/4*Законод!$I$16,IF(B378="Лікар-педіатр",L388*Законод!$C$9/4*Законод!$I$16,IF(B378="Лікар-терапевт",L388*Законод!$C$9/4*Законод!$I$16,0)))</f>
        <v>0</v>
      </c>
      <c r="AO388" s="210">
        <f ca="1">IF(B378="Лікар загальної практики - сімейний лікар",S388*Законод!$C$9/4*Законод!$I$16,IF(B378="Лікар-педіатр",S388*Законод!$C$9/4*Законод!$I$16,IF(B378="Лікар-терапевт",S388*Законод!$C$9/4*Законод!$I$16,0)))</f>
        <v>0</v>
      </c>
      <c r="AP388" s="210">
        <f ca="1">IF(B378="Лікар загальної практики - сімейний лікар",Z388*Законод!$C$9/4*Законод!$I$16,IF(B378="Лікар-педіатр",Z388*Законод!$C$9/4*Законод!$I$16,IF(B378="Лікар-терапевт",Z388*Законод!$C$9/4*Законод!$I$16,0)))</f>
        <v>0</v>
      </c>
      <c r="AQ388" s="210">
        <f ca="1">IF(B378="Лікар загальної практики - сімейний лікар",AG388*Законод!$C$9/4*Законод!$I$16,IF(B378="Лікар-педіатр",AG388*Законод!$C$9/4*Законод!$I$16,IF(B378="Лікар-терапевт",AG388*Законод!$C$9/4*Законод!$I$16,0)))</f>
        <v>0</v>
      </c>
      <c r="AR388" s="211">
        <f t="shared" si="56"/>
        <v>0</v>
      </c>
    </row>
    <row r="389" spans="1:44" s="218" customFormat="1" ht="31.9" hidden="1" customHeight="1" thickBot="1">
      <c r="A389" s="213"/>
      <c r="B389" s="894"/>
      <c r="C389" s="897"/>
      <c r="D389" s="913"/>
      <c r="E389" s="910"/>
      <c r="F389" s="239" t="str">
        <f ca="1">IF(B378="Лікар-педіатр",Законод!$J$17,IF(B378="Лікар загальної практики - сімейний лікар",Законод!$J$21,IF(B378="Лікар-терапевт",Законод!$J$25,"х")))</f>
        <v>х</v>
      </c>
      <c r="G389" s="935" t="s">
        <v>346</v>
      </c>
      <c r="H389" s="936"/>
      <c r="I389" s="936"/>
      <c r="J389" s="936"/>
      <c r="K389" s="937"/>
      <c r="L389" s="196">
        <f ca="1">IF($B$378="Лікар загальної практики - сімейний лікар",IF(L382&gt;=Законод!$J$22,'01_Доходи'!L382-('01_Доходи'!L383+'01_Доходи'!L384+'01_Доходи'!L385+'01_Доходи'!L386+'01_Доходи'!L387+'01_Доходи'!L388),0),IF($B$378="Лікар-педіатр",IF(L382&gt;=Законод!$J$18,'01_Доходи'!L382-('01_Доходи'!L383+'01_Доходи'!L384+'01_Доходи'!L385+'01_Доходи'!L386+'01_Доходи'!L387+'01_Доходи'!L388),0),IF($B$378="Лікар-терапевт",IF('01_Доходи'!L382&gt;=Законод!$J$26,L382-Законод!$I$27,0),0)))</f>
        <v>0</v>
      </c>
      <c r="M389" s="931"/>
      <c r="N389" s="935" t="s">
        <v>346</v>
      </c>
      <c r="O389" s="936"/>
      <c r="P389" s="936"/>
      <c r="Q389" s="936"/>
      <c r="R389" s="937"/>
      <c r="S389" s="196">
        <f ca="1">IF($B$378="Лікар загальної практики - сімейний лікар",IF(S382&gt;=Законод!$J$22,'01_Доходи'!S382-('01_Доходи'!S383+'01_Доходи'!S384+'01_Доходи'!S385+'01_Доходи'!S386+'01_Доходи'!S387+'01_Доходи'!S388),0),IF($B$378="Лікар-педіатр",IF(S382&gt;=Законод!$J$18,'01_Доходи'!S382-('01_Доходи'!S383+'01_Доходи'!S384+'01_Доходи'!S385+'01_Доходи'!S386+'01_Доходи'!S387+'01_Доходи'!S388),0),IF($B$378="Лікар-терапевт",IF('01_Доходи'!S382&gt;=Законод!$J$26,S382-Законод!$I$27,0),0)))</f>
        <v>0</v>
      </c>
      <c r="T389" s="931"/>
      <c r="U389" s="935" t="s">
        <v>346</v>
      </c>
      <c r="V389" s="936"/>
      <c r="W389" s="936"/>
      <c r="X389" s="936"/>
      <c r="Y389" s="937"/>
      <c r="Z389" s="196">
        <f ca="1">IF($B$378="Лікар загальної практики - сімейний лікар",IF(Z382&gt;=Законод!$J$22,'01_Доходи'!Z382-('01_Доходи'!Z383+'01_Доходи'!Z384+'01_Доходи'!Z385+'01_Доходи'!Z386+'01_Доходи'!Z387+'01_Доходи'!Z388),0),IF($B$378="Лікар-педіатр",IF(Z382&gt;=Законод!$J$18,'01_Доходи'!Z382-('01_Доходи'!Z383+'01_Доходи'!Z384+'01_Доходи'!Z385+'01_Доходи'!Z386+'01_Доходи'!Z387+'01_Доходи'!Z388),0),IF($B$378="Лікар-терапевт",IF('01_Доходи'!Z382&gt;=Законод!$J$26,Z382-Законод!$I$27,0),0)))</f>
        <v>0</v>
      </c>
      <c r="AA389" s="931"/>
      <c r="AB389" s="935" t="s">
        <v>346</v>
      </c>
      <c r="AC389" s="936"/>
      <c r="AD389" s="936"/>
      <c r="AE389" s="936"/>
      <c r="AF389" s="937"/>
      <c r="AG389" s="196">
        <f ca="1">IF($B$378="Лікар загальної практики - сімейний лікар",IF(AG382&gt;=Законод!$J$22,'01_Доходи'!AG382-('01_Доходи'!AG383+'01_Доходи'!AG384+'01_Доходи'!AG385+'01_Доходи'!AG386+'01_Доходи'!AG387+'01_Доходи'!AG388),0),IF($B$378="Лікар-педіатр",IF(AG382&gt;=Законод!$J$18,'01_Доходи'!AG382-('01_Доходи'!AG383+'01_Доходи'!AG384+'01_Доходи'!AG385+'01_Доходи'!AG386+'01_Доходи'!AG387+'01_Доходи'!AG388),0),IF($B$378="Лікар-терапевт",IF('01_Доходи'!AG382&gt;=Законод!$J$26,AG382-Законод!$I$27,0),0)))</f>
        <v>0</v>
      </c>
      <c r="AH389" s="931"/>
      <c r="AI389" s="215"/>
      <c r="AJ389" s="934"/>
      <c r="AK389" s="928"/>
      <c r="AL389" s="928"/>
      <c r="AM389" s="900"/>
      <c r="AN389" s="216">
        <f ca="1">IF(B378="Лікар загальної практики - сімейний лікар",L389*Законод!$C$9/4*Законод!$J$16,IF(B378="Лікар-педіатр",L389*Законод!$C$9/4*Законод!$J$16,IF(B378="Лікар-терапевт",L389*Законод!$C$9/4*Законод!$J$16,0)))</f>
        <v>0</v>
      </c>
      <c r="AO389" s="216">
        <f ca="1">IF(B378="Лікар загальної практики - сімейний лікар",S389*Законод!$C$9/4*Законод!$J$16,IF(B378="Лікар-педіатр",S389*Законод!$C$9/4*Законод!$J$16,IF(B378="Лікар-терапевт",S389*Законод!$C$9/4*Законод!$J$16,0)))</f>
        <v>0</v>
      </c>
      <c r="AP389" s="216">
        <f ca="1">IF(B378="Лікар загальної практики - сімейний лікар",S389*Законод!$C$9/4*Законод!$J$16,IF(B378="Лікар-педіатр",S389*Законод!$C$9/4*Законод!$J$16,IF(B378="Лікар-терапевт",S389*Законод!$C$9/4*Законод!$J$16,0)))</f>
        <v>0</v>
      </c>
      <c r="AQ389" s="216">
        <f ca="1">IF(B378="Лікар загальної практики - сімейний лікар",AG389*Законод!$C$9/4*Законод!$J$16,IF(B378="Лікар-педіатр",AG389*Законод!$C$9/4*Законод!$J$16,IF(B378="Лікар-терапевт",AG389*Законод!$C$9/4*Законод!$J$16,0)))</f>
        <v>0</v>
      </c>
      <c r="AR389" s="217">
        <f t="shared" si="56"/>
        <v>0</v>
      </c>
    </row>
    <row r="390" spans="1:44" s="247" customFormat="1" ht="23.45" hidden="1" customHeight="1" thickBot="1">
      <c r="A390" s="243"/>
      <c r="B390" s="244"/>
      <c r="C390" s="244"/>
      <c r="D390" s="244"/>
      <c r="E390" s="244"/>
      <c r="F390" s="245"/>
      <c r="G390" s="246"/>
      <c r="H390" s="246"/>
      <c r="L390" s="248"/>
      <c r="S390" s="248"/>
      <c r="Z390" s="248"/>
      <c r="AG390" s="248"/>
      <c r="AM390" s="249"/>
      <c r="AR390" s="250"/>
    </row>
    <row r="391" spans="1:44" s="191" customFormat="1" ht="27.6" hidden="1" customHeight="1">
      <c r="A391" s="194">
        <f>A378+1</f>
        <v>28</v>
      </c>
      <c r="B391" s="892"/>
      <c r="C391" s="895"/>
      <c r="D391" s="911"/>
      <c r="E391" s="908"/>
      <c r="F391" s="234" t="s">
        <v>582</v>
      </c>
      <c r="G391" s="196">
        <f>IF($B$391="Лікар-педіатр",G394*L391,IF($B$391="Лікар-терапевт","х",IF($B$391="Лікар загальної практики - сімейний лікар",G394*L391,0)))</f>
        <v>0</v>
      </c>
      <c r="H391" s="196">
        <f>IF($B$391="Лікар-педіатр",H394*L391,IF($B$391="Лікар-терапевт","х",IF($B$391="Лікар загальної практики - сімейний лікар",H394*L391,0)))</f>
        <v>0</v>
      </c>
      <c r="I391" s="196">
        <f>IF($B$391="Лікар-педіатр","x",IF($B$391="Лікар-терапевт",I394*L391,IF($B$391="Лікар загальної практики - сімейний лікар",I394*L391,0)))</f>
        <v>0</v>
      </c>
      <c r="J391" s="196">
        <f>IF($B$391="Лікар-педіатр","x",IF($B$391="Лікар-терапевт",J394*L391,IF($B$391="Лікар загальної практики - сімейний лікар",J394*L391,0)))</f>
        <v>0</v>
      </c>
      <c r="K391" s="196">
        <f>IF($B$391="Лікар-педіатр","x",IF($B$391="Лікар-терапевт",K394*L391,IF($B$391="Лікар загальної практики - сімейний лікар",K394*L391,0)))</f>
        <v>0</v>
      </c>
      <c r="L391" s="558"/>
      <c r="M391" s="929"/>
      <c r="N391" s="196">
        <f>IF($B$391="Лікар-педіатр",N394*S391,IF($B$391="Лікар-терапевт","х",IF($B$391="Лікар загальної практики - сімейний лікар",N394*S391,0)))</f>
        <v>0</v>
      </c>
      <c r="O391" s="196">
        <f>IF($B$391="Лікар-педіатр",O394*S391,IF($B$391="Лікар-терапевт","х",IF($B$391="Лікар загальної практики - сімейний лікар",O394*S391,0)))</f>
        <v>0</v>
      </c>
      <c r="P391" s="196">
        <f>IF($B$391="Лікар-педіатр","x",IF($B$391="Лікар-терапевт",P394*S391,IF($B$391="Лікар загальної практики - сімейний лікар",P394*S391,0)))</f>
        <v>0</v>
      </c>
      <c r="Q391" s="196">
        <f>IF($B$391="Лікар-педіатр","x",IF($B$391="Лікар-терапевт",Q394*S391,IF($B$391="Лікар загальної практики - сімейний лікар",Q394*S391,0)))</f>
        <v>0</v>
      </c>
      <c r="R391" s="196">
        <f>IF($B$391="Лікар-педіатр","x",IF($B$391="Лікар-терапевт",R394*S391,IF($B$391="Лікар загальної практики - сімейний лікар",R394*S391,0)))</f>
        <v>0</v>
      </c>
      <c r="S391" s="558"/>
      <c r="T391" s="929"/>
      <c r="U391" s="196">
        <f>IF($B$391="Лікар-педіатр",U394*Z391,IF($B$391="Лікар-терапевт","х",IF($B$391="Лікар загальної практики - сімейний лікар",U394*Z391,0)))</f>
        <v>0</v>
      </c>
      <c r="V391" s="196">
        <f>IF($B$391="Лікар-педіатр",V394*Z391,IF($B$391="Лікар-терапевт","х",IF($B$391="Лікар загальної практики - сімейний лікар",V394*Z391,0)))</f>
        <v>0</v>
      </c>
      <c r="W391" s="196">
        <f>IF($B$391="Лікар-педіатр","x",IF($B$391="Лікар-терапевт",W394*Z391,IF($B$391="Лікар загальної практики - сімейний лікар",W394*Z391,0)))</f>
        <v>0</v>
      </c>
      <c r="X391" s="196">
        <f>IF($B$391="Лікар-педіатр","x",IF($B$391="Лікар-терапевт",X394*Z391,IF($B$391="Лікар загальної практики - сімейний лікар",X394*Z391,0)))</f>
        <v>0</v>
      </c>
      <c r="Y391" s="196">
        <f>IF($B$391="Лікар-педіатр","x",IF($B$391="Лікар-терапевт",Y394*Z391,IF($B$391="Лікар загальної практики - сімейний лікар",Y394*Z391,0)))</f>
        <v>0</v>
      </c>
      <c r="Z391" s="558"/>
      <c r="AA391" s="929"/>
      <c r="AB391" s="196">
        <f>IF($B$391="Лікар-педіатр",AB394*AG391,IF($B$391="Лікар-терапевт","х",IF($B$391="Лікар загальної практики - сімейний лікар",AB394*AG391,0)))</f>
        <v>0</v>
      </c>
      <c r="AC391" s="196">
        <f>IF($B$391="Лікар-педіатр",AC394*AG391,IF($B$391="Лікар-терапевт","х",IF($B$391="Лікар загальної практики - сімейний лікар",AC394*AG391,0)))</f>
        <v>0</v>
      </c>
      <c r="AD391" s="196">
        <f>IF($B$391="Лікар-педіатр","x",IF($B$391="Лікар-терапевт",AD394*AG391,IF($B$391="Лікар загальної практики - сімейний лікар",AD394*AG391,0)))</f>
        <v>0</v>
      </c>
      <c r="AE391" s="196">
        <f>IF($B$391="Лікар-педіатр","x",IF($B$391="Лікар-терапевт",AE394*AG391,IF($B$391="Лікар загальної практики - сімейний лікар",AE394*AG391,0)))</f>
        <v>0</v>
      </c>
      <c r="AF391" s="196">
        <f>IF($B$391="Лікар-педіатр","x",IF($B$391="Лікар-терапевт",AF394*AG391,IF($B$391="Лікар загальної практики - сімейний лікар",AF394*AG391,0)))</f>
        <v>0</v>
      </c>
      <c r="AG391" s="558"/>
      <c r="AH391" s="929"/>
      <c r="AI391" s="541">
        <f>A391</f>
        <v>28</v>
      </c>
      <c r="AJ391" s="932">
        <f>B391</f>
        <v>0</v>
      </c>
      <c r="AK391" s="926">
        <f>C391</f>
        <v>0</v>
      </c>
      <c r="AL391" s="926">
        <f>D391</f>
        <v>0</v>
      </c>
      <c r="AM391" s="901" t="s">
        <v>785</v>
      </c>
      <c r="AN391" s="923">
        <f>SUM(AN396:AN402)</f>
        <v>0</v>
      </c>
      <c r="AO391" s="923">
        <f>SUM(AO396:AO402)</f>
        <v>0</v>
      </c>
      <c r="AP391" s="923">
        <f>SUM(AP396:AP402)</f>
        <v>0</v>
      </c>
      <c r="AQ391" s="923">
        <f>SUM(AQ396:AQ402)</f>
        <v>0</v>
      </c>
      <c r="AR391" s="914">
        <f>SUM(AN391:AQ395)</f>
        <v>0</v>
      </c>
    </row>
    <row r="392" spans="1:44" s="50" customFormat="1" ht="28.15" hidden="1" customHeight="1">
      <c r="A392" s="197"/>
      <c r="B392" s="893"/>
      <c r="C392" s="896"/>
      <c r="D392" s="912"/>
      <c r="E392" s="909"/>
      <c r="F392" s="234" t="s">
        <v>583</v>
      </c>
      <c r="G392" s="196">
        <f>IF($B$391="Лікар-педіатр",G394*L392,IF($B$391="Лікар-терапевт","х",IF($B$391="Лікар загальної практики - сімейний лікар",G394*L392,0)))</f>
        <v>0</v>
      </c>
      <c r="H392" s="196">
        <f>IF($B$391="Лікар-педіатр",H394*L392,IF($B$391="Лікар-терапевт","х",IF($B$391="Лікар загальної практики - сімейний лікар",H394*L392,0)))</f>
        <v>0</v>
      </c>
      <c r="I392" s="196">
        <f>IF($B$391="Лікар-педіатр","x",IF($B$391="Лікар-терапевт",I394*L392,IF($B$391="Лікар загальної практики - сімейний лікар",I394*L392,0)))</f>
        <v>0</v>
      </c>
      <c r="J392" s="196">
        <f>IF($B$391="Лікар-педіатр","x",IF($B$391="Лікар-терапевт",J394*L392,IF($B$391="Лікар загальної практики - сімейний лікар",J394*L392,0)))</f>
        <v>0</v>
      </c>
      <c r="K392" s="196">
        <f>IF($B$391="Лікар-педіатр","x",IF($B$391="Лікар-терапевт",K394*L392,IF($B$391="Лікар загальної практики - сімейний лікар",K394*L392,0)))</f>
        <v>0</v>
      </c>
      <c r="L392" s="558"/>
      <c r="M392" s="930"/>
      <c r="N392" s="196">
        <f>IF($B$391="Лікар-педіатр",N394*S392,IF($B$391="Лікар-терапевт","х",IF($B$391="Лікар загальної практики - сімейний лікар",N394*S392,0)))</f>
        <v>0</v>
      </c>
      <c r="O392" s="196">
        <f>IF($B$391="Лікар-педіатр",O394*S392,IF($B$391="Лікар-терапевт","х",IF($B$391="Лікар загальної практики - сімейний лікар",O394*S392,0)))</f>
        <v>0</v>
      </c>
      <c r="P392" s="196">
        <f>IF($B$391="Лікар-педіатр","x",IF($B$391="Лікар-терапевт",P394*S392,IF($B$391="Лікар загальної практики - сімейний лікар",P394*S392,0)))</f>
        <v>0</v>
      </c>
      <c r="Q392" s="196">
        <f>IF($B$391="Лікар-педіатр","x",IF($B$391="Лікар-терапевт",Q394*S392,IF($B$391="Лікар загальної практики - сімейний лікар",Q394*S392,0)))</f>
        <v>0</v>
      </c>
      <c r="R392" s="196">
        <f>IF($B$391="Лікар-педіатр","x",IF($B$391="Лікар-терапевт",R394*S392,IF($B$391="Лікар загальної практики - сімейний лікар",R394*S392,0)))</f>
        <v>0</v>
      </c>
      <c r="S392" s="558"/>
      <c r="T392" s="930"/>
      <c r="U392" s="196">
        <f>IF($B$391="Лікар-педіатр",U394*Z392,IF($B$391="Лікар-терапевт","х",IF($B$391="Лікар загальної практики - сімейний лікар",U394*Z392,0)))</f>
        <v>0</v>
      </c>
      <c r="V392" s="196">
        <f>IF($B$391="Лікар-педіатр",V394*Z392,IF($B$391="Лікар-терапевт","х",IF($B$391="Лікар загальної практики - сімейний лікар",V394*Z392,0)))</f>
        <v>0</v>
      </c>
      <c r="W392" s="196">
        <f>IF($B$391="Лікар-педіатр","x",IF($B$391="Лікар-терапевт",W394*Z392,IF($B$391="Лікар загальної практики - сімейний лікар",W394*Z392,0)))</f>
        <v>0</v>
      </c>
      <c r="X392" s="196">
        <f>IF($B$391="Лікар-педіатр","x",IF($B$391="Лікар-терапевт",X394*Z392,IF($B$391="Лікар загальної практики - сімейний лікар",X394*Z392,0)))</f>
        <v>0</v>
      </c>
      <c r="Y392" s="196">
        <f>IF($B$391="Лікар-педіатр","x",IF($B$391="Лікар-терапевт",Y394*Z392,IF($B$391="Лікар загальної практики - сімейний лікар",Y394*Z392,0)))</f>
        <v>0</v>
      </c>
      <c r="Z392" s="558"/>
      <c r="AA392" s="930"/>
      <c r="AB392" s="196">
        <f>IF($B$391="Лікар-педіатр",AB394*AG392,IF($B$391="Лікар-терапевт","х",IF($B$391="Лікар загальної практики - сімейний лікар",AB394*AG392,0)))</f>
        <v>0</v>
      </c>
      <c r="AC392" s="196">
        <f>IF($B$391="Лікар-педіатр",AC394*AG392,IF($B$391="Лікар-терапевт","х",IF($B$391="Лікар загальної практики - сімейний лікар",AC394*AG392,0)))</f>
        <v>0</v>
      </c>
      <c r="AD392" s="196">
        <f>IF($B$391="Лікар-педіатр","x",IF($B$391="Лікар-терапевт",AD394*AG392,IF($B$391="Лікар загальної практики - сімейний лікар",AD394*AG392,0)))</f>
        <v>0</v>
      </c>
      <c r="AE392" s="196">
        <f>IF($B$391="Лікар-педіатр","x",IF($B$391="Лікар-терапевт",AE394*AG392,IF($B$391="Лікар загальної практики - сімейний лікар",AE394*AG392,0)))</f>
        <v>0</v>
      </c>
      <c r="AF392" s="196">
        <f>IF($B$391="Лікар-педіатр","x",IF($B$391="Лікар-терапевт",AF394*AG392,IF($B$391="Лікар загальної практики - сімейний лікар",AF394*AG392,0)))</f>
        <v>0</v>
      </c>
      <c r="AG392" s="558"/>
      <c r="AH392" s="930"/>
      <c r="AI392" s="198"/>
      <c r="AJ392" s="933"/>
      <c r="AK392" s="927"/>
      <c r="AL392" s="927"/>
      <c r="AM392" s="902"/>
      <c r="AN392" s="924"/>
      <c r="AO392" s="924"/>
      <c r="AP392" s="924"/>
      <c r="AQ392" s="924"/>
      <c r="AR392" s="915"/>
    </row>
    <row r="393" spans="1:44" s="90" customFormat="1" ht="31.15" hidden="1" customHeight="1">
      <c r="A393" s="240"/>
      <c r="B393" s="893"/>
      <c r="C393" s="896"/>
      <c r="D393" s="912"/>
      <c r="E393" s="909"/>
      <c r="F393" s="241" t="s">
        <v>584</v>
      </c>
      <c r="G393" s="199">
        <f>IF(B391="Лікар загальної практики - сімейний лікар"," ",IF(B391="Лікар-педіатр"," ",IF(B391="Лікар-терапевт","х",0)))</f>
        <v>0</v>
      </c>
      <c r="H393" s="199">
        <f>IF(B391="Лікар загальної практики - сімейний лікар"," ",IF(B391="Лікар-педіатр"," ",IF(B391="Лікар-терапевт","х",0)))</f>
        <v>0</v>
      </c>
      <c r="I393" s="199">
        <f>IF(B391="Лікар загальної практики - сімейний лікар"," ",IF(B391="Лікар-педіатр","х",IF(B391="Лікар-терапевт"," ",0)))</f>
        <v>0</v>
      </c>
      <c r="J393" s="199">
        <f>IF(B391="Лікар загальної практики - сімейний лікар"," ",IF(B391="Лікар-педіатр","х",IF(B391="Лікар-терапевт"," ",0)))</f>
        <v>0</v>
      </c>
      <c r="K393" s="199">
        <f>IF(B391="Лікар загальної практики - сімейний лікар"," ",IF(B391="Лікар-педіатр","х",IF(B391="Лікар-терапевт"," ",0)))</f>
        <v>0</v>
      </c>
      <c r="L393" s="200">
        <f>SUM(G393:K393)</f>
        <v>0</v>
      </c>
      <c r="M393" s="930"/>
      <c r="N393" s="199">
        <f>IF(B391="Лікар загальної практики - сімейний лікар"," ",IF(B391="Лікар-педіатр"," ",IF(B391="Лікар-терапевт","х",0)))</f>
        <v>0</v>
      </c>
      <c r="O393" s="199">
        <f>IF(B391="Лікар загальної практики - сімейний лікар"," ",IF(B391="Лікар-педіатр"," ",IF(B391="Лікар-терапевт","х",0)))</f>
        <v>0</v>
      </c>
      <c r="P393" s="199">
        <f>IF(B391="Лікар загальної практики - сімейний лікар"," ",IF(B391="Лікар-педіатр","х",IF(B391="Лікар-терапевт"," ",0)))</f>
        <v>0</v>
      </c>
      <c r="Q393" s="199">
        <f>IF(B391="Лікар загальної практики - сімейний лікар"," ",IF(B391="Лікар-педіатр","х",IF(B391="Лікар-терапевт"," ",0)))</f>
        <v>0</v>
      </c>
      <c r="R393" s="199">
        <f>IF(B391="Лікар загальної практики - сімейний лікар"," ",IF(B391="Лікар-педіатр","х",IF(B391="Лікар-терапевт"," ",0)))</f>
        <v>0</v>
      </c>
      <c r="S393" s="200">
        <f>SUM(N393:R393)</f>
        <v>0</v>
      </c>
      <c r="T393" s="930"/>
      <c r="U393" s="199">
        <f>IF(B391="Лікар загальної практики - сімейний лікар"," ",IF(B391="Лікар-педіатр"," ",IF(B391="Лікар-терапевт","х",0)))</f>
        <v>0</v>
      </c>
      <c r="V393" s="199">
        <f>IF(B391="Лікар загальної практики - сімейний лікар"," ",IF(B391="Лікар-педіатр"," ",IF(B391="Лікар-терапевт","х",0)))</f>
        <v>0</v>
      </c>
      <c r="W393" s="199">
        <f>IF(B391="Лікар загальної практики - сімейний лікар"," ",IF(B391="Лікар-педіатр","х",IF(B391="Лікар-терапевт"," ",0)))</f>
        <v>0</v>
      </c>
      <c r="X393" s="199">
        <f>IF(B391="Лікар загальної практики - сімейний лікар"," ",IF(B391="Лікар-педіатр","х",IF(B391="Лікар-терапевт"," ",0)))</f>
        <v>0</v>
      </c>
      <c r="Y393" s="199">
        <f>IF(B391="Лікар загальної практики - сімейний лікар"," ",IF(B391="Лікар-педіатр","х",IF(B391="Лікар-терапевт"," ",0)))</f>
        <v>0</v>
      </c>
      <c r="Z393" s="200">
        <f>SUM(U393:Y393)</f>
        <v>0</v>
      </c>
      <c r="AA393" s="930"/>
      <c r="AB393" s="199">
        <f>IF(B391="Лікар загальної практики - сімейний лікар"," ",IF(B391="Лікар-педіатр"," ",IF(B391="Лікар-терапевт","х",0)))</f>
        <v>0</v>
      </c>
      <c r="AC393" s="199">
        <f>IF(B391="Лікар загальної практики - сімейний лікар"," ",IF(B391="Лікар-педіатр"," ",IF(B391="Лікар-терапевт","х",0)))</f>
        <v>0</v>
      </c>
      <c r="AD393" s="199">
        <f>IF(B391="Лікар загальної практики - сімейний лікар"," ",IF(B391="Лікар-педіатр","х",IF(B391="Лікар-терапевт"," ",0)))</f>
        <v>0</v>
      </c>
      <c r="AE393" s="199">
        <f>IF(B391="Лікар загальної практики - сімейний лікар"," ",IF(B391="Лікар-педіатр","х",IF(B391="Лікар-терапевт"," ",0)))</f>
        <v>0</v>
      </c>
      <c r="AF393" s="199">
        <f>IF(B391="Лікар загальної практики - сімейний лікар"," ",IF(B391="Лікар-педіатр","х",IF(B391="Лікар-терапевт"," ",0)))</f>
        <v>0</v>
      </c>
      <c r="AG393" s="200">
        <f>SUM(AB393:AF393)</f>
        <v>0</v>
      </c>
      <c r="AH393" s="930"/>
      <c r="AI393" s="242"/>
      <c r="AJ393" s="933"/>
      <c r="AK393" s="927"/>
      <c r="AL393" s="927"/>
      <c r="AM393" s="902"/>
      <c r="AN393" s="924"/>
      <c r="AO393" s="924"/>
      <c r="AP393" s="924"/>
      <c r="AQ393" s="924"/>
      <c r="AR393" s="915"/>
    </row>
    <row r="394" spans="1:44" s="50" customFormat="1" ht="31.9" hidden="1" customHeight="1" thickBot="1">
      <c r="A394" s="197"/>
      <c r="B394" s="893"/>
      <c r="C394" s="896"/>
      <c r="D394" s="912"/>
      <c r="E394" s="909"/>
      <c r="F394" s="236" t="s">
        <v>349</v>
      </c>
      <c r="G394" s="203">
        <f>IF($B$391="Лікар-педіатр",G393/L393,IF($B$391="Лікар-терапевт","х",IF($B$391="Лікар загальної практики - сімейний лікар",G393/L393,0)))</f>
        <v>0</v>
      </c>
      <c r="H394" s="203">
        <f>IF($B$391="Лікар-педіатр",H393/L393,IF($B$391="Лікар-терапевт","х",IF($B$391="Лікар загальної практики - сімейний лікар",H393/L393,0)))</f>
        <v>0</v>
      </c>
      <c r="I394" s="203">
        <f>IF($B$391="Лікар-педіатр","x",IF($B$391="Лікар-терапевт",I393/L393,IF($B$391="Лікар загальної практики - сімейний лікар",I393/L393,0)))</f>
        <v>0</v>
      </c>
      <c r="J394" s="203">
        <f>IF($B$391="Лікар-педіатр","x",IF($B$391="Лікар-терапевт",J393/L393,IF($B$391="Лікар загальної практики - сімейний лікар",J393/L393,0)))</f>
        <v>0</v>
      </c>
      <c r="K394" s="203">
        <f>IF($B$391="Лікар-педіатр","x",IF($B$391="Лікар-терапевт",K393/L393,IF($B$391="Лікар загальної практики - сімейний лікар",K393/L393,0)))</f>
        <v>0</v>
      </c>
      <c r="L394" s="203">
        <f>SUM(G394:K394)</f>
        <v>0</v>
      </c>
      <c r="M394" s="930"/>
      <c r="N394" s="203">
        <f>IF($B$391="Лікар-педіатр",N393/S393,IF($B$391="Лікар-терапевт","х",IF($B$391="Лікар загальної практики - сімейний лікар",N393/S393,0)))</f>
        <v>0</v>
      </c>
      <c r="O394" s="203">
        <f>IF($B$391="Лікар-педіатр",O393/S393,IF($B$391="Лікар-терапевт","х",IF($B$391="Лікар загальної практики - сімейний лікар",O393/S393,0)))</f>
        <v>0</v>
      </c>
      <c r="P394" s="203">
        <f>IF($B$391="Лікар-педіатр","x",IF($B$391="Лікар-терапевт",P393/S393,IF($B$391="Лікар загальної практики - сімейний лікар",P393/S393,0)))</f>
        <v>0</v>
      </c>
      <c r="Q394" s="203">
        <f>IF($B$391="Лікар-педіатр","x",IF($B$391="Лікар-терапевт",Q393/S393,IF($B$391="Лікар загальної практики - сімейний лікар",Q393/S393,0)))</f>
        <v>0</v>
      </c>
      <c r="R394" s="203">
        <f>IF($B$391="Лікар-педіатр","x",IF($B$391="Лікар-терапевт",R393/S393,IF($B$391="Лікар загальної практики - сімейний лікар",R393/S393,0)))</f>
        <v>0</v>
      </c>
      <c r="S394" s="203">
        <f>SUM(N394:R394)</f>
        <v>0</v>
      </c>
      <c r="T394" s="930"/>
      <c r="U394" s="203">
        <f>IF($B$391="Лікар-педіатр",U393/Z393,IF($B$391="Лікар-терапевт","х",IF($B$391="Лікар загальної практики - сімейний лікар",U393/Z393,0)))</f>
        <v>0</v>
      </c>
      <c r="V394" s="203">
        <f>IF($B$391="Лікар-педіатр",V393/Z393,IF($B$391="Лікар-терапевт","х",IF($B$391="Лікар загальної практики - сімейний лікар",V393/Z393,0)))</f>
        <v>0</v>
      </c>
      <c r="W394" s="203">
        <f>IF($B$391="Лікар-педіатр","x",IF($B$391="Лікар-терапевт",W393/Z393,IF($B$391="Лікар загальної практики - сімейний лікар",W393/Z393,0)))</f>
        <v>0</v>
      </c>
      <c r="X394" s="203">
        <f>IF($B$391="Лікар-педіатр","x",IF($B$391="Лікар-терапевт",X393/Z393,IF($B$391="Лікар загальної практики - сімейний лікар",X393/Z393,0)))</f>
        <v>0</v>
      </c>
      <c r="Y394" s="203">
        <f>IF($B$391="Лікар-педіатр","x",IF($B$391="Лікар-терапевт",Y393/Z393,IF($B$391="Лікар загальної практики - сімейний лікар",Y393/Z393,0)))</f>
        <v>0</v>
      </c>
      <c r="Z394" s="203">
        <f>SUM(U394:Y394)</f>
        <v>0</v>
      </c>
      <c r="AA394" s="930"/>
      <c r="AB394" s="203">
        <f>IF($B$391="Лікар-педіатр",AB393/AG393,IF($B$391="Лікар-терапевт","х",IF($B$391="Лікар загальної практики - сімейний лікар",AB393/AG393,0)))</f>
        <v>0</v>
      </c>
      <c r="AC394" s="203">
        <f>IF($B$391="Лікар-педіатр",AC393/AG393,IF($B$391="Лікар-терапевт","х",IF($B$391="Лікар загальної практики - сімейний лікар",AC393/AG393,0)))</f>
        <v>0</v>
      </c>
      <c r="AD394" s="203">
        <f>IF($B$391="Лікар-педіатр","x",IF($B$391="Лікар-терапевт",AD393/AG393,IF($B$391="Лікар загальної практики - сімейний лікар",AD393/AG393,0)))</f>
        <v>0</v>
      </c>
      <c r="AE394" s="203">
        <f>IF($B$391="Лікар-педіатр","x",IF($B$391="Лікар-терапевт",AE393/AG393,IF($B$391="Лікар загальної практики - сімейний лікар",AE393/AG393,0)))</f>
        <v>0</v>
      </c>
      <c r="AF394" s="203">
        <f>IF($B$391="Лікар-педіатр","x",IF($B$391="Лікар-терапевт",AF393/AG393,IF($B$391="Лікар загальної практики - сімейний лікар",AF393/AG393,0)))</f>
        <v>0</v>
      </c>
      <c r="AG394" s="203">
        <f>SUM(AB394:AF394)</f>
        <v>0</v>
      </c>
      <c r="AH394" s="930"/>
      <c r="AI394" s="201"/>
      <c r="AJ394" s="933"/>
      <c r="AK394" s="927"/>
      <c r="AL394" s="927"/>
      <c r="AM394" s="902"/>
      <c r="AN394" s="924"/>
      <c r="AO394" s="924"/>
      <c r="AP394" s="924"/>
      <c r="AQ394" s="924"/>
      <c r="AR394" s="915"/>
    </row>
    <row r="395" spans="1:44" s="50" customFormat="1" ht="45" hidden="1" customHeight="1" thickBot="1">
      <c r="A395" s="197"/>
      <c r="B395" s="893"/>
      <c r="C395" s="896"/>
      <c r="D395" s="912"/>
      <c r="E395" s="909"/>
      <c r="F395" s="204" t="s">
        <v>585</v>
      </c>
      <c r="G395" s="205">
        <f>IF($B$391="Лікар загальної практики - сімейний лікар",AVERAGE(G391:G393),IF($B$391="Лікар-педіатр",AVERAGE(G391:G393),IF($B$391="Лікар-терапевт","х",0)))</f>
        <v>0</v>
      </c>
      <c r="H395" s="205">
        <f>IF($B$391="Лікар загальної практики - сімейний лікар",AVERAGE(H391:H393),IF($B$391="Лікар-педіатр",AVERAGE(H391:H393),IF($B$391="Лікар-терапевт","х",0)))</f>
        <v>0</v>
      </c>
      <c r="I395" s="205">
        <f>IF($B$391="Лікар загальної практики - сімейний лікар",AVERAGE(I391:I393),IF($B$391="Лікар-педіатр","x",IF($B$391="Лікар-терапевт",AVERAGE(I391:I393),0)))</f>
        <v>0</v>
      </c>
      <c r="J395" s="205">
        <f>IF($B$391="Лікар загальної практики - сімейний лікар",AVERAGE(J391:J393),IF($B$391="Лікар-педіатр","x",IF($B$391="Лікар-терапевт",AVERAGE(J391:J393),0)))</f>
        <v>0</v>
      </c>
      <c r="K395" s="205">
        <f>IF($B$391="Лікар загальної практики - сімейний лікар",AVERAGE(K391:K393),IF($B$391="Лікар-педіатр","x",IF($B$391="Лікар-терапевт",AVERAGE(K391:K393),0)))</f>
        <v>0</v>
      </c>
      <c r="L395" s="206">
        <f>SUM(G395:K395)</f>
        <v>0</v>
      </c>
      <c r="M395" s="930"/>
      <c r="N395" s="205">
        <f>IF($B$391="Лікар загальної практики - сімейний лікар",AVERAGE(N391:N393),IF($B$391="Лікар-педіатр",AVERAGE(N391:N393),IF($B$391="Лікар-терапевт","х",0)))</f>
        <v>0</v>
      </c>
      <c r="O395" s="205">
        <f>IF($B$391="Лікар загальної практики - сімейний лікар",AVERAGE(O391:O393),IF($B$391="Лікар-педіатр",AVERAGE(O391:O393),IF($B$391="Лікар-терапевт","х",0)))</f>
        <v>0</v>
      </c>
      <c r="P395" s="205">
        <f>IF($B$391="Лікар загальної практики - сімейний лікар",AVERAGE(P391:P393),IF($B$391="Лікар-педіатр","x",IF($B$391="Лікар-терапевт",AVERAGE(P391:P393),0)))</f>
        <v>0</v>
      </c>
      <c r="Q395" s="205">
        <f>IF($B$391="Лікар загальної практики - сімейний лікар",AVERAGE(Q391:Q393),IF($B$391="Лікар-педіатр","x",IF($B$391="Лікар-терапевт",AVERAGE(Q391:Q393),0)))</f>
        <v>0</v>
      </c>
      <c r="R395" s="205">
        <f>IF($B$391="Лікар загальної практики - сімейний лікар",AVERAGE(R391:R393),IF($B$391="Лікар-педіатр","x",IF($B$391="Лікар-терапевт",AVERAGE(R391:R393),0)))</f>
        <v>0</v>
      </c>
      <c r="S395" s="206">
        <f>SUM(N395:R395)</f>
        <v>0</v>
      </c>
      <c r="T395" s="930"/>
      <c r="U395" s="205">
        <f>IF($B$391="Лікар загальної практики - сімейний лікар",AVERAGE(U391:U393),IF($B$391="Лікар-педіатр",AVERAGE(U391:U393),IF($B$391="Лікар-терапевт","х",0)))</f>
        <v>0</v>
      </c>
      <c r="V395" s="205">
        <f>IF($B$391="Лікар загальної практики - сімейний лікар",AVERAGE(V391:V393),IF($B$391="Лікар-педіатр",AVERAGE(V391:V393),IF($B$391="Лікар-терапевт","х",0)))</f>
        <v>0</v>
      </c>
      <c r="W395" s="205">
        <f>IF($B$391="Лікар загальної практики - сімейний лікар",AVERAGE(W391:W393),IF($B$391="Лікар-педіатр","x",IF($B$391="Лікар-терапевт",AVERAGE(W391:W393),0)))</f>
        <v>0</v>
      </c>
      <c r="X395" s="205">
        <f>IF($B$391="Лікар загальної практики - сімейний лікар",AVERAGE(X391:X393),IF($B$391="Лікар-педіатр","x",IF($B$391="Лікар-терапевт",AVERAGE(X391:X393),0)))</f>
        <v>0</v>
      </c>
      <c r="Y395" s="205">
        <f>IF($B$391="Лікар загальної практики - сімейний лікар",AVERAGE(Y391:Y393),IF($B$391="Лікар-педіатр","x",IF($B$391="Лікар-терапевт",AVERAGE(Y391:Y393),0)))</f>
        <v>0</v>
      </c>
      <c r="Z395" s="206">
        <f>SUM(U395:Y395)</f>
        <v>0</v>
      </c>
      <c r="AA395" s="930"/>
      <c r="AB395" s="205">
        <f>IF($B$391="Лікар загальної практики - сімейний лікар",AVERAGE(AB391:AB393),IF($B$391="Лікар-педіатр",AVERAGE(AB391:AB393),IF($B$391="Лікар-терапевт","х",0)))</f>
        <v>0</v>
      </c>
      <c r="AC395" s="205">
        <f>IF($B$391="Лікар загальної практики - сімейний лікар",AVERAGE(AC391:AC393),IF($B$391="Лікар-педіатр",AVERAGE(AC391:AC393),IF($B$391="Лікар-терапевт","х",0)))</f>
        <v>0</v>
      </c>
      <c r="AD395" s="205">
        <f>IF($B$391="Лікар загальної практики - сімейний лікар",AVERAGE(AD391:AD393),IF($B$391="Лікар-педіатр","x",IF($B$391="Лікар-терапевт",AVERAGE(AD391:AD393),0)))</f>
        <v>0</v>
      </c>
      <c r="AE395" s="205">
        <f>IF($B$391="Лікар загальної практики - сімейний лікар",AVERAGE(AE391:AE393),IF($B$391="Лікар-педіатр","x",IF($B$391="Лікар-терапевт",AVERAGE(AE391:AE393),0)))</f>
        <v>0</v>
      </c>
      <c r="AF395" s="205">
        <f>IF($B$391="Лікар загальної практики - сімейний лікар",AVERAGE(AF391:AF393),IF($B$391="Лікар-педіатр","x",IF($B$391="Лікар-терапевт",AVERAGE(AF391:AF393),0)))</f>
        <v>0</v>
      </c>
      <c r="AG395" s="206">
        <f>SUM(AB395:AF395)</f>
        <v>0</v>
      </c>
      <c r="AH395" s="930"/>
      <c r="AI395" s="201"/>
      <c r="AJ395" s="933"/>
      <c r="AK395" s="927"/>
      <c r="AL395" s="927"/>
      <c r="AM395" s="903"/>
      <c r="AN395" s="925"/>
      <c r="AO395" s="925"/>
      <c r="AP395" s="925"/>
      <c r="AQ395" s="925"/>
      <c r="AR395" s="916"/>
    </row>
    <row r="396" spans="1:44" s="50" customFormat="1" ht="40.5" hidden="1">
      <c r="A396" s="197"/>
      <c r="B396" s="893"/>
      <c r="C396" s="896"/>
      <c r="D396" s="912"/>
      <c r="E396" s="909"/>
      <c r="F396" s="237" t="str">
        <f ca="1">IF(B391="Лікар-педіатр",Законод!$C$17,IF(B391="Лікар загальної практики - сімейний лікар",Законод!$C$21,IF(B391="Лікар-терапевт",Законод!$C$25,"х")))</f>
        <v>х</v>
      </c>
      <c r="G396" s="208">
        <f ca="1">IF($B$391="Лікар загальної практики - сімейний лікар",IF(L395&lt;=Законод!$C$22,G395,Законод!$C$22*'01_Доходи'!G394),IF($B$391="Лікар-педіатр",IF(L395&lt;=Законод!$C$18,G395,Законод!$C$18*'01_Доходи'!G394),IF($B$391="Лікар-терапевт","x",0)))</f>
        <v>0</v>
      </c>
      <c r="H396" s="208">
        <f ca="1">IF($B$391="Лікар загальної практики - сімейний лікар",IF(L395&lt;=Законод!$C$22,H395,Законод!$C$22*'01_Доходи'!H394),IF($B$391="Лікар-педіатр",IF(L395&lt;=Законод!$C$18,H395,Законод!$C$18*'01_Доходи'!H394),IF($B$391="Лікар-терапевт","x",0)))</f>
        <v>0</v>
      </c>
      <c r="I396" s="208">
        <f ca="1">IF($B$391="Лікар загальної практики - сімейний лікар",IF(L395&lt;=Законод!$C$22,I395,Законод!$C$22*'01_Доходи'!I394),IF($B$391="Лікар-педіатр","x",IF($B$391="Лікар-терапевт",IF(L395&lt;=Законод!$C$26,I395,Законод!$C$26*'01_Доходи'!I394),0)))</f>
        <v>0</v>
      </c>
      <c r="J396" s="208">
        <f ca="1">IF($B$391="Лікар загальної практики - сімейний лікар",IF(L395&lt;=Законод!$C$22,J395,Законод!$C$22*'01_Доходи'!J394),IF($B$391="Лікар-педіатр","x",IF($B$391="Лікар-терапевт",IF(L395&lt;=Законод!$C$26,J395,Законод!$C$26*'01_Доходи'!J394),0)))</f>
        <v>0</v>
      </c>
      <c r="K396" s="208">
        <f ca="1">IF($B$391="Лікар загальної практики - сімейний лікар",IF(L395&lt;=Законод!$C$22,K395,Законод!$C$22*'01_Доходи'!K394),IF($B$391="Лікар-педіатр","x",IF($B$391="Лікар-терапевт",IF(L395&lt;=Законод!$C$26,K395,Законод!$C$26*'01_Доходи'!K394),0)))</f>
        <v>0</v>
      </c>
      <c r="L396" s="209">
        <f ca="1">SUM(G396:K396)</f>
        <v>0</v>
      </c>
      <c r="M396" s="930"/>
      <c r="N396" s="208">
        <f ca="1">IF($B$391="Лікар загальної практики - сімейний лікар",IF(S395&lt;=Законод!$C$22,N395,Законод!$C$22*'01_Доходи'!N394),IF($B$391="Лікар-педіатр",IF(S395&lt;=Законод!$C$18,N395,Законод!$C$18*'01_Доходи'!N394),IF($B$391="Лікар-терапевт","x",0)))</f>
        <v>0</v>
      </c>
      <c r="O396" s="208">
        <f ca="1">IF($B$391="Лікар загальної практики - сімейний лікар",IF(S395&lt;=Законод!$C$22,O395,Законод!$C$22*'01_Доходи'!O394),IF($B$391="Лікар-педіатр",IF(S395&lt;=Законод!$C$18,O395,Законод!$C$18*'01_Доходи'!O394),IF($B$391="Лікар-терапевт","x",0)))</f>
        <v>0</v>
      </c>
      <c r="P396" s="208">
        <f ca="1">IF($B$391="Лікар загальної практики - сімейний лікар",IF(S395&lt;=Законод!$C$22,P395,Законод!$C$22*'01_Доходи'!P394),IF($B$391="Лікар-педіатр","x",IF($B$391="Лікар-терапевт",IF(S395&lt;=Законод!$C$26,P395,Законод!$C$26*'01_Доходи'!P394),0)))</f>
        <v>0</v>
      </c>
      <c r="Q396" s="208">
        <f ca="1">IF($B$391="Лікар загальної практики - сімейний лікар",IF(S395&lt;=Законод!$C$22,Q395,Законод!$C$22*'01_Доходи'!Q394),IF($B$391="Лікар-педіатр","x",IF($B$391="Лікар-терапевт",IF(S395&lt;=Законод!$C$26,Q395,Законод!$C$26*'01_Доходи'!Q394),0)))</f>
        <v>0</v>
      </c>
      <c r="R396" s="208">
        <f ca="1">IF($B$391="Лікар загальної практики - сімейний лікар",IF(S395&lt;=Законод!$C$22,R395,Законод!$C$22*'01_Доходи'!R394),IF($B$391="Лікар-педіатр","x",IF($B$391="Лікар-терапевт",IF(S395&lt;=Законод!$C$26,R395,Законод!$C$26*'01_Доходи'!R394),0)))</f>
        <v>0</v>
      </c>
      <c r="S396" s="209">
        <f ca="1">SUM(N396:R396)</f>
        <v>0</v>
      </c>
      <c r="T396" s="930"/>
      <c r="U396" s="208">
        <f ca="1">IF($B$391="Лікар загальної практики - сімейний лікар",IF(Z395&lt;=Законод!$C$22,U395,Законод!$C$22*'01_Доходи'!U394),IF($B$391="Лікар-педіатр",IF(Z395&lt;=Законод!$C$18,U395,Законод!$C$18*'01_Доходи'!U394),IF($B$391="Лікар-терапевт","x",0)))</f>
        <v>0</v>
      </c>
      <c r="V396" s="208">
        <f ca="1">IF($B$391="Лікар загальної практики - сімейний лікар",IF(Z395&lt;=Законод!$C$22,V395,Законод!$C$22*'01_Доходи'!V394),IF($B$391="Лікар-педіатр",IF(Z395&lt;=Законод!$C$18,V395,Законод!$C$18*'01_Доходи'!V394),IF($B$391="Лікар-терапевт","x",0)))</f>
        <v>0</v>
      </c>
      <c r="W396" s="208">
        <f ca="1">IF($B$391="Лікар загальної практики - сімейний лікар",IF(Z395&lt;=Законод!$C$22,W395,Законод!$C$22*'01_Доходи'!W394),IF($B$391="Лікар-педіатр","x",IF($B$391="Лікар-терапевт",IF(Z395&lt;=Законод!$C$26,W395,Законод!$C$26*'01_Доходи'!W394),0)))</f>
        <v>0</v>
      </c>
      <c r="X396" s="208">
        <f ca="1">IF($B$391="Лікар загальної практики - сімейний лікар",IF(Z395&lt;=Законод!$C$22,X395,Законод!$C$22*'01_Доходи'!X394),IF($B$391="Лікар-педіатр","x",IF($B$391="Лікар-терапевт",IF(Z395&lt;=Законод!$C$26,X395,Законод!$C$26*'01_Доходи'!X394),0)))</f>
        <v>0</v>
      </c>
      <c r="Y396" s="208">
        <f ca="1">IF($B$391="Лікар загальної практики - сімейний лікар",IF(Z395&lt;=Законод!$C$22,Y395,Законод!$C$22*'01_Доходи'!Y394),IF($B$391="Лікар-педіатр","x",IF($B$391="Лікар-терапевт",IF(Z395&lt;=Законод!$C$26,Y395,Законод!$C$26*'01_Доходи'!Y394),0)))</f>
        <v>0</v>
      </c>
      <c r="Z396" s="209">
        <f ca="1">SUM(U396:Y396)</f>
        <v>0</v>
      </c>
      <c r="AA396" s="930"/>
      <c r="AB396" s="208">
        <f ca="1">IF($B$391="Лікар загальної практики - сімейний лікар",IF(AG395&lt;=Законод!$C$22,AB395,Законод!$C$22*'01_Доходи'!AB394),IF($B$391="Лікар-педіатр",IF(AG395&lt;=Законод!$C$18,AB395,Законод!$C$18*'01_Доходи'!AB394),IF($B$391="Лікар-терапевт","x",0)))</f>
        <v>0</v>
      </c>
      <c r="AC396" s="208">
        <f ca="1">IF($B$391="Лікар загальної практики - сімейний лікар",IF(AG395&lt;=Законод!$C$22,AC395,Законод!$C$22*'01_Доходи'!AC394),IF($B$391="Лікар-педіатр",IF(AG395&lt;=Законод!$C$18,AC395,Законод!$C$18*'01_Доходи'!AC394),IF($B$391="Лікар-терапевт","x",0)))</f>
        <v>0</v>
      </c>
      <c r="AD396" s="208">
        <f ca="1">IF($B$391="Лікар загальної практики - сімейний лікар",IF(AG395&lt;=Законод!$C$22,AD395,Законод!$C$22*'01_Доходи'!AD394),IF($B$391="Лікар-педіатр","x",IF($B$391="Лікар-терапевт",IF(AG395&lt;=Законод!$C$26,AD395,Законод!$C$26*'01_Доходи'!AD394),0)))</f>
        <v>0</v>
      </c>
      <c r="AE396" s="208">
        <f ca="1">IF($B$391="Лікар загальної практики - сімейний лікар",IF(AG395&lt;=Законод!$C$22,AE395,Законод!$C$22*'01_Доходи'!AE394),IF($B$391="Лікар-педіатр","x",IF($B$391="Лікар-терапевт",IF(AG395&lt;=Законод!$C$26,AE395,Законод!$C$26*'01_Доходи'!AE394),0)))</f>
        <v>0</v>
      </c>
      <c r="AF396" s="208">
        <f ca="1">IF($B$391="Лікар загальної практики - сімейний лікар",IF(AG395&lt;=Законод!$C$22,AF395,Законод!$C$22*'01_Доходи'!AF394),IF($B$391="Лікар-педіатр","x",IF($B$391="Лікар-терапевт",IF(AG395&lt;=Законод!$C$26,AF395,Законод!$C$26*'01_Доходи'!AF394),0)))</f>
        <v>0</v>
      </c>
      <c r="AG396" s="209">
        <f ca="1">SUM(AB396:AF396)</f>
        <v>0</v>
      </c>
      <c r="AH396" s="930"/>
      <c r="AI396" s="201"/>
      <c r="AJ396" s="933"/>
      <c r="AK396" s="927"/>
      <c r="AL396" s="927"/>
      <c r="AM396" s="348" t="s">
        <v>374</v>
      </c>
      <c r="AN396" s="210">
        <f ca="1">IF(B391="Лікар загальної практики - сімейний лікар",G396*Законод!$C$11+'01_Доходи'!H396*Законод!$D$11+'01_Доходи'!I396*Законод!$E$11+'01_Доходи'!J396*Законод!$F$11+'01_Доходи'!K396*Законод!$G$11,IF(B391="Лікар-педіатр",G396*Законод!$C$11+'01_Доходи'!H396*Законод!$D$11,IF(B391="Лікар-терапевт",'01_Доходи'!I396*Законод!$E$11+'01_Доходи'!J396*Законод!$F$11+'01_Доходи'!K396*Законод!$G$11,0)))</f>
        <v>0</v>
      </c>
      <c r="AO396" s="210">
        <f ca="1">IF(B391="Лікар загальної практики - сімейний лікар",N396*Законод!$C$11+'01_Доходи'!O396*Законод!$D$11+'01_Доходи'!P396*Законод!$E$11+'01_Доходи'!Q396*Законод!$F$11+'01_Доходи'!R396*Законод!$G$11,IF(B391="Лікар-педіатр",N396*Законод!$C$11+'01_Доходи'!O396*Законод!$D$11,IF(B391="Лікар-терапевт",'01_Доходи'!P396*Законод!$E$11+'01_Доходи'!Q396*Законод!$F$11+'01_Доходи'!R396*Законод!$G$11,0)))</f>
        <v>0</v>
      </c>
      <c r="AP396" s="210">
        <f ca="1">IF(B391="Лікар загальної практики - сімейний лікар",U396*Законод!$C$11+'01_Доходи'!V396*Законод!$D$11+'01_Доходи'!W396*Законод!$E$11+'01_Доходи'!X396*Законод!$F$11+'01_Доходи'!Y396*Законод!$G$11,IF(B391="Лікар-педіатр",U396*Законод!$C$11+'01_Доходи'!V396*Законод!$D$11,IF(B391="Лікар-терапевт",'01_Доходи'!W396*Законод!$E$11+'01_Доходи'!X396*Законод!$F$11+'01_Доходи'!Y396*Законод!$G$11,0)))</f>
        <v>0</v>
      </c>
      <c r="AQ396" s="210">
        <f ca="1">IF(B391="Лікар загальної практики - сімейний лікар",AB396*Законод!$C$11+'01_Доходи'!AC396*Законод!$D$11+'01_Доходи'!AD396*Законод!$E$11+'01_Доходи'!AE396*Законод!$F$11+'01_Доходи'!AF396*Законод!$G$11,IF(B391="Лікар-педіатр",AB396*Законод!$C$11+'01_Доходи'!AC396*Законод!$D$11,IF(B391="Лікар-терапевт",'01_Доходи'!AD396*Законод!$E$11+'01_Доходи'!AE396*Законод!$F$11+'01_Доходи'!AF396*Законод!$G$11,0)))</f>
        <v>0</v>
      </c>
      <c r="AR396" s="211">
        <f t="shared" ref="AR396:AR402" si="57">SUM(AN396:AQ396)</f>
        <v>0</v>
      </c>
    </row>
    <row r="397" spans="1:44" s="50" customFormat="1" ht="31.9" hidden="1" customHeight="1">
      <c r="A397" s="197"/>
      <c r="B397" s="893"/>
      <c r="C397" s="896"/>
      <c r="D397" s="912"/>
      <c r="E397" s="909"/>
      <c r="F397" s="238" t="str">
        <f ca="1">IF(B391="Лікар-педіатр",Законод!$E$17,IF(B391="Лікар загальної практики - сімейний лікар",Законод!$E$21,IF(B391="Лікар-терапевт",Законод!$E$25,"х")))</f>
        <v>х</v>
      </c>
      <c r="G397" s="889" t="s">
        <v>346</v>
      </c>
      <c r="H397" s="890"/>
      <c r="I397" s="890"/>
      <c r="J397" s="890"/>
      <c r="K397" s="891"/>
      <c r="L397" s="196">
        <f ca="1">IF($B$391="Лікар загальної практики - сімейний лікар",IF(L395&lt;Законод!$C$22,0,(IF(AND(L395&gt;=Законод!$E$22,L395&lt;=Законод!$E$23),L395-Законод!$C$22,IF('01_Доходи'!L395&gt;=Законод!$F$22,Законод!$E$24,0)))),IF($B$391="Лікар-педіатр",IF(L395&lt;Законод!$C$18,0,(IF(AND(L395&gt;=Законод!$E$18,L395&lt;=Законод!$E$19),L395-Законод!$C$18,IF('01_Доходи'!L395&gt;=Законод!$F$18,Законод!$E$20,0)))),IF($B$391="Лікар-терапевт",IF(L395&lt;Законод!$C$26,0,(IF(AND(L395&gt;=Законод!$E$26,L395&lt;=Законод!$E$27),L395-Законод!$C$26,IF('01_Доходи'!L395&gt;=Законод!$F$26,Законод!$E$28,0)))),0)))</f>
        <v>0</v>
      </c>
      <c r="M397" s="930"/>
      <c r="N397" s="889" t="s">
        <v>346</v>
      </c>
      <c r="O397" s="890"/>
      <c r="P397" s="890"/>
      <c r="Q397" s="890"/>
      <c r="R397" s="891"/>
      <c r="S397" s="196">
        <f ca="1">IF($B$391="Лікар загальної практики - сімейний лікар",IF(S395&lt;Законод!$C$22,0,(IF(AND(S395&gt;=Законод!$E$22,S395&lt;=Законод!$E$23),S395-Законод!$C$22,IF('01_Доходи'!S395&gt;=Законод!$F$22,Законод!$E$24,0)))),IF($B$391="Лікар-педіатр",IF(S395&lt;Законод!$C$18,0,(IF(AND(S395&gt;=Законод!$E$18,S395&lt;=Законод!$E$19),S395-Законод!$C$18,IF('01_Доходи'!S395&gt;=Законод!$F$18,Законод!$E$20,0)))),IF($B$391="Лікар-терапевт",IF(S395&lt;Законод!$C$26,0,(IF(AND(S395&gt;=Законод!$E$26,S395&lt;=Законод!$E$27),S395-Законод!$C$26,IF('01_Доходи'!S395&gt;=Законод!$F$26,Законод!$E$28,0)))),0)))</f>
        <v>0</v>
      </c>
      <c r="T397" s="930"/>
      <c r="U397" s="889" t="s">
        <v>346</v>
      </c>
      <c r="V397" s="890"/>
      <c r="W397" s="890"/>
      <c r="X397" s="890"/>
      <c r="Y397" s="891"/>
      <c r="Z397" s="196">
        <f ca="1">IF($B$391="Лікар загальної практики - сімейний лікар",IF(Z395&lt;Законод!$C$22,0,(IF(AND(Z395&gt;=Законод!$E$22,Z395&lt;=Законод!$E$23),Z395-Законод!$C$22,IF('01_Доходи'!Z395&gt;=Законод!$F$22,Законод!$E$24,0)))),IF($B$391="Лікар-педіатр",IF(Z395&lt;Законод!$C$18,0,(IF(AND(Z395&gt;=Законод!$E$18,Z395&lt;=Законод!$E$19),Z395-Законод!$C$18,IF('01_Доходи'!Z395&gt;=Законод!$F$18,Законод!$E$20,0)))),IF($B$391="Лікар-терапевт",IF(Z395&lt;Законод!$C$26,0,(IF(AND(Z395&gt;=Законод!$E$26,Z395&lt;=Законод!$E$27),Z395-Законод!$C$26,IF('01_Доходи'!Z395&gt;=Законод!$F$26,Законод!$E$28,0)))),0)))</f>
        <v>0</v>
      </c>
      <c r="AA397" s="930"/>
      <c r="AB397" s="889" t="s">
        <v>346</v>
      </c>
      <c r="AC397" s="890"/>
      <c r="AD397" s="890"/>
      <c r="AE397" s="890"/>
      <c r="AF397" s="891"/>
      <c r="AG397" s="196">
        <f ca="1">IF($B$391="Лікар загальної практики - сімейний лікар",IF(AG395&lt;Законод!$C$22,0,(IF(AND(AG395&gt;=Законод!$E$22,AG395&lt;=Законод!$E$23),AG395-Законод!$C$22,IF('01_Доходи'!AG395&gt;=Законод!$F$22,Законод!$E$24,0)))),IF($B$391="Лікар-педіатр",IF(AG395&lt;Законод!$C$18,0,(IF(AND(AG395&gt;=Законод!$E$18,AG395&lt;=Законод!$E$19),AG395-Законод!$C$18,IF('01_Доходи'!AG395&gt;=Законод!$F$18,Законод!$E$20,0)))),IF($B$391="Лікар-терапевт",IF(AG395&lt;Законод!$C$26,0,(IF(AND(AG395&gt;=Законод!$E$26,AG395&lt;=Законод!$E$27),AG395-Законод!$C$26,IF('01_Доходи'!AG395&gt;=Законод!$F$26,Законод!$E$28,0)))),0)))</f>
        <v>0</v>
      </c>
      <c r="AH397" s="930"/>
      <c r="AI397" s="201"/>
      <c r="AJ397" s="933"/>
      <c r="AK397" s="927"/>
      <c r="AL397" s="927"/>
      <c r="AM397" s="898" t="s">
        <v>375</v>
      </c>
      <c r="AN397" s="210">
        <f ca="1">IF(B391="Лікар загальної практики - сімейний лікар",L397*Законод!$C$9/4*Законод!$E$16,IF(B391="Лікар-педіатр",L397*Законод!$C$9/4*Законод!$E$16,IF(B391="Лікар-терапевт",L397*Законод!$C$9/4*Законод!$E$16,0)))</f>
        <v>0</v>
      </c>
      <c r="AO397" s="210">
        <f ca="1">IF(B391="Лікар загальної практики - сімейний лікар",S397*Законод!$C$9/4*Законод!$E$16,IF(B391="Лікар-педіатр",S397*Законод!$C$9/4*Законод!$E$16,IF(B391="Лікар-терапевт",S397*Законод!$C$9/4*Законод!$E$16,0)))</f>
        <v>0</v>
      </c>
      <c r="AP397" s="210">
        <f ca="1">IF(B391="Лікар загальної практики - сімейний лікар",Z397*Законод!$C$9/4*Законод!$E$16,IF(B391="Лікар-педіатр",Z397*Законод!$C$9/4*Законод!$E$16,IF(B391="Лікар-терапевт",Z397*Законод!$C$9/4*Законод!$E$16,0)))</f>
        <v>0</v>
      </c>
      <c r="AQ397" s="210">
        <f ca="1">IF(B391="Лікар загальної практики - сімейний лікар",AG397*Законод!$C$9/4*Законод!$E$16,IF(B391="Лікар-педіатр",AG397*Законод!$C$9/4*Законод!$E$16,IF(B391="Лікар-терапевт",AG397*Законод!$C$9/4*Законод!$E$16,0)))</f>
        <v>0</v>
      </c>
      <c r="AR397" s="211">
        <f t="shared" si="57"/>
        <v>0</v>
      </c>
    </row>
    <row r="398" spans="1:44" s="50" customFormat="1" ht="31.9" hidden="1" customHeight="1">
      <c r="A398" s="197"/>
      <c r="B398" s="893"/>
      <c r="C398" s="896"/>
      <c r="D398" s="912"/>
      <c r="E398" s="909"/>
      <c r="F398" s="238" t="str">
        <f ca="1">IF(B391="Лікар-педіатр",Законод!$F$17,IF(B391="Лікар загальної практики - сімейний лікар",Законод!$F$21,IF(B391="Лікар-терапевт",Законод!$F$25,"х")))</f>
        <v>х</v>
      </c>
      <c r="G398" s="889" t="s">
        <v>346</v>
      </c>
      <c r="H398" s="890"/>
      <c r="I398" s="890"/>
      <c r="J398" s="890"/>
      <c r="K398" s="891"/>
      <c r="L398" s="196">
        <f ca="1">IF($B$391="Лікар загальної практики - сімейний лікар",IF(L395&lt;Законод!$C$22,0,(IF(AND(L395&gt;=Законод!$F$22,L395&lt;=Законод!$F$23),L395-Законод!$E$23,IF('01_Доходи'!L395&gt;=Законод!$G$22,Законод!$F$24,0)))),IF($B$391="Лікар-педіатр",IF(L395&lt;Законод!$C$18,0,(IF(AND(L395&gt;=Законод!$F$18,L395&lt;=Законод!$F$19),L395-Законод!$E$19,IF('01_Доходи'!L395&gt;=Законод!$G$18,Законод!$F$20,0)))),IF($B$391="Лікар-терапевт",IF(L395&lt;Законод!$C$26,0,(IF(AND(L395&gt;=Законод!$F$26,L395&lt;=Законод!$F$27),L395-Законод!$E$27,IF('01_Доходи'!L395&gt;=Законод!$G$26,Законод!$F$28,0)))),0)))</f>
        <v>0</v>
      </c>
      <c r="M398" s="930"/>
      <c r="N398" s="889" t="s">
        <v>346</v>
      </c>
      <c r="O398" s="890"/>
      <c r="P398" s="890"/>
      <c r="Q398" s="890"/>
      <c r="R398" s="891"/>
      <c r="S398" s="196">
        <f ca="1">IF($B$391="Лікар загальної практики - сімейний лікар",IF(S395&lt;Законод!$C$22,0,(IF(AND(S395&gt;=Законод!$F$22,S395&lt;=Законод!$F$23),S395-Законод!$E$23,IF('01_Доходи'!S395&gt;=Законод!$G$22,Законод!$F$24,0)))),IF($B$391="Лікар-педіатр",IF(S395&lt;Законод!$C$18,0,(IF(AND(S395&gt;=Законод!$F$18,S395&lt;=Законод!$F$19),S395-Законод!$E$19,IF('01_Доходи'!S395&gt;=Законод!$G$18,Законод!$F$20,0)))),IF($B$391="Лікар-терапевт",IF(S395&lt;Законод!$C$26,0,(IF(AND(S395&gt;=Законод!$F$26,S395&lt;=Законод!$F$27),S395-Законод!$E$27,IF('01_Доходи'!S395&gt;=Законод!$G$26,Законод!$F$28,0)))),0)))</f>
        <v>0</v>
      </c>
      <c r="T398" s="930"/>
      <c r="U398" s="889" t="s">
        <v>346</v>
      </c>
      <c r="V398" s="890"/>
      <c r="W398" s="890"/>
      <c r="X398" s="890"/>
      <c r="Y398" s="891"/>
      <c r="Z398" s="196">
        <f ca="1">IF($B$391="Лікар загальної практики - сімейний лікар",IF(Z395&lt;Законод!$C$22,0,(IF(AND(Z395&gt;=Законод!$F$22,Z395&lt;=Законод!$F$23),Z395-Законод!$E$23,IF('01_Доходи'!Z395&gt;=Законод!$G$22,Законод!$F$24,0)))),IF($B$391="Лікар-педіатр",IF(Z395&lt;Законод!$C$18,0,(IF(AND(Z395&gt;=Законод!$F$18,Z395&lt;=Законод!$F$19),Z395-Законод!$E$19,IF('01_Доходи'!Z395&gt;=Законод!$G$18,Законод!$F$20,0)))),IF($B$391="Лікар-терапевт",IF(Z395&lt;Законод!$C$26,0,(IF(AND(Z395&gt;=Законод!$F$26,Z395&lt;=Законод!$F$27),Z395-Законод!$E$27,IF('01_Доходи'!Z395&gt;=Законод!$G$26,Законод!$F$28,0)))),0)))</f>
        <v>0</v>
      </c>
      <c r="AA398" s="930"/>
      <c r="AB398" s="889" t="s">
        <v>346</v>
      </c>
      <c r="AC398" s="890"/>
      <c r="AD398" s="890"/>
      <c r="AE398" s="890"/>
      <c r="AF398" s="891"/>
      <c r="AG398" s="196">
        <f ca="1">IF($B$391="Лікар загальної практики - сімейний лікар",IF(AG395&lt;Законод!$C$22,0,(IF(AND(AG395&gt;=Законод!$F$22,AG395&lt;=Законод!$F$23),AG395-Законод!$E$23,IF('01_Доходи'!AG395&gt;=Законод!$G$22,Законод!$F$24,0)))),IF($B$391="Лікар-педіатр",IF(AG395&lt;Законод!$C$18,0,(IF(AND(AG395&gt;=Законод!$F$18,AG395&lt;=Законод!$F$19),AG395-Законод!$E$19,IF('01_Доходи'!AG395&gt;=Законод!$G$18,Законод!$F$20,0)))),IF($B$391="Лікар-терапевт",IF(AG395&lt;Законод!$C$26,0,(IF(AND(AG395&gt;=Законод!$F$26,AG395&lt;=Законод!$F$27),AG395-Законод!$E$27,IF('01_Доходи'!AG395&gt;=Законод!$G$26,Законод!$F$28,0)))),0)))</f>
        <v>0</v>
      </c>
      <c r="AH398" s="930"/>
      <c r="AI398" s="201"/>
      <c r="AJ398" s="933"/>
      <c r="AK398" s="927"/>
      <c r="AL398" s="927"/>
      <c r="AM398" s="899"/>
      <c r="AN398" s="210">
        <f ca="1">IF(B391="Лікар загальної практики - сімейний лікар",L398*Законод!$C$9/4*Законод!$F$16,IF(B391="Лікар-педіатр",L398*Законод!$C$9/4*Законод!$F$16,IF(B391="Лікар-терапевт",L398*Законод!$C$9/4*Законод!$F$16,0)))</f>
        <v>0</v>
      </c>
      <c r="AO398" s="210">
        <f ca="1">IF(B391="Лікар загальної практики - сімейний лікар",S398*Законод!$C$9/4*Законод!$F$16,IF(B391="Лікар-педіатр",S398*Законод!$C$9/4*Законод!$F$16,IF(B391="Лікар-терапевт",S398*Законод!$C$9/4*Законод!$F$16,0)))</f>
        <v>0</v>
      </c>
      <c r="AP398" s="210">
        <f ca="1">IF(B391="Лікар загальної практики - сімейний лікар",Z398*Законод!$C$9/4*Законод!$F$16,IF(B391="Лікар-педіатр",Z398*Законод!$C$9/4*Законод!$F$16,IF(B391="Лікар-терапевт",Z398*Законод!$C$9/4*Законод!$F$16,0)))</f>
        <v>0</v>
      </c>
      <c r="AQ398" s="210">
        <f ca="1">IF(B391="Лікар загальної практики - сімейний лікар",AG398*Законод!$C$9/4*Законод!$F$16,IF(B391="Лікар-педіатр",AG398*Законод!$C$9/4*Законод!$F$16,IF(B391="Лікар-терапевт",AG398*Законод!$C$9/4*Законод!$F$16,0)))</f>
        <v>0</v>
      </c>
      <c r="AR398" s="211">
        <f t="shared" si="57"/>
        <v>0</v>
      </c>
    </row>
    <row r="399" spans="1:44" s="50" customFormat="1" ht="31.9" hidden="1" customHeight="1">
      <c r="A399" s="197"/>
      <c r="B399" s="893"/>
      <c r="C399" s="896"/>
      <c r="D399" s="912"/>
      <c r="E399" s="909"/>
      <c r="F399" s="238" t="str">
        <f ca="1">IF(B391="Лікар-педіатр",Законод!$G$17,IF(B391="Лікар загальної практики - сімейний лікар",Законод!$G$21,IF(B391="Лікар-терапевт",Законод!$G$25,"х")))</f>
        <v>х</v>
      </c>
      <c r="G399" s="889" t="s">
        <v>346</v>
      </c>
      <c r="H399" s="890"/>
      <c r="I399" s="890"/>
      <c r="J399" s="890"/>
      <c r="K399" s="891"/>
      <c r="L399" s="196">
        <f ca="1">IF($B$391="Лікар загальної практики - сімейний лікар",IF(L395&lt;Законод!$C$22,0,(IF(AND(L395&gt;=Законод!$G$22,L395&lt;=Законод!$G$23),L395-Законод!$F$23,IF('01_Доходи'!L395&gt;=Законод!$H$22,Законод!$G$24,0)))),IF($B$391="Лікар-педіатр",IF(L395&lt;Законод!$C$18,0,(IF(AND(L395&gt;=Законод!$G$18,L395&lt;=Законод!$G$19),L395-Законод!$F$19,IF('01_Доходи'!L395&gt;=Законод!$H$18,Законод!$G$20,0)))),IF($B$391="Лікар-терапевт",IF(L395&lt;Законод!$C$26,0,(IF(AND(L395&gt;=Законод!$G$26,L395&lt;=Законод!$G$27),L395-Законод!$F$27,IF('01_Доходи'!L395&gt;=Законод!$H$26,Законод!$G$28,0)))),0)))</f>
        <v>0</v>
      </c>
      <c r="M399" s="930"/>
      <c r="N399" s="889" t="s">
        <v>346</v>
      </c>
      <c r="O399" s="890"/>
      <c r="P399" s="890"/>
      <c r="Q399" s="890"/>
      <c r="R399" s="891"/>
      <c r="S399" s="196">
        <f ca="1">IF($B$391="Лікар загальної практики - сімейний лікар",IF(S395&lt;Законод!$C$22,0,(IF(AND(S395&gt;=Законод!$G$22,S395&lt;=Законод!$G$23),S395-Законод!$F$23,IF('01_Доходи'!S395&gt;=Законод!$H$22,Законод!$G$24,0)))),IF($B$391="Лікар-педіатр",IF(S395&lt;Законод!$C$18,0,(IF(AND(S395&gt;=Законод!$G$18,S395&lt;=Законод!$G$19),S395-Законод!$F$19,IF('01_Доходи'!S395&gt;=Законод!$H$18,Законод!$G$20,0)))),IF($B$391="Лікар-терапевт",IF(S395&lt;Законод!$C$26,0,(IF(AND(S395&gt;=Законод!$G$26,S395&lt;=Законод!$G$27),S395-Законод!$F$27,IF('01_Доходи'!S395&gt;=Законод!$H$26,Законод!$G$28,0)))),0)))</f>
        <v>0</v>
      </c>
      <c r="T399" s="930"/>
      <c r="U399" s="889" t="s">
        <v>346</v>
      </c>
      <c r="V399" s="890"/>
      <c r="W399" s="890"/>
      <c r="X399" s="890"/>
      <c r="Y399" s="891"/>
      <c r="Z399" s="196">
        <f ca="1">IF($B$391="Лікар загальної практики - сімейний лікар",IF(Z395&lt;Законод!$C$22,0,(IF(AND(Z395&gt;=Законод!$G$22,Z395&lt;=Законод!$G$23),Z395-Законод!$F$23,IF('01_Доходи'!Z395&gt;=Законод!$H$22,Законод!$G$24,0)))),IF($B$391="Лікар-педіатр",IF(Z395&lt;Законод!$C$18,0,(IF(AND(Z395&gt;=Законод!$G$18,Z395&lt;=Законод!$G$19),Z395-Законод!$F$19,IF('01_Доходи'!Z395&gt;=Законод!$H$18,Законод!$G$20,0)))),IF($B$391="Лікар-терапевт",IF(Z395&lt;Законод!$C$26,0,(IF(AND(Z395&gt;=Законод!$G$26,Z395&lt;=Законод!$G$27),Z395-Законод!$F$27,IF('01_Доходи'!Z395&gt;=Законод!$H$26,Законод!$G$28,0)))),0)))</f>
        <v>0</v>
      </c>
      <c r="AA399" s="930"/>
      <c r="AB399" s="889" t="s">
        <v>346</v>
      </c>
      <c r="AC399" s="890"/>
      <c r="AD399" s="890"/>
      <c r="AE399" s="890"/>
      <c r="AF399" s="891"/>
      <c r="AG399" s="196">
        <f ca="1">IF($B$391="Лікар загальної практики - сімейний лікар",IF(AG395&lt;Законод!$C$22,0,(IF(AND(AG395&gt;=Законод!$G$22,AG395&lt;=Законод!$G$23),AG395-Законод!$F$23,IF('01_Доходи'!AG395&gt;=Законод!$H$22,Законод!$G$24,0)))),IF($B$391="Лікар-педіатр",IF(AG395&lt;Законод!$C$18,0,(IF(AND(AG395&gt;=Законод!$G$18,AG395&lt;=Законод!$G$19),AG395-Законод!$F$19,IF('01_Доходи'!AG395&gt;=Законод!$H$18,Законод!$G$20,0)))),IF($B$391="Лікар-терапевт",IF(AG395&lt;Законод!$C$26,0,(IF(AND(AG395&gt;=Законод!$G$26,AG395&lt;=Законод!$G$27),AG395-Законод!$F$27,IF('01_Доходи'!AG395&gt;=Законод!$H$26,Законод!$G$28,0)))),0)))</f>
        <v>0</v>
      </c>
      <c r="AH399" s="930"/>
      <c r="AI399" s="201"/>
      <c r="AJ399" s="933"/>
      <c r="AK399" s="927"/>
      <c r="AL399" s="927"/>
      <c r="AM399" s="899"/>
      <c r="AN399" s="210">
        <f ca="1">IF(B391="Лікар загальної практики - сімейний лікар",L399*Законод!$C$9/4*Законод!$G$16,IF(B391="Лікар-педіатр",L399*Законод!$C$9/4*Законод!$G$16,IF(B391="Лікар-терапевт",L399*Законод!$C$9/4*Законод!$G$16,0)))</f>
        <v>0</v>
      </c>
      <c r="AO399" s="210">
        <f ca="1">IF(B391="Лікар загальної практики - сімейний лікар",S399*Законод!$C$9/4*Законод!$G$16,IF(B391="Лікар-педіатр",S399*Законод!$C$9/4*Законод!$G$16,IF(B391="Лікар-терапевт",S399*Законод!$C$9/4*Законод!$G$16,0)))</f>
        <v>0</v>
      </c>
      <c r="AP399" s="210">
        <f ca="1">IF(B391="Лікар загальної практики - сімейний лікар",Z399*Законод!$C$9/4*Законод!$G$16,IF(B391="Лікар-педіатр",Z399*Законод!$C$9/4*Законод!$G$16,IF(B391="Лікар-терапевт",Z399*Законод!$C$9/4*Законод!$G$16,0)))</f>
        <v>0</v>
      </c>
      <c r="AQ399" s="210">
        <f ca="1">IF(B391="Лікар загальної практики - сімейний лікар",AG399*Законод!$C$9/4*Законод!$G$16,IF(B391="Лікар-педіатр",AG399*Законод!$C$9/4*Законод!$G$16,IF(B391="Лікар-терапевт",AG399*Законод!$C$9/4*Законод!$G$16,0)))</f>
        <v>0</v>
      </c>
      <c r="AR399" s="211">
        <f t="shared" si="57"/>
        <v>0</v>
      </c>
    </row>
    <row r="400" spans="1:44" s="50" customFormat="1" ht="31.9" hidden="1" customHeight="1">
      <c r="A400" s="197"/>
      <c r="B400" s="893"/>
      <c r="C400" s="896"/>
      <c r="D400" s="912"/>
      <c r="E400" s="909"/>
      <c r="F400" s="238" t="str">
        <f ca="1">IF(B391="Лікар-педіатр",Законод!$H$17,IF(B391="Лікар загальної практики - сімейний лікар",Законод!$H$21,IF(B391="Лікар-терапевт",Законод!$H$25,"х")))</f>
        <v>х</v>
      </c>
      <c r="G400" s="889" t="s">
        <v>346</v>
      </c>
      <c r="H400" s="890"/>
      <c r="I400" s="890"/>
      <c r="J400" s="890"/>
      <c r="K400" s="891"/>
      <c r="L400" s="196">
        <f ca="1">IF($B$391="Лікар загальної практики - сімейний лікар",IF(L395&lt;Законод!$C$22,0,(IF(AND(L395&gt;=Законод!$H$22,L395&lt;=Законод!$H$23),L395-Законод!$G$23,IF('01_Доходи'!L395&gt;=Законод!$I$22,Законод!$H$24,0)))),IF($B$391="Лікар-педіатр",IF(L395&lt;Законод!$C$18,0,(IF(AND(L395&gt;=Законод!$H$18,L395&lt;=Законод!$H$19),L395-Законод!$G$19,IF('01_Доходи'!L395&gt;=Законод!$I$18,Законод!$H$20,0)))),IF($B$391="Лікар-терапевт",IF(L395&lt;Законод!$C$26,0,(IF(AND(L395&gt;=Законод!$H$26,L395&lt;=Законод!$H$27),L395-Законод!$G$27,IF(L395&gt;=Законод!$I$26,Законод!$H$28,0)))),0)))</f>
        <v>0</v>
      </c>
      <c r="M400" s="930"/>
      <c r="N400" s="889" t="s">
        <v>346</v>
      </c>
      <c r="O400" s="890"/>
      <c r="P400" s="890"/>
      <c r="Q400" s="890"/>
      <c r="R400" s="891"/>
      <c r="S400" s="196">
        <f ca="1">IF($B$391="Лікар загальної практики - сімейний лікар",IF(S395&lt;Законод!$C$22,0,(IF(AND(S395&gt;=Законод!$H$22,S395&lt;=Законод!$H$23),S395-Законод!$G$23,IF('01_Доходи'!S395&gt;=Законод!$I$22,Законод!$H$24,0)))),IF($B$391="Лікар-педіатр",IF(S395&lt;Законод!$C$18,0,(IF(AND(S395&gt;=Законод!$H$18,S395&lt;=Законод!$H$19),S395-Законод!$G$19,IF('01_Доходи'!S395&gt;=Законод!$I$18,Законод!$H$20,0)))),IF($B$391="Лікар-терапевт",IF(S395&lt;Законод!$C$26,0,(IF(AND(S395&gt;=Законод!$H$26,S395&lt;=Законод!$H$27),S395-Законод!$G$27,IF(S395&gt;=Законод!$I$26,Законод!$H$28,0)))),0)))</f>
        <v>0</v>
      </c>
      <c r="T400" s="930"/>
      <c r="U400" s="889" t="s">
        <v>346</v>
      </c>
      <c r="V400" s="890"/>
      <c r="W400" s="890"/>
      <c r="X400" s="890"/>
      <c r="Y400" s="891"/>
      <c r="Z400" s="196">
        <f ca="1">IF($B$391="Лікар загальної практики - сімейний лікар",IF(Z395&lt;Законод!$C$22,0,(IF(AND(Z395&gt;=Законод!$H$22,Z395&lt;=Законод!$H$23),Z395-Законод!$G$23,IF('01_Доходи'!Z395&gt;=Законод!$I$22,Законод!$H$24,0)))),IF($B$391="Лікар-педіатр",IF(Z395&lt;Законод!$C$18,0,(IF(AND(Z395&gt;=Законод!$H$18,Z395&lt;=Законод!$H$19),Z395-Законод!$G$19,IF('01_Доходи'!Z395&gt;=Законод!$I$18,Законод!$H$20,0)))),IF($B$391="Лікар-терапевт",IF(Z395&lt;Законод!$C$26,0,(IF(AND(Z395&gt;=Законод!$H$26,Z395&lt;=Законод!$H$27),Z395-Законод!$G$27,IF(Z395&gt;=Законод!$I$26,Законод!$H$28,0)))),0)))</f>
        <v>0</v>
      </c>
      <c r="AA400" s="930"/>
      <c r="AB400" s="889" t="s">
        <v>346</v>
      </c>
      <c r="AC400" s="890"/>
      <c r="AD400" s="890"/>
      <c r="AE400" s="890"/>
      <c r="AF400" s="891"/>
      <c r="AG400" s="196">
        <f ca="1">IF($B$391="Лікар загальної практики - сімейний лікар",IF(AG395&lt;Законод!$C$22,0,(IF(AND(AG395&gt;=Законод!$H$22,AG395&lt;=Законод!$H$23),AG395-Законод!$G$23,IF('01_Доходи'!AG395&gt;=Законод!$I$22,Законод!$H$24,0)))),IF($B$391="Лікар-педіатр",IF(AG395&lt;Законод!$C$18,0,(IF(AND(AG395&gt;=Законод!$H$18,AG395&lt;=Законод!$H$19),AG395-Законод!$G$19,IF('01_Доходи'!AG395&gt;=Законод!$I$18,Законод!$H$20,0)))),IF($B$391="Лікар-терапевт",IF(AG395&lt;Законод!$C$26,0,(IF(AND(AG395&gt;=Законод!$H$26,AG395&lt;=Законод!$H$27),AG395-Законод!$G$27,IF(AG395&gt;=Законод!$I$26,Законод!$H$28,0)))),0)))</f>
        <v>0</v>
      </c>
      <c r="AH400" s="930"/>
      <c r="AI400" s="201"/>
      <c r="AJ400" s="933"/>
      <c r="AK400" s="927"/>
      <c r="AL400" s="927"/>
      <c r="AM400" s="899"/>
      <c r="AN400" s="210">
        <f ca="1">IF(B391="Лікар загальної практики - сімейний лікар",L400*Законод!$C$9/4*Законод!$H$16,IF(B391="Лікар-педіатр",L400*Законод!$C$9/4*Законод!$H$16,IF(B391="Лікар-терапевт",L400*Законод!$C$9/4*Законод!$H$16,0)))</f>
        <v>0</v>
      </c>
      <c r="AO400" s="210">
        <f ca="1">IF(B391="Лікар загальної практики - сімейний лікар",S400*Законод!$C$9/4*Законод!$H$16,IF(B391="Лікар-педіатр",S400*Законод!$C$9/4*Законод!$H$16,IF(B391="Лікар-терапевт",S400*Законод!$C$9/4*Законод!$H$16,0)))</f>
        <v>0</v>
      </c>
      <c r="AP400" s="210">
        <f ca="1">IF(B391="Лікар загальної практики - сімейний лікар",Z400*Законод!$C$9/4*Законод!$H$16,IF(B391="Лікар-педіатр",Z400*Законод!$C$9/4*Законод!$H$16,IF(B391="Лікар-терапевт",Z400*Законод!$C$9/4*Законод!$H$16,0)))</f>
        <v>0</v>
      </c>
      <c r="AQ400" s="210">
        <f ca="1">IF(B391="Лікар загальної практики - сімейний лікар",AG400*Законод!$C$9/4*Законод!$H$16,IF(B391="Лікар-педіатр",AG400*Законод!$C$9/4*Законод!$H$16,IF(B391="Лікар-терапевт",AG400*Законод!$C$9/4*Законод!$H$16,0)))</f>
        <v>0</v>
      </c>
      <c r="AR400" s="211">
        <f t="shared" si="57"/>
        <v>0</v>
      </c>
    </row>
    <row r="401" spans="1:44" s="50" customFormat="1" ht="31.9" hidden="1" customHeight="1">
      <c r="A401" s="197"/>
      <c r="B401" s="893"/>
      <c r="C401" s="896"/>
      <c r="D401" s="912"/>
      <c r="E401" s="909"/>
      <c r="F401" s="238" t="str">
        <f ca="1">IF(B391="Лікар-педіатр",Законод!$I$17,IF(B391="Лікар загальної практики - сімейний лікар",Законод!$I$21,IF(B391="Лікар-терапевт",Законод!$I$25,"х")))</f>
        <v>х</v>
      </c>
      <c r="G401" s="889" t="s">
        <v>346</v>
      </c>
      <c r="H401" s="890"/>
      <c r="I401" s="890"/>
      <c r="J401" s="890"/>
      <c r="K401" s="891"/>
      <c r="L401" s="196">
        <f ca="1">IF($B$391="Лікар загальної практики - сімейний лікар",IF(L395&lt;Законод!$C$22,0,(IF(AND(L395&gt;=Законод!$I$22,L395&lt;=Законод!$I$23),L395-Законод!$H$23,IF('01_Доходи'!L395&gt;=Законод!$I$22,Законод!$I$24,0)))),IF($B$391="Лікар-педіатр",IF(L395&lt;Законод!$C$18,0,(IF(AND(L395&gt;=Законод!$I$18,L395&lt;=Законод!$I$19),L395-Законод!$H$19,IF('01_Доходи'!L395&gt;=Законод!$I$18,Законод!$H$20,0)))),IF($B$391="Лікар-терапевт",IF(L395&lt;Законод!$C$26,0,(IF(AND(L395&gt;=Законод!$I$26,L395&lt;=Законод!$I$27),L395-Законод!$H$27,IF('01_Доходи'!L395&gt;=Законод!$I$26,Законод!$H$28,0)))),0)))</f>
        <v>0</v>
      </c>
      <c r="M401" s="930"/>
      <c r="N401" s="889" t="s">
        <v>346</v>
      </c>
      <c r="O401" s="890"/>
      <c r="P401" s="890"/>
      <c r="Q401" s="890"/>
      <c r="R401" s="891"/>
      <c r="S401" s="196">
        <f ca="1">IF($B$391="Лікар загальної практики - сімейний лікар",IF(S395&lt;Законод!$C$22,0,(IF(AND(S395&gt;=Законод!$I$22,S395&lt;=Законод!$I$23),S395-Законод!$H$23,IF('01_Доходи'!S395&gt;=Законод!$I$22,Законод!$I$24,0)))),IF($B$391="Лікар-педіатр",IF(S395&lt;Законод!$C$18,0,(IF(AND(S395&gt;=Законод!$I$18,S395&lt;=Законод!$I$19),S395-Законод!$H$19,IF('01_Доходи'!S395&gt;=Законод!$I$18,Законод!$H$20,0)))),IF($B$391="Лікар-терапевт",IF(S395&lt;Законод!$C$26,0,(IF(AND(S395&gt;=Законод!$I$26,S395&lt;=Законод!$I$27),S395-Законод!$H$27,IF('01_Доходи'!S395&gt;=Законод!$I$26,Законод!$H$28,0)))),0)))</f>
        <v>0</v>
      </c>
      <c r="T401" s="930"/>
      <c r="U401" s="889" t="s">
        <v>346</v>
      </c>
      <c r="V401" s="890"/>
      <c r="W401" s="890"/>
      <c r="X401" s="890"/>
      <c r="Y401" s="891"/>
      <c r="Z401" s="196">
        <f ca="1">IF($B$391="Лікар загальної практики - сімейний лікар",IF(Z395&lt;Законод!$C$22,0,(IF(AND(Z395&gt;=Законод!$I$22,Z395&lt;=Законод!$I$23),Z395-Законод!$H$23,IF('01_Доходи'!Z395&gt;=Законод!$I$22,Законод!$I$24,0)))),IF($B$391="Лікар-педіатр",IF(Z395&lt;Законод!$C$18,0,(IF(AND(Z395&gt;=Законод!$I$18,Z395&lt;=Законод!$I$19),Z395-Законод!$H$19,IF('01_Доходи'!Z395&gt;=Законод!$I$18,Законод!$H$20,0)))),IF($B$391="Лікар-терапевт",IF(Z395&lt;Законод!$C$26,0,(IF(AND(Z395&gt;=Законод!$I$26,Z395&lt;=Законод!$I$27),Z395-Законод!$H$27,IF('01_Доходи'!Z395&gt;=Законод!$I$26,Законод!$H$28,0)))),0)))</f>
        <v>0</v>
      </c>
      <c r="AA401" s="930"/>
      <c r="AB401" s="889" t="s">
        <v>346</v>
      </c>
      <c r="AC401" s="890"/>
      <c r="AD401" s="890"/>
      <c r="AE401" s="890"/>
      <c r="AF401" s="891"/>
      <c r="AG401" s="196">
        <f ca="1">IF($B$391="Лікар загальної практики - сімейний лікар",IF(AG395&lt;Законод!$C$22,0,(IF(AND(AG395&gt;=Законод!$I$22,AG395&lt;=Законод!$I$23),AG395-Законод!$H$23,IF('01_Доходи'!AG395&gt;=Законод!$I$22,Законод!$I$24,0)))),IF($B$391="Лікар-педіатр",IF(AG395&lt;Законод!$C$18,0,(IF(AND(AG395&gt;=Законод!$I$18,AG395&lt;=Законод!$I$19),AG395-Законод!$H$19,IF('01_Доходи'!AG395&gt;=Законод!$I$18,Законод!$H$20,0)))),IF($B$391="Лікар-терапевт",IF(AG395&lt;Законод!$C$26,0,(IF(AND(AG395&gt;=Законод!$I$26,AG395&lt;=Законод!$I$27),AG395-Законод!$H$27,IF('01_Доходи'!AG395&gt;=Законод!$I$26,Законод!$H$28,0)))),0)))</f>
        <v>0</v>
      </c>
      <c r="AH401" s="930"/>
      <c r="AI401" s="201"/>
      <c r="AJ401" s="933"/>
      <c r="AK401" s="927"/>
      <c r="AL401" s="927"/>
      <c r="AM401" s="899"/>
      <c r="AN401" s="210">
        <f ca="1">IF(B391="Лікар загальної практики - сімейний лікар",L401*Законод!$C$9/4*Законод!$I$16,IF(B391="Лікар-педіатр",L401*Законод!$C$9/4*Законод!$I$16,IF(B391="Лікар-терапевт",L401*Законод!$C$9/4*Законод!$I$16,0)))</f>
        <v>0</v>
      </c>
      <c r="AO401" s="210">
        <f ca="1">IF(B391="Лікар загальної практики - сімейний лікар",S401*Законод!$C$9/4*Законод!$I$16,IF(B391="Лікар-педіатр",S401*Законод!$C$9/4*Законод!$I$16,IF(B391="Лікар-терапевт",S401*Законод!$C$9/4*Законод!$I$16,0)))</f>
        <v>0</v>
      </c>
      <c r="AP401" s="210">
        <f ca="1">IF(B391="Лікар загальної практики - сімейний лікар",Z401*Законод!$C$9/4*Законод!$I$16,IF(B391="Лікар-педіатр",Z401*Законод!$C$9/4*Законод!$I$16,IF(B391="Лікар-терапевт",Z401*Законод!$C$9/4*Законод!$I$16,0)))</f>
        <v>0</v>
      </c>
      <c r="AQ401" s="210">
        <f ca="1">IF(B391="Лікар загальної практики - сімейний лікар",AG401*Законод!$C$9/4*Законод!$I$16,IF(B391="Лікар-педіатр",AG401*Законод!$C$9/4*Законод!$I$16,IF(B391="Лікар-терапевт",AG401*Законод!$C$9/4*Законод!$I$16,0)))</f>
        <v>0</v>
      </c>
      <c r="AR401" s="211">
        <f t="shared" si="57"/>
        <v>0</v>
      </c>
    </row>
    <row r="402" spans="1:44" s="218" customFormat="1" ht="31.9" hidden="1" customHeight="1" thickBot="1">
      <c r="A402" s="213"/>
      <c r="B402" s="894"/>
      <c r="C402" s="897"/>
      <c r="D402" s="913"/>
      <c r="E402" s="910"/>
      <c r="F402" s="239" t="str">
        <f ca="1">IF(B391="Лікар-педіатр",Законод!$J$17,IF(B391="Лікар загальної практики - сімейний лікар",Законод!$J$21,IF(B391="Лікар-терапевт",Законод!$J$25,"х")))</f>
        <v>х</v>
      </c>
      <c r="G402" s="935" t="s">
        <v>346</v>
      </c>
      <c r="H402" s="936"/>
      <c r="I402" s="936"/>
      <c r="J402" s="936"/>
      <c r="K402" s="937"/>
      <c r="L402" s="196">
        <f ca="1">IF($B$391="Лікар загальної практики - сімейний лікар",IF(L395&gt;=Законод!$J$22,'01_Доходи'!L395-('01_Доходи'!L396+'01_Доходи'!L397+'01_Доходи'!L398+'01_Доходи'!L399+'01_Доходи'!L400+'01_Доходи'!L401),0),IF($B$391="Лікар-педіатр",IF(L395&gt;=Законод!$J$18,'01_Доходи'!L395-('01_Доходи'!L396+'01_Доходи'!L397+'01_Доходи'!L398+'01_Доходи'!L399+'01_Доходи'!L400+'01_Доходи'!L401),0),IF($B$391="Лікар-терапевт",IF('01_Доходи'!L395&gt;=Законод!$J$26,L395-Законод!$I$27,0),0)))</f>
        <v>0</v>
      </c>
      <c r="M402" s="931"/>
      <c r="N402" s="935" t="s">
        <v>346</v>
      </c>
      <c r="O402" s="936"/>
      <c r="P402" s="936"/>
      <c r="Q402" s="936"/>
      <c r="R402" s="937"/>
      <c r="S402" s="196">
        <f ca="1">IF($B$391="Лікар загальної практики - сімейний лікар",IF(S395&gt;=Законод!$J$22,'01_Доходи'!S395-('01_Доходи'!S396+'01_Доходи'!S397+'01_Доходи'!S398+'01_Доходи'!S399+'01_Доходи'!S400+'01_Доходи'!S401),0),IF($B$391="Лікар-педіатр",IF(S395&gt;=Законод!$J$18,'01_Доходи'!S395-('01_Доходи'!S396+'01_Доходи'!S397+'01_Доходи'!S398+'01_Доходи'!S399+'01_Доходи'!S400+'01_Доходи'!S401),0),IF($B$391="Лікар-терапевт",IF('01_Доходи'!S395&gt;=Законод!$J$26,S395-Законод!$I$27,0),0)))</f>
        <v>0</v>
      </c>
      <c r="T402" s="931"/>
      <c r="U402" s="935" t="s">
        <v>346</v>
      </c>
      <c r="V402" s="936"/>
      <c r="W402" s="936"/>
      <c r="X402" s="936"/>
      <c r="Y402" s="937"/>
      <c r="Z402" s="196">
        <f ca="1">IF($B$391="Лікар загальної практики - сімейний лікар",IF(Z395&gt;=Законод!$J$22,'01_Доходи'!Z395-('01_Доходи'!Z396+'01_Доходи'!Z397+'01_Доходи'!Z398+'01_Доходи'!Z399+'01_Доходи'!Z400+'01_Доходи'!Z401),0),IF($B$391="Лікар-педіатр",IF(Z395&gt;=Законод!$J$18,'01_Доходи'!Z395-('01_Доходи'!Z396+'01_Доходи'!Z397+'01_Доходи'!Z398+'01_Доходи'!Z399+'01_Доходи'!Z400+'01_Доходи'!Z401),0),IF($B$391="Лікар-терапевт",IF('01_Доходи'!Z395&gt;=Законод!$J$26,Z395-Законод!$I$27,0),0)))</f>
        <v>0</v>
      </c>
      <c r="AA402" s="931"/>
      <c r="AB402" s="935" t="s">
        <v>346</v>
      </c>
      <c r="AC402" s="936"/>
      <c r="AD402" s="936"/>
      <c r="AE402" s="936"/>
      <c r="AF402" s="937"/>
      <c r="AG402" s="196">
        <f ca="1">IF($B$391="Лікар загальної практики - сімейний лікар",IF(AG395&gt;=Законод!$J$22,'01_Доходи'!AG395-('01_Доходи'!AG396+'01_Доходи'!AG397+'01_Доходи'!AG398+'01_Доходи'!AG399+'01_Доходи'!AG400+'01_Доходи'!AG401),0),IF($B$391="Лікар-педіатр",IF(AG395&gt;=Законод!$J$18,'01_Доходи'!AG395-('01_Доходи'!AG396+'01_Доходи'!AG397+'01_Доходи'!AG398+'01_Доходи'!AG399+'01_Доходи'!AG400+'01_Доходи'!AG401),0),IF($B$391="Лікар-терапевт",IF('01_Доходи'!AG395&gt;=Законод!$J$26,AG395-Законод!$I$27,0),0)))</f>
        <v>0</v>
      </c>
      <c r="AH402" s="931"/>
      <c r="AI402" s="215"/>
      <c r="AJ402" s="934"/>
      <c r="AK402" s="928"/>
      <c r="AL402" s="928"/>
      <c r="AM402" s="900"/>
      <c r="AN402" s="216">
        <f ca="1">IF(B391="Лікар загальної практики - сімейний лікар",L402*Законод!$C$9/4*Законод!$J$16,IF(B391="Лікар-педіатр",L402*Законод!$C$9/4*Законод!$J$16,IF(B391="Лікар-терапевт",L402*Законод!$C$9/4*Законод!$J$16,0)))</f>
        <v>0</v>
      </c>
      <c r="AO402" s="216">
        <f ca="1">IF(B391="Лікар загальної практики - сімейний лікар",S402*Законод!$C$9/4*Законод!$J$16,IF(B391="Лікар-педіатр",S402*Законод!$C$9/4*Законод!$J$16,IF(B391="Лікар-терапевт",S402*Законод!$C$9/4*Законод!$J$16,0)))</f>
        <v>0</v>
      </c>
      <c r="AP402" s="216">
        <f ca="1">IF(B391="Лікар загальної практики - сімейний лікар",S402*Законод!$C$9/4*Законод!$J$16,IF(B391="Лікар-педіатр",S402*Законод!$C$9/4*Законод!$J$16,IF(B391="Лікар-терапевт",S402*Законод!$C$9/4*Законод!$J$16,0)))</f>
        <v>0</v>
      </c>
      <c r="AQ402" s="216">
        <f ca="1">IF(B391="Лікар загальної практики - сімейний лікар",AG402*Законод!$C$9/4*Законод!$J$16,IF(B391="Лікар-педіатр",AG402*Законод!$C$9/4*Законод!$J$16,IF(B391="Лікар-терапевт",AG402*Законод!$C$9/4*Законод!$J$16,0)))</f>
        <v>0</v>
      </c>
      <c r="AR402" s="217">
        <f t="shared" si="57"/>
        <v>0</v>
      </c>
    </row>
    <row r="403" spans="1:44" s="247" customFormat="1" ht="23.45" hidden="1" customHeight="1" thickBot="1">
      <c r="A403" s="243"/>
      <c r="B403" s="244"/>
      <c r="C403" s="244"/>
      <c r="D403" s="244"/>
      <c r="E403" s="244"/>
      <c r="F403" s="245"/>
      <c r="G403" s="246"/>
      <c r="H403" s="246"/>
      <c r="L403" s="248"/>
      <c r="N403" s="246"/>
      <c r="O403" s="246"/>
      <c r="S403" s="248"/>
      <c r="U403" s="246"/>
      <c r="V403" s="246"/>
      <c r="Z403" s="248"/>
      <c r="AB403" s="246"/>
      <c r="AC403" s="246"/>
      <c r="AG403" s="248"/>
      <c r="AM403" s="249"/>
      <c r="AR403" s="250"/>
    </row>
    <row r="404" spans="1:44" s="191" customFormat="1" ht="27.6" hidden="1" customHeight="1">
      <c r="A404" s="194">
        <f>A391+1</f>
        <v>29</v>
      </c>
      <c r="B404" s="892"/>
      <c r="C404" s="895"/>
      <c r="D404" s="911"/>
      <c r="E404" s="908"/>
      <c r="F404" s="234" t="s">
        <v>582</v>
      </c>
      <c r="G404" s="196">
        <f>IF($B$404="Лікар-педіатр",G407*L404,IF($B$404="Лікар-терапевт","х",IF($B$404="Лікар загальної практики - сімейний лікар",G407*L404,0)))</f>
        <v>0</v>
      </c>
      <c r="H404" s="196">
        <f>IF($B$404="Лікар-педіатр",H407*L404,IF($B$404="Лікар-терапевт","х",IF($B$404="Лікар загальної практики - сімейний лікар",H407*L404,0)))</f>
        <v>0</v>
      </c>
      <c r="I404" s="196">
        <f>IF($B$404="Лікар-педіатр","x",IF($B$404="Лікар-терапевт",I407*L404,IF($B$404="Лікар загальної практики - сімейний лікар",I407*L404,0)))</f>
        <v>0</v>
      </c>
      <c r="J404" s="196">
        <f>IF($B$404="Лікар-педіатр","x",IF($B$404="Лікар-терапевт",J407*L404,IF($B$404="Лікар загальної практики - сімейний лікар",J407*L404,0)))</f>
        <v>0</v>
      </c>
      <c r="K404" s="196">
        <f>IF($B$404="Лікар-педіатр","x",IF($B$404="Лікар-терапевт",K407*L404,IF($B$404="Лікар загальної практики - сімейний лікар",K407*L404,0)))</f>
        <v>0</v>
      </c>
      <c r="L404" s="558"/>
      <c r="M404" s="929"/>
      <c r="N404" s="196">
        <f>IF($B$404="Лікар-педіатр",N407*S404,IF($B$404="Лікар-терапевт","х",IF($B$404="Лікар загальної практики - сімейний лікар",N407*S404,0)))</f>
        <v>0</v>
      </c>
      <c r="O404" s="196">
        <f>IF($B$404="Лікар-педіатр",O407*S404,IF($B$404="Лікар-терапевт","х",IF($B$404="Лікар загальної практики - сімейний лікар",O407*S404,0)))</f>
        <v>0</v>
      </c>
      <c r="P404" s="196">
        <f>IF($B$404="Лікар-педіатр","x",IF($B$404="Лікар-терапевт",P407*S404,IF($B$404="Лікар загальної практики - сімейний лікар",P407*S404,0)))</f>
        <v>0</v>
      </c>
      <c r="Q404" s="196">
        <f>IF($B$404="Лікар-педіатр","x",IF($B$404="Лікар-терапевт",Q407*S404,IF($B$404="Лікар загальної практики - сімейний лікар",Q407*S404,0)))</f>
        <v>0</v>
      </c>
      <c r="R404" s="196">
        <f>IF($B$404="Лікар-педіатр","x",IF($B$404="Лікар-терапевт",R407*S404,IF($B$404="Лікар загальної практики - сімейний лікар",R407*S404,0)))</f>
        <v>0</v>
      </c>
      <c r="S404" s="558"/>
      <c r="T404" s="929"/>
      <c r="U404" s="196">
        <f>IF($B$404="Лікар-педіатр",U407*Z404,IF($B$404="Лікар-терапевт","х",IF($B$404="Лікар загальної практики - сімейний лікар",U407*Z404,0)))</f>
        <v>0</v>
      </c>
      <c r="V404" s="196">
        <f>IF($B$404="Лікар-педіатр",V407*Z404,IF($B$404="Лікар-терапевт","х",IF($B$404="Лікар загальної практики - сімейний лікар",V407*Z404,0)))</f>
        <v>0</v>
      </c>
      <c r="W404" s="196">
        <f>IF($B$404="Лікар-педіатр","x",IF($B$404="Лікар-терапевт",W407*Z404,IF($B$404="Лікар загальної практики - сімейний лікар",W407*Z404,0)))</f>
        <v>0</v>
      </c>
      <c r="X404" s="196">
        <f>IF($B$404="Лікар-педіатр","x",IF($B$404="Лікар-терапевт",X407*Z404,IF($B$404="Лікар загальної практики - сімейний лікар",X407*Z404,0)))</f>
        <v>0</v>
      </c>
      <c r="Y404" s="196">
        <f>IF($B$404="Лікар-педіатр","x",IF($B$404="Лікар-терапевт",Y407*Z404,IF($B$404="Лікар загальної практики - сімейний лікар",Y407*Z404,0)))</f>
        <v>0</v>
      </c>
      <c r="Z404" s="558"/>
      <c r="AA404" s="929"/>
      <c r="AB404" s="196">
        <f>IF($B$404="Лікар-педіатр",AB407*AG404,IF($B$404="Лікар-терапевт","х",IF($B$404="Лікар загальної практики - сімейний лікар",AB407*AG404,0)))</f>
        <v>0</v>
      </c>
      <c r="AC404" s="196">
        <f>IF($B$404="Лікар-педіатр",AC407*AG404,IF($B$404="Лікар-терапевт","х",IF($B$404="Лікар загальної практики - сімейний лікар",AC407*AG404,0)))</f>
        <v>0</v>
      </c>
      <c r="AD404" s="196">
        <f>IF($B$404="Лікар-педіатр","x",IF($B$404="Лікар-терапевт",AD407*AG404,IF($B$404="Лікар загальної практики - сімейний лікар",AD407*AG404,0)))</f>
        <v>0</v>
      </c>
      <c r="AE404" s="196">
        <f>IF($B$404="Лікар-педіатр","x",IF($B$404="Лікар-терапевт",AE407*AG404,IF($B$404="Лікар загальної практики - сімейний лікар",AE407*AG404,0)))</f>
        <v>0</v>
      </c>
      <c r="AF404" s="196">
        <f>IF($B$404="Лікар-педіатр","x",IF($B$404="Лікар-терапевт",AF407*AG404,IF($B$404="Лікар загальної практики - сімейний лікар",AF407*AG404,0)))</f>
        <v>0</v>
      </c>
      <c r="AG404" s="558"/>
      <c r="AH404" s="929"/>
      <c r="AI404" s="541">
        <f>A404</f>
        <v>29</v>
      </c>
      <c r="AJ404" s="932">
        <f>B404</f>
        <v>0</v>
      </c>
      <c r="AK404" s="926">
        <f>C404</f>
        <v>0</v>
      </c>
      <c r="AL404" s="926">
        <f>D404</f>
        <v>0</v>
      </c>
      <c r="AM404" s="901" t="s">
        <v>785</v>
      </c>
      <c r="AN404" s="923">
        <f>SUM(AN409:AN415)</f>
        <v>0</v>
      </c>
      <c r="AO404" s="923">
        <f>SUM(AO409:AO415)</f>
        <v>0</v>
      </c>
      <c r="AP404" s="923">
        <f>SUM(AP409:AP415)</f>
        <v>0</v>
      </c>
      <c r="AQ404" s="923">
        <f>SUM(AQ409:AQ415)</f>
        <v>0</v>
      </c>
      <c r="AR404" s="914">
        <f>SUM(AN404:AQ408)</f>
        <v>0</v>
      </c>
    </row>
    <row r="405" spans="1:44" s="50" customFormat="1" ht="28.15" hidden="1" customHeight="1">
      <c r="A405" s="197"/>
      <c r="B405" s="893"/>
      <c r="C405" s="896"/>
      <c r="D405" s="912"/>
      <c r="E405" s="909"/>
      <c r="F405" s="234" t="s">
        <v>583</v>
      </c>
      <c r="G405" s="196">
        <f>IF($B$404="Лікар-педіатр",G407*L405,IF($B$404="Лікар-терапевт","х",IF($B$404="Лікар загальної практики - сімейний лікар",G407*L405,0)))</f>
        <v>0</v>
      </c>
      <c r="H405" s="196">
        <f>IF($B$404="Лікар-педіатр",H407*L405,IF($B$404="Лікар-терапевт","х",IF($B$404="Лікар загальної практики - сімейний лікар",H407*L405,0)))</f>
        <v>0</v>
      </c>
      <c r="I405" s="196">
        <f>IF($B$404="Лікар-педіатр","x",IF($B$404="Лікар-терапевт",I407*L405,IF($B$404="Лікар загальної практики - сімейний лікар",I407*L405,0)))</f>
        <v>0</v>
      </c>
      <c r="J405" s="196">
        <f>IF($B$404="Лікар-педіатр","x",IF($B$404="Лікар-терапевт",J407*L405,IF($B$404="Лікар загальної практики - сімейний лікар",J407*L405,0)))</f>
        <v>0</v>
      </c>
      <c r="K405" s="196">
        <f>IF($B$404="Лікар-педіатр","x",IF($B$404="Лікар-терапевт",K407*L405,IF($B$404="Лікар загальної практики - сімейний лікар",K407*L405,0)))</f>
        <v>0</v>
      </c>
      <c r="L405" s="558"/>
      <c r="M405" s="930"/>
      <c r="N405" s="196">
        <f>IF($B$404="Лікар-педіатр",N407*S405,IF($B$404="Лікар-терапевт","х",IF($B$404="Лікар загальної практики - сімейний лікар",N407*S405,0)))</f>
        <v>0</v>
      </c>
      <c r="O405" s="196">
        <f>IF($B$404="Лікар-педіатр",O407*S405,IF($B$404="Лікар-терапевт","х",IF($B$404="Лікар загальної практики - сімейний лікар",O407*S405,0)))</f>
        <v>0</v>
      </c>
      <c r="P405" s="196">
        <f>IF($B$404="Лікар-педіатр","x",IF($B$404="Лікар-терапевт",P407*S405,IF($B$404="Лікар загальної практики - сімейний лікар",P407*S405,0)))</f>
        <v>0</v>
      </c>
      <c r="Q405" s="196">
        <f>IF($B$404="Лікар-педіатр","x",IF($B$404="Лікар-терапевт",Q407*S405,IF($B$404="Лікар загальної практики - сімейний лікар",Q407*S405,0)))</f>
        <v>0</v>
      </c>
      <c r="R405" s="196">
        <f>IF($B$404="Лікар-педіатр","x",IF($B$404="Лікар-терапевт",R407*S405,IF($B$404="Лікар загальної практики - сімейний лікар",R407*S405,0)))</f>
        <v>0</v>
      </c>
      <c r="S405" s="558"/>
      <c r="T405" s="930"/>
      <c r="U405" s="196">
        <f>IF($B$404="Лікар-педіатр",U407*Z405,IF($B$404="Лікар-терапевт","х",IF($B$404="Лікар загальної практики - сімейний лікар",U407*Z405,0)))</f>
        <v>0</v>
      </c>
      <c r="V405" s="196">
        <f>IF($B$404="Лікар-педіатр",V407*Z405,IF($B$404="Лікар-терапевт","х",IF($B$404="Лікар загальної практики - сімейний лікар",V407*Z405,0)))</f>
        <v>0</v>
      </c>
      <c r="W405" s="196">
        <f>IF($B$404="Лікар-педіатр","x",IF($B$404="Лікар-терапевт",W407*Z405,IF($B$404="Лікар загальної практики - сімейний лікар",W407*Z405,0)))</f>
        <v>0</v>
      </c>
      <c r="X405" s="196">
        <f>IF($B$404="Лікар-педіатр","x",IF($B$404="Лікар-терапевт",X407*Z405,IF($B$404="Лікар загальної практики - сімейний лікар",X407*Z405,0)))</f>
        <v>0</v>
      </c>
      <c r="Y405" s="196">
        <f>IF($B$404="Лікар-педіатр","x",IF($B$404="Лікар-терапевт",Y407*Z405,IF($B$404="Лікар загальної практики - сімейний лікар",Y407*Z405,0)))</f>
        <v>0</v>
      </c>
      <c r="Z405" s="558"/>
      <c r="AA405" s="930"/>
      <c r="AB405" s="196">
        <f>IF($B$404="Лікар-педіатр",AB407*AG405,IF($B$404="Лікар-терапевт","х",IF($B$404="Лікар загальної практики - сімейний лікар",AB407*AG405,0)))</f>
        <v>0</v>
      </c>
      <c r="AC405" s="196">
        <f>IF($B$404="Лікар-педіатр",AC407*AG405,IF($B$404="Лікар-терапевт","х",IF($B$404="Лікар загальної практики - сімейний лікар",AC407*AG405,0)))</f>
        <v>0</v>
      </c>
      <c r="AD405" s="196">
        <f>IF($B$404="Лікар-педіатр","x",IF($B$404="Лікар-терапевт",AD407*AG405,IF($B$404="Лікар загальної практики - сімейний лікар",AD407*AG405,0)))</f>
        <v>0</v>
      </c>
      <c r="AE405" s="196">
        <f>IF($B$404="Лікар-педіатр","x",IF($B$404="Лікар-терапевт",AE407*AG405,IF($B$404="Лікар загальної практики - сімейний лікар",AE407*AG405,0)))</f>
        <v>0</v>
      </c>
      <c r="AF405" s="196">
        <f>IF($B$404="Лікар-педіатр","x",IF($B$404="Лікар-терапевт",AF407*AG405,IF($B$404="Лікар загальної практики - сімейний лікар",AF407*AG405,0)))</f>
        <v>0</v>
      </c>
      <c r="AG405" s="558"/>
      <c r="AH405" s="930"/>
      <c r="AI405" s="198"/>
      <c r="AJ405" s="933"/>
      <c r="AK405" s="927"/>
      <c r="AL405" s="927"/>
      <c r="AM405" s="902"/>
      <c r="AN405" s="924"/>
      <c r="AO405" s="924"/>
      <c r="AP405" s="924"/>
      <c r="AQ405" s="924"/>
      <c r="AR405" s="915"/>
    </row>
    <row r="406" spans="1:44" s="90" customFormat="1" ht="31.15" hidden="1" customHeight="1">
      <c r="A406" s="240"/>
      <c r="B406" s="893"/>
      <c r="C406" s="896"/>
      <c r="D406" s="912"/>
      <c r="E406" s="909"/>
      <c r="F406" s="241" t="s">
        <v>584</v>
      </c>
      <c r="G406" s="199">
        <f>IF(B404="Лікар загальної практики - сімейний лікар"," ",IF(B404="Лікар-педіатр"," ",IF(B404="Лікар-терапевт","х",0)))</f>
        <v>0</v>
      </c>
      <c r="H406" s="199">
        <f>IF(B404="Лікар загальної практики - сімейний лікар"," ",IF(B404="Лікар-педіатр"," ",IF(B404="Лікар-терапевт","х",0)))</f>
        <v>0</v>
      </c>
      <c r="I406" s="199">
        <f>IF(B404="Лікар загальної практики - сімейний лікар"," ",IF(B404="Лікар-педіатр","х",IF(B404="Лікар-терапевт"," ",0)))</f>
        <v>0</v>
      </c>
      <c r="J406" s="199">
        <f>IF(B404="Лікар загальної практики - сімейний лікар"," ",IF(B404="Лікар-педіатр","х",IF(B404="Лікар-терапевт"," ",0)))</f>
        <v>0</v>
      </c>
      <c r="K406" s="199">
        <f>IF(B404="Лікар загальної практики - сімейний лікар"," ",IF(B404="Лікар-педіатр","х",IF(B404="Лікар-терапевт"," ",0)))</f>
        <v>0</v>
      </c>
      <c r="L406" s="200">
        <f>SUM(G406:K406)</f>
        <v>0</v>
      </c>
      <c r="M406" s="930"/>
      <c r="N406" s="199">
        <f>IF(B404="Лікар загальної практики - сімейний лікар"," ",IF(B404="Лікар-педіатр"," ",IF(B404="Лікар-терапевт","х",0)))</f>
        <v>0</v>
      </c>
      <c r="O406" s="199">
        <f>IF(B404="Лікар загальної практики - сімейний лікар"," ",IF(B404="Лікар-педіатр"," ",IF(B404="Лікар-терапевт","х",0)))</f>
        <v>0</v>
      </c>
      <c r="P406" s="199">
        <f>IF(B404="Лікар загальної практики - сімейний лікар"," ",IF(B404="Лікар-педіатр","х",IF(B404="Лікар-терапевт"," ",0)))</f>
        <v>0</v>
      </c>
      <c r="Q406" s="199">
        <f>IF(B404="Лікар загальної практики - сімейний лікар"," ",IF(B404="Лікар-педіатр","х",IF(B404="Лікар-терапевт"," ",0)))</f>
        <v>0</v>
      </c>
      <c r="R406" s="199">
        <f>IF(B404="Лікар загальної практики - сімейний лікар"," ",IF(B404="Лікар-педіатр","х",IF(B404="Лікар-терапевт"," ",0)))</f>
        <v>0</v>
      </c>
      <c r="S406" s="200">
        <f>SUM(N406:R406)</f>
        <v>0</v>
      </c>
      <c r="T406" s="930"/>
      <c r="U406" s="199">
        <f>IF(B404="Лікар загальної практики - сімейний лікар"," ",IF(B404="Лікар-педіатр"," ",IF(B404="Лікар-терапевт","х",0)))</f>
        <v>0</v>
      </c>
      <c r="V406" s="199">
        <f>IF(B404="Лікар загальної практики - сімейний лікар"," ",IF(B404="Лікар-педіатр"," ",IF(B404="Лікар-терапевт","х",0)))</f>
        <v>0</v>
      </c>
      <c r="W406" s="199">
        <f>IF(B404="Лікар загальної практики - сімейний лікар"," ",IF(B404="Лікар-педіатр","х",IF(B404="Лікар-терапевт"," ",0)))</f>
        <v>0</v>
      </c>
      <c r="X406" s="199">
        <f>IF(B404="Лікар загальної практики - сімейний лікар"," ",IF(B404="Лікар-педіатр","х",IF(B404="Лікар-терапевт"," ",0)))</f>
        <v>0</v>
      </c>
      <c r="Y406" s="199">
        <f>IF(B404="Лікар загальної практики - сімейний лікар"," ",IF(B404="Лікар-педіатр","х",IF(B404="Лікар-терапевт"," ",0)))</f>
        <v>0</v>
      </c>
      <c r="Z406" s="200">
        <f>SUM(U406:Y406)</f>
        <v>0</v>
      </c>
      <c r="AA406" s="930"/>
      <c r="AB406" s="199">
        <f>IF(B404="Лікар загальної практики - сімейний лікар"," ",IF(B404="Лікар-педіатр"," ",IF(B404="Лікар-терапевт","х",0)))</f>
        <v>0</v>
      </c>
      <c r="AC406" s="199">
        <f>IF(B404="Лікар загальної практики - сімейний лікар"," ",IF(B404="Лікар-педіатр"," ",IF(B404="Лікар-терапевт","х",0)))</f>
        <v>0</v>
      </c>
      <c r="AD406" s="199">
        <f>IF(B404="Лікар загальної практики - сімейний лікар"," ",IF(B404="Лікар-педіатр","х",IF(B404="Лікар-терапевт"," ",0)))</f>
        <v>0</v>
      </c>
      <c r="AE406" s="199">
        <f>IF(B404="Лікар загальної практики - сімейний лікар"," ",IF(B404="Лікар-педіатр","х",IF(B404="Лікар-терапевт"," ",0)))</f>
        <v>0</v>
      </c>
      <c r="AF406" s="199">
        <f>IF(B404="Лікар загальної практики - сімейний лікар"," ",IF(B404="Лікар-педіатр","х",IF(B404="Лікар-терапевт"," ",0)))</f>
        <v>0</v>
      </c>
      <c r="AG406" s="200">
        <f>SUM(AB406:AF406)</f>
        <v>0</v>
      </c>
      <c r="AH406" s="930"/>
      <c r="AI406" s="242"/>
      <c r="AJ406" s="933"/>
      <c r="AK406" s="927"/>
      <c r="AL406" s="927"/>
      <c r="AM406" s="902"/>
      <c r="AN406" s="924"/>
      <c r="AO406" s="924"/>
      <c r="AP406" s="924"/>
      <c r="AQ406" s="924"/>
      <c r="AR406" s="915"/>
    </row>
    <row r="407" spans="1:44" s="50" customFormat="1" ht="31.9" hidden="1" customHeight="1" thickBot="1">
      <c r="A407" s="197"/>
      <c r="B407" s="893"/>
      <c r="C407" s="896"/>
      <c r="D407" s="912"/>
      <c r="E407" s="909"/>
      <c r="F407" s="236" t="s">
        <v>349</v>
      </c>
      <c r="G407" s="203">
        <f>IF($B$404="Лікар-педіатр",G406/L406,IF($B$404="Лікар-терапевт","х",IF($B$404="Лікар загальної практики - сімейний лікар",G406/L406,0)))</f>
        <v>0</v>
      </c>
      <c r="H407" s="203">
        <f>IF($B$404="Лікар-педіатр",H406/L406,IF($B$404="Лікар-терапевт","х",IF($B$404="Лікар загальної практики - сімейний лікар",H406/L406,0)))</f>
        <v>0</v>
      </c>
      <c r="I407" s="203">
        <f>IF($B$404="Лікар-педіатр","x",IF($B$404="Лікар-терапевт",I406/L406,IF($B$404="Лікар загальної практики - сімейний лікар",I406/L406,0)))</f>
        <v>0</v>
      </c>
      <c r="J407" s="203">
        <f>IF($B$404="Лікар-педіатр","x",IF($B$404="Лікар-терапевт",J406/L406,IF($B$404="Лікар загальної практики - сімейний лікар",J406/L406,0)))</f>
        <v>0</v>
      </c>
      <c r="K407" s="203">
        <f>IF($B$404="Лікар-педіатр","x",IF($B$404="Лікар-терапевт",K406/L406,IF($B$404="Лікар загальної практики - сімейний лікар",K406/L406,0)))</f>
        <v>0</v>
      </c>
      <c r="L407" s="203">
        <f>SUM(G407:K407)</f>
        <v>0</v>
      </c>
      <c r="M407" s="930"/>
      <c r="N407" s="203">
        <f>IF($B$404="Лікар-педіатр",N406/S406,IF($B$404="Лікар-терапевт","х",IF($B$404="Лікар загальної практики - сімейний лікар",N406/S406,0)))</f>
        <v>0</v>
      </c>
      <c r="O407" s="203">
        <f>IF($B$404="Лікар-педіатр",O406/S406,IF($B$404="Лікар-терапевт","х",IF($B$404="Лікар загальної практики - сімейний лікар",O406/S406,0)))</f>
        <v>0</v>
      </c>
      <c r="P407" s="203">
        <f>IF($B$404="Лікар-педіатр","x",IF($B$404="Лікар-терапевт",P406/S406,IF($B$404="Лікар загальної практики - сімейний лікар",P406/S406,0)))</f>
        <v>0</v>
      </c>
      <c r="Q407" s="203">
        <f>IF($B$404="Лікар-педіатр","x",IF($B$404="Лікар-терапевт",Q406/S406,IF($B$404="Лікар загальної практики - сімейний лікар",Q406/S406,0)))</f>
        <v>0</v>
      </c>
      <c r="R407" s="203">
        <f>IF($B$404="Лікар-педіатр","x",IF($B$404="Лікар-терапевт",R406/S406,IF($B$404="Лікар загальної практики - сімейний лікар",R406/S406,0)))</f>
        <v>0</v>
      </c>
      <c r="S407" s="203">
        <f>SUM(N407:R407)</f>
        <v>0</v>
      </c>
      <c r="T407" s="930"/>
      <c r="U407" s="203">
        <f>IF($B$404="Лікар-педіатр",U406/Z406,IF($B$404="Лікар-терапевт","х",IF($B$404="Лікар загальної практики - сімейний лікар",U406/Z406,0)))</f>
        <v>0</v>
      </c>
      <c r="V407" s="203">
        <f>IF($B$404="Лікар-педіатр",V406/Z406,IF($B$404="Лікар-терапевт","х",IF($B$404="Лікар загальної практики - сімейний лікар",V406/Z406,0)))</f>
        <v>0</v>
      </c>
      <c r="W407" s="203">
        <f>IF($B$404="Лікар-педіатр","x",IF($B$404="Лікар-терапевт",W406/Z406,IF($B$404="Лікар загальної практики - сімейний лікар",W406/Z406,0)))</f>
        <v>0</v>
      </c>
      <c r="X407" s="203">
        <f>IF($B$404="Лікар-педіатр","x",IF($B$404="Лікар-терапевт",X406/Z406,IF($B$404="Лікар загальної практики - сімейний лікар",X406/Z406,0)))</f>
        <v>0</v>
      </c>
      <c r="Y407" s="203">
        <f>IF($B$404="Лікар-педіатр","x",IF($B$404="Лікар-терапевт",Y406/Z406,IF($B$404="Лікар загальної практики - сімейний лікар",Y406/Z406,0)))</f>
        <v>0</v>
      </c>
      <c r="Z407" s="203">
        <f>SUM(U407:Y407)</f>
        <v>0</v>
      </c>
      <c r="AA407" s="930"/>
      <c r="AB407" s="203">
        <f>IF($B$404="Лікар-педіатр",AB406/AG406,IF($B$404="Лікар-терапевт","х",IF($B$404="Лікар загальної практики - сімейний лікар",AB406/AG406,0)))</f>
        <v>0</v>
      </c>
      <c r="AC407" s="203">
        <f>IF($B$404="Лікар-педіатр",AC406/AG406,IF($B$404="Лікар-терапевт","х",IF($B$404="Лікар загальної практики - сімейний лікар",AC406/AG406,0)))</f>
        <v>0</v>
      </c>
      <c r="AD407" s="203">
        <f>IF($B$404="Лікар-педіатр","x",IF($B$404="Лікар-терапевт",AD406/AG406,IF($B$404="Лікар загальної практики - сімейний лікар",AD406/AG406,0)))</f>
        <v>0</v>
      </c>
      <c r="AE407" s="203">
        <f>IF($B$404="Лікар-педіатр","x",IF($B$404="Лікар-терапевт",AE406/AG406,IF($B$404="Лікар загальної практики - сімейний лікар",AE406/AG406,0)))</f>
        <v>0</v>
      </c>
      <c r="AF407" s="203">
        <f>IF($B$404="Лікар-педіатр","x",IF($B$404="Лікар-терапевт",AF406/AG406,IF($B$404="Лікар загальної практики - сімейний лікар",AF406/AG406,0)))</f>
        <v>0</v>
      </c>
      <c r="AG407" s="203">
        <f>SUM(AB407:AF407)</f>
        <v>0</v>
      </c>
      <c r="AH407" s="930"/>
      <c r="AI407" s="201"/>
      <c r="AJ407" s="933"/>
      <c r="AK407" s="927"/>
      <c r="AL407" s="927"/>
      <c r="AM407" s="902"/>
      <c r="AN407" s="924"/>
      <c r="AO407" s="924"/>
      <c r="AP407" s="924"/>
      <c r="AQ407" s="924"/>
      <c r="AR407" s="915"/>
    </row>
    <row r="408" spans="1:44" s="50" customFormat="1" ht="45" hidden="1" customHeight="1" thickBot="1">
      <c r="A408" s="197"/>
      <c r="B408" s="893"/>
      <c r="C408" s="896"/>
      <c r="D408" s="912"/>
      <c r="E408" s="909"/>
      <c r="F408" s="204" t="s">
        <v>585</v>
      </c>
      <c r="G408" s="205">
        <f>IF($B$404="Лікар загальної практики - сімейний лікар",AVERAGE(G404:G406),IF($B$404="Лікар-педіатр",AVERAGE(G404:G406),IF($B$404="Лікар-терапевт","х",0)))</f>
        <v>0</v>
      </c>
      <c r="H408" s="205">
        <f>IF($B$404="Лікар загальної практики - сімейний лікар",AVERAGE(H404:H406),IF($B$404="Лікар-педіатр",AVERAGE(H404:H406),IF($B$404="Лікар-терапевт","х",0)))</f>
        <v>0</v>
      </c>
      <c r="I408" s="205">
        <f>IF($B$404="Лікар загальної практики - сімейний лікар",AVERAGE(I404:I406),IF($B$404="Лікар-педіатр","x",IF($B$404="Лікар-терапевт",AVERAGE(I404:I406),0)))</f>
        <v>0</v>
      </c>
      <c r="J408" s="205">
        <f>IF($B$404="Лікар загальної практики - сімейний лікар",AVERAGE(J404:J406),IF($B$404="Лікар-педіатр","x",IF($B$404="Лікар-терапевт",AVERAGE(J404:J406),0)))</f>
        <v>0</v>
      </c>
      <c r="K408" s="205">
        <f>IF($B$404="Лікар загальної практики - сімейний лікар",AVERAGE(K404:K406),IF($B$404="Лікар-педіатр","x",IF($B$404="Лікар-терапевт",AVERAGE(K404:K406),0)))</f>
        <v>0</v>
      </c>
      <c r="L408" s="206">
        <f>SUM(G408:K408)</f>
        <v>0</v>
      </c>
      <c r="M408" s="930"/>
      <c r="N408" s="205">
        <f>IF($B$404="Лікар загальної практики - сімейний лікар",AVERAGE(N404:N406),IF($B$404="Лікар-педіатр",AVERAGE(N404:N406),IF($B$404="Лікар-терапевт","х",0)))</f>
        <v>0</v>
      </c>
      <c r="O408" s="205">
        <f>IF($B$404="Лікар загальної практики - сімейний лікар",AVERAGE(O404:O406),IF($B$404="Лікар-педіатр",AVERAGE(O404:O406),IF($B$404="Лікар-терапевт","х",0)))</f>
        <v>0</v>
      </c>
      <c r="P408" s="205">
        <f>IF($B$404="Лікар загальної практики - сімейний лікар",AVERAGE(P404:P406),IF($B$404="Лікар-педіатр","x",IF($B$404="Лікар-терапевт",AVERAGE(P404:P406),0)))</f>
        <v>0</v>
      </c>
      <c r="Q408" s="205">
        <f>IF($B$404="Лікар загальної практики - сімейний лікар",AVERAGE(Q404:Q406),IF($B$404="Лікар-педіатр","x",IF($B$404="Лікар-терапевт",AVERAGE(Q404:Q406),0)))</f>
        <v>0</v>
      </c>
      <c r="R408" s="205">
        <f>IF($B$404="Лікар загальної практики - сімейний лікар",AVERAGE(R404:R406),IF($B$404="Лікар-педіатр","x",IF($B$404="Лікар-терапевт",AVERAGE(R404:R406),0)))</f>
        <v>0</v>
      </c>
      <c r="S408" s="206">
        <f>SUM(N408:R408)</f>
        <v>0</v>
      </c>
      <c r="T408" s="930"/>
      <c r="U408" s="205">
        <f>IF($B$404="Лікар загальної практики - сімейний лікар",AVERAGE(U404:U406),IF($B$404="Лікар-педіатр",AVERAGE(U404:U406),IF($B$404="Лікар-терапевт","х",0)))</f>
        <v>0</v>
      </c>
      <c r="V408" s="205">
        <f>IF($B$404="Лікар загальної практики - сімейний лікар",AVERAGE(V404:V406),IF($B$404="Лікар-педіатр",AVERAGE(V404:V406),IF($B$404="Лікар-терапевт","х",0)))</f>
        <v>0</v>
      </c>
      <c r="W408" s="205">
        <f>IF($B$404="Лікар загальної практики - сімейний лікар",AVERAGE(W404:W406),IF($B$404="Лікар-педіатр","x",IF($B$404="Лікар-терапевт",AVERAGE(W404:W406),0)))</f>
        <v>0</v>
      </c>
      <c r="X408" s="205">
        <f>IF($B$404="Лікар загальної практики - сімейний лікар",AVERAGE(X404:X406),IF($B$404="Лікар-педіатр","x",IF($B$404="Лікар-терапевт",AVERAGE(X404:X406),0)))</f>
        <v>0</v>
      </c>
      <c r="Y408" s="205">
        <f>IF($B$404="Лікар загальної практики - сімейний лікар",AVERAGE(Y404:Y406),IF($B$404="Лікар-педіатр","x",IF($B$404="Лікар-терапевт",AVERAGE(Y404:Y406),0)))</f>
        <v>0</v>
      </c>
      <c r="Z408" s="206">
        <f>SUM(U408:Y408)</f>
        <v>0</v>
      </c>
      <c r="AA408" s="930"/>
      <c r="AB408" s="205">
        <f>IF($B$404="Лікар загальної практики - сімейний лікар",AVERAGE(AB404:AB406),IF($B$404="Лікар-педіатр",AVERAGE(AB404:AB406),IF($B$404="Лікар-терапевт","х",0)))</f>
        <v>0</v>
      </c>
      <c r="AC408" s="205">
        <f>IF($B$404="Лікар загальної практики - сімейний лікар",AVERAGE(AC404:AC406),IF($B$404="Лікар-педіатр",AVERAGE(AC404:AC406),IF($B$404="Лікар-терапевт","х",0)))</f>
        <v>0</v>
      </c>
      <c r="AD408" s="205">
        <f>IF($B$404="Лікар загальної практики - сімейний лікар",AVERAGE(AD404:AD406),IF($B$404="Лікар-педіатр","x",IF($B$404="Лікар-терапевт",AVERAGE(AD404:AD406),0)))</f>
        <v>0</v>
      </c>
      <c r="AE408" s="205">
        <f>IF($B$404="Лікар загальної практики - сімейний лікар",AVERAGE(AE404:AE406),IF($B$404="Лікар-педіатр","x",IF($B$404="Лікар-терапевт",AVERAGE(AE404:AE406),0)))</f>
        <v>0</v>
      </c>
      <c r="AF408" s="205">
        <f>IF($B$404="Лікар загальної практики - сімейний лікар",AVERAGE(AF404:AF406),IF($B$404="Лікар-педіатр","x",IF($B$404="Лікар-терапевт",AVERAGE(AF404:AF406),0)))</f>
        <v>0</v>
      </c>
      <c r="AG408" s="206">
        <f>SUM(AB408:AF408)</f>
        <v>0</v>
      </c>
      <c r="AH408" s="930"/>
      <c r="AI408" s="201"/>
      <c r="AJ408" s="933"/>
      <c r="AK408" s="927"/>
      <c r="AL408" s="927"/>
      <c r="AM408" s="903"/>
      <c r="AN408" s="925"/>
      <c r="AO408" s="925"/>
      <c r="AP408" s="925"/>
      <c r="AQ408" s="925"/>
      <c r="AR408" s="916"/>
    </row>
    <row r="409" spans="1:44" s="50" customFormat="1" ht="40.5" hidden="1">
      <c r="A409" s="197"/>
      <c r="B409" s="893"/>
      <c r="C409" s="896"/>
      <c r="D409" s="912"/>
      <c r="E409" s="909"/>
      <c r="F409" s="237" t="str">
        <f ca="1">IF(B404="Лікар-педіатр",Законод!$C$17,IF(B404="Лікар загальної практики - сімейний лікар",Законод!$C$21,IF(B404="Лікар-терапевт",Законод!$C$25,"х")))</f>
        <v>х</v>
      </c>
      <c r="G409" s="208">
        <f ca="1">IF($B$404="Лікар загальної практики - сімейний лікар",IF(L408&lt;=Законод!$C$22,G408,Законод!$C$22*'01_Доходи'!G407),IF($B$404="Лікар-педіатр",IF(L408&lt;=Законод!$C$18,G408,Законод!$C$18*'01_Доходи'!G407),IF($B$404="Лікар-терапевт","x",0)))</f>
        <v>0</v>
      </c>
      <c r="H409" s="208">
        <f ca="1">IF($B$404="Лікар загальної практики - сімейний лікар",IF(L408&lt;=Законод!$C$22,H408,Законод!$C$22*'01_Доходи'!H407),IF($B$404="Лікар-педіатр",IF(L408&lt;=Законод!$C$18,H408,Законод!$C$18*'01_Доходи'!H407),IF($B$404="Лікар-терапевт","x",0)))</f>
        <v>0</v>
      </c>
      <c r="I409" s="208">
        <f ca="1">IF($B$404="Лікар загальної практики - сімейний лікар",IF(L408&lt;=Законод!$C$22,I408,Законод!$C$22*'01_Доходи'!I407),IF($B$404="Лікар-педіатр","x",IF($B$404="Лікар-терапевт",IF(L408&lt;=Законод!$C$26,I408,Законод!$C$26*'01_Доходи'!I407),0)))</f>
        <v>0</v>
      </c>
      <c r="J409" s="208">
        <f ca="1">IF($B$404="Лікар загальної практики - сімейний лікар",IF(L408&lt;=Законод!$C$22,J408,Законод!$C$22*'01_Доходи'!J407),IF($B$404="Лікар-педіатр","x",IF($B$404="Лікар-терапевт",IF(L408&lt;=Законод!$C$26,J408,Законод!$C$26*'01_Доходи'!J407),0)))</f>
        <v>0</v>
      </c>
      <c r="K409" s="208">
        <f ca="1">IF($B$404="Лікар загальної практики - сімейний лікар",IF(L408&lt;=Законод!$C$22,K408,Законод!$C$22*'01_Доходи'!K407),IF($B$404="Лікар-педіатр","x",IF($B$404="Лікар-терапевт",IF(L408&lt;=Законод!$C$26,K408,Законод!$C$26*'01_Доходи'!K407),0)))</f>
        <v>0</v>
      </c>
      <c r="L409" s="209">
        <f ca="1">SUM(G409:K409)</f>
        <v>0</v>
      </c>
      <c r="M409" s="930"/>
      <c r="N409" s="208">
        <f ca="1">IF($B$404="Лікар загальної практики - сімейний лікар",IF(S408&lt;=Законод!$C$22,N408,Законод!$C$22*'01_Доходи'!N407),IF($B$404="Лікар-педіатр",IF(S408&lt;=Законод!$C$18,N408,Законод!$C$18*'01_Доходи'!N407),IF($B$404="Лікар-терапевт","x",0)))</f>
        <v>0</v>
      </c>
      <c r="O409" s="208">
        <f ca="1">IF($B$404="Лікар загальної практики - сімейний лікар",IF(S408&lt;=Законод!$C$22,O408,Законод!$C$22*'01_Доходи'!O407),IF($B$404="Лікар-педіатр",IF(S408&lt;=Законод!$C$18,O408,Законод!$C$18*'01_Доходи'!O407),IF($B$404="Лікар-терапевт","x",0)))</f>
        <v>0</v>
      </c>
      <c r="P409" s="208">
        <f ca="1">IF($B$404="Лікар загальної практики - сімейний лікар",IF(S408&lt;=Законод!$C$22,P408,Законод!$C$22*'01_Доходи'!P407),IF($B$404="Лікар-педіатр","x",IF($B$404="Лікар-терапевт",IF(S408&lt;=Законод!$C$26,P408,Законод!$C$26*'01_Доходи'!P407),0)))</f>
        <v>0</v>
      </c>
      <c r="Q409" s="208">
        <f ca="1">IF($B$404="Лікар загальної практики - сімейний лікар",IF(S408&lt;=Законод!$C$22,Q408,Законод!$C$22*'01_Доходи'!Q407),IF($B$404="Лікар-педіатр","x",IF($B$404="Лікар-терапевт",IF(S408&lt;=Законод!$C$26,Q408,Законод!$C$26*'01_Доходи'!Q407),0)))</f>
        <v>0</v>
      </c>
      <c r="R409" s="208">
        <f ca="1">IF($B$404="Лікар загальної практики - сімейний лікар",IF(S408&lt;=Законод!$C$22,R408,Законод!$C$22*'01_Доходи'!R407),IF($B$404="Лікар-педіатр","x",IF($B$404="Лікар-терапевт",IF(S408&lt;=Законод!$C$26,R408,Законод!$C$26*'01_Доходи'!R407),0)))</f>
        <v>0</v>
      </c>
      <c r="S409" s="209">
        <f ca="1">SUM(N409:R409)</f>
        <v>0</v>
      </c>
      <c r="T409" s="930"/>
      <c r="U409" s="208">
        <f ca="1">IF($B$404="Лікар загальної практики - сімейний лікар",IF(Z408&lt;=Законод!$C$22,U408,Законод!$C$22*'01_Доходи'!U407),IF($B$404="Лікар-педіатр",IF(Z408&lt;=Законод!$C$18,U408,Законод!$C$18*'01_Доходи'!U407),IF($B$404="Лікар-терапевт","x",0)))</f>
        <v>0</v>
      </c>
      <c r="V409" s="208">
        <f ca="1">IF($B$404="Лікар загальної практики - сімейний лікар",IF(Z408&lt;=Законод!$C$22,V408,Законод!$C$22*'01_Доходи'!V407),IF($B$404="Лікар-педіатр",IF(Z408&lt;=Законод!$C$18,V408,Законод!$C$18*'01_Доходи'!V407),IF($B$404="Лікар-терапевт","x",0)))</f>
        <v>0</v>
      </c>
      <c r="W409" s="208">
        <f ca="1">IF($B$404="Лікар загальної практики - сімейний лікар",IF(Z408&lt;=Законод!$C$22,W408,Законод!$C$22*'01_Доходи'!W407),IF($B$404="Лікар-педіатр","x",IF($B$404="Лікар-терапевт",IF(Z408&lt;=Законод!$C$26,W408,Законод!$C$26*'01_Доходи'!W407),0)))</f>
        <v>0</v>
      </c>
      <c r="X409" s="208">
        <f ca="1">IF($B$404="Лікар загальної практики - сімейний лікар",IF(Z408&lt;=Законод!$C$22,X408,Законод!$C$22*'01_Доходи'!X407),IF($B$404="Лікар-педіатр","x",IF($B$404="Лікар-терапевт",IF(Z408&lt;=Законод!$C$26,X408,Законод!$C$26*'01_Доходи'!X407),0)))</f>
        <v>0</v>
      </c>
      <c r="Y409" s="208">
        <f ca="1">IF($B$404="Лікар загальної практики - сімейний лікар",IF(Z408&lt;=Законод!$C$22,Y408,Законод!$C$22*'01_Доходи'!Y407),IF($B$404="Лікар-педіатр","x",IF($B$404="Лікар-терапевт",IF(Z408&lt;=Законод!$C$26,Y408,Законод!$C$26*'01_Доходи'!Y407),0)))</f>
        <v>0</v>
      </c>
      <c r="Z409" s="209">
        <f ca="1">SUM(U409:Y409)</f>
        <v>0</v>
      </c>
      <c r="AA409" s="930"/>
      <c r="AB409" s="208">
        <f ca="1">IF($B$404="Лікар загальної практики - сімейний лікар",IF(AG408&lt;=Законод!$C$22,AB408,Законод!$C$22*'01_Доходи'!AB407),IF($B$404="Лікар-педіатр",IF(AG408&lt;=Законод!$C$18,AB408,Законод!$C$18*'01_Доходи'!AB407),IF($B$404="Лікар-терапевт","x",0)))</f>
        <v>0</v>
      </c>
      <c r="AC409" s="208">
        <f ca="1">IF($B$404="Лікар загальної практики - сімейний лікар",IF(AG408&lt;=Законод!$C$22,AC408,Законод!$C$22*'01_Доходи'!AC407),IF($B$404="Лікар-педіатр",IF(AG408&lt;=Законод!$C$18,AC408,Законод!$C$18*'01_Доходи'!AC407),IF($B$404="Лікар-терапевт","x",0)))</f>
        <v>0</v>
      </c>
      <c r="AD409" s="208">
        <f ca="1">IF($B$404="Лікар загальної практики - сімейний лікар",IF(AG408&lt;=Законод!$C$22,AD408,Законод!$C$22*'01_Доходи'!AD407),IF($B$404="Лікар-педіатр","x",IF($B$404="Лікар-терапевт",IF(AG408&lt;=Законод!$C$26,AD408,Законод!$C$26*'01_Доходи'!AD407),0)))</f>
        <v>0</v>
      </c>
      <c r="AE409" s="208">
        <f ca="1">IF($B$404="Лікар загальної практики - сімейний лікар",IF(AG408&lt;=Законод!$C$22,AE408,Законод!$C$22*'01_Доходи'!AE407),IF($B$404="Лікар-педіатр","x",IF($B$404="Лікар-терапевт",IF(AG408&lt;=Законод!$C$26,AE408,Законод!$C$26*'01_Доходи'!AE407),0)))</f>
        <v>0</v>
      </c>
      <c r="AF409" s="208">
        <f ca="1">IF($B$404="Лікар загальної практики - сімейний лікар",IF(AG408&lt;=Законод!$C$22,AF408,Законод!$C$22*'01_Доходи'!AF407),IF($B$404="Лікар-педіатр","x",IF($B$404="Лікар-терапевт",IF(AG408&lt;=Законод!$C$26,AF408,Законод!$C$26*'01_Доходи'!AF407),0)))</f>
        <v>0</v>
      </c>
      <c r="AG409" s="209">
        <f ca="1">SUM(AB409:AF409)</f>
        <v>0</v>
      </c>
      <c r="AH409" s="930"/>
      <c r="AI409" s="201"/>
      <c r="AJ409" s="933"/>
      <c r="AK409" s="927"/>
      <c r="AL409" s="927"/>
      <c r="AM409" s="348" t="s">
        <v>374</v>
      </c>
      <c r="AN409" s="210">
        <f ca="1">IF(B404="Лікар загальної практики - сімейний лікар",G409*Законод!$C$11+'01_Доходи'!H409*Законод!$D$11+'01_Доходи'!I409*Законод!$E$11+'01_Доходи'!J409*Законод!$F$11+'01_Доходи'!K409*Законод!$G$11,IF(B404="Лікар-педіатр",G409*Законод!$C$11+'01_Доходи'!H409*Законод!$D$11,IF(B404="Лікар-терапевт",'01_Доходи'!I409*Законод!$E$11+'01_Доходи'!J409*Законод!$F$11+'01_Доходи'!K409*Законод!$G$11,0)))</f>
        <v>0</v>
      </c>
      <c r="AO409" s="210">
        <f ca="1">IF(B404="Лікар загальної практики - сімейний лікар",N409*Законод!$C$11+'01_Доходи'!O409*Законод!$D$11+'01_Доходи'!P409*Законод!$E$11+'01_Доходи'!Q409*Законод!$F$11+'01_Доходи'!R409*Законод!$G$11,IF(B404="Лікар-педіатр",N409*Законод!$C$11+'01_Доходи'!O409*Законод!$D$11,IF(B404="Лікар-терапевт",'01_Доходи'!P409*Законод!$E$11+'01_Доходи'!Q409*Законод!$F$11+'01_Доходи'!R409*Законод!$G$11,0)))</f>
        <v>0</v>
      </c>
      <c r="AP409" s="210">
        <f ca="1">IF(B404="Лікар загальної практики - сімейний лікар",U409*Законод!$C$11+'01_Доходи'!V409*Законод!$D$11+'01_Доходи'!W409*Законод!$E$11+'01_Доходи'!X409*Законод!$F$11+'01_Доходи'!Y409*Законод!$G$11,IF(B404="Лікар-педіатр",U409*Законод!$C$11+'01_Доходи'!V409*Законод!$D$11,IF(B404="Лікар-терапевт",'01_Доходи'!W409*Законод!$E$11+'01_Доходи'!X409*Законод!$F$11+'01_Доходи'!Y409*Законод!$G$11,0)))</f>
        <v>0</v>
      </c>
      <c r="AQ409" s="210">
        <f ca="1">IF(B404="Лікар загальної практики - сімейний лікар",AB409*Законод!$C$11+'01_Доходи'!AC409*Законод!$D$11+'01_Доходи'!AD409*Законод!$E$11+'01_Доходи'!AE409*Законод!$F$11+'01_Доходи'!AF409*Законод!$G$11,IF(B404="Лікар-педіатр",AB409*Законод!$C$11+'01_Доходи'!AC409*Законод!$D$11,IF(B404="Лікар-терапевт",'01_Доходи'!AD409*Законод!$E$11+'01_Доходи'!AE409*Законод!$F$11+'01_Доходи'!AF409*Законод!$G$11,0)))</f>
        <v>0</v>
      </c>
      <c r="AR409" s="211">
        <f t="shared" ref="AR409:AR415" si="58">SUM(AN409:AQ409)</f>
        <v>0</v>
      </c>
    </row>
    <row r="410" spans="1:44" s="50" customFormat="1" ht="31.9" hidden="1" customHeight="1">
      <c r="A410" s="197"/>
      <c r="B410" s="893"/>
      <c r="C410" s="896"/>
      <c r="D410" s="912"/>
      <c r="E410" s="909"/>
      <c r="F410" s="238" t="str">
        <f ca="1">IF(B404="Лікар-педіатр",Законод!$E$17,IF(B404="Лікар загальної практики - сімейний лікар",Законод!$E$21,IF(B404="Лікар-терапевт",Законод!$E$25,"х")))</f>
        <v>х</v>
      </c>
      <c r="G410" s="889" t="s">
        <v>346</v>
      </c>
      <c r="H410" s="890"/>
      <c r="I410" s="890"/>
      <c r="J410" s="890"/>
      <c r="K410" s="891"/>
      <c r="L410" s="196">
        <f ca="1">IF($B$404="Лікар загальної практики - сімейний лікар",IF(L408&lt;Законод!$C$22,0,(IF(AND(L408&gt;=Законод!$E$22,L408&lt;=Законод!$E$23),L408-Законод!$C$22,IF('01_Доходи'!L408&gt;=Законод!$F$22,Законод!$E$24,0)))),IF($B$404="Лікар-педіатр",IF(L408&lt;Законод!$C$18,0,(IF(AND(L408&gt;=Законод!$E$18,L408&lt;=Законод!$E$19),L408-Законод!$C$18,IF('01_Доходи'!L408&gt;=Законод!$F$18,Законод!$E$20,0)))),IF($B$404="Лікар-терапевт",IF(L408&lt;Законод!$C$26,0,(IF(AND(L408&gt;=Законод!$E$26,L408&lt;=Законод!$E$27),L408-Законод!$C$26,IF('01_Доходи'!L408&gt;=Законод!$F$26,Законод!$E$28,0)))),0)))</f>
        <v>0</v>
      </c>
      <c r="M410" s="930"/>
      <c r="N410" s="889" t="s">
        <v>346</v>
      </c>
      <c r="O410" s="890"/>
      <c r="P410" s="890"/>
      <c r="Q410" s="890"/>
      <c r="R410" s="891"/>
      <c r="S410" s="196">
        <f ca="1">IF($B$404="Лікар загальної практики - сімейний лікар",IF(S408&lt;Законод!$C$22,0,(IF(AND(S408&gt;=Законод!$E$22,S408&lt;=Законод!$E$23),S408-Законод!$C$22,IF('01_Доходи'!S408&gt;=Законод!$F$22,Законод!$E$24,0)))),IF($B$404="Лікар-педіатр",IF(S408&lt;Законод!$C$18,0,(IF(AND(S408&gt;=Законод!$E$18,S408&lt;=Законод!$E$19),S408-Законод!$C$18,IF('01_Доходи'!S408&gt;=Законод!$F$18,Законод!$E$20,0)))),IF($B$404="Лікар-терапевт",IF(S408&lt;Законод!$C$26,0,(IF(AND(S408&gt;=Законод!$E$26,S408&lt;=Законод!$E$27),S408-Законод!$C$26,IF('01_Доходи'!S408&gt;=Законод!$F$26,Законод!$E$28,0)))),0)))</f>
        <v>0</v>
      </c>
      <c r="T410" s="930"/>
      <c r="U410" s="889" t="s">
        <v>346</v>
      </c>
      <c r="V410" s="890"/>
      <c r="W410" s="890"/>
      <c r="X410" s="890"/>
      <c r="Y410" s="891"/>
      <c r="Z410" s="196">
        <f ca="1">IF($B$404="Лікар загальної практики - сімейний лікар",IF(Z408&lt;Законод!$C$22,0,(IF(AND(Z408&gt;=Законод!$E$22,Z408&lt;=Законод!$E$23),Z408-Законод!$C$22,IF('01_Доходи'!Z408&gt;=Законод!$F$22,Законод!$E$24,0)))),IF($B$404="Лікар-педіатр",IF(Z408&lt;Законод!$C$18,0,(IF(AND(Z408&gt;=Законод!$E$18,Z408&lt;=Законод!$E$19),Z408-Законод!$C$18,IF('01_Доходи'!Z408&gt;=Законод!$F$18,Законод!$E$20,0)))),IF($B$404="Лікар-терапевт",IF(Z408&lt;Законод!$C$26,0,(IF(AND(Z408&gt;=Законод!$E$26,Z408&lt;=Законод!$E$27),Z408-Законод!$C$26,IF('01_Доходи'!Z408&gt;=Законод!$F$26,Законод!$E$28,0)))),0)))</f>
        <v>0</v>
      </c>
      <c r="AA410" s="930"/>
      <c r="AB410" s="889" t="s">
        <v>346</v>
      </c>
      <c r="AC410" s="890"/>
      <c r="AD410" s="890"/>
      <c r="AE410" s="890"/>
      <c r="AF410" s="891"/>
      <c r="AG410" s="196">
        <f ca="1">IF($B$404="Лікар загальної практики - сімейний лікар",IF(AG408&lt;Законод!$C$22,0,(IF(AND(AG408&gt;=Законод!$E$22,AG408&lt;=Законод!$E$23),AG408-Законод!$C$22,IF('01_Доходи'!AG408&gt;=Законод!$F$22,Законод!$E$24,0)))),IF($B$404="Лікар-педіатр",IF(AG408&lt;Законод!$C$18,0,(IF(AND(AG408&gt;=Законод!$E$18,AG408&lt;=Законод!$E$19),AG408-Законод!$C$18,IF('01_Доходи'!AG408&gt;=Законод!$F$18,Законод!$E$20,0)))),IF($B$404="Лікар-терапевт",IF(AG408&lt;Законод!$C$26,0,(IF(AND(AG408&gt;=Законод!$E$26,AG408&lt;=Законод!$E$27),AG408-Законод!$C$26,IF('01_Доходи'!AG408&gt;=Законод!$F$26,Законод!$E$28,0)))),0)))</f>
        <v>0</v>
      </c>
      <c r="AH410" s="930"/>
      <c r="AI410" s="201"/>
      <c r="AJ410" s="933"/>
      <c r="AK410" s="927"/>
      <c r="AL410" s="927"/>
      <c r="AM410" s="898" t="s">
        <v>375</v>
      </c>
      <c r="AN410" s="210">
        <f ca="1">IF(B404="Лікар загальної практики - сімейний лікар",L410*Законод!$C$9/4*Законод!$E$16,IF(B404="Лікар-педіатр",L410*Законод!$C$9/4*Законод!$E$16,IF(B404="Лікар-терапевт",L410*Законод!$C$9/4*Законод!$E$16,0)))</f>
        <v>0</v>
      </c>
      <c r="AO410" s="210">
        <f ca="1">IF(B404="Лікар загальної практики - сімейний лікар",S410*Законод!$C$9/4*Законод!$E$16,IF(B404="Лікар-педіатр",S410*Законод!$C$9/4*Законод!$E$16,IF(B404="Лікар-терапевт",S410*Законод!$C$9/4*Законод!$E$16,0)))</f>
        <v>0</v>
      </c>
      <c r="AP410" s="210">
        <f ca="1">IF(B404="Лікар загальної практики - сімейний лікар",Z410*Законод!$C$9/4*Законод!$E$16,IF(B404="Лікар-педіатр",Z410*Законод!$C$9/4*Законод!$E$16,IF(B404="Лікар-терапевт",Z410*Законод!$C$9/4*Законод!$E$16,0)))</f>
        <v>0</v>
      </c>
      <c r="AQ410" s="210">
        <f ca="1">IF(B404="Лікар загальної практики - сімейний лікар",AG410*Законод!$C$9/4*Законод!$E$16,IF(B404="Лікар-педіатр",AG410*Законод!$C$9/4*Законод!$E$16,IF(B404="Лікар-терапевт",AG410*Законод!$C$9/4*Законод!$E$16,0)))</f>
        <v>0</v>
      </c>
      <c r="AR410" s="211">
        <f t="shared" si="58"/>
        <v>0</v>
      </c>
    </row>
    <row r="411" spans="1:44" s="50" customFormat="1" ht="31.9" hidden="1" customHeight="1">
      <c r="A411" s="197"/>
      <c r="B411" s="893"/>
      <c r="C411" s="896"/>
      <c r="D411" s="912"/>
      <c r="E411" s="909"/>
      <c r="F411" s="238" t="str">
        <f ca="1">IF(B404="Лікар-педіатр",Законод!$F$17,IF(B404="Лікар загальної практики - сімейний лікар",Законод!$F$21,IF(B404="Лікар-терапевт",Законод!$F$25,"х")))</f>
        <v>х</v>
      </c>
      <c r="G411" s="889" t="s">
        <v>346</v>
      </c>
      <c r="H411" s="890"/>
      <c r="I411" s="890"/>
      <c r="J411" s="890"/>
      <c r="K411" s="891"/>
      <c r="L411" s="196">
        <f ca="1">IF($B$404="Лікар загальної практики - сімейний лікар",IF(L408&lt;Законод!$C$22,0,(IF(AND(L408&gt;=Законод!$F$22,L408&lt;=Законод!$F$23),L408-Законод!$E$23,IF('01_Доходи'!L408&gt;=Законод!$G$22,Законод!$F$24,0)))),IF($B$404="Лікар-педіатр",IF(L408&lt;Законод!$C$18,0,(IF(AND(L408&gt;=Законод!$F$18,L408&lt;=Законод!$F$19),L408-Законод!$E$19,IF('01_Доходи'!L408&gt;=Законод!$G$18,Законод!$F$20,0)))),IF($B$404="Лікар-терапевт",IF(L408&lt;Законод!$C$26,0,(IF(AND(L408&gt;=Законод!$F$26,L408&lt;=Законод!$F$27),L408-Законод!$E$27,IF('01_Доходи'!L408&gt;=Законод!$G$26,Законод!$F$28,0)))),0)))</f>
        <v>0</v>
      </c>
      <c r="M411" s="930"/>
      <c r="N411" s="889" t="s">
        <v>346</v>
      </c>
      <c r="O411" s="890"/>
      <c r="P411" s="890"/>
      <c r="Q411" s="890"/>
      <c r="R411" s="891"/>
      <c r="S411" s="196">
        <f ca="1">IF($B$404="Лікар загальної практики - сімейний лікар",IF(S408&lt;Законод!$C$22,0,(IF(AND(S408&gt;=Законод!$F$22,S408&lt;=Законод!$F$23),S408-Законод!$E$23,IF('01_Доходи'!S408&gt;=Законод!$G$22,Законод!$F$24,0)))),IF($B$404="Лікар-педіатр",IF(S408&lt;Законод!$C$18,0,(IF(AND(S408&gt;=Законод!$F$18,S408&lt;=Законод!$F$19),S408-Законод!$E$19,IF('01_Доходи'!S408&gt;=Законод!$G$18,Законод!$F$20,0)))),IF($B$404="Лікар-терапевт",IF(S408&lt;Законод!$C$26,0,(IF(AND(S408&gt;=Законод!$F$26,S408&lt;=Законод!$F$27),S408-Законод!$E$27,IF('01_Доходи'!S408&gt;=Законод!$G$26,Законод!$F$28,0)))),0)))</f>
        <v>0</v>
      </c>
      <c r="T411" s="930"/>
      <c r="U411" s="889" t="s">
        <v>346</v>
      </c>
      <c r="V411" s="890"/>
      <c r="W411" s="890"/>
      <c r="X411" s="890"/>
      <c r="Y411" s="891"/>
      <c r="Z411" s="196">
        <f ca="1">IF($B$404="Лікар загальної практики - сімейний лікар",IF(Z408&lt;Законод!$C$22,0,(IF(AND(Z408&gt;=Законод!$F$22,Z408&lt;=Законод!$F$23),Z408-Законод!$E$23,IF('01_Доходи'!Z408&gt;=Законод!$G$22,Законод!$F$24,0)))),IF($B$404="Лікар-педіатр",IF(Z408&lt;Законод!$C$18,0,(IF(AND(Z408&gt;=Законод!$F$18,Z408&lt;=Законод!$F$19),Z408-Законод!$E$19,IF('01_Доходи'!Z408&gt;=Законод!$G$18,Законод!$F$20,0)))),IF($B$404="Лікар-терапевт",IF(Z408&lt;Законод!$C$26,0,(IF(AND(Z408&gt;=Законод!$F$26,Z408&lt;=Законод!$F$27),Z408-Законод!$E$27,IF('01_Доходи'!Z408&gt;=Законод!$G$26,Законод!$F$28,0)))),0)))</f>
        <v>0</v>
      </c>
      <c r="AA411" s="930"/>
      <c r="AB411" s="889" t="s">
        <v>346</v>
      </c>
      <c r="AC411" s="890"/>
      <c r="AD411" s="890"/>
      <c r="AE411" s="890"/>
      <c r="AF411" s="891"/>
      <c r="AG411" s="196">
        <f ca="1">IF($B$404="Лікар загальної практики - сімейний лікар",IF(AG408&lt;Законод!$C$22,0,(IF(AND(AG408&gt;=Законод!$F$22,AG408&lt;=Законод!$F$23),AG408-Законод!$E$23,IF('01_Доходи'!AG408&gt;=Законод!$G$22,Законод!$F$24,0)))),IF($B$404="Лікар-педіатр",IF(AG408&lt;Законод!$C$18,0,(IF(AND(AG408&gt;=Законод!$F$18,AG408&lt;=Законод!$F$19),AG408-Законод!$E$19,IF('01_Доходи'!AG408&gt;=Законод!$G$18,Законод!$F$20,0)))),IF($B$404="Лікар-терапевт",IF(AG408&lt;Законод!$C$26,0,(IF(AND(AG408&gt;=Законод!$F$26,AG408&lt;=Законод!$F$27),AG408-Законод!$E$27,IF('01_Доходи'!AG408&gt;=Законод!$G$26,Законод!$F$28,0)))),0)))</f>
        <v>0</v>
      </c>
      <c r="AH411" s="930"/>
      <c r="AI411" s="201"/>
      <c r="AJ411" s="933"/>
      <c r="AK411" s="927"/>
      <c r="AL411" s="927"/>
      <c r="AM411" s="899"/>
      <c r="AN411" s="210">
        <f ca="1">IF(B404="Лікар загальної практики - сімейний лікар",L411*Законод!$C$9/4*Законод!$F$16,IF(B404="Лікар-педіатр",L411*Законод!$C$9/4*Законод!$F$16,IF(B404="Лікар-терапевт",L411*Законод!$C$9/4*Законод!$F$16,0)))</f>
        <v>0</v>
      </c>
      <c r="AO411" s="210">
        <f ca="1">IF(B404="Лікар загальної практики - сімейний лікар",S411*Законод!$C$9/4*Законод!$F$16,IF(B404="Лікар-педіатр",S411*Законод!$C$9/4*Законод!$F$16,IF(B404="Лікар-терапевт",S411*Законод!$C$9/4*Законод!$F$16,0)))</f>
        <v>0</v>
      </c>
      <c r="AP411" s="210">
        <f ca="1">IF(B404="Лікар загальної практики - сімейний лікар",Z411*Законод!$C$9/4*Законод!$F$16,IF(B404="Лікар-педіатр",Z411*Законод!$C$9/4*Законод!$F$16,IF(B404="Лікар-терапевт",Z411*Законод!$C$9/4*Законод!$F$16,0)))</f>
        <v>0</v>
      </c>
      <c r="AQ411" s="210">
        <f ca="1">IF(B404="Лікар загальної практики - сімейний лікар",AG411*Законод!$C$9/4*Законод!$F$16,IF(B404="Лікар-педіатр",AG411*Законод!$C$9/4*Законод!$F$16,IF(B404="Лікар-терапевт",AG411*Законод!$C$9/4*Законод!$F$16,0)))</f>
        <v>0</v>
      </c>
      <c r="AR411" s="211">
        <f t="shared" si="58"/>
        <v>0</v>
      </c>
    </row>
    <row r="412" spans="1:44" s="50" customFormat="1" ht="31.9" hidden="1" customHeight="1">
      <c r="A412" s="197"/>
      <c r="B412" s="893"/>
      <c r="C412" s="896"/>
      <c r="D412" s="912"/>
      <c r="E412" s="909"/>
      <c r="F412" s="238" t="str">
        <f ca="1">IF(B404="Лікар-педіатр",Законод!$G$17,IF(B404="Лікар загальної практики - сімейний лікар",Законод!$G$21,IF(B404="Лікар-терапевт",Законод!$G$25,"х")))</f>
        <v>х</v>
      </c>
      <c r="G412" s="889" t="s">
        <v>346</v>
      </c>
      <c r="H412" s="890"/>
      <c r="I412" s="890"/>
      <c r="J412" s="890"/>
      <c r="K412" s="891"/>
      <c r="L412" s="196">
        <f ca="1">IF($B$404="Лікар загальної практики - сімейний лікар",IF(L408&lt;Законод!$C$22,0,(IF(AND(L408&gt;=Законод!$G$22,L408&lt;=Законод!$G$23),L408-Законод!$F$23,IF('01_Доходи'!L408&gt;=Законод!$H$22,Законод!$G$24,0)))),IF($B$404="Лікар-педіатр",IF(L408&lt;Законод!$C$18,0,(IF(AND(L408&gt;=Законод!$G$18,L408&lt;=Законод!$G$19),L408-Законод!$F$19,IF('01_Доходи'!L408&gt;=Законод!$H$18,Законод!$G$20,0)))),IF($B$404="Лікар-терапевт",IF(L408&lt;Законод!$C$26,0,(IF(AND(L408&gt;=Законод!$G$26,L408&lt;=Законод!$G$27),L408-Законод!$F$27,IF('01_Доходи'!L408&gt;=Законод!$H$26,Законод!$G$28,0)))),0)))</f>
        <v>0</v>
      </c>
      <c r="M412" s="930"/>
      <c r="N412" s="889" t="s">
        <v>346</v>
      </c>
      <c r="O412" s="890"/>
      <c r="P412" s="890"/>
      <c r="Q412" s="890"/>
      <c r="R412" s="891"/>
      <c r="S412" s="196">
        <f ca="1">IF($B$404="Лікар загальної практики - сімейний лікар",IF(S408&lt;Законод!$C$22,0,(IF(AND(S408&gt;=Законод!$G$22,S408&lt;=Законод!$G$23),S408-Законод!$F$23,IF('01_Доходи'!S408&gt;=Законод!$H$22,Законод!$G$24,0)))),IF($B$404="Лікар-педіатр",IF(S408&lt;Законод!$C$18,0,(IF(AND(S408&gt;=Законод!$G$18,S408&lt;=Законод!$G$19),S408-Законод!$F$19,IF('01_Доходи'!S408&gt;=Законод!$H$18,Законод!$G$20,0)))),IF($B$404="Лікар-терапевт",IF(S408&lt;Законод!$C$26,0,(IF(AND(S408&gt;=Законод!$G$26,S408&lt;=Законод!$G$27),S408-Законод!$F$27,IF('01_Доходи'!S408&gt;=Законод!$H$26,Законод!$G$28,0)))),0)))</f>
        <v>0</v>
      </c>
      <c r="T412" s="930"/>
      <c r="U412" s="889" t="s">
        <v>346</v>
      </c>
      <c r="V412" s="890"/>
      <c r="W412" s="890"/>
      <c r="X412" s="890"/>
      <c r="Y412" s="891"/>
      <c r="Z412" s="196">
        <f ca="1">IF($B$404="Лікар загальної практики - сімейний лікар",IF(Z408&lt;Законод!$C$22,0,(IF(AND(Z408&gt;=Законод!$G$22,Z408&lt;=Законод!$G$23),Z408-Законод!$F$23,IF('01_Доходи'!Z408&gt;=Законод!$H$22,Законод!$G$24,0)))),IF($B$404="Лікар-педіатр",IF(Z408&lt;Законод!$C$18,0,(IF(AND(Z408&gt;=Законод!$G$18,Z408&lt;=Законод!$G$19),Z408-Законод!$F$19,IF('01_Доходи'!Z408&gt;=Законод!$H$18,Законод!$G$20,0)))),IF($B$404="Лікар-терапевт",IF(Z408&lt;Законод!$C$26,0,(IF(AND(Z408&gt;=Законод!$G$26,Z408&lt;=Законод!$G$27),Z408-Законод!$F$27,IF('01_Доходи'!Z408&gt;=Законод!$H$26,Законод!$G$28,0)))),0)))</f>
        <v>0</v>
      </c>
      <c r="AA412" s="930"/>
      <c r="AB412" s="889" t="s">
        <v>346</v>
      </c>
      <c r="AC412" s="890"/>
      <c r="AD412" s="890"/>
      <c r="AE412" s="890"/>
      <c r="AF412" s="891"/>
      <c r="AG412" s="196">
        <f ca="1">IF($B$404="Лікар загальної практики - сімейний лікар",IF(AG408&lt;Законод!$C$22,0,(IF(AND(AG408&gt;=Законод!$G$22,AG408&lt;=Законод!$G$23),AG408-Законод!$F$23,IF('01_Доходи'!AG408&gt;=Законод!$H$22,Законод!$G$24,0)))),IF($B$404="Лікар-педіатр",IF(AG408&lt;Законод!$C$18,0,(IF(AND(AG408&gt;=Законод!$G$18,AG408&lt;=Законод!$G$19),AG408-Законод!$F$19,IF('01_Доходи'!AG408&gt;=Законод!$H$18,Законод!$G$20,0)))),IF($B$404="Лікар-терапевт",IF(AG408&lt;Законод!$C$26,0,(IF(AND(AG408&gt;=Законод!$G$26,AG408&lt;=Законод!$G$27),AG408-Законод!$F$27,IF('01_Доходи'!AG408&gt;=Законод!$H$26,Законод!$G$28,0)))),0)))</f>
        <v>0</v>
      </c>
      <c r="AH412" s="930"/>
      <c r="AI412" s="201"/>
      <c r="AJ412" s="933"/>
      <c r="AK412" s="927"/>
      <c r="AL412" s="927"/>
      <c r="AM412" s="899"/>
      <c r="AN412" s="210">
        <f ca="1">IF(B404="Лікар загальної практики - сімейний лікар",L412*Законод!$C$9/4*Законод!$G$16,IF(B404="Лікар-педіатр",L412*Законод!$C$9/4*Законод!$G$16,IF(B404="Лікар-терапевт",L412*Законод!$C$9/4*Законод!$G$16,0)))</f>
        <v>0</v>
      </c>
      <c r="AO412" s="210">
        <f ca="1">IF(B404="Лікар загальної практики - сімейний лікар",S412*Законод!$C$9/4*Законод!$G$16,IF(B404="Лікар-педіатр",S412*Законод!$C$9/4*Законод!$G$16,IF(B404="Лікар-терапевт",S412*Законод!$C$9/4*Законод!$G$16,0)))</f>
        <v>0</v>
      </c>
      <c r="AP412" s="210">
        <f ca="1">IF(B404="Лікар загальної практики - сімейний лікар",Z412*Законод!$C$9/4*Законод!$G$16,IF(B404="Лікар-педіатр",Z412*Законод!$C$9/4*Законод!$G$16,IF(B404="Лікар-терапевт",Z412*Законод!$C$9/4*Законод!$G$16,0)))</f>
        <v>0</v>
      </c>
      <c r="AQ412" s="210">
        <f ca="1">IF(B404="Лікар загальної практики - сімейний лікар",AG412*Законод!$C$9/4*Законод!$G$16,IF(B404="Лікар-педіатр",AG412*Законод!$C$9/4*Законод!$G$16,IF(B404="Лікар-терапевт",AG412*Законод!$C$9/4*Законод!$G$16,0)))</f>
        <v>0</v>
      </c>
      <c r="AR412" s="211">
        <f t="shared" si="58"/>
        <v>0</v>
      </c>
    </row>
    <row r="413" spans="1:44" s="50" customFormat="1" ht="31.9" hidden="1" customHeight="1">
      <c r="A413" s="197"/>
      <c r="B413" s="893"/>
      <c r="C413" s="896"/>
      <c r="D413" s="912"/>
      <c r="E413" s="909"/>
      <c r="F413" s="238" t="str">
        <f ca="1">IF(B404="Лікар-педіатр",Законод!$H$17,IF(B404="Лікар загальної практики - сімейний лікар",Законод!$H$21,IF(B404="Лікар-терапевт",Законод!$H$25,"х")))</f>
        <v>х</v>
      </c>
      <c r="G413" s="889" t="s">
        <v>346</v>
      </c>
      <c r="H413" s="890"/>
      <c r="I413" s="890"/>
      <c r="J413" s="890"/>
      <c r="K413" s="891"/>
      <c r="L413" s="196">
        <f ca="1">IF($B$404="Лікар загальної практики - сімейний лікар",IF(L408&lt;Законод!$C$22,0,(IF(AND(L408&gt;=Законод!$H$22,L408&lt;=Законод!$H$23),L408-Законод!$G$23,IF('01_Доходи'!L408&gt;=Законод!$I$22,Законод!$H$24,0)))),IF($B$404="Лікар-педіатр",IF(L408&lt;Законод!$C$18,0,(IF(AND(L408&gt;=Законод!$H$18,L408&lt;=Законод!$H$19),L408-Законод!$G$19,IF('01_Доходи'!L408&gt;=Законод!$I$18,Законод!$H$20,0)))),IF($B$404="Лікар-терапевт",IF(L408&lt;Законод!$C$26,0,(IF(AND(L408&gt;=Законод!$H$26,L408&lt;=Законод!$H$27),L408-Законод!$G$27,IF(L408&gt;=Законод!$I$26,Законод!$H$28,0)))),0)))</f>
        <v>0</v>
      </c>
      <c r="M413" s="930"/>
      <c r="N413" s="889" t="s">
        <v>346</v>
      </c>
      <c r="O413" s="890"/>
      <c r="P413" s="890"/>
      <c r="Q413" s="890"/>
      <c r="R413" s="891"/>
      <c r="S413" s="196">
        <f ca="1">IF($B$404="Лікар загальної практики - сімейний лікар",IF(S408&lt;Законод!$C$22,0,(IF(AND(S408&gt;=Законод!$H$22,S408&lt;=Законод!$H$23),S408-Законод!$G$23,IF('01_Доходи'!S408&gt;=Законод!$I$22,Законод!$H$24,0)))),IF($B$404="Лікар-педіатр",IF(S408&lt;Законод!$C$18,0,(IF(AND(S408&gt;=Законод!$H$18,S408&lt;=Законод!$H$19),S408-Законод!$G$19,IF('01_Доходи'!S408&gt;=Законод!$I$18,Законод!$H$20,0)))),IF($B$404="Лікар-терапевт",IF(S408&lt;Законод!$C$26,0,(IF(AND(S408&gt;=Законод!$H$26,S408&lt;=Законод!$H$27),S408-Законод!$G$27,IF(S408&gt;=Законод!$I$26,Законод!$H$28,0)))),0)))</f>
        <v>0</v>
      </c>
      <c r="T413" s="930"/>
      <c r="U413" s="889" t="s">
        <v>346</v>
      </c>
      <c r="V413" s="890"/>
      <c r="W413" s="890"/>
      <c r="X413" s="890"/>
      <c r="Y413" s="891"/>
      <c r="Z413" s="196">
        <f ca="1">IF($B$404="Лікар загальної практики - сімейний лікар",IF(Z408&lt;Законод!$C$22,0,(IF(AND(Z408&gt;=Законод!$H$22,Z408&lt;=Законод!$H$23),Z408-Законод!$G$23,IF('01_Доходи'!Z408&gt;=Законод!$I$22,Законод!$H$24,0)))),IF($B$404="Лікар-педіатр",IF(Z408&lt;Законод!$C$18,0,(IF(AND(Z408&gt;=Законод!$H$18,Z408&lt;=Законод!$H$19),Z408-Законод!$G$19,IF('01_Доходи'!Z408&gt;=Законод!$I$18,Законод!$H$20,0)))),IF($B$404="Лікар-терапевт",IF(Z408&lt;Законод!$C$26,0,(IF(AND(Z408&gt;=Законод!$H$26,Z408&lt;=Законод!$H$27),Z408-Законод!$G$27,IF(Z408&gt;=Законод!$I$26,Законод!$H$28,0)))),0)))</f>
        <v>0</v>
      </c>
      <c r="AA413" s="930"/>
      <c r="AB413" s="889" t="s">
        <v>346</v>
      </c>
      <c r="AC413" s="890"/>
      <c r="AD413" s="890"/>
      <c r="AE413" s="890"/>
      <c r="AF413" s="891"/>
      <c r="AG413" s="196">
        <f ca="1">IF($B$404="Лікар загальної практики - сімейний лікар",IF(AG408&lt;Законод!$C$22,0,(IF(AND(AG408&gt;=Законод!$H$22,AG408&lt;=Законод!$H$23),AG408-Законод!$G$23,IF('01_Доходи'!AG408&gt;=Законод!$I$22,Законод!$H$24,0)))),IF($B$404="Лікар-педіатр",IF(AG408&lt;Законод!$C$18,0,(IF(AND(AG408&gt;=Законод!$H$18,AG408&lt;=Законод!$H$19),AG408-Законод!$G$19,IF('01_Доходи'!AG408&gt;=Законод!$I$18,Законод!$H$20,0)))),IF($B$404="Лікар-терапевт",IF(AG408&lt;Законод!$C$26,0,(IF(AND(AG408&gt;=Законод!$H$26,AG408&lt;=Законод!$H$27),AG408-Законод!$G$27,IF(AG408&gt;=Законод!$I$26,Законод!$H$28,0)))),0)))</f>
        <v>0</v>
      </c>
      <c r="AH413" s="930"/>
      <c r="AI413" s="201"/>
      <c r="AJ413" s="933"/>
      <c r="AK413" s="927"/>
      <c r="AL413" s="927"/>
      <c r="AM413" s="899"/>
      <c r="AN413" s="210">
        <f ca="1">IF(B404="Лікар загальної практики - сімейний лікар",L413*Законод!$C$9/4*Законод!$H$16,IF(B404="Лікар-педіатр",L413*Законод!$C$9/4*Законод!$H$16,IF(B404="Лікар-терапевт",L413*Законод!$C$9/4*Законод!$H$16,0)))</f>
        <v>0</v>
      </c>
      <c r="AO413" s="210">
        <f ca="1">IF(B404="Лікар загальної практики - сімейний лікар",S413*Законод!$C$9/4*Законод!$H$16,IF(B404="Лікар-педіатр",S413*Законод!$C$9/4*Законод!$H$16,IF(B404="Лікар-терапевт",S413*Законод!$C$9/4*Законод!$H$16,0)))</f>
        <v>0</v>
      </c>
      <c r="AP413" s="210">
        <f ca="1">IF(B404="Лікар загальної практики - сімейний лікар",Z413*Законод!$C$9/4*Законод!$H$16,IF(B404="Лікар-педіатр",Z413*Законод!$C$9/4*Законод!$H$16,IF(B404="Лікар-терапевт",Z413*Законод!$C$9/4*Законод!$H$16,0)))</f>
        <v>0</v>
      </c>
      <c r="AQ413" s="210">
        <f ca="1">IF(B404="Лікар загальної практики - сімейний лікар",AG413*Законод!$C$9/4*Законод!$H$16,IF(B404="Лікар-педіатр",AG413*Законод!$C$9/4*Законод!$H$16,IF(B404="Лікар-терапевт",AG413*Законод!$C$9/4*Законод!$H$16,0)))</f>
        <v>0</v>
      </c>
      <c r="AR413" s="211">
        <f t="shared" si="58"/>
        <v>0</v>
      </c>
    </row>
    <row r="414" spans="1:44" s="50" customFormat="1" ht="31.9" hidden="1" customHeight="1">
      <c r="A414" s="197"/>
      <c r="B414" s="893"/>
      <c r="C414" s="896"/>
      <c r="D414" s="912"/>
      <c r="E414" s="909"/>
      <c r="F414" s="238" t="str">
        <f ca="1">IF(B404="Лікар-педіатр",Законод!$I$17,IF(B404="Лікар загальної практики - сімейний лікар",Законод!$I$21,IF(B404="Лікар-терапевт",Законод!$I$25,"х")))</f>
        <v>х</v>
      </c>
      <c r="G414" s="889" t="s">
        <v>346</v>
      </c>
      <c r="H414" s="890"/>
      <c r="I414" s="890"/>
      <c r="J414" s="890"/>
      <c r="K414" s="891"/>
      <c r="L414" s="196">
        <f ca="1">IF($B$404="Лікар загальної практики - сімейний лікар",IF(L408&lt;Законод!$C$22,0,(IF(AND(L408&gt;=Законод!$I$22,L408&lt;=Законод!$I$23),L408-Законод!$H$23,IF('01_Доходи'!L408&gt;=Законод!$I$22,Законод!$I$24,0)))),IF($B$404="Лікар-педіатр",IF(L408&lt;Законод!$C$18,0,(IF(AND(L408&gt;=Законод!$I$18,L408&lt;=Законод!$I$19),L408-Законод!$H$19,IF('01_Доходи'!L408&gt;=Законод!$I$18,Законод!$H$20,0)))),IF($B$404="Лікар-терапевт",IF(L408&lt;Законод!$C$26,0,(IF(AND(L408&gt;=Законод!$I$26,L408&lt;=Законод!$I$27),L408-Законод!$H$27,IF('01_Доходи'!L408&gt;=Законод!$I$26,Законод!$H$28,0)))),0)))</f>
        <v>0</v>
      </c>
      <c r="M414" s="930"/>
      <c r="N414" s="889" t="s">
        <v>346</v>
      </c>
      <c r="O414" s="890"/>
      <c r="P414" s="890"/>
      <c r="Q414" s="890"/>
      <c r="R414" s="891"/>
      <c r="S414" s="196">
        <f ca="1">IF($B$404="Лікар загальної практики - сімейний лікар",IF(S408&lt;Законод!$C$22,0,(IF(AND(S408&gt;=Законод!$I$22,S408&lt;=Законод!$I$23),S408-Законод!$H$23,IF('01_Доходи'!S408&gt;=Законод!$I$22,Законод!$I$24,0)))),IF($B$404="Лікар-педіатр",IF(S408&lt;Законод!$C$18,0,(IF(AND(S408&gt;=Законод!$I$18,S408&lt;=Законод!$I$19),S408-Законод!$H$19,IF('01_Доходи'!S408&gt;=Законод!$I$18,Законод!$H$20,0)))),IF($B$404="Лікар-терапевт",IF(S408&lt;Законод!$C$26,0,(IF(AND(S408&gt;=Законод!$I$26,S408&lt;=Законод!$I$27),S408-Законод!$H$27,IF('01_Доходи'!S408&gt;=Законод!$I$26,Законод!$H$28,0)))),0)))</f>
        <v>0</v>
      </c>
      <c r="T414" s="930"/>
      <c r="U414" s="889" t="s">
        <v>346</v>
      </c>
      <c r="V414" s="890"/>
      <c r="W414" s="890"/>
      <c r="X414" s="890"/>
      <c r="Y414" s="891"/>
      <c r="Z414" s="196">
        <f ca="1">IF($B$404="Лікар загальної практики - сімейний лікар",IF(Z408&lt;Законод!$C$22,0,(IF(AND(Z408&gt;=Законод!$I$22,Z408&lt;=Законод!$I$23),Z408-Законод!$H$23,IF('01_Доходи'!Z408&gt;=Законод!$I$22,Законод!$I$24,0)))),IF($B$404="Лікар-педіатр",IF(Z408&lt;Законод!$C$18,0,(IF(AND(Z408&gt;=Законод!$I$18,Z408&lt;=Законод!$I$19),Z408-Законод!$H$19,IF('01_Доходи'!Z408&gt;=Законод!$I$18,Законод!$H$20,0)))),IF($B$404="Лікар-терапевт",IF(Z408&lt;Законод!$C$26,0,(IF(AND(Z408&gt;=Законод!$I$26,Z408&lt;=Законод!$I$27),Z408-Законод!$H$27,IF('01_Доходи'!Z408&gt;=Законод!$I$26,Законод!$H$28,0)))),0)))</f>
        <v>0</v>
      </c>
      <c r="AA414" s="930"/>
      <c r="AB414" s="889" t="s">
        <v>346</v>
      </c>
      <c r="AC414" s="890"/>
      <c r="AD414" s="890"/>
      <c r="AE414" s="890"/>
      <c r="AF414" s="891"/>
      <c r="AG414" s="196">
        <f ca="1">IF($B$404="Лікар загальної практики - сімейний лікар",IF(AG408&lt;Законод!$C$22,0,(IF(AND(AG408&gt;=Законод!$I$22,AG408&lt;=Законод!$I$23),AG408-Законод!$H$23,IF('01_Доходи'!AG408&gt;=Законод!$I$22,Законод!$I$24,0)))),IF($B$404="Лікар-педіатр",IF(AG408&lt;Законод!$C$18,0,(IF(AND(AG408&gt;=Законод!$I$18,AG408&lt;=Законод!$I$19),AG408-Законод!$H$19,IF('01_Доходи'!AG408&gt;=Законод!$I$18,Законод!$H$20,0)))),IF($B$404="Лікар-терапевт",IF(AG408&lt;Законод!$C$26,0,(IF(AND(AG408&gt;=Законод!$I$26,AG408&lt;=Законод!$I$27),AG408-Законод!$H$27,IF('01_Доходи'!AG408&gt;=Законод!$I$26,Законод!$H$28,0)))),0)))</f>
        <v>0</v>
      </c>
      <c r="AH414" s="930"/>
      <c r="AI414" s="201"/>
      <c r="AJ414" s="933"/>
      <c r="AK414" s="927"/>
      <c r="AL414" s="927"/>
      <c r="AM414" s="899"/>
      <c r="AN414" s="210">
        <f ca="1">IF(B404="Лікар загальної практики - сімейний лікар",L414*Законод!$C$9/4*Законод!$I$16,IF(B404="Лікар-педіатр",L414*Законод!$C$9/4*Законод!$I$16,IF(B404="Лікар-терапевт",L414*Законод!$C$9/4*Законод!$I$16,0)))</f>
        <v>0</v>
      </c>
      <c r="AO414" s="210">
        <f ca="1">IF(B404="Лікар загальної практики - сімейний лікар",S414*Законод!$C$9/4*Законод!$I$16,IF(B404="Лікар-педіатр",S414*Законод!$C$9/4*Законод!$I$16,IF(B404="Лікар-терапевт",S414*Законод!$C$9/4*Законод!$I$16,0)))</f>
        <v>0</v>
      </c>
      <c r="AP414" s="210">
        <f ca="1">IF(B404="Лікар загальної практики - сімейний лікар",Z414*Законод!$C$9/4*Законод!$I$16,IF(B404="Лікар-педіатр",Z414*Законод!$C$9/4*Законод!$I$16,IF(B404="Лікар-терапевт",Z414*Законод!$C$9/4*Законод!$I$16,0)))</f>
        <v>0</v>
      </c>
      <c r="AQ414" s="210">
        <f ca="1">IF(B404="Лікар загальної практики - сімейний лікар",AG414*Законод!$C$9/4*Законод!$I$16,IF(B404="Лікар-педіатр",AG414*Законод!$C$9/4*Законод!$I$16,IF(B404="Лікар-терапевт",AG414*Законод!$C$9/4*Законод!$I$16,0)))</f>
        <v>0</v>
      </c>
      <c r="AR414" s="211">
        <f t="shared" si="58"/>
        <v>0</v>
      </c>
    </row>
    <row r="415" spans="1:44" s="218" customFormat="1" ht="31.9" hidden="1" customHeight="1" thickBot="1">
      <c r="A415" s="213"/>
      <c r="B415" s="894"/>
      <c r="C415" s="897"/>
      <c r="D415" s="913"/>
      <c r="E415" s="910"/>
      <c r="F415" s="239" t="str">
        <f ca="1">IF(B404="Лікар-педіатр",Законод!$J$17,IF(B404="Лікар загальної практики - сімейний лікар",Законод!$J$21,IF(B404="Лікар-терапевт",Законод!$J$25,"х")))</f>
        <v>х</v>
      </c>
      <c r="G415" s="935" t="s">
        <v>346</v>
      </c>
      <c r="H415" s="936"/>
      <c r="I415" s="936"/>
      <c r="J415" s="936"/>
      <c r="K415" s="937"/>
      <c r="L415" s="196">
        <f ca="1">IF($B$404="Лікар загальної практики - сімейний лікар",IF(L408&gt;=Законод!$J$22,'01_Доходи'!L408-('01_Доходи'!L409+'01_Доходи'!L410+'01_Доходи'!L411+'01_Доходи'!L412+'01_Доходи'!L413+'01_Доходи'!L414),0),IF($B$404="Лікар-педіатр",IF(L408&gt;=Законод!$J$18,'01_Доходи'!L408-('01_Доходи'!L409+'01_Доходи'!L410+'01_Доходи'!L411+'01_Доходи'!L412+'01_Доходи'!L413+'01_Доходи'!L414),0),IF($B$404="Лікар-терапевт",IF('01_Доходи'!L408&gt;=Законод!$J$26,L408-Законод!$I$27,0),0)))</f>
        <v>0</v>
      </c>
      <c r="M415" s="931"/>
      <c r="N415" s="935" t="s">
        <v>346</v>
      </c>
      <c r="O415" s="936"/>
      <c r="P415" s="936"/>
      <c r="Q415" s="936"/>
      <c r="R415" s="937"/>
      <c r="S415" s="196">
        <f ca="1">IF($B$404="Лікар загальної практики - сімейний лікар",IF(S408&gt;=Законод!$J$22,'01_Доходи'!S408-('01_Доходи'!S409+'01_Доходи'!S410+'01_Доходи'!S411+'01_Доходи'!S412+'01_Доходи'!S413+'01_Доходи'!S414),0),IF($B$404="Лікар-педіатр",IF(S408&gt;=Законод!$J$18,'01_Доходи'!S408-('01_Доходи'!S409+'01_Доходи'!S410+'01_Доходи'!S411+'01_Доходи'!S412+'01_Доходи'!S413+'01_Доходи'!S414),0),IF($B$404="Лікар-терапевт",IF('01_Доходи'!S408&gt;=Законод!$J$26,S408-Законод!$I$27,0),0)))</f>
        <v>0</v>
      </c>
      <c r="T415" s="931"/>
      <c r="U415" s="935" t="s">
        <v>346</v>
      </c>
      <c r="V415" s="936"/>
      <c r="W415" s="936"/>
      <c r="X415" s="936"/>
      <c r="Y415" s="937"/>
      <c r="Z415" s="196">
        <f ca="1">IF($B$404="Лікар загальної практики - сімейний лікар",IF(Z408&gt;=Законод!$J$22,'01_Доходи'!Z408-('01_Доходи'!Z409+'01_Доходи'!Z410+'01_Доходи'!Z411+'01_Доходи'!Z412+'01_Доходи'!Z413+'01_Доходи'!Z414),0),IF($B$404="Лікар-педіатр",IF(Z408&gt;=Законод!$J$18,'01_Доходи'!Z408-('01_Доходи'!Z409+'01_Доходи'!Z410+'01_Доходи'!Z411+'01_Доходи'!Z412+'01_Доходи'!Z413+'01_Доходи'!Z414),0),IF($B$404="Лікар-терапевт",IF('01_Доходи'!Z408&gt;=Законод!$J$26,Z408-Законод!$I$27,0),0)))</f>
        <v>0</v>
      </c>
      <c r="AA415" s="931"/>
      <c r="AB415" s="935" t="s">
        <v>346</v>
      </c>
      <c r="AC415" s="936"/>
      <c r="AD415" s="936"/>
      <c r="AE415" s="936"/>
      <c r="AF415" s="937"/>
      <c r="AG415" s="196">
        <f ca="1">IF($B$404="Лікар загальної практики - сімейний лікар",IF(AG408&gt;=Законод!$J$22,'01_Доходи'!AG408-('01_Доходи'!AG409+'01_Доходи'!AG410+'01_Доходи'!AG411+'01_Доходи'!AG412+'01_Доходи'!AG413+'01_Доходи'!AG414),0),IF($B$404="Лікар-педіатр",IF(AG408&gt;=Законод!$J$18,'01_Доходи'!AG408-('01_Доходи'!AG409+'01_Доходи'!AG410+'01_Доходи'!AG411+'01_Доходи'!AG412+'01_Доходи'!AG413+'01_Доходи'!AG414),0),IF($B$404="Лікар-терапевт",IF('01_Доходи'!AG408&gt;=Законод!$J$26,AG408-Законод!$I$27,0),0)))</f>
        <v>0</v>
      </c>
      <c r="AH415" s="931"/>
      <c r="AI415" s="215"/>
      <c r="AJ415" s="934"/>
      <c r="AK415" s="928"/>
      <c r="AL415" s="928"/>
      <c r="AM415" s="900"/>
      <c r="AN415" s="216">
        <f ca="1">IF(B404="Лікар загальної практики - сімейний лікар",L415*Законод!$C$9/4*Законод!$J$16,IF(B404="Лікар-педіатр",L415*Законод!$C$9/4*Законод!$J$16,IF(B404="Лікар-терапевт",L415*Законод!$C$9/4*Законод!$J$16,0)))</f>
        <v>0</v>
      </c>
      <c r="AO415" s="216">
        <f ca="1">IF(B404="Лікар загальної практики - сімейний лікар",S415*Законод!$C$9/4*Законод!$J$16,IF(B404="Лікар-педіатр",S415*Законод!$C$9/4*Законод!$J$16,IF(B404="Лікар-терапевт",S415*Законод!$C$9/4*Законод!$J$16,0)))</f>
        <v>0</v>
      </c>
      <c r="AP415" s="216">
        <f ca="1">IF(B404="Лікар загальної практики - сімейний лікар",S415*Законод!$C$9/4*Законод!$J$16,IF(B404="Лікар-педіатр",S415*Законод!$C$9/4*Законод!$J$16,IF(B404="Лікар-терапевт",S415*Законод!$C$9/4*Законод!$J$16,0)))</f>
        <v>0</v>
      </c>
      <c r="AQ415" s="216">
        <f ca="1">IF(B404="Лікар загальної практики - сімейний лікар",AG415*Законод!$C$9/4*Законод!$J$16,IF(B404="Лікар-педіатр",AG415*Законод!$C$9/4*Законод!$J$16,IF(B404="Лікар-терапевт",AG415*Законод!$C$9/4*Законод!$J$16,0)))</f>
        <v>0</v>
      </c>
      <c r="AR415" s="217">
        <f t="shared" si="58"/>
        <v>0</v>
      </c>
    </row>
    <row r="416" spans="1:44" s="247" customFormat="1" ht="23.45" hidden="1" customHeight="1" thickBot="1">
      <c r="A416" s="243"/>
      <c r="B416" s="244"/>
      <c r="C416" s="244"/>
      <c r="D416" s="244"/>
      <c r="E416" s="244"/>
      <c r="F416" s="245"/>
      <c r="G416" s="246"/>
      <c r="H416" s="246"/>
      <c r="L416" s="248"/>
      <c r="S416" s="248"/>
      <c r="Z416" s="248"/>
      <c r="AG416" s="248"/>
      <c r="AM416" s="249"/>
      <c r="AR416" s="250"/>
    </row>
    <row r="417" spans="1:44" s="191" customFormat="1" ht="27.6" hidden="1" customHeight="1">
      <c r="A417" s="194">
        <f>A404+1</f>
        <v>30</v>
      </c>
      <c r="B417" s="892"/>
      <c r="C417" s="895"/>
      <c r="D417" s="911"/>
      <c r="E417" s="908"/>
      <c r="F417" s="234" t="s">
        <v>582</v>
      </c>
      <c r="G417" s="196">
        <f>IF($B$417="Лікар-педіатр",G420*L417,IF($B$417="Лікар-терапевт","х",IF($B$417="Лікар загальної практики - сімейний лікар",G420*L417,0)))</f>
        <v>0</v>
      </c>
      <c r="H417" s="196">
        <f>IF($B$417="Лікар-педіатр",H420*L417,IF($B$417="Лікар-терапевт","х",IF($B$417="Лікар загальної практики - сімейний лікар",H420*L417,0)))</f>
        <v>0</v>
      </c>
      <c r="I417" s="196">
        <f>IF($B$417="Лікар-педіатр","x",IF($B$417="Лікар-терапевт",I420*L417,IF($B$417="Лікар загальної практики - сімейний лікар",I420*L417,0)))</f>
        <v>0</v>
      </c>
      <c r="J417" s="196">
        <f>IF($B$417="Лікар-педіатр","x",IF($B$417="Лікар-терапевт",J420*L417,IF($B$417="Лікар загальної практики - сімейний лікар",J420*L417,0)))</f>
        <v>0</v>
      </c>
      <c r="K417" s="196">
        <f>IF($B$417="Лікар-педіатр","x",IF($B$417="Лікар-терапевт",K420*L417,IF($B$417="Лікар загальної практики - сімейний лікар",K420*L417,0)))</f>
        <v>0</v>
      </c>
      <c r="L417" s="558"/>
      <c r="M417" s="929"/>
      <c r="N417" s="196">
        <f>IF($B$417="Лікар-педіатр",N420*S417,IF($B$417="Лікар-терапевт","х",IF($B$417="Лікар загальної практики - сімейний лікар",N420*S417,0)))</f>
        <v>0</v>
      </c>
      <c r="O417" s="196">
        <f>IF($B$417="Лікар-педіатр",O420*S417,IF($B$417="Лікар-терапевт","х",IF($B$417="Лікар загальної практики - сімейний лікар",O420*S417,0)))</f>
        <v>0</v>
      </c>
      <c r="P417" s="196">
        <f>IF($B$417="Лікар-педіатр","x",IF($B$417="Лікар-терапевт",P420*S417,IF($B$417="Лікар загальної практики - сімейний лікар",P420*S417,0)))</f>
        <v>0</v>
      </c>
      <c r="Q417" s="196">
        <f>IF($B$417="Лікар-педіатр","x",IF($B$417="Лікар-терапевт",Q420*S417,IF($B$417="Лікар загальної практики - сімейний лікар",Q420*S417,0)))</f>
        <v>0</v>
      </c>
      <c r="R417" s="196">
        <f>IF($B$417="Лікар-педіатр","x",IF($B$417="Лікар-терапевт",R420*S417,IF($B$417="Лікар загальної практики - сімейний лікар",R420*S417,0)))</f>
        <v>0</v>
      </c>
      <c r="S417" s="558"/>
      <c r="T417" s="929"/>
      <c r="U417" s="196">
        <f>IF($B$417="Лікар-педіатр",U420*Z417,IF($B$417="Лікар-терапевт","х",IF($B$417="Лікар загальної практики - сімейний лікар",U420*Z417,0)))</f>
        <v>0</v>
      </c>
      <c r="V417" s="196">
        <f>IF($B$417="Лікар-педіатр",V420*Z417,IF($B$417="Лікар-терапевт","х",IF($B$417="Лікар загальної практики - сімейний лікар",V420*Z417,0)))</f>
        <v>0</v>
      </c>
      <c r="W417" s="196">
        <f>IF($B$417="Лікар-педіатр","x",IF($B$417="Лікар-терапевт",W420*Z417,IF($B$417="Лікар загальної практики - сімейний лікар",W420*Z417,0)))</f>
        <v>0</v>
      </c>
      <c r="X417" s="196">
        <f>IF($B$417="Лікар-педіатр","x",IF($B$417="Лікар-терапевт",X420*Z417,IF($B$417="Лікар загальної практики - сімейний лікар",X420*Z417,0)))</f>
        <v>0</v>
      </c>
      <c r="Y417" s="196">
        <f>IF($B$417="Лікар-педіатр","x",IF($B$417="Лікар-терапевт",Y420*Z417,IF($B$417="Лікар загальної практики - сімейний лікар",Y420*Z417,0)))</f>
        <v>0</v>
      </c>
      <c r="Z417" s="558"/>
      <c r="AA417" s="929"/>
      <c r="AB417" s="196">
        <f>IF($B$417="Лікар-педіатр",AB420*AG417,IF($B$417="Лікар-терапевт","х",IF($B$417="Лікар загальної практики - сімейний лікар",AB420*AG417,0)))</f>
        <v>0</v>
      </c>
      <c r="AC417" s="196">
        <f>IF($B$417="Лікар-педіатр",AC420*AG417,IF($B$417="Лікар-терапевт","х",IF($B$417="Лікар загальної практики - сімейний лікар",AC420*AG417,0)))</f>
        <v>0</v>
      </c>
      <c r="AD417" s="196">
        <f>IF($B$417="Лікар-педіатр","x",IF($B$417="Лікар-терапевт",AD420*AG417,IF($B$417="Лікар загальної практики - сімейний лікар",AD420*AG417,0)))</f>
        <v>0</v>
      </c>
      <c r="AE417" s="196">
        <f>IF($B$417="Лікар-педіатр","x",IF($B$417="Лікар-терапевт",AE420*AG417,IF($B$417="Лікар загальної практики - сімейний лікар",AE420*AG417,0)))</f>
        <v>0</v>
      </c>
      <c r="AF417" s="196">
        <f>IF($B$417="Лікар-педіатр","x",IF($B$417="Лікар-терапевт",AF420*AG417,IF($B$417="Лікар загальної практики - сімейний лікар",AF420*AG417,0)))</f>
        <v>0</v>
      </c>
      <c r="AG417" s="558"/>
      <c r="AH417" s="929"/>
      <c r="AI417" s="541">
        <f>A417</f>
        <v>30</v>
      </c>
      <c r="AJ417" s="932">
        <f>B417</f>
        <v>0</v>
      </c>
      <c r="AK417" s="926">
        <f>C417</f>
        <v>0</v>
      </c>
      <c r="AL417" s="926">
        <f>D417</f>
        <v>0</v>
      </c>
      <c r="AM417" s="901" t="s">
        <v>785</v>
      </c>
      <c r="AN417" s="923">
        <f>SUM(AN422:AN428)</f>
        <v>0</v>
      </c>
      <c r="AO417" s="923">
        <f>SUM(AO422:AO428)</f>
        <v>0</v>
      </c>
      <c r="AP417" s="923">
        <f>SUM(AP422:AP428)</f>
        <v>0</v>
      </c>
      <c r="AQ417" s="923">
        <f>SUM(AQ422:AQ428)</f>
        <v>0</v>
      </c>
      <c r="AR417" s="914">
        <f>SUM(AN417:AQ421)</f>
        <v>0</v>
      </c>
    </row>
    <row r="418" spans="1:44" s="50" customFormat="1" ht="28.15" hidden="1" customHeight="1">
      <c r="A418" s="197"/>
      <c r="B418" s="893"/>
      <c r="C418" s="896"/>
      <c r="D418" s="912"/>
      <c r="E418" s="909"/>
      <c r="F418" s="234" t="s">
        <v>583</v>
      </c>
      <c r="G418" s="196">
        <f>IF($B$417="Лікар-педіатр",G420*L418,IF($B$417="Лікар-терапевт","х",IF($B$417="Лікар загальної практики - сімейний лікар",G420*L418,0)))</f>
        <v>0</v>
      </c>
      <c r="H418" s="196">
        <f>IF($B$417="Лікар-педіатр",H420*L418,IF($B$417="Лікар-терапевт","х",IF($B$417="Лікар загальної практики - сімейний лікар",H420*L418,0)))</f>
        <v>0</v>
      </c>
      <c r="I418" s="196">
        <f>IF($B$417="Лікар-педіатр","x",IF($B$417="Лікар-терапевт",I420*L418,IF($B$417="Лікар загальної практики - сімейний лікар",I420*L418,0)))</f>
        <v>0</v>
      </c>
      <c r="J418" s="196">
        <f>IF($B$417="Лікар-педіатр","x",IF($B$417="Лікар-терапевт",J420*L418,IF($B$417="Лікар загальної практики - сімейний лікар",J420*L418,0)))</f>
        <v>0</v>
      </c>
      <c r="K418" s="196">
        <f>IF($B$417="Лікар-педіатр","x",IF($B$417="Лікар-терапевт",K420*L418,IF($B$417="Лікар загальної практики - сімейний лікар",K420*L418,0)))</f>
        <v>0</v>
      </c>
      <c r="L418" s="558"/>
      <c r="M418" s="930"/>
      <c r="N418" s="196">
        <f>IF($B$417="Лікар-педіатр",N420*S418,IF($B$417="Лікар-терапевт","х",IF($B$417="Лікар загальної практики - сімейний лікар",N420*S418,0)))</f>
        <v>0</v>
      </c>
      <c r="O418" s="196">
        <f>IF($B$417="Лікар-педіатр",O420*S418,IF($B$417="Лікар-терапевт","х",IF($B$417="Лікар загальної практики - сімейний лікар",O420*S418,0)))</f>
        <v>0</v>
      </c>
      <c r="P418" s="196">
        <f>IF($B$417="Лікар-педіатр","x",IF($B$417="Лікар-терапевт",P420*S418,IF($B$417="Лікар загальної практики - сімейний лікар",P420*S418,0)))</f>
        <v>0</v>
      </c>
      <c r="Q418" s="196">
        <f>IF($B$417="Лікар-педіатр","x",IF($B$417="Лікар-терапевт",Q420*S418,IF($B$417="Лікар загальної практики - сімейний лікар",Q420*S418,0)))</f>
        <v>0</v>
      </c>
      <c r="R418" s="196">
        <f>IF($B$417="Лікар-педіатр","x",IF($B$417="Лікар-терапевт",R420*S418,IF($B$417="Лікар загальної практики - сімейний лікар",R420*S418,0)))</f>
        <v>0</v>
      </c>
      <c r="S418" s="558"/>
      <c r="T418" s="930"/>
      <c r="U418" s="196">
        <f>IF($B$417="Лікар-педіатр",U420*Z418,IF($B$417="Лікар-терапевт","х",IF($B$417="Лікар загальної практики - сімейний лікар",U420*Z418,0)))</f>
        <v>0</v>
      </c>
      <c r="V418" s="196">
        <f>IF($B$417="Лікар-педіатр",V420*Z418,IF($B$417="Лікар-терапевт","х",IF($B$417="Лікар загальної практики - сімейний лікар",V420*Z418,0)))</f>
        <v>0</v>
      </c>
      <c r="W418" s="196">
        <f>IF($B$417="Лікар-педіатр","x",IF($B$417="Лікар-терапевт",W420*Z418,IF($B$417="Лікар загальної практики - сімейний лікар",W420*Z418,0)))</f>
        <v>0</v>
      </c>
      <c r="X418" s="196">
        <f>IF($B$417="Лікар-педіатр","x",IF($B$417="Лікар-терапевт",X420*Z418,IF($B$417="Лікар загальної практики - сімейний лікар",X420*Z418,0)))</f>
        <v>0</v>
      </c>
      <c r="Y418" s="196">
        <f>IF($B$417="Лікар-педіатр","x",IF($B$417="Лікар-терапевт",Y420*Z418,IF($B$417="Лікар загальної практики - сімейний лікар",Y420*Z418,0)))</f>
        <v>0</v>
      </c>
      <c r="Z418" s="558"/>
      <c r="AA418" s="930"/>
      <c r="AB418" s="196">
        <f>IF($B$417="Лікар-педіатр",AB420*AG418,IF($B$417="Лікар-терапевт","х",IF($B$417="Лікар загальної практики - сімейний лікар",AB420*AG418,0)))</f>
        <v>0</v>
      </c>
      <c r="AC418" s="196">
        <f>IF($B$417="Лікар-педіатр",AC420*AG418,IF($B$417="Лікар-терапевт","х",IF($B$417="Лікар загальної практики - сімейний лікар",AC420*AG418,0)))</f>
        <v>0</v>
      </c>
      <c r="AD418" s="196">
        <f>IF($B$417="Лікар-педіатр","x",IF($B$417="Лікар-терапевт",AD420*AG418,IF($B$417="Лікар загальної практики - сімейний лікар",AD420*AG418,0)))</f>
        <v>0</v>
      </c>
      <c r="AE418" s="196">
        <f>IF($B$417="Лікар-педіатр","x",IF($B$417="Лікар-терапевт",AE420*AG418,IF($B$417="Лікар загальної практики - сімейний лікар",AE420*AG418,0)))</f>
        <v>0</v>
      </c>
      <c r="AF418" s="196">
        <f>IF($B$417="Лікар-педіатр","x",IF($B$417="Лікар-терапевт",AF420*AG418,IF($B$417="Лікар загальної практики - сімейний лікар",AF420*AG418,0)))</f>
        <v>0</v>
      </c>
      <c r="AG418" s="558"/>
      <c r="AH418" s="930"/>
      <c r="AI418" s="198"/>
      <c r="AJ418" s="933"/>
      <c r="AK418" s="927"/>
      <c r="AL418" s="927"/>
      <c r="AM418" s="902"/>
      <c r="AN418" s="924"/>
      <c r="AO418" s="924"/>
      <c r="AP418" s="924"/>
      <c r="AQ418" s="924"/>
      <c r="AR418" s="915"/>
    </row>
    <row r="419" spans="1:44" s="90" customFormat="1" ht="31.15" hidden="1" customHeight="1">
      <c r="A419" s="240"/>
      <c r="B419" s="893"/>
      <c r="C419" s="896"/>
      <c r="D419" s="912"/>
      <c r="E419" s="909"/>
      <c r="F419" s="241" t="s">
        <v>584</v>
      </c>
      <c r="G419" s="199">
        <f>IF(B417="Лікар загальної практики - сімейний лікар"," ",IF(B417="Лікар-педіатр"," ",IF(B417="Лікар-терапевт","х",0)))</f>
        <v>0</v>
      </c>
      <c r="H419" s="199">
        <f>IF(B417="Лікар загальної практики - сімейний лікар"," ",IF(B417="Лікар-педіатр"," ",IF(B417="Лікар-терапевт","х",0)))</f>
        <v>0</v>
      </c>
      <c r="I419" s="199">
        <f>IF(B417="Лікар загальної практики - сімейний лікар"," ",IF(B417="Лікар-педіатр","х",IF(B417="Лікар-терапевт"," ",0)))</f>
        <v>0</v>
      </c>
      <c r="J419" s="199">
        <f>IF(B417="Лікар загальної практики - сімейний лікар"," ",IF(B417="Лікар-педіатр","х",IF(B417="Лікар-терапевт"," ",0)))</f>
        <v>0</v>
      </c>
      <c r="K419" s="199">
        <f>IF(B417="Лікар загальної практики - сімейний лікар"," ",IF(B417="Лікар-педіатр","х",IF(B417="Лікар-терапевт"," ",0)))</f>
        <v>0</v>
      </c>
      <c r="L419" s="200">
        <f>SUM(G419:K419)</f>
        <v>0</v>
      </c>
      <c r="M419" s="930"/>
      <c r="N419" s="199">
        <f>IF(B417="Лікар загальної практики - сімейний лікар"," ",IF(B417="Лікар-педіатр"," ",IF(B417="Лікар-терапевт","х",0)))</f>
        <v>0</v>
      </c>
      <c r="O419" s="199">
        <f>IF(B417="Лікар загальної практики - сімейний лікар"," ",IF(B417="Лікар-педіатр"," ",IF(B417="Лікар-терапевт","х",0)))</f>
        <v>0</v>
      </c>
      <c r="P419" s="199">
        <f>IF(B417="Лікар загальної практики - сімейний лікар"," ",IF(B417="Лікар-педіатр","х",IF(B417="Лікар-терапевт"," ",0)))</f>
        <v>0</v>
      </c>
      <c r="Q419" s="199">
        <f>IF(B417="Лікар загальної практики - сімейний лікар"," ",IF(B417="Лікар-педіатр","х",IF(B417="Лікар-терапевт"," ",0)))</f>
        <v>0</v>
      </c>
      <c r="R419" s="199">
        <f>IF(B417="Лікар загальної практики - сімейний лікар"," ",IF(B417="Лікар-педіатр","х",IF(B417="Лікар-терапевт"," ",0)))</f>
        <v>0</v>
      </c>
      <c r="S419" s="200">
        <f>SUM(N419:R419)</f>
        <v>0</v>
      </c>
      <c r="T419" s="930"/>
      <c r="U419" s="199">
        <f>IF(B417="Лікар загальної практики - сімейний лікар"," ",IF(B417="Лікар-педіатр"," ",IF(B417="Лікар-терапевт","х",0)))</f>
        <v>0</v>
      </c>
      <c r="V419" s="199">
        <f>IF(B417="Лікар загальної практики - сімейний лікар"," ",IF(B417="Лікар-педіатр"," ",IF(B417="Лікар-терапевт","х",0)))</f>
        <v>0</v>
      </c>
      <c r="W419" s="199">
        <f>IF(B417="Лікар загальної практики - сімейний лікар"," ",IF(B417="Лікар-педіатр","х",IF(B417="Лікар-терапевт"," ",0)))</f>
        <v>0</v>
      </c>
      <c r="X419" s="199">
        <f>IF(B417="Лікар загальної практики - сімейний лікар"," ",IF(B417="Лікар-педіатр","х",IF(B417="Лікар-терапевт"," ",0)))</f>
        <v>0</v>
      </c>
      <c r="Y419" s="199">
        <f>IF(B417="Лікар загальної практики - сімейний лікар"," ",IF(B417="Лікар-педіатр","х",IF(B417="Лікар-терапевт"," ",0)))</f>
        <v>0</v>
      </c>
      <c r="Z419" s="200">
        <f>SUM(U419:Y419)</f>
        <v>0</v>
      </c>
      <c r="AA419" s="930"/>
      <c r="AB419" s="199">
        <f>IF(B417="Лікар загальної практики - сімейний лікар"," ",IF(B417="Лікар-педіатр"," ",IF(B417="Лікар-терапевт","х",0)))</f>
        <v>0</v>
      </c>
      <c r="AC419" s="199">
        <f>IF(B417="Лікар загальної практики - сімейний лікар"," ",IF(B417="Лікар-педіатр"," ",IF(B417="Лікар-терапевт","х",0)))</f>
        <v>0</v>
      </c>
      <c r="AD419" s="199">
        <f>IF(B417="Лікар загальної практики - сімейний лікар"," ",IF(B417="Лікар-педіатр","х",IF(B417="Лікар-терапевт"," ",0)))</f>
        <v>0</v>
      </c>
      <c r="AE419" s="199">
        <f>IF(B417="Лікар загальної практики - сімейний лікар"," ",IF(B417="Лікар-педіатр","х",IF(B417="Лікар-терапевт"," ",0)))</f>
        <v>0</v>
      </c>
      <c r="AF419" s="199">
        <f>IF(B417="Лікар загальної практики - сімейний лікар"," ",IF(B417="Лікар-педіатр","х",IF(B417="Лікар-терапевт"," ",0)))</f>
        <v>0</v>
      </c>
      <c r="AG419" s="200">
        <f>SUM(AB419:AF419)</f>
        <v>0</v>
      </c>
      <c r="AH419" s="930"/>
      <c r="AI419" s="242"/>
      <c r="AJ419" s="933"/>
      <c r="AK419" s="927"/>
      <c r="AL419" s="927"/>
      <c r="AM419" s="902"/>
      <c r="AN419" s="924"/>
      <c r="AO419" s="924"/>
      <c r="AP419" s="924"/>
      <c r="AQ419" s="924"/>
      <c r="AR419" s="915"/>
    </row>
    <row r="420" spans="1:44" s="50" customFormat="1" ht="31.9" hidden="1" customHeight="1" thickBot="1">
      <c r="A420" s="197"/>
      <c r="B420" s="893"/>
      <c r="C420" s="896"/>
      <c r="D420" s="912"/>
      <c r="E420" s="909"/>
      <c r="F420" s="236" t="s">
        <v>349</v>
      </c>
      <c r="G420" s="203">
        <f>IF($B$417="Лікар-педіатр",G419/L419,IF($B$417="Лікар-терапевт","х",IF($B$417="Лікар загальної практики - сімейний лікар",G419/L419,0)))</f>
        <v>0</v>
      </c>
      <c r="H420" s="203">
        <f>IF($B$417="Лікар-педіатр",H419/L419,IF($B$417="Лікар-терапевт","х",IF($B$417="Лікар загальної практики - сімейний лікар",H419/L419,0)))</f>
        <v>0</v>
      </c>
      <c r="I420" s="203">
        <f>IF($B$417="Лікар-педіатр","x",IF($B$417="Лікар-терапевт",I419/L419,IF($B$417="Лікар загальної практики - сімейний лікар",I419/L419,0)))</f>
        <v>0</v>
      </c>
      <c r="J420" s="203">
        <f>IF($B$417="Лікар-педіатр","x",IF($B$417="Лікар-терапевт",J419/L419,IF($B$417="Лікар загальної практики - сімейний лікар",J419/L419,0)))</f>
        <v>0</v>
      </c>
      <c r="K420" s="203">
        <f>IF($B$417="Лікар-педіатр","x",IF($B$417="Лікар-терапевт",K419/L419,IF($B$417="Лікар загальної практики - сімейний лікар",K419/L419,0)))</f>
        <v>0</v>
      </c>
      <c r="L420" s="203">
        <f>SUM(G420:K420)</f>
        <v>0</v>
      </c>
      <c r="M420" s="930"/>
      <c r="N420" s="203">
        <f>IF($B$417="Лікар-педіатр",N419/S419,IF($B$417="Лікар-терапевт","х",IF($B$417="Лікар загальної практики - сімейний лікар",N419/S419,0)))</f>
        <v>0</v>
      </c>
      <c r="O420" s="203">
        <f>IF($B$417="Лікар-педіатр",O419/S419,IF($B$417="Лікар-терапевт","х",IF($B$417="Лікар загальної практики - сімейний лікар",O419/S419,0)))</f>
        <v>0</v>
      </c>
      <c r="P420" s="203">
        <f>IF($B$417="Лікар-педіатр","x",IF($B$417="Лікар-терапевт",P419/S419,IF($B$417="Лікар загальної практики - сімейний лікар",P419/S419,0)))</f>
        <v>0</v>
      </c>
      <c r="Q420" s="203">
        <f>IF($B$417="Лікар-педіатр","x",IF($B$417="Лікар-терапевт",Q419/S419,IF($B$417="Лікар загальної практики - сімейний лікар",Q419/S419,0)))</f>
        <v>0</v>
      </c>
      <c r="R420" s="203">
        <f>IF($B$417="Лікар-педіатр","x",IF($B$417="Лікар-терапевт",R419/S419,IF($B$417="Лікар загальної практики - сімейний лікар",R419/S419,0)))</f>
        <v>0</v>
      </c>
      <c r="S420" s="203">
        <f>SUM(N420:R420)</f>
        <v>0</v>
      </c>
      <c r="T420" s="930"/>
      <c r="U420" s="203">
        <f>IF($B$417="Лікар-педіатр",U419/Z419,IF($B$417="Лікар-терапевт","х",IF($B$417="Лікар загальної практики - сімейний лікар",U419/Z419,0)))</f>
        <v>0</v>
      </c>
      <c r="V420" s="203">
        <f>IF($B$417="Лікар-педіатр",V419/Z419,IF($B$417="Лікар-терапевт","х",IF($B$417="Лікар загальної практики - сімейний лікар",V419/Z419,0)))</f>
        <v>0</v>
      </c>
      <c r="W420" s="203">
        <f>IF($B$417="Лікар-педіатр","x",IF($B$417="Лікар-терапевт",W419/Z419,IF($B$417="Лікар загальної практики - сімейний лікар",W419/Z419,0)))</f>
        <v>0</v>
      </c>
      <c r="X420" s="203">
        <f>IF($B$417="Лікар-педіатр","x",IF($B$417="Лікар-терапевт",X419/Z419,IF($B$417="Лікар загальної практики - сімейний лікар",X419/Z419,0)))</f>
        <v>0</v>
      </c>
      <c r="Y420" s="203">
        <f>IF($B$417="Лікар-педіатр","x",IF($B$417="Лікар-терапевт",Y419/Z419,IF($B$417="Лікар загальної практики - сімейний лікар",Y419/Z419,0)))</f>
        <v>0</v>
      </c>
      <c r="Z420" s="203">
        <f>SUM(U420:Y420)</f>
        <v>0</v>
      </c>
      <c r="AA420" s="930"/>
      <c r="AB420" s="203">
        <f>IF($B$417="Лікар-педіатр",AB419/AG419,IF($B$417="Лікар-терапевт","х",IF($B$417="Лікар загальної практики - сімейний лікар",AB419/AG419,0)))</f>
        <v>0</v>
      </c>
      <c r="AC420" s="203">
        <f>IF($B$417="Лікар-педіатр",AC419/AG419,IF($B$417="Лікар-терапевт","х",IF($B$417="Лікар загальної практики - сімейний лікар",AC419/AG419,0)))</f>
        <v>0</v>
      </c>
      <c r="AD420" s="203">
        <f>IF($B$417="Лікар-педіатр","x",IF($B$417="Лікар-терапевт",AD419/AG419,IF($B$417="Лікар загальної практики - сімейний лікар",AD419/AG419,0)))</f>
        <v>0</v>
      </c>
      <c r="AE420" s="203">
        <f>IF($B$417="Лікар-педіатр","x",IF($B$417="Лікар-терапевт",AE419/AG419,IF($B$417="Лікар загальної практики - сімейний лікар",AE419/AG419,0)))</f>
        <v>0</v>
      </c>
      <c r="AF420" s="203">
        <f>IF($B$417="Лікар-педіатр","x",IF($B$417="Лікар-терапевт",AF419/AG419,IF($B$417="Лікар загальної практики - сімейний лікар",AF419/AG419,0)))</f>
        <v>0</v>
      </c>
      <c r="AG420" s="203">
        <f>SUM(AB420:AF420)</f>
        <v>0</v>
      </c>
      <c r="AH420" s="930"/>
      <c r="AI420" s="201"/>
      <c r="AJ420" s="933"/>
      <c r="AK420" s="927"/>
      <c r="AL420" s="927"/>
      <c r="AM420" s="902"/>
      <c r="AN420" s="924"/>
      <c r="AO420" s="924"/>
      <c r="AP420" s="924"/>
      <c r="AQ420" s="924"/>
      <c r="AR420" s="915"/>
    </row>
    <row r="421" spans="1:44" s="50" customFormat="1" ht="45" hidden="1" customHeight="1" thickBot="1">
      <c r="A421" s="197"/>
      <c r="B421" s="893"/>
      <c r="C421" s="896"/>
      <c r="D421" s="912"/>
      <c r="E421" s="909"/>
      <c r="F421" s="204" t="s">
        <v>585</v>
      </c>
      <c r="G421" s="205">
        <f>IF($B$417="Лікар загальної практики - сімейний лікар",AVERAGE(G417:G419),IF($B$417="Лікар-педіатр",AVERAGE(G417:G419),IF($B$417="Лікар-терапевт","х",0)))</f>
        <v>0</v>
      </c>
      <c r="H421" s="205">
        <f>IF($B$417="Лікар загальної практики - сімейний лікар",AVERAGE(H417:H419),IF($B$417="Лікар-педіатр",AVERAGE(H417:H419),IF($B$417="Лікар-терапевт","х",0)))</f>
        <v>0</v>
      </c>
      <c r="I421" s="205">
        <f>IF($B$417="Лікар загальної практики - сімейний лікар",AVERAGE(I417:I419),IF($B$417="Лікар-педіатр","x",IF($B$417="Лікар-терапевт",AVERAGE(I417:I419),0)))</f>
        <v>0</v>
      </c>
      <c r="J421" s="205">
        <f>IF($B$417="Лікар загальної практики - сімейний лікар",AVERAGE(J417:J419),IF($B$417="Лікар-педіатр","x",IF($B$417="Лікар-терапевт",AVERAGE(J417:J419),0)))</f>
        <v>0</v>
      </c>
      <c r="K421" s="205">
        <f>IF($B$417="Лікар загальної практики - сімейний лікар",AVERAGE(K417:K419),IF($B$417="Лікар-педіатр","x",IF($B$417="Лікар-терапевт",AVERAGE(K417:K419),0)))</f>
        <v>0</v>
      </c>
      <c r="L421" s="206">
        <f>SUM(G421:K421)</f>
        <v>0</v>
      </c>
      <c r="M421" s="930"/>
      <c r="N421" s="205">
        <f>IF($B$417="Лікар загальної практики - сімейний лікар",AVERAGE(N417:N419),IF($B$417="Лікар-педіатр",AVERAGE(N417:N419),IF($B$417="Лікар-терапевт","х",0)))</f>
        <v>0</v>
      </c>
      <c r="O421" s="205">
        <f>IF($B$417="Лікар загальної практики - сімейний лікар",AVERAGE(O417:O419),IF($B$417="Лікар-педіатр",AVERAGE(O417:O419),IF($B$417="Лікар-терапевт","х",0)))</f>
        <v>0</v>
      </c>
      <c r="P421" s="205">
        <f>IF($B$417="Лікар загальної практики - сімейний лікар",AVERAGE(P417:P419),IF($B$417="Лікар-педіатр","x",IF($B$417="Лікар-терапевт",AVERAGE(P417:P419),0)))</f>
        <v>0</v>
      </c>
      <c r="Q421" s="205">
        <f>IF($B$417="Лікар загальної практики - сімейний лікар",AVERAGE(Q417:Q419),IF($B$417="Лікар-педіатр","x",IF($B$417="Лікар-терапевт",AVERAGE(Q417:Q419),0)))</f>
        <v>0</v>
      </c>
      <c r="R421" s="205">
        <f>IF($B$417="Лікар загальної практики - сімейний лікар",AVERAGE(R417:R419),IF($B$417="Лікар-педіатр","x",IF($B$417="Лікар-терапевт",AVERAGE(R417:R419),0)))</f>
        <v>0</v>
      </c>
      <c r="S421" s="206">
        <f>SUM(N421:R421)</f>
        <v>0</v>
      </c>
      <c r="T421" s="930"/>
      <c r="U421" s="205">
        <f>IF($B$417="Лікар загальної практики - сімейний лікар",AVERAGE(U417:U419),IF($B$417="Лікар-педіатр",AVERAGE(U417:U419),IF($B$417="Лікар-терапевт","х",0)))</f>
        <v>0</v>
      </c>
      <c r="V421" s="205">
        <f>IF($B$417="Лікар загальної практики - сімейний лікар",AVERAGE(V417:V419),IF($B$417="Лікар-педіатр",AVERAGE(V417:V419),IF($B$417="Лікар-терапевт","х",0)))</f>
        <v>0</v>
      </c>
      <c r="W421" s="205">
        <f>IF($B$417="Лікар загальної практики - сімейний лікар",AVERAGE(W417:W419),IF($B$417="Лікар-педіатр","x",IF($B$417="Лікар-терапевт",AVERAGE(W417:W419),0)))</f>
        <v>0</v>
      </c>
      <c r="X421" s="205">
        <f>IF($B$417="Лікар загальної практики - сімейний лікар",AVERAGE(X417:X419),IF($B$417="Лікар-педіатр","x",IF($B$417="Лікар-терапевт",AVERAGE(X417:X419),0)))</f>
        <v>0</v>
      </c>
      <c r="Y421" s="205">
        <f>IF($B$417="Лікар загальної практики - сімейний лікар",AVERAGE(Y417:Y419),IF($B$417="Лікар-педіатр","x",IF($B$417="Лікар-терапевт",AVERAGE(Y417:Y419),0)))</f>
        <v>0</v>
      </c>
      <c r="Z421" s="206">
        <f>SUM(U421:Y421)</f>
        <v>0</v>
      </c>
      <c r="AA421" s="930"/>
      <c r="AB421" s="205">
        <f>IF($B$417="Лікар загальної практики - сімейний лікар",AVERAGE(AB417:AB419),IF($B$417="Лікар-педіатр",AVERAGE(AB417:AB419),IF($B$417="Лікар-терапевт","х",0)))</f>
        <v>0</v>
      </c>
      <c r="AC421" s="205">
        <f>IF($B$417="Лікар загальної практики - сімейний лікар",AVERAGE(AC417:AC419),IF($B$417="Лікар-педіатр",AVERAGE(AC417:AC419),IF($B$417="Лікар-терапевт","х",0)))</f>
        <v>0</v>
      </c>
      <c r="AD421" s="205">
        <f>IF($B$417="Лікар загальної практики - сімейний лікар",AVERAGE(AD417:AD419),IF($B$417="Лікар-педіатр","x",IF($B$417="Лікар-терапевт",AVERAGE(AD417:AD419),0)))</f>
        <v>0</v>
      </c>
      <c r="AE421" s="205">
        <f>IF($B$417="Лікар загальної практики - сімейний лікар",AVERAGE(AE417:AE419),IF($B$417="Лікар-педіатр","x",IF($B$417="Лікар-терапевт",AVERAGE(AE417:AE419),0)))</f>
        <v>0</v>
      </c>
      <c r="AF421" s="205">
        <f>IF($B$417="Лікар загальної практики - сімейний лікар",AVERAGE(AF417:AF419),IF($B$417="Лікар-педіатр","x",IF($B$417="Лікар-терапевт",AVERAGE(AF417:AF419),0)))</f>
        <v>0</v>
      </c>
      <c r="AG421" s="206">
        <f>SUM(AB421:AF421)</f>
        <v>0</v>
      </c>
      <c r="AH421" s="930"/>
      <c r="AI421" s="201"/>
      <c r="AJ421" s="933"/>
      <c r="AK421" s="927"/>
      <c r="AL421" s="927"/>
      <c r="AM421" s="903"/>
      <c r="AN421" s="925"/>
      <c r="AO421" s="925"/>
      <c r="AP421" s="925"/>
      <c r="AQ421" s="925"/>
      <c r="AR421" s="916"/>
    </row>
    <row r="422" spans="1:44" s="50" customFormat="1" ht="40.5" hidden="1">
      <c r="A422" s="197"/>
      <c r="B422" s="893"/>
      <c r="C422" s="896"/>
      <c r="D422" s="912"/>
      <c r="E422" s="909"/>
      <c r="F422" s="237" t="str">
        <f ca="1">IF(B417="Лікар-педіатр",Законод!$C$17,IF(B417="Лікар загальної практики - сімейний лікар",Законод!$C$21,IF(B417="Лікар-терапевт",Законод!$C$25,"х")))</f>
        <v>х</v>
      </c>
      <c r="G422" s="208">
        <f ca="1">IF($B$417="Лікар загальної практики - сімейний лікар",IF(L421&lt;=Законод!$C$22,G421,Законод!$C$22*'01_Доходи'!G420),IF($B$417="Лікар-педіатр",IF(L421&lt;=Законод!$C$18,G421,Законод!$C$18*'01_Доходи'!G420),IF($B$417="Лікар-терапевт","x",0)))</f>
        <v>0</v>
      </c>
      <c r="H422" s="208">
        <f ca="1">IF($B$417="Лікар загальної практики - сімейний лікар",IF(L421&lt;=Законод!$C$22,H421,Законод!$C$22*'01_Доходи'!H420),IF($B$417="Лікар-педіатр",IF(L421&lt;=Законод!$C$18,H421,Законод!$C$18*'01_Доходи'!H420),IF($B$417="Лікар-терапевт","x",0)))</f>
        <v>0</v>
      </c>
      <c r="I422" s="208">
        <f ca="1">IF($B$417="Лікар загальної практики - сімейний лікар",IF(L421&lt;=Законод!$C$22,I421,Законод!$C$22*'01_Доходи'!I420),IF($B$417="Лікар-педіатр","x",IF($B$417="Лікар-терапевт",IF(L421&lt;=Законод!$C$26,I421,Законод!$C$26*'01_Доходи'!I420),0)))</f>
        <v>0</v>
      </c>
      <c r="J422" s="208">
        <f ca="1">IF($B$417="Лікар загальної практики - сімейний лікар",IF(L421&lt;=Законод!$C$22,J421,Законод!$C$22*'01_Доходи'!J420),IF($B$417="Лікар-педіатр","x",IF($B$417="Лікар-терапевт",IF(L421&lt;=Законод!$C$26,J421,Законод!$C$26*'01_Доходи'!J420),0)))</f>
        <v>0</v>
      </c>
      <c r="K422" s="208">
        <f ca="1">IF($B$417="Лікар загальної практики - сімейний лікар",IF(L421&lt;=Законод!$C$22,K421,Законод!$C$22*'01_Доходи'!K420),IF($B$417="Лікар-педіатр","x",IF($B$417="Лікар-терапевт",IF(L421&lt;=Законод!$C$26,K421,Законод!$C$26*'01_Доходи'!K420),0)))</f>
        <v>0</v>
      </c>
      <c r="L422" s="209">
        <f ca="1">SUM(G422:K422)</f>
        <v>0</v>
      </c>
      <c r="M422" s="930"/>
      <c r="N422" s="208">
        <f ca="1">IF($B$417="Лікар загальної практики - сімейний лікар",IF(S421&lt;=Законод!$C$22,N421,Законод!$C$22*'01_Доходи'!N420),IF($B$417="Лікар-педіатр",IF(S421&lt;=Законод!$C$18,N421,Законод!$C$18*'01_Доходи'!N420),IF($B$417="Лікар-терапевт","x",0)))</f>
        <v>0</v>
      </c>
      <c r="O422" s="208">
        <f ca="1">IF($B$417="Лікар загальної практики - сімейний лікар",IF(S421&lt;=Законод!$C$22,O421,Законод!$C$22*'01_Доходи'!O420),IF($B$417="Лікар-педіатр",IF(S421&lt;=Законод!$C$18,O421,Законод!$C$18*'01_Доходи'!O420),IF($B$417="Лікар-терапевт","x",0)))</f>
        <v>0</v>
      </c>
      <c r="P422" s="208">
        <f ca="1">IF($B$417="Лікар загальної практики - сімейний лікар",IF(S421&lt;=Законод!$C$22,P421,Законод!$C$22*'01_Доходи'!P420),IF($B$417="Лікар-педіатр","x",IF($B$417="Лікар-терапевт",IF(S421&lt;=Законод!$C$26,P421,Законод!$C$26*'01_Доходи'!P420),0)))</f>
        <v>0</v>
      </c>
      <c r="Q422" s="208">
        <f ca="1">IF($B$417="Лікар загальної практики - сімейний лікар",IF(S421&lt;=Законод!$C$22,Q421,Законод!$C$22*'01_Доходи'!Q420),IF($B$417="Лікар-педіатр","x",IF($B$417="Лікар-терапевт",IF(S421&lt;=Законод!$C$26,Q421,Законод!$C$26*'01_Доходи'!Q420),0)))</f>
        <v>0</v>
      </c>
      <c r="R422" s="208">
        <f ca="1">IF($B$417="Лікар загальної практики - сімейний лікар",IF(S421&lt;=Законод!$C$22,R421,Законод!$C$22*'01_Доходи'!R420),IF($B$417="Лікар-педіатр","x",IF($B$417="Лікар-терапевт",IF(S421&lt;=Законод!$C$26,R421,Законод!$C$26*'01_Доходи'!R420),0)))</f>
        <v>0</v>
      </c>
      <c r="S422" s="209">
        <f ca="1">SUM(N422:R422)</f>
        <v>0</v>
      </c>
      <c r="T422" s="930"/>
      <c r="U422" s="208">
        <f ca="1">IF($B$417="Лікар загальної практики - сімейний лікар",IF(Z421&lt;=Законод!$C$22,U421,Законод!$C$22*'01_Доходи'!U420),IF($B$417="Лікар-педіатр",IF(Z421&lt;=Законод!$C$18,U421,Законод!$C$18*'01_Доходи'!U420),IF($B$417="Лікар-терапевт","x",0)))</f>
        <v>0</v>
      </c>
      <c r="V422" s="208">
        <f ca="1">IF($B$417="Лікар загальної практики - сімейний лікар",IF(Z421&lt;=Законод!$C$22,V421,Законод!$C$22*'01_Доходи'!V420),IF($B$417="Лікар-педіатр",IF(Z421&lt;=Законод!$C$18,V421,Законод!$C$18*'01_Доходи'!V420),IF($B$417="Лікар-терапевт","x",0)))</f>
        <v>0</v>
      </c>
      <c r="W422" s="208">
        <f ca="1">IF($B$417="Лікар загальної практики - сімейний лікар",IF(Z421&lt;=Законод!$C$22,W421,Законод!$C$22*'01_Доходи'!W420),IF($B$417="Лікар-педіатр","x",IF($B$417="Лікар-терапевт",IF(Z421&lt;=Законод!$C$26,W421,Законод!$C$26*'01_Доходи'!W420),0)))</f>
        <v>0</v>
      </c>
      <c r="X422" s="208">
        <f ca="1">IF($B$417="Лікар загальної практики - сімейний лікар",IF(Z421&lt;=Законод!$C$22,X421,Законод!$C$22*'01_Доходи'!X420),IF($B$417="Лікар-педіатр","x",IF($B$417="Лікар-терапевт",IF(Z421&lt;=Законод!$C$26,X421,Законод!$C$26*'01_Доходи'!X420),0)))</f>
        <v>0</v>
      </c>
      <c r="Y422" s="208">
        <f ca="1">IF($B$417="Лікар загальної практики - сімейний лікар",IF(Z421&lt;=Законод!$C$22,Y421,Законод!$C$22*'01_Доходи'!Y420),IF($B$417="Лікар-педіатр","x",IF($B$417="Лікар-терапевт",IF(Z421&lt;=Законод!$C$26,Y421,Законод!$C$26*'01_Доходи'!Y420),0)))</f>
        <v>0</v>
      </c>
      <c r="Z422" s="209">
        <f ca="1">SUM(U422:Y422)</f>
        <v>0</v>
      </c>
      <c r="AA422" s="930"/>
      <c r="AB422" s="208">
        <f ca="1">IF($B$417="Лікар загальної практики - сімейний лікар",IF(AG421&lt;=Законод!$C$22,AB421,Законод!$C$22*'01_Доходи'!AB420),IF($B$417="Лікар-педіатр",IF(AG421&lt;=Законод!$C$18,AB421,Законод!$C$18*'01_Доходи'!AB420),IF($B$417="Лікар-терапевт","x",0)))</f>
        <v>0</v>
      </c>
      <c r="AC422" s="208">
        <f ca="1">IF($B$417="Лікар загальної практики - сімейний лікар",IF(AG421&lt;=Законод!$C$22,AC421,Законод!$C$22*'01_Доходи'!AC420),IF($B$417="Лікар-педіатр",IF(AG421&lt;=Законод!$C$18,AC421,Законод!$C$18*'01_Доходи'!AC420),IF($B$417="Лікар-терапевт","x",0)))</f>
        <v>0</v>
      </c>
      <c r="AD422" s="208">
        <f ca="1">IF($B$417="Лікар загальної практики - сімейний лікар",IF(AG421&lt;=Законод!$C$22,AD421,Законод!$C$22*'01_Доходи'!AD420),IF($B$417="Лікар-педіатр","x",IF($B$417="Лікар-терапевт",IF(AG421&lt;=Законод!$C$26,AD421,Законод!$C$26*'01_Доходи'!AD420),0)))</f>
        <v>0</v>
      </c>
      <c r="AE422" s="208">
        <f ca="1">IF($B$417="Лікар загальної практики - сімейний лікар",IF(AG421&lt;=Законод!$C$22,AE421,Законод!$C$22*'01_Доходи'!AE420),IF($B$417="Лікар-педіатр","x",IF($B$417="Лікар-терапевт",IF(AG421&lt;=Законод!$C$26,AE421,Законод!$C$26*'01_Доходи'!AE420),0)))</f>
        <v>0</v>
      </c>
      <c r="AF422" s="208">
        <f ca="1">IF($B$417="Лікар загальної практики - сімейний лікар",IF(AG421&lt;=Законод!$C$22,AF421,Законод!$C$22*'01_Доходи'!AF420),IF($B$417="Лікар-педіатр","x",IF($B$417="Лікар-терапевт",IF(AG421&lt;=Законод!$C$26,AF421,Законод!$C$26*'01_Доходи'!AF420),0)))</f>
        <v>0</v>
      </c>
      <c r="AG422" s="209">
        <f ca="1">SUM(AB422:AF422)</f>
        <v>0</v>
      </c>
      <c r="AH422" s="930"/>
      <c r="AI422" s="201"/>
      <c r="AJ422" s="933"/>
      <c r="AK422" s="927"/>
      <c r="AL422" s="927"/>
      <c r="AM422" s="348" t="s">
        <v>374</v>
      </c>
      <c r="AN422" s="210">
        <f ca="1">IF(B417="Лікар загальної практики - сімейний лікар",G422*Законод!$C$11+'01_Доходи'!H422*Законод!$D$11+'01_Доходи'!I422*Законод!$E$11+'01_Доходи'!J422*Законод!$F$11+'01_Доходи'!K422*Законод!$G$11,IF(B417="Лікар-педіатр",G422*Законод!$C$11+'01_Доходи'!H422*Законод!$D$11,IF(B417="Лікар-терапевт",'01_Доходи'!I422*Законод!$E$11+'01_Доходи'!J422*Законод!$F$11+'01_Доходи'!K422*Законод!$G$11,0)))</f>
        <v>0</v>
      </c>
      <c r="AO422" s="210">
        <f ca="1">IF(B417="Лікар загальної практики - сімейний лікар",N422*Законод!$C$11+'01_Доходи'!O422*Законод!$D$11+'01_Доходи'!P422*Законод!$E$11+'01_Доходи'!Q422*Законод!$F$11+'01_Доходи'!R422*Законод!$G$11,IF(B417="Лікар-педіатр",N422*Законод!$C$11+'01_Доходи'!O422*Законод!$D$11,IF(B417="Лікар-терапевт",'01_Доходи'!P422*Законод!$E$11+'01_Доходи'!Q422*Законод!$F$11+'01_Доходи'!R422*Законод!$G$11,0)))</f>
        <v>0</v>
      </c>
      <c r="AP422" s="210">
        <f ca="1">IF(B417="Лікар загальної практики - сімейний лікар",U422*Законод!$C$11+'01_Доходи'!V422*Законод!$D$11+'01_Доходи'!W422*Законод!$E$11+'01_Доходи'!X422*Законод!$F$11+'01_Доходи'!Y422*Законод!$G$11,IF(B417="Лікар-педіатр",U422*Законод!$C$11+'01_Доходи'!V422*Законод!$D$11,IF(B417="Лікар-терапевт",'01_Доходи'!W422*Законод!$E$11+'01_Доходи'!X422*Законод!$F$11+'01_Доходи'!Y422*Законод!$G$11,0)))</f>
        <v>0</v>
      </c>
      <c r="AQ422" s="210">
        <f ca="1">IF(B417="Лікар загальної практики - сімейний лікар",AB422*Законод!$C$11+'01_Доходи'!AC422*Законод!$D$11+'01_Доходи'!AD422*Законод!$E$11+'01_Доходи'!AE422*Законод!$F$11+'01_Доходи'!AF422*Законод!$G$11,IF(B417="Лікар-педіатр",AB422*Законод!$C$11+'01_Доходи'!AC422*Законод!$D$11,IF(B417="Лікар-терапевт",'01_Доходи'!AD422*Законод!$E$11+'01_Доходи'!AE422*Законод!$F$11+'01_Доходи'!AF422*Законод!$G$11,0)))</f>
        <v>0</v>
      </c>
      <c r="AR422" s="211">
        <f t="shared" ref="AR422:AR428" si="59">SUM(AN422:AQ422)</f>
        <v>0</v>
      </c>
    </row>
    <row r="423" spans="1:44" s="50" customFormat="1" ht="31.9" hidden="1" customHeight="1">
      <c r="A423" s="197"/>
      <c r="B423" s="893"/>
      <c r="C423" s="896"/>
      <c r="D423" s="912"/>
      <c r="E423" s="909"/>
      <c r="F423" s="238" t="str">
        <f ca="1">IF(B417="Лікар-педіатр",Законод!$E$17,IF(B417="Лікар загальної практики - сімейний лікар",Законод!$E$21,IF(B417="Лікар-терапевт",Законод!$E$25,"х")))</f>
        <v>х</v>
      </c>
      <c r="G423" s="889" t="s">
        <v>346</v>
      </c>
      <c r="H423" s="890"/>
      <c r="I423" s="890"/>
      <c r="J423" s="890"/>
      <c r="K423" s="891"/>
      <c r="L423" s="196">
        <f ca="1">IF($B$417="Лікар загальної практики - сімейний лікар",IF(L421&lt;Законод!$C$22,0,(IF(AND(L421&gt;=Законод!$E$22,L421&lt;=Законод!$E$23),L421-Законод!$C$22,IF('01_Доходи'!L421&gt;=Законод!$F$22,Законод!$E$24,0)))),IF($B$417="Лікар-педіатр",IF(L421&lt;Законод!$C$18,0,(IF(AND(L421&gt;=Законод!$E$18,L421&lt;=Законод!$E$19),L421-Законод!$C$18,IF('01_Доходи'!L421&gt;=Законод!$F$18,Законод!$E$20,0)))),IF($B$417="Лікар-терапевт",IF(L421&lt;Законод!$C$26,0,(IF(AND(L421&gt;=Законод!$E$26,L421&lt;=Законод!$E$27),L421-Законод!$C$26,IF('01_Доходи'!L421&gt;=Законод!$F$26,Законод!$E$28,0)))),0)))</f>
        <v>0</v>
      </c>
      <c r="M423" s="930"/>
      <c r="N423" s="889" t="s">
        <v>346</v>
      </c>
      <c r="O423" s="890"/>
      <c r="P423" s="890"/>
      <c r="Q423" s="890"/>
      <c r="R423" s="891"/>
      <c r="S423" s="196">
        <f ca="1">IF($B$417="Лікар загальної практики - сімейний лікар",IF(S421&lt;Законод!$C$22,0,(IF(AND(S421&gt;=Законод!$E$22,S421&lt;=Законод!$E$23),S421-Законод!$C$22,IF('01_Доходи'!S421&gt;=Законод!$F$22,Законод!$E$24,0)))),IF($B$417="Лікар-педіатр",IF(S421&lt;Законод!$C$18,0,(IF(AND(S421&gt;=Законод!$E$18,S421&lt;=Законод!$E$19),S421-Законод!$C$18,IF('01_Доходи'!S421&gt;=Законод!$F$18,Законод!$E$20,0)))),IF($B$417="Лікар-терапевт",IF(S421&lt;Законод!$C$26,0,(IF(AND(S421&gt;=Законод!$E$26,S421&lt;=Законод!$E$27),S421-Законод!$C$26,IF('01_Доходи'!S421&gt;=Законод!$F$26,Законод!$E$28,0)))),0)))</f>
        <v>0</v>
      </c>
      <c r="T423" s="930"/>
      <c r="U423" s="889" t="s">
        <v>346</v>
      </c>
      <c r="V423" s="890"/>
      <c r="W423" s="890"/>
      <c r="X423" s="890"/>
      <c r="Y423" s="891"/>
      <c r="Z423" s="196">
        <f ca="1">IF($B$417="Лікар загальної практики - сімейний лікар",IF(Z421&lt;Законод!$C$22,0,(IF(AND(Z421&gt;=Законод!$E$22,Z421&lt;=Законод!$E$23),Z421-Законод!$C$22,IF('01_Доходи'!Z421&gt;=Законод!$F$22,Законод!$E$24,0)))),IF($B$417="Лікар-педіатр",IF(Z421&lt;Законод!$C$18,0,(IF(AND(Z421&gt;=Законод!$E$18,Z421&lt;=Законод!$E$19),Z421-Законод!$C$18,IF('01_Доходи'!Z421&gt;=Законод!$F$18,Законод!$E$20,0)))),IF($B$417="Лікар-терапевт",IF(Z421&lt;Законод!$C$26,0,(IF(AND(Z421&gt;=Законод!$E$26,Z421&lt;=Законод!$E$27),Z421-Законод!$C$26,IF('01_Доходи'!Z421&gt;=Законод!$F$26,Законод!$E$28,0)))),0)))</f>
        <v>0</v>
      </c>
      <c r="AA423" s="930"/>
      <c r="AB423" s="889" t="s">
        <v>346</v>
      </c>
      <c r="AC423" s="890"/>
      <c r="AD423" s="890"/>
      <c r="AE423" s="890"/>
      <c r="AF423" s="891"/>
      <c r="AG423" s="196">
        <f ca="1">IF($B$417="Лікар загальної практики - сімейний лікар",IF(AG421&lt;Законод!$C$22,0,(IF(AND(AG421&gt;=Законод!$E$22,AG421&lt;=Законод!$E$23),AG421-Законод!$C$22,IF('01_Доходи'!AG421&gt;=Законод!$F$22,Законод!$E$24,0)))),IF($B$417="Лікар-педіатр",IF(AG421&lt;Законод!$C$18,0,(IF(AND(AG421&gt;=Законод!$E$18,AG421&lt;=Законод!$E$19),AG421-Законод!$C$18,IF('01_Доходи'!AG421&gt;=Законод!$F$18,Законод!$E$20,0)))),IF($B$417="Лікар-терапевт",IF(AG421&lt;Законод!$C$26,0,(IF(AND(AG421&gt;=Законод!$E$26,AG421&lt;=Законод!$E$27),AG421-Законод!$C$26,IF('01_Доходи'!AG421&gt;=Законод!$F$26,Законод!$E$28,0)))),0)))</f>
        <v>0</v>
      </c>
      <c r="AH423" s="930"/>
      <c r="AI423" s="201"/>
      <c r="AJ423" s="933"/>
      <c r="AK423" s="927"/>
      <c r="AL423" s="927"/>
      <c r="AM423" s="898" t="s">
        <v>375</v>
      </c>
      <c r="AN423" s="210">
        <f ca="1">IF(B417="Лікар загальної практики - сімейний лікар",L423*Законод!$C$9/4*Законод!$E$16,IF(B417="Лікар-педіатр",L423*Законод!$C$9/4*Законод!$E$16,IF(B417="Лікар-терапевт",L423*Законод!$C$9/4*Законод!$E$16,0)))</f>
        <v>0</v>
      </c>
      <c r="AO423" s="210">
        <f ca="1">IF(B417="Лікар загальної практики - сімейний лікар",S423*Законод!$C$9/4*Законод!$E$16,IF(B417="Лікар-педіатр",S423*Законод!$C$9/4*Законод!$E$16,IF(B417="Лікар-терапевт",S423*Законод!$C$9/4*Законод!$E$16,0)))</f>
        <v>0</v>
      </c>
      <c r="AP423" s="210">
        <f ca="1">IF(B417="Лікар загальної практики - сімейний лікар",Z423*Законод!$C$9/4*Законод!$E$16,IF(B417="Лікар-педіатр",Z423*Законод!$C$9/4*Законод!$E$16,IF(B417="Лікар-терапевт",Z423*Законод!$C$9/4*Законод!$E$16,0)))</f>
        <v>0</v>
      </c>
      <c r="AQ423" s="210">
        <f ca="1">IF(B417="Лікар загальної практики - сімейний лікар",AG423*Законод!$C$9/4*Законод!$E$16,IF(B417="Лікар-педіатр",AG423*Законод!$C$9/4*Законод!$E$16,IF(B417="Лікар-терапевт",AG423*Законод!$C$9/4*Законод!$E$16,0)))</f>
        <v>0</v>
      </c>
      <c r="AR423" s="211">
        <f t="shared" si="59"/>
        <v>0</v>
      </c>
    </row>
    <row r="424" spans="1:44" s="50" customFormat="1" ht="31.9" hidden="1" customHeight="1">
      <c r="A424" s="197"/>
      <c r="B424" s="893"/>
      <c r="C424" s="896"/>
      <c r="D424" s="912"/>
      <c r="E424" s="909"/>
      <c r="F424" s="238" t="str">
        <f ca="1">IF(B417="Лікар-педіатр",Законод!$F$17,IF(B417="Лікар загальної практики - сімейний лікар",Законод!$F$21,IF(B417="Лікар-терапевт",Законод!$F$25,"х")))</f>
        <v>х</v>
      </c>
      <c r="G424" s="889" t="s">
        <v>346</v>
      </c>
      <c r="H424" s="890"/>
      <c r="I424" s="890"/>
      <c r="J424" s="890"/>
      <c r="K424" s="891"/>
      <c r="L424" s="196">
        <f ca="1">IF($B$417="Лікар загальної практики - сімейний лікар",IF(L421&lt;Законод!$C$22,0,(IF(AND(L421&gt;=Законод!$F$22,L421&lt;=Законод!$F$23),L421-Законод!$E$23,IF('01_Доходи'!L421&gt;=Законод!$G$22,Законод!$F$24,0)))),IF($B$417="Лікар-педіатр",IF(L421&lt;Законод!$C$18,0,(IF(AND(L421&gt;=Законод!$F$18,L421&lt;=Законод!$F$19),L421-Законод!$E$19,IF('01_Доходи'!L421&gt;=Законод!$G$18,Законод!$F$20,0)))),IF($B$417="Лікар-терапевт",IF(L421&lt;Законод!$C$26,0,(IF(AND(L421&gt;=Законод!$F$26,L421&lt;=Законод!$F$27),L421-Законод!$E$27,IF('01_Доходи'!L421&gt;=Законод!$G$26,Законод!$F$28,0)))),0)))</f>
        <v>0</v>
      </c>
      <c r="M424" s="930"/>
      <c r="N424" s="889" t="s">
        <v>346</v>
      </c>
      <c r="O424" s="890"/>
      <c r="P424" s="890"/>
      <c r="Q424" s="890"/>
      <c r="R424" s="891"/>
      <c r="S424" s="196">
        <f ca="1">IF($B$417="Лікар загальної практики - сімейний лікар",IF(S421&lt;Законод!$C$22,0,(IF(AND(S421&gt;=Законод!$F$22,S421&lt;=Законод!$F$23),S421-Законод!$E$23,IF('01_Доходи'!S421&gt;=Законод!$G$22,Законод!$F$24,0)))),IF($B$417="Лікар-педіатр",IF(S421&lt;Законод!$C$18,0,(IF(AND(S421&gt;=Законод!$F$18,S421&lt;=Законод!$F$19),S421-Законод!$E$19,IF('01_Доходи'!S421&gt;=Законод!$G$18,Законод!$F$20,0)))),IF($B$417="Лікар-терапевт",IF(S421&lt;Законод!$C$26,0,(IF(AND(S421&gt;=Законод!$F$26,S421&lt;=Законод!$F$27),S421-Законод!$E$27,IF('01_Доходи'!S421&gt;=Законод!$G$26,Законод!$F$28,0)))),0)))</f>
        <v>0</v>
      </c>
      <c r="T424" s="930"/>
      <c r="U424" s="889" t="s">
        <v>346</v>
      </c>
      <c r="V424" s="890"/>
      <c r="W424" s="890"/>
      <c r="X424" s="890"/>
      <c r="Y424" s="891"/>
      <c r="Z424" s="196">
        <f ca="1">IF($B$417="Лікар загальної практики - сімейний лікар",IF(Z421&lt;Законод!$C$22,0,(IF(AND(Z421&gt;=Законод!$F$22,Z421&lt;=Законод!$F$23),Z421-Законод!$E$23,IF('01_Доходи'!Z421&gt;=Законод!$G$22,Законод!$F$24,0)))),IF($B$417="Лікар-педіатр",IF(Z421&lt;Законод!$C$18,0,(IF(AND(Z421&gt;=Законод!$F$18,Z421&lt;=Законод!$F$19),Z421-Законод!$E$19,IF('01_Доходи'!Z421&gt;=Законод!$G$18,Законод!$F$20,0)))),IF($B$417="Лікар-терапевт",IF(Z421&lt;Законод!$C$26,0,(IF(AND(Z421&gt;=Законод!$F$26,Z421&lt;=Законод!$F$27),Z421-Законод!$E$27,IF('01_Доходи'!Z421&gt;=Законод!$G$26,Законод!$F$28,0)))),0)))</f>
        <v>0</v>
      </c>
      <c r="AA424" s="930"/>
      <c r="AB424" s="889" t="s">
        <v>346</v>
      </c>
      <c r="AC424" s="890"/>
      <c r="AD424" s="890"/>
      <c r="AE424" s="890"/>
      <c r="AF424" s="891"/>
      <c r="AG424" s="196">
        <f ca="1">IF($B$417="Лікар загальної практики - сімейний лікар",IF(AG421&lt;Законод!$C$22,0,(IF(AND(AG421&gt;=Законод!$F$22,AG421&lt;=Законод!$F$23),AG421-Законод!$E$23,IF('01_Доходи'!AG421&gt;=Законод!$G$22,Законод!$F$24,0)))),IF($B$417="Лікар-педіатр",IF(AG421&lt;Законод!$C$18,0,(IF(AND(AG421&gt;=Законод!$F$18,AG421&lt;=Законод!$F$19),AG421-Законод!$E$19,IF('01_Доходи'!AG421&gt;=Законод!$G$18,Законод!$F$20,0)))),IF($B$417="Лікар-терапевт",IF(AG421&lt;Законод!$C$26,0,(IF(AND(AG421&gt;=Законод!$F$26,AG421&lt;=Законод!$F$27),AG421-Законод!$E$27,IF('01_Доходи'!AG421&gt;=Законод!$G$26,Законод!$F$28,0)))),0)))</f>
        <v>0</v>
      </c>
      <c r="AH424" s="930"/>
      <c r="AI424" s="201"/>
      <c r="AJ424" s="933"/>
      <c r="AK424" s="927"/>
      <c r="AL424" s="927"/>
      <c r="AM424" s="899"/>
      <c r="AN424" s="210">
        <f ca="1">IF(B417="Лікар загальної практики - сімейний лікар",L424*Законод!$C$9/4*Законод!$F$16,IF(B417="Лікар-педіатр",L424*Законод!$C$9/4*Законод!$F$16,IF(B417="Лікар-терапевт",L424*Законод!$C$9/4*Законод!$F$16,0)))</f>
        <v>0</v>
      </c>
      <c r="AO424" s="210">
        <f ca="1">IF(B417="Лікар загальної практики - сімейний лікар",S424*Законод!$C$9/4*Законод!$F$16,IF(B417="Лікар-педіатр",S424*Законод!$C$9/4*Законод!$F$16,IF(B417="Лікар-терапевт",S424*Законод!$C$9/4*Законод!$F$16,0)))</f>
        <v>0</v>
      </c>
      <c r="AP424" s="210">
        <f ca="1">IF(B417="Лікар загальної практики - сімейний лікар",Z424*Законод!$C$9/4*Законод!$F$16,IF(B417="Лікар-педіатр",Z424*Законод!$C$9/4*Законод!$F$16,IF(B417="Лікар-терапевт",Z424*Законод!$C$9/4*Законод!$F$16,0)))</f>
        <v>0</v>
      </c>
      <c r="AQ424" s="210">
        <f ca="1">IF(B417="Лікар загальної практики - сімейний лікар",AG424*Законод!$C$9/4*Законод!$F$16,IF(B417="Лікар-педіатр",AG424*Законод!$C$9/4*Законод!$F$16,IF(B417="Лікар-терапевт",AG424*Законод!$C$9/4*Законод!$F$16,0)))</f>
        <v>0</v>
      </c>
      <c r="AR424" s="211">
        <f t="shared" si="59"/>
        <v>0</v>
      </c>
    </row>
    <row r="425" spans="1:44" s="50" customFormat="1" ht="31.9" hidden="1" customHeight="1">
      <c r="A425" s="197"/>
      <c r="B425" s="893"/>
      <c r="C425" s="896"/>
      <c r="D425" s="912"/>
      <c r="E425" s="909"/>
      <c r="F425" s="238" t="str">
        <f ca="1">IF(B417="Лікар-педіатр",Законод!$G$17,IF(B417="Лікар загальної практики - сімейний лікар",Законод!$G$21,IF(B417="Лікар-терапевт",Законод!$G$25,"х")))</f>
        <v>х</v>
      </c>
      <c r="G425" s="889" t="s">
        <v>346</v>
      </c>
      <c r="H425" s="890"/>
      <c r="I425" s="890"/>
      <c r="J425" s="890"/>
      <c r="K425" s="891"/>
      <c r="L425" s="196">
        <f ca="1">IF($B$417="Лікар загальної практики - сімейний лікар",IF(L421&lt;Законод!$C$22,0,(IF(AND(L421&gt;=Законод!$G$22,L421&lt;=Законод!$G$23),L421-Законод!$F$23,IF('01_Доходи'!L421&gt;=Законод!$H$22,Законод!$G$24,0)))),IF($B$417="Лікар-педіатр",IF(L421&lt;Законод!$C$18,0,(IF(AND(L421&gt;=Законод!$G$18,L421&lt;=Законод!$G$19),L421-Законод!$F$19,IF('01_Доходи'!L421&gt;=Законод!$H$18,Законод!$G$20,0)))),IF($B$417="Лікар-терапевт",IF(L421&lt;Законод!$C$26,0,(IF(AND(L421&gt;=Законод!$G$26,L421&lt;=Законод!$G$27),L421-Законод!$F$27,IF('01_Доходи'!L421&gt;=Законод!$H$26,Законод!$G$28,0)))),0)))</f>
        <v>0</v>
      </c>
      <c r="M425" s="930"/>
      <c r="N425" s="889" t="s">
        <v>346</v>
      </c>
      <c r="O425" s="890"/>
      <c r="P425" s="890"/>
      <c r="Q425" s="890"/>
      <c r="R425" s="891"/>
      <c r="S425" s="196">
        <f ca="1">IF($B$417="Лікар загальної практики - сімейний лікар",IF(S421&lt;Законод!$C$22,0,(IF(AND(S421&gt;=Законод!$G$22,S421&lt;=Законод!$G$23),S421-Законод!$F$23,IF('01_Доходи'!S421&gt;=Законод!$H$22,Законод!$G$24,0)))),IF($B$417="Лікар-педіатр",IF(S421&lt;Законод!$C$18,0,(IF(AND(S421&gt;=Законод!$G$18,S421&lt;=Законод!$G$19),S421-Законод!$F$19,IF('01_Доходи'!S421&gt;=Законод!$H$18,Законод!$G$20,0)))),IF($B$417="Лікар-терапевт",IF(S421&lt;Законод!$C$26,0,(IF(AND(S421&gt;=Законод!$G$26,S421&lt;=Законод!$G$27),S421-Законод!$F$27,IF('01_Доходи'!S421&gt;=Законод!$H$26,Законод!$G$28,0)))),0)))</f>
        <v>0</v>
      </c>
      <c r="T425" s="930"/>
      <c r="U425" s="889" t="s">
        <v>346</v>
      </c>
      <c r="V425" s="890"/>
      <c r="W425" s="890"/>
      <c r="X425" s="890"/>
      <c r="Y425" s="891"/>
      <c r="Z425" s="196">
        <f ca="1">IF($B$417="Лікар загальної практики - сімейний лікар",IF(Z421&lt;Законод!$C$22,0,(IF(AND(Z421&gt;=Законод!$G$22,Z421&lt;=Законод!$G$23),Z421-Законод!$F$23,IF('01_Доходи'!Z421&gt;=Законод!$H$22,Законод!$G$24,0)))),IF($B$417="Лікар-педіатр",IF(Z421&lt;Законод!$C$18,0,(IF(AND(Z421&gt;=Законод!$G$18,Z421&lt;=Законод!$G$19),Z421-Законод!$F$19,IF('01_Доходи'!Z421&gt;=Законод!$H$18,Законод!$G$20,0)))),IF($B$417="Лікар-терапевт",IF(Z421&lt;Законод!$C$26,0,(IF(AND(Z421&gt;=Законод!$G$26,Z421&lt;=Законод!$G$27),Z421-Законод!$F$27,IF('01_Доходи'!Z421&gt;=Законод!$H$26,Законод!$G$28,0)))),0)))</f>
        <v>0</v>
      </c>
      <c r="AA425" s="930"/>
      <c r="AB425" s="889" t="s">
        <v>346</v>
      </c>
      <c r="AC425" s="890"/>
      <c r="AD425" s="890"/>
      <c r="AE425" s="890"/>
      <c r="AF425" s="891"/>
      <c r="AG425" s="196">
        <f ca="1">IF($B$417="Лікар загальної практики - сімейний лікар",IF(AG421&lt;Законод!$C$22,0,(IF(AND(AG421&gt;=Законод!$G$22,AG421&lt;=Законод!$G$23),AG421-Законод!$F$23,IF('01_Доходи'!AG421&gt;=Законод!$H$22,Законод!$G$24,0)))),IF($B$417="Лікар-педіатр",IF(AG421&lt;Законод!$C$18,0,(IF(AND(AG421&gt;=Законод!$G$18,AG421&lt;=Законод!$G$19),AG421-Законод!$F$19,IF('01_Доходи'!AG421&gt;=Законод!$H$18,Законод!$G$20,0)))),IF($B$417="Лікар-терапевт",IF(AG421&lt;Законод!$C$26,0,(IF(AND(AG421&gt;=Законод!$G$26,AG421&lt;=Законод!$G$27),AG421-Законод!$F$27,IF('01_Доходи'!AG421&gt;=Законод!$H$26,Законод!$G$28,0)))),0)))</f>
        <v>0</v>
      </c>
      <c r="AH425" s="930"/>
      <c r="AI425" s="201"/>
      <c r="AJ425" s="933"/>
      <c r="AK425" s="927"/>
      <c r="AL425" s="927"/>
      <c r="AM425" s="899"/>
      <c r="AN425" s="210">
        <f ca="1">IF(B417="Лікар загальної практики - сімейний лікар",L425*Законод!$C$9/4*Законод!$G$16,IF(B417="Лікар-педіатр",L425*Законод!$C$9/4*Законод!$G$16,IF(B417="Лікар-терапевт",L425*Законод!$C$9/4*Законод!$G$16,0)))</f>
        <v>0</v>
      </c>
      <c r="AO425" s="210">
        <f ca="1">IF(B417="Лікар загальної практики - сімейний лікар",S425*Законод!$C$9/4*Законод!$G$16,IF(B417="Лікар-педіатр",S425*Законод!$C$9/4*Законод!$G$16,IF(B417="Лікар-терапевт",S425*Законод!$C$9/4*Законод!$G$16,0)))</f>
        <v>0</v>
      </c>
      <c r="AP425" s="210">
        <f ca="1">IF(B417="Лікар загальної практики - сімейний лікар",Z425*Законод!$C$9/4*Законод!$G$16,IF(B417="Лікар-педіатр",Z425*Законод!$C$9/4*Законод!$G$16,IF(B417="Лікар-терапевт",Z425*Законод!$C$9/4*Законод!$G$16,0)))</f>
        <v>0</v>
      </c>
      <c r="AQ425" s="210">
        <f ca="1">IF(B417="Лікар загальної практики - сімейний лікар",AG425*Законод!$C$9/4*Законод!$G$16,IF(B417="Лікар-педіатр",AG425*Законод!$C$9/4*Законод!$G$16,IF(B417="Лікар-терапевт",AG425*Законод!$C$9/4*Законод!$G$16,0)))</f>
        <v>0</v>
      </c>
      <c r="AR425" s="211">
        <f t="shared" si="59"/>
        <v>0</v>
      </c>
    </row>
    <row r="426" spans="1:44" s="50" customFormat="1" ht="31.9" hidden="1" customHeight="1">
      <c r="A426" s="197"/>
      <c r="B426" s="893"/>
      <c r="C426" s="896"/>
      <c r="D426" s="912"/>
      <c r="E426" s="909"/>
      <c r="F426" s="238" t="str">
        <f ca="1">IF(B417="Лікар-педіатр",Законод!$H$17,IF(B417="Лікар загальної практики - сімейний лікар",Законод!$H$21,IF(B417="Лікар-терапевт",Законод!$H$25,"х")))</f>
        <v>х</v>
      </c>
      <c r="G426" s="889" t="s">
        <v>346</v>
      </c>
      <c r="H426" s="890"/>
      <c r="I426" s="890"/>
      <c r="J426" s="890"/>
      <c r="K426" s="891"/>
      <c r="L426" s="196">
        <f ca="1">IF($B$417="Лікар загальної практики - сімейний лікар",IF(L421&lt;Законод!$C$22,0,(IF(AND(L421&gt;=Законод!$H$22,L421&lt;=Законод!$H$23),L421-Законод!$G$23,IF('01_Доходи'!L421&gt;=Законод!$I$22,Законод!$H$24,0)))),IF($B$417="Лікар-педіатр",IF(L421&lt;Законод!$C$18,0,(IF(AND(L421&gt;=Законод!$H$18,L421&lt;=Законод!$H$19),L421-Законод!$G$19,IF('01_Доходи'!L421&gt;=Законод!$I$18,Законод!$H$20,0)))),IF($B$417="Лікар-терапевт",IF(L421&lt;Законод!$C$26,0,(IF(AND(L421&gt;=Законод!$H$26,L421&lt;=Законод!$H$27),L421-Законод!$G$27,IF(L421&gt;=Законод!$I$26,Законод!$H$28,0)))),0)))</f>
        <v>0</v>
      </c>
      <c r="M426" s="930"/>
      <c r="N426" s="889" t="s">
        <v>346</v>
      </c>
      <c r="O426" s="890"/>
      <c r="P426" s="890"/>
      <c r="Q426" s="890"/>
      <c r="R426" s="891"/>
      <c r="S426" s="196">
        <f ca="1">IF($B$417="Лікар загальної практики - сімейний лікар",IF(S421&lt;Законод!$C$22,0,(IF(AND(S421&gt;=Законод!$H$22,S421&lt;=Законод!$H$23),S421-Законод!$G$23,IF('01_Доходи'!S421&gt;=Законод!$I$22,Законод!$H$24,0)))),IF($B$417="Лікар-педіатр",IF(S421&lt;Законод!$C$18,0,(IF(AND(S421&gt;=Законод!$H$18,S421&lt;=Законод!$H$19),S421-Законод!$G$19,IF('01_Доходи'!S421&gt;=Законод!$I$18,Законод!$H$20,0)))),IF($B$417="Лікар-терапевт",IF(S421&lt;Законод!$C$26,0,(IF(AND(S421&gt;=Законод!$H$26,S421&lt;=Законод!$H$27),S421-Законод!$G$27,IF(S421&gt;=Законод!$I$26,Законод!$H$28,0)))),0)))</f>
        <v>0</v>
      </c>
      <c r="T426" s="930"/>
      <c r="U426" s="889" t="s">
        <v>346</v>
      </c>
      <c r="V426" s="890"/>
      <c r="W426" s="890"/>
      <c r="X426" s="890"/>
      <c r="Y426" s="891"/>
      <c r="Z426" s="196">
        <f ca="1">IF($B$417="Лікар загальної практики - сімейний лікар",IF(Z421&lt;Законод!$C$22,0,(IF(AND(Z421&gt;=Законод!$H$22,Z421&lt;=Законод!$H$23),Z421-Законод!$G$23,IF('01_Доходи'!Z421&gt;=Законод!$I$22,Законод!$H$24,0)))),IF($B$417="Лікар-педіатр",IF(Z421&lt;Законод!$C$18,0,(IF(AND(Z421&gt;=Законод!$H$18,Z421&lt;=Законод!$H$19),Z421-Законод!$G$19,IF('01_Доходи'!Z421&gt;=Законод!$I$18,Законод!$H$20,0)))),IF($B$417="Лікар-терапевт",IF(Z421&lt;Законод!$C$26,0,(IF(AND(Z421&gt;=Законод!$H$26,Z421&lt;=Законод!$H$27),Z421-Законод!$G$27,IF(Z421&gt;=Законод!$I$26,Законод!$H$28,0)))),0)))</f>
        <v>0</v>
      </c>
      <c r="AA426" s="930"/>
      <c r="AB426" s="889" t="s">
        <v>346</v>
      </c>
      <c r="AC426" s="890"/>
      <c r="AD426" s="890"/>
      <c r="AE426" s="890"/>
      <c r="AF426" s="891"/>
      <c r="AG426" s="196">
        <f ca="1">IF($B$417="Лікар загальної практики - сімейний лікар",IF(AG421&lt;Законод!$C$22,0,(IF(AND(AG421&gt;=Законод!$H$22,AG421&lt;=Законод!$H$23),AG421-Законод!$G$23,IF('01_Доходи'!AG421&gt;=Законод!$I$22,Законод!$H$24,0)))),IF($B$417="Лікар-педіатр",IF(AG421&lt;Законод!$C$18,0,(IF(AND(AG421&gt;=Законод!$H$18,AG421&lt;=Законод!$H$19),AG421-Законод!$G$19,IF('01_Доходи'!AG421&gt;=Законод!$I$18,Законод!$H$20,0)))),IF($B$417="Лікар-терапевт",IF(AG421&lt;Законод!$C$26,0,(IF(AND(AG421&gt;=Законод!$H$26,AG421&lt;=Законод!$H$27),AG421-Законод!$G$27,IF(AG421&gt;=Законод!$I$26,Законод!$H$28,0)))),0)))</f>
        <v>0</v>
      </c>
      <c r="AH426" s="930"/>
      <c r="AI426" s="201"/>
      <c r="AJ426" s="933"/>
      <c r="AK426" s="927"/>
      <c r="AL426" s="927"/>
      <c r="AM426" s="899"/>
      <c r="AN426" s="210">
        <f ca="1">IF(B417="Лікар загальної практики - сімейний лікар",L426*Законод!$C$9/4*Законод!$H$16,IF(B417="Лікар-педіатр",L426*Законод!$C$9/4*Законод!$H$16,IF(B417="Лікар-терапевт",L426*Законод!$C$9/4*Законод!$H$16,0)))</f>
        <v>0</v>
      </c>
      <c r="AO426" s="210">
        <f ca="1">IF(B417="Лікар загальної практики - сімейний лікар",S426*Законод!$C$9/4*Законод!$H$16,IF(B417="Лікар-педіатр",S426*Законод!$C$9/4*Законод!$H$16,IF(B417="Лікар-терапевт",S426*Законод!$C$9/4*Законод!$H$16,0)))</f>
        <v>0</v>
      </c>
      <c r="AP426" s="210">
        <f ca="1">IF(B417="Лікар загальної практики - сімейний лікар",Z426*Законод!$C$9/4*Законод!$H$16,IF(B417="Лікар-педіатр",Z426*Законод!$C$9/4*Законод!$H$16,IF(B417="Лікар-терапевт",Z426*Законод!$C$9/4*Законод!$H$16,0)))</f>
        <v>0</v>
      </c>
      <c r="AQ426" s="210">
        <f ca="1">IF(B417="Лікар загальної практики - сімейний лікар",AG426*Законод!$C$9/4*Законод!$H$16,IF(B417="Лікар-педіатр",AG426*Законод!$C$9/4*Законод!$H$16,IF(B417="Лікар-терапевт",AG426*Законод!$C$9/4*Законод!$H$16,0)))</f>
        <v>0</v>
      </c>
      <c r="AR426" s="211">
        <f t="shared" si="59"/>
        <v>0</v>
      </c>
    </row>
    <row r="427" spans="1:44" s="50" customFormat="1" ht="31.9" hidden="1" customHeight="1">
      <c r="A427" s="197"/>
      <c r="B427" s="893"/>
      <c r="C427" s="896"/>
      <c r="D427" s="912"/>
      <c r="E427" s="909"/>
      <c r="F427" s="238" t="str">
        <f ca="1">IF(B417="Лікар-педіатр",Законод!$I$17,IF(B417="Лікар загальної практики - сімейний лікар",Законод!$I$21,IF(B417="Лікар-терапевт",Законод!$I$25,"х")))</f>
        <v>х</v>
      </c>
      <c r="G427" s="889" t="s">
        <v>346</v>
      </c>
      <c r="H427" s="890"/>
      <c r="I427" s="890"/>
      <c r="J427" s="890"/>
      <c r="K427" s="891"/>
      <c r="L427" s="196">
        <f ca="1">IF($B$417="Лікар загальної практики - сімейний лікар",IF(L421&lt;Законод!$C$22,0,(IF(AND(L421&gt;=Законод!$I$22,L421&lt;=Законод!$I$23),L421-Законод!$H$23,IF('01_Доходи'!L421&gt;=Законод!$I$22,Законод!$I$24,0)))),IF($B$417="Лікар-педіатр",IF(L421&lt;Законод!$C$18,0,(IF(AND(L421&gt;=Законод!$I$18,L421&lt;=Законод!$I$19),L421-Законод!$H$19,IF('01_Доходи'!L421&gt;=Законод!$I$18,Законод!$H$20,0)))),IF($B$417="Лікар-терапевт",IF(L421&lt;Законод!$C$26,0,(IF(AND(L421&gt;=Законод!$I$26,L421&lt;=Законод!$I$27),L421-Законод!$H$27,IF('01_Доходи'!L421&gt;=Законод!$I$26,Законод!$H$28,0)))),0)))</f>
        <v>0</v>
      </c>
      <c r="M427" s="930"/>
      <c r="N427" s="889" t="s">
        <v>346</v>
      </c>
      <c r="O427" s="890"/>
      <c r="P427" s="890"/>
      <c r="Q427" s="890"/>
      <c r="R427" s="891"/>
      <c r="S427" s="196">
        <f ca="1">IF($B$417="Лікар загальної практики - сімейний лікар",IF(S421&lt;Законод!$C$22,0,(IF(AND(S421&gt;=Законод!$I$22,S421&lt;=Законод!$I$23),S421-Законод!$H$23,IF('01_Доходи'!S421&gt;=Законод!$I$22,Законод!$I$24,0)))),IF($B$417="Лікар-педіатр",IF(S421&lt;Законод!$C$18,0,(IF(AND(S421&gt;=Законод!$I$18,S421&lt;=Законод!$I$19),S421-Законод!$H$19,IF('01_Доходи'!S421&gt;=Законод!$I$18,Законод!$H$20,0)))),IF($B$417="Лікар-терапевт",IF(S421&lt;Законод!$C$26,0,(IF(AND(S421&gt;=Законод!$I$26,S421&lt;=Законод!$I$27),S421-Законод!$H$27,IF('01_Доходи'!S421&gt;=Законод!$I$26,Законод!$H$28,0)))),0)))</f>
        <v>0</v>
      </c>
      <c r="T427" s="930"/>
      <c r="U427" s="889" t="s">
        <v>346</v>
      </c>
      <c r="V427" s="890"/>
      <c r="W427" s="890"/>
      <c r="X427" s="890"/>
      <c r="Y427" s="891"/>
      <c r="Z427" s="196">
        <f ca="1">IF($B$417="Лікар загальної практики - сімейний лікар",IF(Z421&lt;Законод!$C$22,0,(IF(AND(Z421&gt;=Законод!$I$22,Z421&lt;=Законод!$I$23),Z421-Законод!$H$23,IF('01_Доходи'!Z421&gt;=Законод!$I$22,Законод!$I$24,0)))),IF($B$417="Лікар-педіатр",IF(Z421&lt;Законод!$C$18,0,(IF(AND(Z421&gt;=Законод!$I$18,Z421&lt;=Законод!$I$19),Z421-Законод!$H$19,IF('01_Доходи'!Z421&gt;=Законод!$I$18,Законод!$H$20,0)))),IF($B$417="Лікар-терапевт",IF(Z421&lt;Законод!$C$26,0,(IF(AND(Z421&gt;=Законод!$I$26,Z421&lt;=Законод!$I$27),Z421-Законод!$H$27,IF('01_Доходи'!Z421&gt;=Законод!$I$26,Законод!$H$28,0)))),0)))</f>
        <v>0</v>
      </c>
      <c r="AA427" s="930"/>
      <c r="AB427" s="889" t="s">
        <v>346</v>
      </c>
      <c r="AC427" s="890"/>
      <c r="AD427" s="890"/>
      <c r="AE427" s="890"/>
      <c r="AF427" s="891"/>
      <c r="AG427" s="196">
        <f ca="1">IF($B$417="Лікар загальної практики - сімейний лікар",IF(AG421&lt;Законод!$C$22,0,(IF(AND(AG421&gt;=Законод!$I$22,AG421&lt;=Законод!$I$23),AG421-Законод!$H$23,IF('01_Доходи'!AG421&gt;=Законод!$I$22,Законод!$I$24,0)))),IF($B$417="Лікар-педіатр",IF(AG421&lt;Законод!$C$18,0,(IF(AND(AG421&gt;=Законод!$I$18,AG421&lt;=Законод!$I$19),AG421-Законод!$H$19,IF('01_Доходи'!AG421&gt;=Законод!$I$18,Законод!$H$20,0)))),IF($B$417="Лікар-терапевт",IF(AG421&lt;Законод!$C$26,0,(IF(AND(AG421&gt;=Законод!$I$26,AG421&lt;=Законод!$I$27),AG421-Законод!$H$27,IF('01_Доходи'!AG421&gt;=Законод!$I$26,Законод!$H$28,0)))),0)))</f>
        <v>0</v>
      </c>
      <c r="AH427" s="930"/>
      <c r="AI427" s="201"/>
      <c r="AJ427" s="933"/>
      <c r="AK427" s="927"/>
      <c r="AL427" s="927"/>
      <c r="AM427" s="899"/>
      <c r="AN427" s="210">
        <f ca="1">IF(B417="Лікар загальної практики - сімейний лікар",L427*Законод!$C$9/4*Законод!$I$16,IF(B417="Лікар-педіатр",L427*Законод!$C$9/4*Законод!$I$16,IF(B417="Лікар-терапевт",L427*Законод!$C$9/4*Законод!$I$16,0)))</f>
        <v>0</v>
      </c>
      <c r="AO427" s="210">
        <f ca="1">IF(B417="Лікар загальної практики - сімейний лікар",S427*Законод!$C$9/4*Законод!$I$16,IF(B417="Лікар-педіатр",S427*Законод!$C$9/4*Законод!$I$16,IF(B417="Лікар-терапевт",S427*Законод!$C$9/4*Законод!$I$16,0)))</f>
        <v>0</v>
      </c>
      <c r="AP427" s="210">
        <f ca="1">IF(B417="Лікар загальної практики - сімейний лікар",Z427*Законод!$C$9/4*Законод!$I$16,IF(B417="Лікар-педіатр",Z427*Законод!$C$9/4*Законод!$I$16,IF(B417="Лікар-терапевт",Z427*Законод!$C$9/4*Законод!$I$16,0)))</f>
        <v>0</v>
      </c>
      <c r="AQ427" s="210">
        <f ca="1">IF(B417="Лікар загальної практики - сімейний лікар",AG427*Законод!$C$9/4*Законод!$I$16,IF(B417="Лікар-педіатр",AG427*Законод!$C$9/4*Законод!$I$16,IF(B417="Лікар-терапевт",AG427*Законод!$C$9/4*Законод!$I$16,0)))</f>
        <v>0</v>
      </c>
      <c r="AR427" s="211">
        <f t="shared" si="59"/>
        <v>0</v>
      </c>
    </row>
    <row r="428" spans="1:44" s="218" customFormat="1" ht="31.9" hidden="1" customHeight="1" thickBot="1">
      <c r="A428" s="213"/>
      <c r="B428" s="894"/>
      <c r="C428" s="897"/>
      <c r="D428" s="913"/>
      <c r="E428" s="910"/>
      <c r="F428" s="239" t="str">
        <f ca="1">IF(B417="Лікар-педіатр",Законод!$J$17,IF(B417="Лікар загальної практики - сімейний лікар",Законод!$J$21,IF(B417="Лікар-терапевт",Законод!$J$25,"х")))</f>
        <v>х</v>
      </c>
      <c r="G428" s="935" t="s">
        <v>346</v>
      </c>
      <c r="H428" s="936"/>
      <c r="I428" s="936"/>
      <c r="J428" s="936"/>
      <c r="K428" s="937"/>
      <c r="L428" s="196">
        <f ca="1">IF($B$417="Лікар загальної практики - сімейний лікар",IF(L421&gt;=Законод!$J$22,'01_Доходи'!L421-('01_Доходи'!L422+'01_Доходи'!L423+'01_Доходи'!L424+'01_Доходи'!L425+'01_Доходи'!L426+'01_Доходи'!L427),0),IF($B$417="Лікар-педіатр",IF(L421&gt;=Законод!$J$18,'01_Доходи'!L421-('01_Доходи'!L422+'01_Доходи'!L423+'01_Доходи'!L424+'01_Доходи'!L425+'01_Доходи'!L426+'01_Доходи'!L427),0),IF($B$417="Лікар-терапевт",IF('01_Доходи'!L421&gt;=Законод!$J$26,L421-Законод!$I$27,0),0)))</f>
        <v>0</v>
      </c>
      <c r="M428" s="931"/>
      <c r="N428" s="935" t="s">
        <v>346</v>
      </c>
      <c r="O428" s="936"/>
      <c r="P428" s="936"/>
      <c r="Q428" s="936"/>
      <c r="R428" s="937"/>
      <c r="S428" s="196">
        <f ca="1">IF($B$417="Лікар загальної практики - сімейний лікар",IF(S421&gt;=Законод!$J$22,'01_Доходи'!S421-('01_Доходи'!S422+'01_Доходи'!S423+'01_Доходи'!S424+'01_Доходи'!S425+'01_Доходи'!S426+'01_Доходи'!S427),0),IF($B$417="Лікар-педіатр",IF(S421&gt;=Законод!$J$18,'01_Доходи'!S421-('01_Доходи'!S422+'01_Доходи'!S423+'01_Доходи'!S424+'01_Доходи'!S425+'01_Доходи'!S426+'01_Доходи'!S427),0),IF($B$417="Лікар-терапевт",IF('01_Доходи'!S421&gt;=Законод!$J$26,S421-Законод!$I$27,0),0)))</f>
        <v>0</v>
      </c>
      <c r="T428" s="931"/>
      <c r="U428" s="935" t="s">
        <v>346</v>
      </c>
      <c r="V428" s="936"/>
      <c r="W428" s="936"/>
      <c r="X428" s="936"/>
      <c r="Y428" s="937"/>
      <c r="Z428" s="196">
        <f ca="1">IF($B$417="Лікар загальної практики - сімейний лікар",IF(Z421&gt;=Законод!$J$22,'01_Доходи'!Z421-('01_Доходи'!Z422+'01_Доходи'!Z423+'01_Доходи'!Z424+'01_Доходи'!Z425+'01_Доходи'!Z426+'01_Доходи'!Z427),0),IF($B$417="Лікар-педіатр",IF(Z421&gt;=Законод!$J$18,'01_Доходи'!Z421-('01_Доходи'!Z422+'01_Доходи'!Z423+'01_Доходи'!Z424+'01_Доходи'!Z425+'01_Доходи'!Z426+'01_Доходи'!Z427),0),IF($B$417="Лікар-терапевт",IF('01_Доходи'!Z421&gt;=Законод!$J$26,Z421-Законод!$I$27,0),0)))</f>
        <v>0</v>
      </c>
      <c r="AA428" s="931"/>
      <c r="AB428" s="935" t="s">
        <v>346</v>
      </c>
      <c r="AC428" s="936"/>
      <c r="AD428" s="936"/>
      <c r="AE428" s="936"/>
      <c r="AF428" s="937"/>
      <c r="AG428" s="196">
        <f ca="1">IF($B$417="Лікар загальної практики - сімейний лікар",IF(AG421&gt;=Законод!$J$22,'01_Доходи'!AG421-('01_Доходи'!AG422+'01_Доходи'!AG423+'01_Доходи'!AG424+'01_Доходи'!AG425+'01_Доходи'!AG426+'01_Доходи'!AG427),0),IF($B$417="Лікар-педіатр",IF(AG421&gt;=Законод!$J$18,'01_Доходи'!AG421-('01_Доходи'!AG422+'01_Доходи'!AG423+'01_Доходи'!AG424+'01_Доходи'!AG425+'01_Доходи'!AG426+'01_Доходи'!AG427),0),IF($B$417="Лікар-терапевт",IF('01_Доходи'!AG421&gt;=Законод!$J$26,AG421-Законод!$I$27,0),0)))</f>
        <v>0</v>
      </c>
      <c r="AH428" s="931"/>
      <c r="AI428" s="215"/>
      <c r="AJ428" s="934"/>
      <c r="AK428" s="928"/>
      <c r="AL428" s="928"/>
      <c r="AM428" s="900"/>
      <c r="AN428" s="216">
        <f ca="1">IF(B417="Лікар загальної практики - сімейний лікар",L428*Законод!$C$9/4*Законод!$J$16,IF(B417="Лікар-педіатр",L428*Законод!$C$9/4*Законод!$J$16,IF(B417="Лікар-терапевт",L428*Законод!$C$9/4*Законод!$J$16,0)))</f>
        <v>0</v>
      </c>
      <c r="AO428" s="216">
        <f ca="1">IF(B417="Лікар загальної практики - сімейний лікар",S428*Законод!$C$9/4*Законод!$J$16,IF(B417="Лікар-педіатр",S428*Законод!$C$9/4*Законод!$J$16,IF(B417="Лікар-терапевт",S428*Законод!$C$9/4*Законод!$J$16,0)))</f>
        <v>0</v>
      </c>
      <c r="AP428" s="216">
        <f ca="1">IF(B417="Лікар загальної практики - сімейний лікар",S428*Законод!$C$9/4*Законод!$J$16,IF(B417="Лікар-педіатр",S428*Законод!$C$9/4*Законод!$J$16,IF(B417="Лікар-терапевт",S428*Законод!$C$9/4*Законод!$J$16,0)))</f>
        <v>0</v>
      </c>
      <c r="AQ428" s="216">
        <f ca="1">IF(B417="Лікар загальної практики - сімейний лікар",AG428*Законод!$C$9/4*Законод!$J$16,IF(B417="Лікар-педіатр",AG428*Законод!$C$9/4*Законод!$J$16,IF(B417="Лікар-терапевт",AG428*Законод!$C$9/4*Законод!$J$16,0)))</f>
        <v>0</v>
      </c>
      <c r="AR428" s="217">
        <f t="shared" si="59"/>
        <v>0</v>
      </c>
    </row>
    <row r="429" spans="1:44" s="247" customFormat="1" ht="23.45" hidden="1" customHeight="1" thickBot="1">
      <c r="A429" s="243"/>
      <c r="B429" s="244"/>
      <c r="C429" s="244"/>
      <c r="D429" s="244"/>
      <c r="E429" s="244"/>
      <c r="F429" s="245"/>
      <c r="G429" s="246"/>
      <c r="H429" s="246"/>
      <c r="L429" s="248"/>
      <c r="S429" s="248"/>
      <c r="Z429" s="248"/>
      <c r="AG429" s="248"/>
      <c r="AM429" s="249"/>
      <c r="AR429" s="250"/>
    </row>
    <row r="430" spans="1:44" s="191" customFormat="1" ht="24.6" hidden="1" customHeight="1">
      <c r="A430" s="194">
        <f>A417+1</f>
        <v>31</v>
      </c>
      <c r="B430" s="892"/>
      <c r="C430" s="895"/>
      <c r="D430" s="911"/>
      <c r="E430" s="908"/>
      <c r="F430" s="234" t="s">
        <v>582</v>
      </c>
      <c r="G430" s="196">
        <f>IF($B$430="Лікар-педіатр",G433*L430,IF($B$430="Лікар-терапевт","х",IF($B$430="Лікар загальної практики - сімейний лікар",G433*L430,0)))</f>
        <v>0</v>
      </c>
      <c r="H430" s="196">
        <f>IF($B$430="Лікар-педіатр",H433*L430,IF($B$430="Лікар-терапевт","х",IF($B$430="Лікар загальної практики - сімейний лікар",H433*L430,0)))</f>
        <v>0</v>
      </c>
      <c r="I430" s="196">
        <f>IF($B$430="Лікар-педіатр","x",IF($B$430="Лікар-терапевт",I433*L430,IF($B$430="Лікар загальної практики - сімейний лікар",I433*L430,0)))</f>
        <v>0</v>
      </c>
      <c r="J430" s="196">
        <f>IF($B$430="Лікар-педіатр","x",IF($B$430="Лікар-терапевт",J433*L430,IF($B$430="Лікар загальної практики - сімейний лікар",J433*L430,0)))</f>
        <v>0</v>
      </c>
      <c r="K430" s="196">
        <f>IF($B$430="Лікар-педіатр","x",IF($B$430="Лікар-терапевт",K433*L430,IF($B$430="Лікар загальної практики - сімейний лікар",K433*L430,0)))</f>
        <v>0</v>
      </c>
      <c r="L430" s="558"/>
      <c r="M430" s="929"/>
      <c r="N430" s="196">
        <f>IF($B$430="Лікар-педіатр",N433*S430,IF($B$430="Лікар-терапевт","х",IF($B$430="Лікар загальної практики - сімейний лікар",N433*S430,0)))</f>
        <v>0</v>
      </c>
      <c r="O430" s="196">
        <f>IF($B$430="Лікар-педіатр",O433*S430,IF($B$430="Лікар-терапевт","х",IF($B$430="Лікар загальної практики - сімейний лікар",O433*S430,0)))</f>
        <v>0</v>
      </c>
      <c r="P430" s="196">
        <f>IF($B$430="Лікар-педіатр","x",IF($B$430="Лікар-терапевт",P433*S430,IF($B$430="Лікар загальної практики - сімейний лікар",P433*S430,0)))</f>
        <v>0</v>
      </c>
      <c r="Q430" s="196">
        <f>IF($B$430="Лікар-педіатр","x",IF($B$430="Лікар-терапевт",Q433*S430,IF($B$430="Лікар загальної практики - сімейний лікар",Q433*S430,0)))</f>
        <v>0</v>
      </c>
      <c r="R430" s="196">
        <f>IF($B$430="Лікар-педіатр","x",IF($B$430="Лікар-терапевт",R433*S430,IF($B$430="Лікар загальної практики - сімейний лікар",R433*S430,0)))</f>
        <v>0</v>
      </c>
      <c r="S430" s="558"/>
      <c r="T430" s="929"/>
      <c r="U430" s="196">
        <f>IF($B$430="Лікар-педіатр",U433*Z430,IF($B$430="Лікар-терапевт","х",IF($B$430="Лікар загальної практики - сімейний лікар",U433*Z430,0)))</f>
        <v>0</v>
      </c>
      <c r="V430" s="196">
        <f>IF($B$430="Лікар-педіатр",V433*Z430,IF($B$430="Лікар-терапевт","х",IF($B$430="Лікар загальної практики - сімейний лікар",V433*Z430,0)))</f>
        <v>0</v>
      </c>
      <c r="W430" s="196">
        <f>IF($B$430="Лікар-педіатр","x",IF($B$430="Лікар-терапевт",W433*Z430,IF($B$430="Лікар загальної практики - сімейний лікар",W433*Z430,0)))</f>
        <v>0</v>
      </c>
      <c r="X430" s="196">
        <f>IF($B$430="Лікар-педіатр","x",IF($B$430="Лікар-терапевт",X433*Z430,IF($B$430="Лікар загальної практики - сімейний лікар",X433*Z430,0)))</f>
        <v>0</v>
      </c>
      <c r="Y430" s="196">
        <f>IF($B$430="Лікар-педіатр","x",IF($B$430="Лікар-терапевт",Y433*Z430,IF($B$430="Лікар загальної практики - сімейний лікар",Y433*Z430,0)))</f>
        <v>0</v>
      </c>
      <c r="Z430" s="558"/>
      <c r="AA430" s="929"/>
      <c r="AB430" s="196">
        <f>IF($B$430="Лікар-педіатр",AB433*AG430,IF($B$430="Лікар-терапевт","х",IF($B$430="Лікар загальної практики - сімейний лікар",AB433*AG430,0)))</f>
        <v>0</v>
      </c>
      <c r="AC430" s="196">
        <f>IF($B$430="Лікар-педіатр",AC433*AG430,IF($B$430="Лікар-терапевт","х",IF($B$430="Лікар загальної практики - сімейний лікар",AC433*AG430,0)))</f>
        <v>0</v>
      </c>
      <c r="AD430" s="196">
        <f>IF($B$430="Лікар-педіатр","x",IF($B$430="Лікар-терапевт",AD433*AG430,IF($B$430="Лікар загальної практики - сімейний лікар",AD433*AG430,0)))</f>
        <v>0</v>
      </c>
      <c r="AE430" s="196">
        <f>IF($B$430="Лікар-педіатр","x",IF($B$430="Лікар-терапевт",AE433*AG430,IF($B$430="Лікар загальної практики - сімейний лікар",AE433*AG430,0)))</f>
        <v>0</v>
      </c>
      <c r="AF430" s="196">
        <f>IF($B$430="Лікар-педіатр","x",IF($B$430="Лікар-терапевт",AF433*AG430,IF($B$430="Лікар загальної практики - сімейний лікар",AF433*AG430,0)))</f>
        <v>0</v>
      </c>
      <c r="AG430" s="558"/>
      <c r="AH430" s="929"/>
      <c r="AI430" s="541">
        <f>A430</f>
        <v>31</v>
      </c>
      <c r="AJ430" s="932">
        <f>B430</f>
        <v>0</v>
      </c>
      <c r="AK430" s="926">
        <f>C430</f>
        <v>0</v>
      </c>
      <c r="AL430" s="926">
        <f>D430</f>
        <v>0</v>
      </c>
      <c r="AM430" s="901" t="s">
        <v>785</v>
      </c>
      <c r="AN430" s="923">
        <f>SUM(AN435:AN441)</f>
        <v>0</v>
      </c>
      <c r="AO430" s="923">
        <f>SUM(AO435:AO441)</f>
        <v>0</v>
      </c>
      <c r="AP430" s="923">
        <f>SUM(AP435:AP441)</f>
        <v>0</v>
      </c>
      <c r="AQ430" s="923">
        <f>SUM(AQ435:AQ441)</f>
        <v>0</v>
      </c>
      <c r="AR430" s="914">
        <f>SUM(AN430:AQ434)</f>
        <v>0</v>
      </c>
    </row>
    <row r="431" spans="1:44" s="50" customFormat="1" ht="28.15" hidden="1" customHeight="1">
      <c r="A431" s="197"/>
      <c r="B431" s="893"/>
      <c r="C431" s="896"/>
      <c r="D431" s="912"/>
      <c r="E431" s="909"/>
      <c r="F431" s="234" t="s">
        <v>583</v>
      </c>
      <c r="G431" s="196">
        <f>IF($B$430="Лікар-педіатр",G433*L431,IF($B$430="Лікар-терапевт","х",IF($B$430="Лікар загальної практики - сімейний лікар",G433*L431,0)))</f>
        <v>0</v>
      </c>
      <c r="H431" s="196">
        <f>IF($B$430="Лікар-педіатр",H433*L431,IF($B$430="Лікар-терапевт","х",IF($B$430="Лікар загальної практики - сімейний лікар",H433*L431,0)))</f>
        <v>0</v>
      </c>
      <c r="I431" s="196">
        <f>IF($B$430="Лікар-педіатр","x",IF($B$430="Лікар-терапевт",I433*L431,IF($B$430="Лікар загальної практики - сімейний лікар",I433*L431,0)))</f>
        <v>0</v>
      </c>
      <c r="J431" s="196">
        <f>IF($B$430="Лікар-педіатр","x",IF($B$430="Лікар-терапевт",J433*L431,IF($B$430="Лікар загальної практики - сімейний лікар",J433*L431,0)))</f>
        <v>0</v>
      </c>
      <c r="K431" s="196">
        <f>IF($B$430="Лікар-педіатр","x",IF($B$430="Лікар-терапевт",K433*L431,IF($B$430="Лікар загальної практики - сімейний лікар",K433*L431,0)))</f>
        <v>0</v>
      </c>
      <c r="L431" s="558"/>
      <c r="M431" s="930"/>
      <c r="N431" s="196">
        <f>IF($B$430="Лікар-педіатр",N433*S431,IF($B$430="Лікар-терапевт","х",IF($B$430="Лікар загальної практики - сімейний лікар",N433*S431,0)))</f>
        <v>0</v>
      </c>
      <c r="O431" s="196">
        <f>IF($B$430="Лікар-педіатр",O433*S431,IF($B$430="Лікар-терапевт","х",IF($B$430="Лікар загальної практики - сімейний лікар",O433*S431,0)))</f>
        <v>0</v>
      </c>
      <c r="P431" s="196">
        <f>IF($B$430="Лікар-педіатр","x",IF($B$430="Лікар-терапевт",P433*S431,IF($B$430="Лікар загальної практики - сімейний лікар",P433*S431,0)))</f>
        <v>0</v>
      </c>
      <c r="Q431" s="196">
        <f>IF($B$430="Лікар-педіатр","x",IF($B$430="Лікар-терапевт",Q433*S431,IF($B$430="Лікар загальної практики - сімейний лікар",Q433*S431,0)))</f>
        <v>0</v>
      </c>
      <c r="R431" s="196">
        <f>IF($B$430="Лікар-педіатр","x",IF($B$430="Лікар-терапевт",R433*S431,IF($B$430="Лікар загальної практики - сімейний лікар",R433*S431,0)))</f>
        <v>0</v>
      </c>
      <c r="S431" s="558"/>
      <c r="T431" s="930"/>
      <c r="U431" s="196">
        <f>IF($B$430="Лікар-педіатр",U433*Z431,IF($B$430="Лікар-терапевт","х",IF($B$430="Лікар загальної практики - сімейний лікар",U433*Z431,0)))</f>
        <v>0</v>
      </c>
      <c r="V431" s="196">
        <f>IF($B$430="Лікар-педіатр",V433*Z431,IF($B$430="Лікар-терапевт","х",IF($B$430="Лікар загальної практики - сімейний лікар",V433*Z431,0)))</f>
        <v>0</v>
      </c>
      <c r="W431" s="196">
        <f>IF($B$430="Лікар-педіатр","x",IF($B$430="Лікар-терапевт",W433*Z431,IF($B$430="Лікар загальної практики - сімейний лікар",W433*Z431,0)))</f>
        <v>0</v>
      </c>
      <c r="X431" s="196">
        <f>IF($B$430="Лікар-педіатр","x",IF($B$430="Лікар-терапевт",X433*Z431,IF($B$430="Лікар загальної практики - сімейний лікар",X433*Z431,0)))</f>
        <v>0</v>
      </c>
      <c r="Y431" s="196">
        <f>IF($B$430="Лікар-педіатр","x",IF($B$430="Лікар-терапевт",Y433*Z431,IF($B$430="Лікар загальної практики - сімейний лікар",Y433*Z431,0)))</f>
        <v>0</v>
      </c>
      <c r="Z431" s="558"/>
      <c r="AA431" s="930"/>
      <c r="AB431" s="196">
        <f>IF($B$430="Лікар-педіатр",AB433*AG431,IF($B$430="Лікар-терапевт","х",IF($B$430="Лікар загальної практики - сімейний лікар",AB433*AG431,0)))</f>
        <v>0</v>
      </c>
      <c r="AC431" s="196">
        <f>IF($B$430="Лікар-педіатр",AC433*AG431,IF($B$430="Лікар-терапевт","х",IF($B$430="Лікар загальної практики - сімейний лікар",AC433*AG431,0)))</f>
        <v>0</v>
      </c>
      <c r="AD431" s="196">
        <f>IF($B$430="Лікар-педіатр","x",IF($B$430="Лікар-терапевт",AD433*AG431,IF($B$430="Лікар загальної практики - сімейний лікар",AD433*AG431,0)))</f>
        <v>0</v>
      </c>
      <c r="AE431" s="196">
        <f>IF($B$430="Лікар-педіатр","x",IF($B$430="Лікар-терапевт",AE433*AG431,IF($B$430="Лікар загальної практики - сімейний лікар",AE433*AG431,0)))</f>
        <v>0</v>
      </c>
      <c r="AF431" s="196">
        <f>IF($B$430="Лікар-педіатр","x",IF($B$430="Лікар-терапевт",AF433*AG431,IF($B$430="Лікар загальної практики - сімейний лікар",AF433*AG431,0)))</f>
        <v>0</v>
      </c>
      <c r="AG431" s="558"/>
      <c r="AH431" s="930"/>
      <c r="AI431" s="198"/>
      <c r="AJ431" s="933"/>
      <c r="AK431" s="927"/>
      <c r="AL431" s="927"/>
      <c r="AM431" s="902"/>
      <c r="AN431" s="924"/>
      <c r="AO431" s="924"/>
      <c r="AP431" s="924"/>
      <c r="AQ431" s="924"/>
      <c r="AR431" s="915"/>
    </row>
    <row r="432" spans="1:44" s="90" customFormat="1" ht="31.15" hidden="1" customHeight="1">
      <c r="A432" s="240"/>
      <c r="B432" s="893"/>
      <c r="C432" s="896"/>
      <c r="D432" s="912"/>
      <c r="E432" s="909"/>
      <c r="F432" s="241" t="s">
        <v>584</v>
      </c>
      <c r="G432" s="199">
        <f>IF(B430="Лікар загальної практики - сімейний лікар"," ",IF(B430="Лікар-педіатр"," ",IF(B430="Лікар-терапевт","х",0)))</f>
        <v>0</v>
      </c>
      <c r="H432" s="199">
        <f>IF(B430="Лікар загальної практики - сімейний лікар"," ",IF(B430="Лікар-педіатр"," ",IF(B430="Лікар-терапевт","х",0)))</f>
        <v>0</v>
      </c>
      <c r="I432" s="199">
        <f>IF(B430="Лікар загальної практики - сімейний лікар"," ",IF(B430="Лікар-педіатр","х",IF(B430="Лікар-терапевт"," ",0)))</f>
        <v>0</v>
      </c>
      <c r="J432" s="199">
        <f>IF(B430="Лікар загальної практики - сімейний лікар"," ",IF(B430="Лікар-педіатр","х",IF(B430="Лікар-терапевт"," ",0)))</f>
        <v>0</v>
      </c>
      <c r="K432" s="199">
        <f>IF(B430="Лікар загальної практики - сімейний лікар"," ",IF(B430="Лікар-педіатр","х",IF(B430="Лікар-терапевт"," ",0)))</f>
        <v>0</v>
      </c>
      <c r="L432" s="200">
        <f>SUM(G432:K432)</f>
        <v>0</v>
      </c>
      <c r="M432" s="930"/>
      <c r="N432" s="199">
        <f>IF(B430="Лікар загальної практики - сімейний лікар"," ",IF(B430="Лікар-педіатр"," ",IF(B430="Лікар-терапевт","х",0)))</f>
        <v>0</v>
      </c>
      <c r="O432" s="199">
        <f>IF(B430="Лікар загальної практики - сімейний лікар"," ",IF(B430="Лікар-педіатр"," ",IF(B430="Лікар-терапевт","х",0)))</f>
        <v>0</v>
      </c>
      <c r="P432" s="199">
        <f>IF(B430="Лікар загальної практики - сімейний лікар"," ",IF(B430="Лікар-педіатр","х",IF(B430="Лікар-терапевт"," ",0)))</f>
        <v>0</v>
      </c>
      <c r="Q432" s="199">
        <f>IF(B430="Лікар загальної практики - сімейний лікар"," ",IF(B430="Лікар-педіатр","х",IF(B430="Лікар-терапевт"," ",0)))</f>
        <v>0</v>
      </c>
      <c r="R432" s="199">
        <f>IF(B430="Лікар загальної практики - сімейний лікар"," ",IF(B430="Лікар-педіатр","х",IF(B430="Лікар-терапевт"," ",0)))</f>
        <v>0</v>
      </c>
      <c r="S432" s="200">
        <f>SUM(N432:R432)</f>
        <v>0</v>
      </c>
      <c r="T432" s="930"/>
      <c r="U432" s="199">
        <f>IF(B430="Лікар загальної практики - сімейний лікар"," ",IF(B430="Лікар-педіатр"," ",IF(B430="Лікар-терапевт","х",0)))</f>
        <v>0</v>
      </c>
      <c r="V432" s="199">
        <f>IF(B430="Лікар загальної практики - сімейний лікар"," ",IF(B430="Лікар-педіатр"," ",IF(B430="Лікар-терапевт","х",0)))</f>
        <v>0</v>
      </c>
      <c r="W432" s="199">
        <f>IF(B430="Лікар загальної практики - сімейний лікар"," ",IF(B430="Лікар-педіатр","х",IF(B430="Лікар-терапевт"," ",0)))</f>
        <v>0</v>
      </c>
      <c r="X432" s="199">
        <f>IF(B430="Лікар загальної практики - сімейний лікар"," ",IF(B430="Лікар-педіатр","х",IF(B430="Лікар-терапевт"," ",0)))</f>
        <v>0</v>
      </c>
      <c r="Y432" s="199">
        <f>IF(B430="Лікар загальної практики - сімейний лікар"," ",IF(B430="Лікар-педіатр","х",IF(B430="Лікар-терапевт"," ",0)))</f>
        <v>0</v>
      </c>
      <c r="Z432" s="200">
        <f>SUM(U432:Y432)</f>
        <v>0</v>
      </c>
      <c r="AA432" s="930"/>
      <c r="AB432" s="199">
        <f>IF(B430="Лікар загальної практики - сімейний лікар"," ",IF(B430="Лікар-педіатр"," ",IF(B430="Лікар-терапевт","х",0)))</f>
        <v>0</v>
      </c>
      <c r="AC432" s="199">
        <f>IF(B430="Лікар загальної практики - сімейний лікар"," ",IF(B430="Лікар-педіатр"," ",IF(B430="Лікар-терапевт","х",0)))</f>
        <v>0</v>
      </c>
      <c r="AD432" s="199">
        <f>IF(B430="Лікар загальної практики - сімейний лікар"," ",IF(B430="Лікар-педіатр","х",IF(B430="Лікар-терапевт"," ",0)))</f>
        <v>0</v>
      </c>
      <c r="AE432" s="199">
        <f>IF(B430="Лікар загальної практики - сімейний лікар"," ",IF(B430="Лікар-педіатр","х",IF(B430="Лікар-терапевт"," ",0)))</f>
        <v>0</v>
      </c>
      <c r="AF432" s="199">
        <f>IF(B430="Лікар загальної практики - сімейний лікар"," ",IF(B430="Лікар-педіатр","х",IF(B430="Лікар-терапевт"," ",0)))</f>
        <v>0</v>
      </c>
      <c r="AG432" s="200">
        <f>SUM(AB432:AF432)</f>
        <v>0</v>
      </c>
      <c r="AH432" s="930"/>
      <c r="AI432" s="242"/>
      <c r="AJ432" s="933"/>
      <c r="AK432" s="927"/>
      <c r="AL432" s="927"/>
      <c r="AM432" s="902"/>
      <c r="AN432" s="924"/>
      <c r="AO432" s="924"/>
      <c r="AP432" s="924"/>
      <c r="AQ432" s="924"/>
      <c r="AR432" s="915"/>
    </row>
    <row r="433" spans="1:44" s="50" customFormat="1" ht="31.9" hidden="1" customHeight="1" thickBot="1">
      <c r="A433" s="197"/>
      <c r="B433" s="893"/>
      <c r="C433" s="896"/>
      <c r="D433" s="912"/>
      <c r="E433" s="909"/>
      <c r="F433" s="236" t="s">
        <v>349</v>
      </c>
      <c r="G433" s="203">
        <f>IF($B$430="Лікар-педіатр",G432/L432,IF($B$430="Лікар-терапевт","х",IF($B$430="Лікар загальної практики - сімейний лікар",G432/L432,0)))</f>
        <v>0</v>
      </c>
      <c r="H433" s="203">
        <f>IF($B$430="Лікар-педіатр",H432/L432,IF($B$430="Лікар-терапевт","х",IF($B$430="Лікар загальної практики - сімейний лікар",H432/L432,0)))</f>
        <v>0</v>
      </c>
      <c r="I433" s="203">
        <f>IF($B$430="Лікар-педіатр","x",IF($B$430="Лікар-терапевт",I432/L432,IF($B$430="Лікар загальної практики - сімейний лікар",I432/L432,0)))</f>
        <v>0</v>
      </c>
      <c r="J433" s="203">
        <f>IF($B$430="Лікар-педіатр","x",IF($B$430="Лікар-терапевт",J432/L432,IF($B$430="Лікар загальної практики - сімейний лікар",J432/L432,0)))</f>
        <v>0</v>
      </c>
      <c r="K433" s="203">
        <f>IF($B$430="Лікар-педіатр","x",IF($B$430="Лікар-терапевт",K432/L432,IF($B$430="Лікар загальної практики - сімейний лікар",K432/L432,0)))</f>
        <v>0</v>
      </c>
      <c r="L433" s="203">
        <f>SUM(G433:K433)</f>
        <v>0</v>
      </c>
      <c r="M433" s="930"/>
      <c r="N433" s="203">
        <f>IF($B$430="Лікар-педіатр",N432/S432,IF($B$430="Лікар-терапевт","х",IF($B$430="Лікар загальної практики - сімейний лікар",N432/S432,0)))</f>
        <v>0</v>
      </c>
      <c r="O433" s="203">
        <f>IF($B$430="Лікар-педіатр",O432/S432,IF($B$430="Лікар-терапевт","х",IF($B$430="Лікар загальної практики - сімейний лікар",O432/S432,0)))</f>
        <v>0</v>
      </c>
      <c r="P433" s="203">
        <f>IF($B$430="Лікар-педіатр","x",IF($B$430="Лікар-терапевт",P432/S432,IF($B$430="Лікар загальної практики - сімейний лікар",P432/S432,0)))</f>
        <v>0</v>
      </c>
      <c r="Q433" s="203">
        <f>IF($B$430="Лікар-педіатр","x",IF($B$430="Лікар-терапевт",Q432/S432,IF($B$430="Лікар загальної практики - сімейний лікар",Q432/S432,0)))</f>
        <v>0</v>
      </c>
      <c r="R433" s="203">
        <f>IF($B$430="Лікар-педіатр","x",IF($B$430="Лікар-терапевт",R432/S432,IF($B$430="Лікар загальної практики - сімейний лікар",R432/S432,0)))</f>
        <v>0</v>
      </c>
      <c r="S433" s="203">
        <f>SUM(N433:R433)</f>
        <v>0</v>
      </c>
      <c r="T433" s="930"/>
      <c r="U433" s="203">
        <f>IF($B$430="Лікар-педіатр",U432/Z432,IF($B$430="Лікар-терапевт","х",IF($B$430="Лікар загальної практики - сімейний лікар",U432/Z432,0)))</f>
        <v>0</v>
      </c>
      <c r="V433" s="203">
        <f>IF($B$430="Лікар-педіатр",V432/Z432,IF($B$430="Лікар-терапевт","х",IF($B$430="Лікар загальної практики - сімейний лікар",V432/Z432,0)))</f>
        <v>0</v>
      </c>
      <c r="W433" s="203">
        <f>IF($B$430="Лікар-педіатр","x",IF($B$430="Лікар-терапевт",W432/Z432,IF($B$430="Лікар загальної практики - сімейний лікар",W432/Z432,0)))</f>
        <v>0</v>
      </c>
      <c r="X433" s="203">
        <f>IF($B$430="Лікар-педіатр","x",IF($B$430="Лікар-терапевт",X432/Z432,IF($B$430="Лікар загальної практики - сімейний лікар",X432/Z432,0)))</f>
        <v>0</v>
      </c>
      <c r="Y433" s="203">
        <f>IF($B$430="Лікар-педіатр","x",IF($B$430="Лікар-терапевт",Y432/Z432,IF($B$430="Лікар загальної практики - сімейний лікар",Y432/Z432,0)))</f>
        <v>0</v>
      </c>
      <c r="Z433" s="203">
        <f>SUM(U433:Y433)</f>
        <v>0</v>
      </c>
      <c r="AA433" s="930"/>
      <c r="AB433" s="203">
        <f>IF($B$430="Лікар-педіатр",AB432/AG432,IF($B$430="Лікар-терапевт","х",IF($B$430="Лікар загальної практики - сімейний лікар",AB432/AG432,0)))</f>
        <v>0</v>
      </c>
      <c r="AC433" s="203">
        <f>IF($B$430="Лікар-педіатр",AC432/AG432,IF($B$430="Лікар-терапевт","х",IF($B$430="Лікар загальної практики - сімейний лікар",AC432/AG432,0)))</f>
        <v>0</v>
      </c>
      <c r="AD433" s="203">
        <f>IF($B$430="Лікар-педіатр","x",IF($B$430="Лікар-терапевт",AD432/AG432,IF($B$430="Лікар загальної практики - сімейний лікар",AD432/AG432,0)))</f>
        <v>0</v>
      </c>
      <c r="AE433" s="203">
        <f>IF($B$430="Лікар-педіатр","x",IF($B$430="Лікар-терапевт",AE432/AG432,IF($B$430="Лікар загальної практики - сімейний лікар",AE432/AG432,0)))</f>
        <v>0</v>
      </c>
      <c r="AF433" s="203">
        <f>IF($B$430="Лікар-педіатр","x",IF($B$430="Лікар-терапевт",AF432/AG432,IF($B$430="Лікар загальної практики - сімейний лікар",AF432/AG432,0)))</f>
        <v>0</v>
      </c>
      <c r="AG433" s="203">
        <f>SUM(AB433:AF433)</f>
        <v>0</v>
      </c>
      <c r="AH433" s="930"/>
      <c r="AI433" s="201"/>
      <c r="AJ433" s="933"/>
      <c r="AK433" s="927"/>
      <c r="AL433" s="927"/>
      <c r="AM433" s="902"/>
      <c r="AN433" s="924"/>
      <c r="AO433" s="924"/>
      <c r="AP433" s="924"/>
      <c r="AQ433" s="924"/>
      <c r="AR433" s="915"/>
    </row>
    <row r="434" spans="1:44" s="50" customFormat="1" ht="45" hidden="1" customHeight="1" thickBot="1">
      <c r="A434" s="197"/>
      <c r="B434" s="893"/>
      <c r="C434" s="896"/>
      <c r="D434" s="912"/>
      <c r="E434" s="909"/>
      <c r="F434" s="204" t="s">
        <v>585</v>
      </c>
      <c r="G434" s="205">
        <f>IF($B$430="Лікар загальної практики - сімейний лікар",AVERAGE(G430:G432),IF($B$430="Лікар-педіатр",AVERAGE(G430:G432),IF($B$430="Лікар-терапевт","х",0)))</f>
        <v>0</v>
      </c>
      <c r="H434" s="205">
        <f>IF($B$430="Лікар загальної практики - сімейний лікар",AVERAGE(H430:H432),IF($B$430="Лікар-педіатр",AVERAGE(H430:H432),IF($B$430="Лікар-терапевт","х",0)))</f>
        <v>0</v>
      </c>
      <c r="I434" s="205">
        <f>IF($B$430="Лікар загальної практики - сімейний лікар",AVERAGE(I430:I432),IF($B$430="Лікар-педіатр","x",IF($B$430="Лікар-терапевт",AVERAGE(I430:I432),0)))</f>
        <v>0</v>
      </c>
      <c r="J434" s="205">
        <f>IF($B$430="Лікар загальної практики - сімейний лікар",AVERAGE(J430:J432),IF($B$430="Лікар-педіатр","x",IF($B$430="Лікар-терапевт",AVERAGE(J430:J432),0)))</f>
        <v>0</v>
      </c>
      <c r="K434" s="205">
        <f>IF($B$430="Лікар загальної практики - сімейний лікар",AVERAGE(K430:K432),IF($B$430="Лікар-педіатр","x",IF($B$430="Лікар-терапевт",AVERAGE(K430:K432),0)))</f>
        <v>0</v>
      </c>
      <c r="L434" s="206">
        <f>SUM(G434:K434)</f>
        <v>0</v>
      </c>
      <c r="M434" s="930"/>
      <c r="N434" s="205">
        <f>IF($B$430="Лікар загальної практики - сімейний лікар",AVERAGE(N430:N432),IF($B$430="Лікар-педіатр",AVERAGE(N430:N432),IF($B$430="Лікар-терапевт","х",0)))</f>
        <v>0</v>
      </c>
      <c r="O434" s="205">
        <f>IF($B$430="Лікар загальної практики - сімейний лікар",AVERAGE(O430:O432),IF($B$430="Лікар-педіатр",AVERAGE(O430:O432),IF($B$430="Лікар-терапевт","х",0)))</f>
        <v>0</v>
      </c>
      <c r="P434" s="205">
        <f>IF($B$430="Лікар загальної практики - сімейний лікар",AVERAGE(P430:P432),IF($B$430="Лікар-педіатр","x",IF($B$430="Лікар-терапевт",AVERAGE(P430:P432),0)))</f>
        <v>0</v>
      </c>
      <c r="Q434" s="205">
        <f>IF($B$430="Лікар загальної практики - сімейний лікар",AVERAGE(Q430:Q432),IF($B$430="Лікар-педіатр","x",IF($B$430="Лікар-терапевт",AVERAGE(Q430:Q432),0)))</f>
        <v>0</v>
      </c>
      <c r="R434" s="205">
        <f>IF($B$430="Лікар загальної практики - сімейний лікар",AVERAGE(R430:R432),IF($B$430="Лікар-педіатр","x",IF($B$430="Лікар-терапевт",AVERAGE(R430:R432),0)))</f>
        <v>0</v>
      </c>
      <c r="S434" s="206">
        <f>SUM(N434:R434)</f>
        <v>0</v>
      </c>
      <c r="T434" s="930"/>
      <c r="U434" s="205">
        <f>IF($B$430="Лікар загальної практики - сімейний лікар",AVERAGE(U430:U432),IF($B$430="Лікар-педіатр",AVERAGE(U430:U432),IF($B$430="Лікар-терапевт","х",0)))</f>
        <v>0</v>
      </c>
      <c r="V434" s="205">
        <f>IF($B$430="Лікар загальної практики - сімейний лікар",AVERAGE(V430:V432),IF($B$430="Лікар-педіатр",AVERAGE(V430:V432),IF($B$430="Лікар-терапевт","х",0)))</f>
        <v>0</v>
      </c>
      <c r="W434" s="205">
        <f>IF($B$430="Лікар загальної практики - сімейний лікар",AVERAGE(W430:W432),IF($B$430="Лікар-педіатр","x",IF($B$430="Лікар-терапевт",AVERAGE(W430:W432),0)))</f>
        <v>0</v>
      </c>
      <c r="X434" s="205">
        <f>IF($B$430="Лікар загальної практики - сімейний лікар",AVERAGE(X430:X432),IF($B$430="Лікар-педіатр","x",IF($B$430="Лікар-терапевт",AVERAGE(X430:X432),0)))</f>
        <v>0</v>
      </c>
      <c r="Y434" s="205">
        <f>IF($B$430="Лікар загальної практики - сімейний лікар",AVERAGE(Y430:Y432),IF($B$430="Лікар-педіатр","x",IF($B$430="Лікар-терапевт",AVERAGE(Y430:Y432),0)))</f>
        <v>0</v>
      </c>
      <c r="Z434" s="206">
        <f>SUM(U434:Y434)</f>
        <v>0</v>
      </c>
      <c r="AA434" s="930"/>
      <c r="AB434" s="205">
        <f>IF($B$430="Лікар загальної практики - сімейний лікар",AVERAGE(AB430:AB432),IF($B$430="Лікар-педіатр",AVERAGE(AB430:AB432),IF($B$430="Лікар-терапевт","х",0)))</f>
        <v>0</v>
      </c>
      <c r="AC434" s="205">
        <f>IF($B$430="Лікар загальної практики - сімейний лікар",AVERAGE(AC430:AC432),IF($B$430="Лікар-педіатр",AVERAGE(AC430:AC432),IF($B$430="Лікар-терапевт","х",0)))</f>
        <v>0</v>
      </c>
      <c r="AD434" s="205">
        <f>IF($B$430="Лікар загальної практики - сімейний лікар",AVERAGE(AD430:AD432),IF($B$430="Лікар-педіатр","x",IF($B$430="Лікар-терапевт",AVERAGE(AD430:AD432),0)))</f>
        <v>0</v>
      </c>
      <c r="AE434" s="205">
        <f>IF($B$430="Лікар загальної практики - сімейний лікар",AVERAGE(AE430:AE432),IF($B$430="Лікар-педіатр","x",IF($B$430="Лікар-терапевт",AVERAGE(AE430:AE432),0)))</f>
        <v>0</v>
      </c>
      <c r="AF434" s="205">
        <f>IF($B$430="Лікар загальної практики - сімейний лікар",AVERAGE(AF430:AF432),IF($B$430="Лікар-педіатр","x",IF($B$430="Лікар-терапевт",AVERAGE(AF430:AF432),0)))</f>
        <v>0</v>
      </c>
      <c r="AG434" s="206">
        <f>SUM(AB434:AF434)</f>
        <v>0</v>
      </c>
      <c r="AH434" s="930"/>
      <c r="AI434" s="201"/>
      <c r="AJ434" s="933"/>
      <c r="AK434" s="927"/>
      <c r="AL434" s="927"/>
      <c r="AM434" s="903"/>
      <c r="AN434" s="925"/>
      <c r="AO434" s="925"/>
      <c r="AP434" s="925"/>
      <c r="AQ434" s="925"/>
      <c r="AR434" s="916"/>
    </row>
    <row r="435" spans="1:44" s="50" customFormat="1" ht="40.5" hidden="1">
      <c r="A435" s="197"/>
      <c r="B435" s="893"/>
      <c r="C435" s="896"/>
      <c r="D435" s="912"/>
      <c r="E435" s="909"/>
      <c r="F435" s="237" t="str">
        <f ca="1">IF(B430="Лікар-педіатр",Законод!$C$17,IF(B430="Лікар загальної практики - сімейний лікар",Законод!$C$21,IF(B430="Лікар-терапевт",Законод!$C$25,"х")))</f>
        <v>х</v>
      </c>
      <c r="G435" s="208">
        <f ca="1">IF($B$430="Лікар загальної практики - сімейний лікар",IF(L434&lt;=Законод!$C$22,G434,Законод!$C$22*'01_Доходи'!G433),IF($B$430="Лікар-педіатр",IF(L434&lt;=Законод!$C$18,G434,Законод!$C$18*'01_Доходи'!G433),IF($B$430="Лікар-терапевт","x",0)))</f>
        <v>0</v>
      </c>
      <c r="H435" s="208">
        <f ca="1">IF($B$430="Лікар загальної практики - сімейний лікар",IF(L434&lt;=Законод!$C$22,H434,Законод!$C$22*'01_Доходи'!H433),IF($B$430="Лікар-педіатр",IF(L434&lt;=Законод!$C$18,H434,Законод!$C$18*'01_Доходи'!H433),IF($B$430="Лікар-терапевт","x",0)))</f>
        <v>0</v>
      </c>
      <c r="I435" s="208">
        <f ca="1">IF($B$430="Лікар загальної практики - сімейний лікар",IF(L434&lt;=Законод!$C$22,I434,Законод!$C$22*'01_Доходи'!I433),IF($B$430="Лікар-педіатр","x",IF($B$430="Лікар-терапевт",IF(L434&lt;=Законод!$C$26,I434,Законод!$C$26*'01_Доходи'!I433),0)))</f>
        <v>0</v>
      </c>
      <c r="J435" s="208">
        <f ca="1">IF($B$430="Лікар загальної практики - сімейний лікар",IF(L434&lt;=Законод!$C$22,J434,Законод!$C$22*'01_Доходи'!J433),IF($B$430="Лікар-педіатр","x",IF($B$430="Лікар-терапевт",IF(L434&lt;=Законод!$C$26,J434,Законод!$C$26*'01_Доходи'!J433),0)))</f>
        <v>0</v>
      </c>
      <c r="K435" s="208">
        <f ca="1">IF($B$430="Лікар загальної практики - сімейний лікар",IF(L434&lt;=Законод!$C$22,K434,Законод!$C$22*'01_Доходи'!K433),IF($B$430="Лікар-педіатр","x",IF($B$430="Лікар-терапевт",IF(L434&lt;=Законод!$C$26,K434,Законод!$C$26*'01_Доходи'!K433),0)))</f>
        <v>0</v>
      </c>
      <c r="L435" s="209">
        <f ca="1">SUM(G435:K435)</f>
        <v>0</v>
      </c>
      <c r="M435" s="930"/>
      <c r="N435" s="208">
        <f ca="1">IF($B$430="Лікар загальної практики - сімейний лікар",IF(S434&lt;=Законод!$C$22,N434,Законод!$C$22*'01_Доходи'!N433),IF($B$430="Лікар-педіатр",IF(S434&lt;=Законод!$C$18,N434,Законод!$C$18*'01_Доходи'!N433),IF($B$430="Лікар-терапевт","x",0)))</f>
        <v>0</v>
      </c>
      <c r="O435" s="208">
        <f ca="1">IF($B$430="Лікар загальної практики - сімейний лікар",IF(S434&lt;=Законод!$C$22,O434,Законод!$C$22*'01_Доходи'!O433),IF($B$430="Лікар-педіатр",IF(S434&lt;=Законод!$C$18,O434,Законод!$C$18*'01_Доходи'!O433),IF($B$430="Лікар-терапевт","x",0)))</f>
        <v>0</v>
      </c>
      <c r="P435" s="208">
        <f ca="1">IF($B$430="Лікар загальної практики - сімейний лікар",IF(S434&lt;=Законод!$C$22,P434,Законод!$C$22*'01_Доходи'!P433),IF($B$430="Лікар-педіатр","x",IF($B$430="Лікар-терапевт",IF(S434&lt;=Законод!$C$26,P434,Законод!$C$26*'01_Доходи'!P433),0)))</f>
        <v>0</v>
      </c>
      <c r="Q435" s="208">
        <f ca="1">IF($B$430="Лікар загальної практики - сімейний лікар",IF(S434&lt;=Законод!$C$22,Q434,Законод!$C$22*'01_Доходи'!Q433),IF($B$430="Лікар-педіатр","x",IF($B$430="Лікар-терапевт",IF(S434&lt;=Законод!$C$26,Q434,Законод!$C$26*'01_Доходи'!Q433),0)))</f>
        <v>0</v>
      </c>
      <c r="R435" s="208">
        <f ca="1">IF($B$430="Лікар загальної практики - сімейний лікар",IF(S434&lt;=Законод!$C$22,R434,Законод!$C$22*'01_Доходи'!R433),IF($B$430="Лікар-педіатр","x",IF($B$430="Лікар-терапевт",IF(S434&lt;=Законод!$C$26,R434,Законод!$C$26*'01_Доходи'!R433),0)))</f>
        <v>0</v>
      </c>
      <c r="S435" s="209">
        <f ca="1">SUM(N435:R435)</f>
        <v>0</v>
      </c>
      <c r="T435" s="930"/>
      <c r="U435" s="208">
        <f ca="1">IF($B$430="Лікар загальної практики - сімейний лікар",IF(Z434&lt;=Законод!$C$22,U434,Законод!$C$22*'01_Доходи'!U433),IF($B$430="Лікар-педіатр",IF(Z434&lt;=Законод!$C$18,U434,Законод!$C$18*'01_Доходи'!U433),IF($B$430="Лікар-терапевт","x",0)))</f>
        <v>0</v>
      </c>
      <c r="V435" s="208">
        <f ca="1">IF($B$430="Лікар загальної практики - сімейний лікар",IF(Z434&lt;=Законод!$C$22,V434,Законод!$C$22*'01_Доходи'!V433),IF($B$430="Лікар-педіатр",IF(Z434&lt;=Законод!$C$18,V434,Законод!$C$18*'01_Доходи'!V433),IF($B$430="Лікар-терапевт","x",0)))</f>
        <v>0</v>
      </c>
      <c r="W435" s="208">
        <f ca="1">IF($B$430="Лікар загальної практики - сімейний лікар",IF(Z434&lt;=Законод!$C$22,W434,Законод!$C$22*'01_Доходи'!W433),IF($B$430="Лікар-педіатр","x",IF($B$430="Лікар-терапевт",IF(Z434&lt;=Законод!$C$26,W434,Законод!$C$26*'01_Доходи'!W433),0)))</f>
        <v>0</v>
      </c>
      <c r="X435" s="208">
        <f ca="1">IF($B$430="Лікар загальної практики - сімейний лікар",IF(Z434&lt;=Законод!$C$22,X434,Законод!$C$22*'01_Доходи'!X433),IF($B$430="Лікар-педіатр","x",IF($B$430="Лікар-терапевт",IF(Z434&lt;=Законод!$C$26,X434,Законод!$C$26*'01_Доходи'!X433),0)))</f>
        <v>0</v>
      </c>
      <c r="Y435" s="208">
        <f ca="1">IF($B$430="Лікар загальної практики - сімейний лікар",IF(Z434&lt;=Законод!$C$22,Y434,Законод!$C$22*'01_Доходи'!Y433),IF($B$430="Лікар-педіатр","x",IF($B$430="Лікар-терапевт",IF(Z434&lt;=Законод!$C$26,Y434,Законод!$C$26*'01_Доходи'!Y433),0)))</f>
        <v>0</v>
      </c>
      <c r="Z435" s="209">
        <f ca="1">SUM(U435:Y435)</f>
        <v>0</v>
      </c>
      <c r="AA435" s="930"/>
      <c r="AB435" s="208">
        <f ca="1">IF($B$430="Лікар загальної практики - сімейний лікар",IF(AG434&lt;=Законод!$C$22,AB434,Законод!$C$22*'01_Доходи'!AB433),IF($B$430="Лікар-педіатр",IF(AG434&lt;=Законод!$C$18,AB434,Законод!$C$18*'01_Доходи'!AB433),IF($B$430="Лікар-терапевт","x",0)))</f>
        <v>0</v>
      </c>
      <c r="AC435" s="208">
        <f ca="1">IF($B$430="Лікар загальної практики - сімейний лікар",IF(AG434&lt;=Законод!$C$22,AC434,Законод!$C$22*'01_Доходи'!AC433),IF($B$430="Лікар-педіатр",IF(AG434&lt;=Законод!$C$18,AC434,Законод!$C$18*'01_Доходи'!AC433),IF($B$430="Лікар-терапевт","x",0)))</f>
        <v>0</v>
      </c>
      <c r="AD435" s="208">
        <f ca="1">IF($B$430="Лікар загальної практики - сімейний лікар",IF(AG434&lt;=Законод!$C$22,AD434,Законод!$C$22*'01_Доходи'!AD433),IF($B$430="Лікар-педіатр","x",IF($B$430="Лікар-терапевт",IF(AG434&lt;=Законод!$C$26,AD434,Законод!$C$26*'01_Доходи'!AD433),0)))</f>
        <v>0</v>
      </c>
      <c r="AE435" s="208">
        <f ca="1">IF($B$430="Лікар загальної практики - сімейний лікар",IF(AG434&lt;=Законод!$C$22,AE434,Законод!$C$22*'01_Доходи'!AE433),IF($B$430="Лікар-педіатр","x",IF($B$430="Лікар-терапевт",IF(AG434&lt;=Законод!$C$26,AE434,Законод!$C$26*'01_Доходи'!AE433),0)))</f>
        <v>0</v>
      </c>
      <c r="AF435" s="208">
        <f ca="1">IF($B$430="Лікар загальної практики - сімейний лікар",IF(AG434&lt;=Законод!$C$22,AF434,Законод!$C$22*'01_Доходи'!AF433),IF($B$430="Лікар-педіатр","x",IF($B$430="Лікар-терапевт",IF(AG434&lt;=Законод!$C$26,AF434,Законод!$C$26*'01_Доходи'!AF433),0)))</f>
        <v>0</v>
      </c>
      <c r="AG435" s="209">
        <f ca="1">SUM(AB435:AF435)</f>
        <v>0</v>
      </c>
      <c r="AH435" s="930"/>
      <c r="AI435" s="201"/>
      <c r="AJ435" s="933"/>
      <c r="AK435" s="927"/>
      <c r="AL435" s="927"/>
      <c r="AM435" s="348" t="s">
        <v>374</v>
      </c>
      <c r="AN435" s="210">
        <f ca="1">IF(B430="Лікар загальної практики - сімейний лікар",G435*Законод!$C$11+'01_Доходи'!H435*Законод!$D$11+'01_Доходи'!I435*Законод!$E$11+'01_Доходи'!J435*Законод!$F$11+'01_Доходи'!K435*Законод!$G$11,IF(B430="Лікар-педіатр",G435*Законод!$C$11+'01_Доходи'!H435*Законод!$D$11,IF(B430="Лікар-терапевт",'01_Доходи'!I435*Законод!$E$11+'01_Доходи'!J435*Законод!$F$11+'01_Доходи'!K435*Законод!$G$11,0)))</f>
        <v>0</v>
      </c>
      <c r="AO435" s="210">
        <f ca="1">IF(B430="Лікар загальної практики - сімейний лікар",N435*Законод!$C$11+'01_Доходи'!O435*Законод!$D$11+'01_Доходи'!P435*Законод!$E$11+'01_Доходи'!Q435*Законод!$F$11+'01_Доходи'!R435*Законод!$G$11,IF(B430="Лікар-педіатр",N435*Законод!$C$11+'01_Доходи'!O435*Законод!$D$11,IF(B430="Лікар-терапевт",'01_Доходи'!P435*Законод!$E$11+'01_Доходи'!Q435*Законод!$F$11+'01_Доходи'!R435*Законод!$G$11,0)))</f>
        <v>0</v>
      </c>
      <c r="AP435" s="210">
        <f ca="1">IF(B430="Лікар загальної практики - сімейний лікар",U435*Законод!$C$11+'01_Доходи'!V435*Законод!$D$11+'01_Доходи'!W435*Законод!$E$11+'01_Доходи'!X435*Законод!$F$11+'01_Доходи'!Y435*Законод!$G$11,IF(B430="Лікар-педіатр",U435*Законод!$C$11+'01_Доходи'!V435*Законод!$D$11,IF(B430="Лікар-терапевт",'01_Доходи'!W435*Законод!$E$11+'01_Доходи'!X435*Законод!$F$11+'01_Доходи'!Y435*Законод!$G$11,0)))</f>
        <v>0</v>
      </c>
      <c r="AQ435" s="210">
        <f ca="1">IF(B430="Лікар загальної практики - сімейний лікар",AB435*Законод!$C$11+'01_Доходи'!AC435*Законод!$D$11+'01_Доходи'!AD435*Законод!$E$11+'01_Доходи'!AE435*Законод!$F$11+'01_Доходи'!AF435*Законод!$G$11,IF(B430="Лікар-педіатр",AB435*Законод!$C$11+'01_Доходи'!AC435*Законод!$D$11,IF(B430="Лікар-терапевт",'01_Доходи'!AD435*Законод!$E$11+'01_Доходи'!AE435*Законод!$F$11+'01_Доходи'!AF435*Законод!$G$11,0)))</f>
        <v>0</v>
      </c>
      <c r="AR435" s="211">
        <f t="shared" ref="AR435:AR441" si="60">SUM(AN435:AQ435)</f>
        <v>0</v>
      </c>
    </row>
    <row r="436" spans="1:44" s="50" customFormat="1" ht="31.9" hidden="1" customHeight="1">
      <c r="A436" s="197"/>
      <c r="B436" s="893"/>
      <c r="C436" s="896"/>
      <c r="D436" s="912"/>
      <c r="E436" s="909"/>
      <c r="F436" s="238" t="str">
        <f ca="1">IF(B430="Лікар-педіатр",Законод!$E$17,IF(B430="Лікар загальної практики - сімейний лікар",Законод!$E$21,IF(B430="Лікар-терапевт",Законод!$E$25,"х")))</f>
        <v>х</v>
      </c>
      <c r="G436" s="889" t="s">
        <v>346</v>
      </c>
      <c r="H436" s="890"/>
      <c r="I436" s="890"/>
      <c r="J436" s="890"/>
      <c r="K436" s="891"/>
      <c r="L436" s="196">
        <f ca="1">IF($B$430="Лікар загальної практики - сімейний лікар",IF(L434&lt;Законод!$C$22,0,(IF(AND(L434&gt;=Законод!$E$22,L434&lt;=Законод!$E$23),L434-Законод!$C$22,IF('01_Доходи'!L434&gt;=Законод!$F$22,Законод!$E$24,0)))),IF($B$430="Лікар-педіатр",IF(L434&lt;Законод!$C$18,0,(IF(AND(L434&gt;=Законод!$E$18,L434&lt;=Законод!$E$19),L434-Законод!$C$18,IF('01_Доходи'!L434&gt;=Законод!$F$18,Законод!$E$20,0)))),IF($B$430="Лікар-терапевт",IF(L434&lt;Законод!$C$26,0,(IF(AND(L434&gt;=Законод!$E$26,L434&lt;=Законод!$E$27),L434-Законод!$C$26,IF('01_Доходи'!L434&gt;=Законод!$F$26,Законод!$E$28,0)))),0)))</f>
        <v>0</v>
      </c>
      <c r="M436" s="930"/>
      <c r="N436" s="889" t="s">
        <v>346</v>
      </c>
      <c r="O436" s="890"/>
      <c r="P436" s="890"/>
      <c r="Q436" s="890"/>
      <c r="R436" s="891"/>
      <c r="S436" s="196">
        <f ca="1">IF($B$430="Лікар загальної практики - сімейний лікар",IF(S434&lt;Законод!$C$22,0,(IF(AND(S434&gt;=Законод!$E$22,S434&lt;=Законод!$E$23),S434-Законод!$C$22,IF('01_Доходи'!S434&gt;=Законод!$F$22,Законод!$E$24,0)))),IF($B$430="Лікар-педіатр",IF(S434&lt;Законод!$C$18,0,(IF(AND(S434&gt;=Законод!$E$18,S434&lt;=Законод!$E$19),S434-Законод!$C$18,IF('01_Доходи'!S434&gt;=Законод!$F$18,Законод!$E$20,0)))),IF($B$430="Лікар-терапевт",IF(S434&lt;Законод!$C$26,0,(IF(AND(S434&gt;=Законод!$E$26,S434&lt;=Законод!$E$27),S434-Законод!$C$26,IF('01_Доходи'!S434&gt;=Законод!$F$26,Законод!$E$28,0)))),0)))</f>
        <v>0</v>
      </c>
      <c r="T436" s="930"/>
      <c r="U436" s="889" t="s">
        <v>346</v>
      </c>
      <c r="V436" s="890"/>
      <c r="W436" s="890"/>
      <c r="X436" s="890"/>
      <c r="Y436" s="891"/>
      <c r="Z436" s="196">
        <f ca="1">IF($B$430="Лікар загальної практики - сімейний лікар",IF(Z434&lt;Законод!$C$22,0,(IF(AND(Z434&gt;=Законод!$E$22,Z434&lt;=Законод!$E$23),Z434-Законод!$C$22,IF('01_Доходи'!Z434&gt;=Законод!$F$22,Законод!$E$24,0)))),IF($B$430="Лікар-педіатр",IF(Z434&lt;Законод!$C$18,0,(IF(AND(Z434&gt;=Законод!$E$18,Z434&lt;=Законод!$E$19),Z434-Законод!$C$18,IF('01_Доходи'!Z434&gt;=Законод!$F$18,Законод!$E$20,0)))),IF($B$430="Лікар-терапевт",IF(Z434&lt;Законод!$C$26,0,(IF(AND(Z434&gt;=Законод!$E$26,Z434&lt;=Законод!$E$27),Z434-Законод!$C$26,IF('01_Доходи'!Z434&gt;=Законод!$F$26,Законод!$E$28,0)))),0)))</f>
        <v>0</v>
      </c>
      <c r="AA436" s="930"/>
      <c r="AB436" s="889" t="s">
        <v>346</v>
      </c>
      <c r="AC436" s="890"/>
      <c r="AD436" s="890"/>
      <c r="AE436" s="890"/>
      <c r="AF436" s="891"/>
      <c r="AG436" s="196">
        <f ca="1">IF($B$430="Лікар загальної практики - сімейний лікар",IF(AG434&lt;Законод!$C$22,0,(IF(AND(AG434&gt;=Законод!$E$22,AG434&lt;=Законод!$E$23),AG434-Законод!$C$22,IF('01_Доходи'!AG434&gt;=Законод!$F$22,Законод!$E$24,0)))),IF($B$430="Лікар-педіатр",IF(AG434&lt;Законод!$C$18,0,(IF(AND(AG434&gt;=Законод!$E$18,AG434&lt;=Законод!$E$19),AG434-Законод!$C$18,IF('01_Доходи'!AG434&gt;=Законод!$F$18,Законод!$E$20,0)))),IF($B$430="Лікар-терапевт",IF(AG434&lt;Законод!$C$26,0,(IF(AND(AG434&gt;=Законод!$E$26,AG434&lt;=Законод!$E$27),AG434-Законод!$C$26,IF('01_Доходи'!AG434&gt;=Законод!$F$26,Законод!$E$28,0)))),0)))</f>
        <v>0</v>
      </c>
      <c r="AH436" s="930"/>
      <c r="AI436" s="201"/>
      <c r="AJ436" s="933"/>
      <c r="AK436" s="927"/>
      <c r="AL436" s="927"/>
      <c r="AM436" s="898" t="s">
        <v>375</v>
      </c>
      <c r="AN436" s="210">
        <f ca="1">IF(B430="Лікар загальної практики - сімейний лікар",L436*Законод!$C$9/4*Законод!$E$16,IF(B430="Лікар-педіатр",L436*Законод!$C$9/4*Законод!$E$16,IF(B430="Лікар-терапевт",L436*Законод!$C$9/4*Законод!$E$16,0)))</f>
        <v>0</v>
      </c>
      <c r="AO436" s="210">
        <f ca="1">IF(B430="Лікар загальної практики - сімейний лікар",S436*Законод!$C$9/4*Законод!$E$16,IF(B430="Лікар-педіатр",S436*Законод!$C$9/4*Законод!$E$16,IF(B430="Лікар-терапевт",S436*Законод!$C$9/4*Законод!$E$16,0)))</f>
        <v>0</v>
      </c>
      <c r="AP436" s="210">
        <f ca="1">IF(B430="Лікар загальної практики - сімейний лікар",Z436*Законод!$C$9/4*Законод!$E$16,IF(B430="Лікар-педіатр",Z436*Законод!$C$9/4*Законод!$E$16,IF(B430="Лікар-терапевт",Z436*Законод!$C$9/4*Законод!$E$16,0)))</f>
        <v>0</v>
      </c>
      <c r="AQ436" s="210">
        <f ca="1">IF(B430="Лікар загальної практики - сімейний лікар",AG436*Законод!$C$9/4*Законод!$E$16,IF(B430="Лікар-педіатр",AG436*Законод!$C$9/4*Законод!$E$16,IF(B430="Лікар-терапевт",AG436*Законод!$C$9/4*Законод!$E$16,0)))</f>
        <v>0</v>
      </c>
      <c r="AR436" s="211">
        <f t="shared" si="60"/>
        <v>0</v>
      </c>
    </row>
    <row r="437" spans="1:44" s="50" customFormat="1" ht="31.9" hidden="1" customHeight="1">
      <c r="A437" s="197"/>
      <c r="B437" s="893"/>
      <c r="C437" s="896"/>
      <c r="D437" s="912"/>
      <c r="E437" s="909"/>
      <c r="F437" s="238" t="str">
        <f ca="1">IF(B430="Лікар-педіатр",Законод!$F$17,IF(B430="Лікар загальної практики - сімейний лікар",Законод!$F$21,IF(B430="Лікар-терапевт",Законод!$F$25,"х")))</f>
        <v>х</v>
      </c>
      <c r="G437" s="889" t="s">
        <v>346</v>
      </c>
      <c r="H437" s="890"/>
      <c r="I437" s="890"/>
      <c r="J437" s="890"/>
      <c r="K437" s="891"/>
      <c r="L437" s="196">
        <f ca="1">IF($B$430="Лікар загальної практики - сімейний лікар",IF(L434&lt;Законод!$C$22,0,(IF(AND(L434&gt;=Законод!$F$22,L434&lt;=Законод!$F$23),L434-Законод!$E$23,IF('01_Доходи'!L434&gt;=Законод!$G$22,Законод!$F$24,0)))),IF($B$430="Лікар-педіатр",IF(L434&lt;Законод!$C$18,0,(IF(AND(L434&gt;=Законод!$F$18,L434&lt;=Законод!$F$19),L434-Законод!$E$19,IF('01_Доходи'!L434&gt;=Законод!$G$18,Законод!$F$20,0)))),IF($B$430="Лікар-терапевт",IF(L434&lt;Законод!$C$26,0,(IF(AND(L434&gt;=Законод!$F$26,L434&lt;=Законод!$F$27),L434-Законод!$E$27,IF('01_Доходи'!L434&gt;=Законод!$G$26,Законод!$F$28,0)))),0)))</f>
        <v>0</v>
      </c>
      <c r="M437" s="930"/>
      <c r="N437" s="889" t="s">
        <v>346</v>
      </c>
      <c r="O437" s="890"/>
      <c r="P437" s="890"/>
      <c r="Q437" s="890"/>
      <c r="R437" s="891"/>
      <c r="S437" s="196">
        <f ca="1">IF($B$430="Лікар загальної практики - сімейний лікар",IF(S434&lt;Законод!$C$22,0,(IF(AND(S434&gt;=Законод!$F$22,S434&lt;=Законод!$F$23),S434-Законод!$E$23,IF('01_Доходи'!S434&gt;=Законод!$G$22,Законод!$F$24,0)))),IF($B$430="Лікар-педіатр",IF(S434&lt;Законод!$C$18,0,(IF(AND(S434&gt;=Законод!$F$18,S434&lt;=Законод!$F$19),S434-Законод!$E$19,IF('01_Доходи'!S434&gt;=Законод!$G$18,Законод!$F$20,0)))),IF($B$430="Лікар-терапевт",IF(S434&lt;Законод!$C$26,0,(IF(AND(S434&gt;=Законод!$F$26,S434&lt;=Законод!$F$27),S434-Законод!$E$27,IF('01_Доходи'!S434&gt;=Законод!$G$26,Законод!$F$28,0)))),0)))</f>
        <v>0</v>
      </c>
      <c r="T437" s="930"/>
      <c r="U437" s="889" t="s">
        <v>346</v>
      </c>
      <c r="V437" s="890"/>
      <c r="W437" s="890"/>
      <c r="X437" s="890"/>
      <c r="Y437" s="891"/>
      <c r="Z437" s="196">
        <f ca="1">IF($B$430="Лікар загальної практики - сімейний лікар",IF(Z434&lt;Законод!$C$22,0,(IF(AND(Z434&gt;=Законод!$F$22,Z434&lt;=Законод!$F$23),Z434-Законод!$E$23,IF('01_Доходи'!Z434&gt;=Законод!$G$22,Законод!$F$24,0)))),IF($B$430="Лікар-педіатр",IF(Z434&lt;Законод!$C$18,0,(IF(AND(Z434&gt;=Законод!$F$18,Z434&lt;=Законод!$F$19),Z434-Законод!$E$19,IF('01_Доходи'!Z434&gt;=Законод!$G$18,Законод!$F$20,0)))),IF($B$430="Лікар-терапевт",IF(Z434&lt;Законод!$C$26,0,(IF(AND(Z434&gt;=Законод!$F$26,Z434&lt;=Законод!$F$27),Z434-Законод!$E$27,IF('01_Доходи'!Z434&gt;=Законод!$G$26,Законод!$F$28,0)))),0)))</f>
        <v>0</v>
      </c>
      <c r="AA437" s="930"/>
      <c r="AB437" s="889" t="s">
        <v>346</v>
      </c>
      <c r="AC437" s="890"/>
      <c r="AD437" s="890"/>
      <c r="AE437" s="890"/>
      <c r="AF437" s="891"/>
      <c r="AG437" s="196">
        <f ca="1">IF($B$430="Лікар загальної практики - сімейний лікар",IF(AG434&lt;Законод!$C$22,0,(IF(AND(AG434&gt;=Законод!$F$22,AG434&lt;=Законод!$F$23),AG434-Законод!$E$23,IF('01_Доходи'!AG434&gt;=Законод!$G$22,Законод!$F$24,0)))),IF($B$430="Лікар-педіатр",IF(AG434&lt;Законод!$C$18,0,(IF(AND(AG434&gt;=Законод!$F$18,AG434&lt;=Законод!$F$19),AG434-Законод!$E$19,IF('01_Доходи'!AG434&gt;=Законод!$G$18,Законод!$F$20,0)))),IF($B$430="Лікар-терапевт",IF(AG434&lt;Законод!$C$26,0,(IF(AND(AG434&gt;=Законод!$F$26,AG434&lt;=Законод!$F$27),AG434-Законод!$E$27,IF('01_Доходи'!AG434&gt;=Законод!$G$26,Законод!$F$28,0)))),0)))</f>
        <v>0</v>
      </c>
      <c r="AH437" s="930"/>
      <c r="AI437" s="201"/>
      <c r="AJ437" s="933"/>
      <c r="AK437" s="927"/>
      <c r="AL437" s="927"/>
      <c r="AM437" s="899"/>
      <c r="AN437" s="210">
        <f ca="1">IF(B430="Лікар загальної практики - сімейний лікар",L437*Законод!$C$9/4*Законод!$F$16,IF(B430="Лікар-педіатр",L437*Законод!$C$9/4*Законод!$F$16,IF(B430="Лікар-терапевт",L437*Законод!$C$9/4*Законод!$F$16,0)))</f>
        <v>0</v>
      </c>
      <c r="AO437" s="210">
        <f ca="1">IF(B430="Лікар загальної практики - сімейний лікар",S437*Законод!$C$9/4*Законод!$F$16,IF(B430="Лікар-педіатр",S437*Законод!$C$9/4*Законод!$F$16,IF(B430="Лікар-терапевт",S437*Законод!$C$9/4*Законод!$F$16,0)))</f>
        <v>0</v>
      </c>
      <c r="AP437" s="210">
        <f ca="1">IF(B430="Лікар загальної практики - сімейний лікар",Z437*Законод!$C$9/4*Законод!$F$16,IF(B430="Лікар-педіатр",Z437*Законод!$C$9/4*Законод!$F$16,IF(B430="Лікар-терапевт",Z437*Законод!$C$9/4*Законод!$F$16,0)))</f>
        <v>0</v>
      </c>
      <c r="AQ437" s="210">
        <f ca="1">IF(B430="Лікар загальної практики - сімейний лікар",AG437*Законод!$C$9/4*Законод!$F$16,IF(B430="Лікар-педіатр",AG437*Законод!$C$9/4*Законод!$F$16,IF(B430="Лікар-терапевт",AG437*Законод!$C$9/4*Законод!$F$16,0)))</f>
        <v>0</v>
      </c>
      <c r="AR437" s="211">
        <f t="shared" si="60"/>
        <v>0</v>
      </c>
    </row>
    <row r="438" spans="1:44" s="50" customFormat="1" ht="31.9" hidden="1" customHeight="1">
      <c r="A438" s="197"/>
      <c r="B438" s="893"/>
      <c r="C438" s="896"/>
      <c r="D438" s="912"/>
      <c r="E438" s="909"/>
      <c r="F438" s="238" t="str">
        <f ca="1">IF(B430="Лікар-педіатр",Законод!$G$17,IF(B430="Лікар загальної практики - сімейний лікар",Законод!$G$21,IF(B430="Лікар-терапевт",Законод!$G$25,"х")))</f>
        <v>х</v>
      </c>
      <c r="G438" s="889" t="s">
        <v>346</v>
      </c>
      <c r="H438" s="890"/>
      <c r="I438" s="890"/>
      <c r="J438" s="890"/>
      <c r="K438" s="891"/>
      <c r="L438" s="196">
        <f ca="1">IF($B$430="Лікар загальної практики - сімейний лікар",IF(L434&lt;Законод!$C$22,0,(IF(AND(L434&gt;=Законод!$G$22,L434&lt;=Законод!$G$23),L434-Законод!$F$23,IF('01_Доходи'!L434&gt;=Законод!$H$22,Законод!$G$24,0)))),IF($B$430="Лікар-педіатр",IF(L434&lt;Законод!$C$18,0,(IF(AND(L434&gt;=Законод!$G$18,L434&lt;=Законод!$G$19),L434-Законод!$F$19,IF('01_Доходи'!L434&gt;=Законод!$H$18,Законод!$G$20,0)))),IF($B$430="Лікар-терапевт",IF(L434&lt;Законод!$C$26,0,(IF(AND(L434&gt;=Законод!$G$26,L434&lt;=Законод!$G$27),L434-Законод!$F$27,IF('01_Доходи'!L434&gt;=Законод!$H$26,Законод!$G$28,0)))),0)))</f>
        <v>0</v>
      </c>
      <c r="M438" s="930"/>
      <c r="N438" s="889" t="s">
        <v>346</v>
      </c>
      <c r="O438" s="890"/>
      <c r="P438" s="890"/>
      <c r="Q438" s="890"/>
      <c r="R438" s="891"/>
      <c r="S438" s="196">
        <f ca="1">IF($B$430="Лікар загальної практики - сімейний лікар",IF(S434&lt;Законод!$C$22,0,(IF(AND(S434&gt;=Законод!$G$22,S434&lt;=Законод!$G$23),S434-Законод!$F$23,IF('01_Доходи'!S434&gt;=Законод!$H$22,Законод!$G$24,0)))),IF($B$430="Лікар-педіатр",IF(S434&lt;Законод!$C$18,0,(IF(AND(S434&gt;=Законод!$G$18,S434&lt;=Законод!$G$19),S434-Законод!$F$19,IF('01_Доходи'!S434&gt;=Законод!$H$18,Законод!$G$20,0)))),IF($B$430="Лікар-терапевт",IF(S434&lt;Законод!$C$26,0,(IF(AND(S434&gt;=Законод!$G$26,S434&lt;=Законод!$G$27),S434-Законод!$F$27,IF('01_Доходи'!S434&gt;=Законод!$H$26,Законод!$G$28,0)))),0)))</f>
        <v>0</v>
      </c>
      <c r="T438" s="930"/>
      <c r="U438" s="889" t="s">
        <v>346</v>
      </c>
      <c r="V438" s="890"/>
      <c r="W438" s="890"/>
      <c r="X438" s="890"/>
      <c r="Y438" s="891"/>
      <c r="Z438" s="196">
        <f ca="1">IF($B$430="Лікар загальної практики - сімейний лікар",IF(Z434&lt;Законод!$C$22,0,(IF(AND(Z434&gt;=Законод!$G$22,Z434&lt;=Законод!$G$23),Z434-Законод!$F$23,IF('01_Доходи'!Z434&gt;=Законод!$H$22,Законод!$G$24,0)))),IF($B$430="Лікар-педіатр",IF(Z434&lt;Законод!$C$18,0,(IF(AND(Z434&gt;=Законод!$G$18,Z434&lt;=Законод!$G$19),Z434-Законод!$F$19,IF('01_Доходи'!Z434&gt;=Законод!$H$18,Законод!$G$20,0)))),IF($B$430="Лікар-терапевт",IF(Z434&lt;Законод!$C$26,0,(IF(AND(Z434&gt;=Законод!$G$26,Z434&lt;=Законод!$G$27),Z434-Законод!$F$27,IF('01_Доходи'!Z434&gt;=Законод!$H$26,Законод!$G$28,0)))),0)))</f>
        <v>0</v>
      </c>
      <c r="AA438" s="930"/>
      <c r="AB438" s="889" t="s">
        <v>346</v>
      </c>
      <c r="AC438" s="890"/>
      <c r="AD438" s="890"/>
      <c r="AE438" s="890"/>
      <c r="AF438" s="891"/>
      <c r="AG438" s="196">
        <f ca="1">IF($B$430="Лікар загальної практики - сімейний лікар",IF(AG434&lt;Законод!$C$22,0,(IF(AND(AG434&gt;=Законод!$G$22,AG434&lt;=Законод!$G$23),AG434-Законод!$F$23,IF('01_Доходи'!AG434&gt;=Законод!$H$22,Законод!$G$24,0)))),IF($B$430="Лікар-педіатр",IF(AG434&lt;Законод!$C$18,0,(IF(AND(AG434&gt;=Законод!$G$18,AG434&lt;=Законод!$G$19),AG434-Законод!$F$19,IF('01_Доходи'!AG434&gt;=Законод!$H$18,Законод!$G$20,0)))),IF($B$430="Лікар-терапевт",IF(AG434&lt;Законод!$C$26,0,(IF(AND(AG434&gt;=Законод!$G$26,AG434&lt;=Законод!$G$27),AG434-Законод!$F$27,IF('01_Доходи'!AG434&gt;=Законод!$H$26,Законод!$G$28,0)))),0)))</f>
        <v>0</v>
      </c>
      <c r="AH438" s="930"/>
      <c r="AI438" s="201"/>
      <c r="AJ438" s="933"/>
      <c r="AK438" s="927"/>
      <c r="AL438" s="927"/>
      <c r="AM438" s="899"/>
      <c r="AN438" s="210">
        <f ca="1">IF(B430="Лікар загальної практики - сімейний лікар",L438*Законод!$C$9/4*Законод!$G$16,IF(B430="Лікар-педіатр",L438*Законод!$C$9/4*Законод!$G$16,IF(B430="Лікар-терапевт",L438*Законод!$C$9/4*Законод!$G$16,0)))</f>
        <v>0</v>
      </c>
      <c r="AO438" s="210">
        <f ca="1">IF(B430="Лікар загальної практики - сімейний лікар",S438*Законод!$C$9/4*Законод!$G$16,IF(B430="Лікар-педіатр",S438*Законод!$C$9/4*Законод!$G$16,IF(B430="Лікар-терапевт",S438*Законод!$C$9/4*Законод!$G$16,0)))</f>
        <v>0</v>
      </c>
      <c r="AP438" s="210">
        <f ca="1">IF(B430="Лікар загальної практики - сімейний лікар",Z438*Законод!$C$9/4*Законод!$G$16,IF(B430="Лікар-педіатр",Z438*Законод!$C$9/4*Законод!$G$16,IF(B430="Лікар-терапевт",Z438*Законод!$C$9/4*Законод!$G$16,0)))</f>
        <v>0</v>
      </c>
      <c r="AQ438" s="210">
        <f ca="1">IF(B430="Лікар загальної практики - сімейний лікар",AG438*Законод!$C$9/4*Законод!$G$16,IF(B430="Лікар-педіатр",AG438*Законод!$C$9/4*Законод!$G$16,IF(B430="Лікар-терапевт",AG438*Законод!$C$9/4*Законод!$G$16,0)))</f>
        <v>0</v>
      </c>
      <c r="AR438" s="211">
        <f t="shared" si="60"/>
        <v>0</v>
      </c>
    </row>
    <row r="439" spans="1:44" s="50" customFormat="1" ht="31.9" hidden="1" customHeight="1">
      <c r="A439" s="197"/>
      <c r="B439" s="893"/>
      <c r="C439" s="896"/>
      <c r="D439" s="912"/>
      <c r="E439" s="909"/>
      <c r="F439" s="238" t="str">
        <f ca="1">IF(B430="Лікар-педіатр",Законод!$H$17,IF(B430="Лікар загальної практики - сімейний лікар",Законод!$H$21,IF(B430="Лікар-терапевт",Законод!$H$25,"х")))</f>
        <v>х</v>
      </c>
      <c r="G439" s="889" t="s">
        <v>346</v>
      </c>
      <c r="H439" s="890"/>
      <c r="I439" s="890"/>
      <c r="J439" s="890"/>
      <c r="K439" s="891"/>
      <c r="L439" s="196">
        <f ca="1">IF($B$430="Лікар загальної практики - сімейний лікар",IF(L434&lt;Законод!$C$22,0,(IF(AND(L434&gt;=Законод!$H$22,L434&lt;=Законод!$H$23),L434-Законод!$G$23,IF('01_Доходи'!L434&gt;=Законод!$I$22,Законод!$H$24,0)))),IF($B$430="Лікар-педіатр",IF(L434&lt;Законод!$C$18,0,(IF(AND(L434&gt;=Законод!$H$18,L434&lt;=Законод!$H$19),L434-Законод!$G$19,IF('01_Доходи'!L434&gt;=Законод!$I$18,Законод!$H$20,0)))),IF($B$430="Лікар-терапевт",IF(L434&lt;Законод!$C$26,0,(IF(AND(L434&gt;=Законод!$H$26,L434&lt;=Законод!$H$27),L434-Законод!$G$27,IF(L434&gt;=Законод!$I$26,Законод!$H$28,0)))),0)))</f>
        <v>0</v>
      </c>
      <c r="M439" s="930"/>
      <c r="N439" s="889" t="s">
        <v>346</v>
      </c>
      <c r="O439" s="890"/>
      <c r="P439" s="890"/>
      <c r="Q439" s="890"/>
      <c r="R439" s="891"/>
      <c r="S439" s="196">
        <f ca="1">IF($B$430="Лікар загальної практики - сімейний лікар",IF(S434&lt;Законод!$C$22,0,(IF(AND(S434&gt;=Законод!$H$22,S434&lt;=Законод!$H$23),S434-Законод!$G$23,IF('01_Доходи'!S434&gt;=Законод!$I$22,Законод!$H$24,0)))),IF($B$430="Лікар-педіатр",IF(S434&lt;Законод!$C$18,0,(IF(AND(S434&gt;=Законод!$H$18,S434&lt;=Законод!$H$19),S434-Законод!$G$19,IF('01_Доходи'!S434&gt;=Законод!$I$18,Законод!$H$20,0)))),IF($B$430="Лікар-терапевт",IF(S434&lt;Законод!$C$26,0,(IF(AND(S434&gt;=Законод!$H$26,S434&lt;=Законод!$H$27),S434-Законод!$G$27,IF(S434&gt;=Законод!$I$26,Законод!$H$28,0)))),0)))</f>
        <v>0</v>
      </c>
      <c r="T439" s="930"/>
      <c r="U439" s="889" t="s">
        <v>346</v>
      </c>
      <c r="V439" s="890"/>
      <c r="W439" s="890"/>
      <c r="X439" s="890"/>
      <c r="Y439" s="891"/>
      <c r="Z439" s="196">
        <f ca="1">IF($B$430="Лікар загальної практики - сімейний лікар",IF(Z434&lt;Законод!$C$22,0,(IF(AND(Z434&gt;=Законод!$H$22,Z434&lt;=Законод!$H$23),Z434-Законод!$G$23,IF('01_Доходи'!Z434&gt;=Законод!$I$22,Законод!$H$24,0)))),IF($B$430="Лікар-педіатр",IF(Z434&lt;Законод!$C$18,0,(IF(AND(Z434&gt;=Законод!$H$18,Z434&lt;=Законод!$H$19),Z434-Законод!$G$19,IF('01_Доходи'!Z434&gt;=Законод!$I$18,Законод!$H$20,0)))),IF($B$430="Лікар-терапевт",IF(Z434&lt;Законод!$C$26,0,(IF(AND(Z434&gt;=Законод!$H$26,Z434&lt;=Законод!$H$27),Z434-Законод!$G$27,IF(Z434&gt;=Законод!$I$26,Законод!$H$28,0)))),0)))</f>
        <v>0</v>
      </c>
      <c r="AA439" s="930"/>
      <c r="AB439" s="889" t="s">
        <v>346</v>
      </c>
      <c r="AC439" s="890"/>
      <c r="AD439" s="890"/>
      <c r="AE439" s="890"/>
      <c r="AF439" s="891"/>
      <c r="AG439" s="196">
        <f ca="1">IF($B$430="Лікар загальної практики - сімейний лікар",IF(AG434&lt;Законод!$C$22,0,(IF(AND(AG434&gt;=Законод!$H$22,AG434&lt;=Законод!$H$23),AG434-Законод!$G$23,IF('01_Доходи'!AG434&gt;=Законод!$I$22,Законод!$H$24,0)))),IF($B$430="Лікар-педіатр",IF(AG434&lt;Законод!$C$18,0,(IF(AND(AG434&gt;=Законод!$H$18,AG434&lt;=Законод!$H$19),AG434-Законод!$G$19,IF('01_Доходи'!AG434&gt;=Законод!$I$18,Законод!$H$20,0)))),IF($B$430="Лікар-терапевт",IF(AG434&lt;Законод!$C$26,0,(IF(AND(AG434&gt;=Законод!$H$26,AG434&lt;=Законод!$H$27),AG434-Законод!$G$27,IF(AG434&gt;=Законод!$I$26,Законод!$H$28,0)))),0)))</f>
        <v>0</v>
      </c>
      <c r="AH439" s="930"/>
      <c r="AI439" s="201"/>
      <c r="AJ439" s="933"/>
      <c r="AK439" s="927"/>
      <c r="AL439" s="927"/>
      <c r="AM439" s="899"/>
      <c r="AN439" s="210">
        <f ca="1">IF(B430="Лікар загальної практики - сімейний лікар",L439*Законод!$C$9/4*Законод!$H$16,IF(B430="Лікар-педіатр",L439*Законод!$C$9/4*Законод!$H$16,IF(B430="Лікар-терапевт",L439*Законод!$C$9/4*Законод!$H$16,0)))</f>
        <v>0</v>
      </c>
      <c r="AO439" s="210">
        <f ca="1">IF(B430="Лікар загальної практики - сімейний лікар",S439*Законод!$C$9/4*Законод!$H$16,IF(B430="Лікар-педіатр",S439*Законод!$C$9/4*Законод!$H$16,IF(B430="Лікар-терапевт",S439*Законод!$C$9/4*Законод!$H$16,0)))</f>
        <v>0</v>
      </c>
      <c r="AP439" s="210">
        <f ca="1">IF(B430="Лікар загальної практики - сімейний лікар",Z439*Законод!$C$9/4*Законод!$H$16,IF(B430="Лікар-педіатр",Z439*Законод!$C$9/4*Законод!$H$16,IF(B430="Лікар-терапевт",Z439*Законод!$C$9/4*Законод!$H$16,0)))</f>
        <v>0</v>
      </c>
      <c r="AQ439" s="210">
        <f ca="1">IF(B430="Лікар загальної практики - сімейний лікар",AG439*Законод!$C$9/4*Законод!$H$16,IF(B430="Лікар-педіатр",AG439*Законод!$C$9/4*Законод!$H$16,IF(B430="Лікар-терапевт",AG439*Законод!$C$9/4*Законод!$H$16,0)))</f>
        <v>0</v>
      </c>
      <c r="AR439" s="211">
        <f t="shared" si="60"/>
        <v>0</v>
      </c>
    </row>
    <row r="440" spans="1:44" s="50" customFormat="1" ht="31.9" hidden="1" customHeight="1">
      <c r="A440" s="197"/>
      <c r="B440" s="893"/>
      <c r="C440" s="896"/>
      <c r="D440" s="912"/>
      <c r="E440" s="909"/>
      <c r="F440" s="238" t="str">
        <f ca="1">IF(B430="Лікар-педіатр",Законод!$I$17,IF(B430="Лікар загальної практики - сімейний лікар",Законод!$I$21,IF(B430="Лікар-терапевт",Законод!$I$25,"х")))</f>
        <v>х</v>
      </c>
      <c r="G440" s="889" t="s">
        <v>346</v>
      </c>
      <c r="H440" s="890"/>
      <c r="I440" s="890"/>
      <c r="J440" s="890"/>
      <c r="K440" s="891"/>
      <c r="L440" s="196">
        <f ca="1">IF($B$430="Лікар загальної практики - сімейний лікар",IF(L434&lt;Законод!$C$22,0,(IF(AND(L434&gt;=Законод!$I$22,L434&lt;=Законод!$I$23),L434-Законод!$H$23,IF('01_Доходи'!L434&gt;=Законод!$I$22,Законод!$I$24,0)))),IF($B$430="Лікар-педіатр",IF(L434&lt;Законод!$C$18,0,(IF(AND(L434&gt;=Законод!$I$18,L434&lt;=Законод!$I$19),L434-Законод!$H$19,IF('01_Доходи'!L434&gt;=Законод!$I$18,Законод!$H$20,0)))),IF($B$430="Лікар-терапевт",IF(L434&lt;Законод!$C$26,0,(IF(AND(L434&gt;=Законод!$I$26,L434&lt;=Законод!$I$27),L434-Законод!$H$27,IF('01_Доходи'!L434&gt;=Законод!$I$26,Законод!$H$28,0)))),0)))</f>
        <v>0</v>
      </c>
      <c r="M440" s="930"/>
      <c r="N440" s="889" t="s">
        <v>346</v>
      </c>
      <c r="O440" s="890"/>
      <c r="P440" s="890"/>
      <c r="Q440" s="890"/>
      <c r="R440" s="891"/>
      <c r="S440" s="196">
        <f ca="1">IF($B$430="Лікар загальної практики - сімейний лікар",IF(S434&lt;Законод!$C$22,0,(IF(AND(S434&gt;=Законод!$I$22,S434&lt;=Законод!$I$23),S434-Законод!$H$23,IF('01_Доходи'!S434&gt;=Законод!$I$22,Законод!$I$24,0)))),IF($B$430="Лікар-педіатр",IF(S434&lt;Законод!$C$18,0,(IF(AND(S434&gt;=Законод!$I$18,S434&lt;=Законод!$I$19),S434-Законод!$H$19,IF('01_Доходи'!S434&gt;=Законод!$I$18,Законод!$H$20,0)))),IF($B$430="Лікар-терапевт",IF(S434&lt;Законод!$C$26,0,(IF(AND(S434&gt;=Законод!$I$26,S434&lt;=Законод!$I$27),S434-Законод!$H$27,IF('01_Доходи'!S434&gt;=Законод!$I$26,Законод!$H$28,0)))),0)))</f>
        <v>0</v>
      </c>
      <c r="T440" s="930"/>
      <c r="U440" s="889" t="s">
        <v>346</v>
      </c>
      <c r="V440" s="890"/>
      <c r="W440" s="890"/>
      <c r="X440" s="890"/>
      <c r="Y440" s="891"/>
      <c r="Z440" s="196">
        <f ca="1">IF($B$430="Лікар загальної практики - сімейний лікар",IF(Z434&lt;Законод!$C$22,0,(IF(AND(Z434&gt;=Законод!$I$22,Z434&lt;=Законод!$I$23),Z434-Законод!$H$23,IF('01_Доходи'!Z434&gt;=Законод!$I$22,Законод!$I$24,0)))),IF($B$430="Лікар-педіатр",IF(Z434&lt;Законод!$C$18,0,(IF(AND(Z434&gt;=Законод!$I$18,Z434&lt;=Законод!$I$19),Z434-Законод!$H$19,IF('01_Доходи'!Z434&gt;=Законод!$I$18,Законод!$H$20,0)))),IF($B$430="Лікар-терапевт",IF(Z434&lt;Законод!$C$26,0,(IF(AND(Z434&gt;=Законод!$I$26,Z434&lt;=Законод!$I$27),Z434-Законод!$H$27,IF('01_Доходи'!Z434&gt;=Законод!$I$26,Законод!$H$28,0)))),0)))</f>
        <v>0</v>
      </c>
      <c r="AA440" s="930"/>
      <c r="AB440" s="889" t="s">
        <v>346</v>
      </c>
      <c r="AC440" s="890"/>
      <c r="AD440" s="890"/>
      <c r="AE440" s="890"/>
      <c r="AF440" s="891"/>
      <c r="AG440" s="196">
        <f ca="1">IF($B$430="Лікар загальної практики - сімейний лікар",IF(AG434&lt;Законод!$C$22,0,(IF(AND(AG434&gt;=Законод!$I$22,AG434&lt;=Законод!$I$23),AG434-Законод!$H$23,IF('01_Доходи'!AG434&gt;=Законод!$I$22,Законод!$I$24,0)))),IF($B$430="Лікар-педіатр",IF(AG434&lt;Законод!$C$18,0,(IF(AND(AG434&gt;=Законод!$I$18,AG434&lt;=Законод!$I$19),AG434-Законод!$H$19,IF('01_Доходи'!AG434&gt;=Законод!$I$18,Законод!$H$20,0)))),IF($B$430="Лікар-терапевт",IF(AG434&lt;Законод!$C$26,0,(IF(AND(AG434&gt;=Законод!$I$26,AG434&lt;=Законод!$I$27),AG434-Законод!$H$27,IF('01_Доходи'!AG434&gt;=Законод!$I$26,Законод!$H$28,0)))),0)))</f>
        <v>0</v>
      </c>
      <c r="AH440" s="930"/>
      <c r="AI440" s="201"/>
      <c r="AJ440" s="933"/>
      <c r="AK440" s="927"/>
      <c r="AL440" s="927"/>
      <c r="AM440" s="899"/>
      <c r="AN440" s="210">
        <f ca="1">IF(B430="Лікар загальної практики - сімейний лікар",L440*Законод!$C$9/4*Законод!$I$16,IF(B430="Лікар-педіатр",L440*Законод!$C$9/4*Законод!$I$16,IF(B430="Лікар-терапевт",L440*Законод!$C$9/4*Законод!$I$16,0)))</f>
        <v>0</v>
      </c>
      <c r="AO440" s="210">
        <f ca="1">IF(B430="Лікар загальної практики - сімейний лікар",S440*Законод!$C$9/4*Законод!$I$16,IF(B430="Лікар-педіатр",S440*Законод!$C$9/4*Законод!$I$16,IF(B430="Лікар-терапевт",S440*Законод!$C$9/4*Законод!$I$16,0)))</f>
        <v>0</v>
      </c>
      <c r="AP440" s="210">
        <f ca="1">IF(B430="Лікар загальної практики - сімейний лікар",Z440*Законод!$C$9/4*Законод!$I$16,IF(B430="Лікар-педіатр",Z440*Законод!$C$9/4*Законод!$I$16,IF(B430="Лікар-терапевт",Z440*Законод!$C$9/4*Законод!$I$16,0)))</f>
        <v>0</v>
      </c>
      <c r="AQ440" s="210">
        <f ca="1">IF(B430="Лікар загальної практики - сімейний лікар",AG440*Законод!$C$9/4*Законод!$I$16,IF(B430="Лікар-педіатр",AG440*Законод!$C$9/4*Законод!$I$16,IF(B430="Лікар-терапевт",AG440*Законод!$C$9/4*Законод!$I$16,0)))</f>
        <v>0</v>
      </c>
      <c r="AR440" s="211">
        <f t="shared" si="60"/>
        <v>0</v>
      </c>
    </row>
    <row r="441" spans="1:44" s="218" customFormat="1" ht="31.9" hidden="1" customHeight="1" thickBot="1">
      <c r="A441" s="213"/>
      <c r="B441" s="894"/>
      <c r="C441" s="897"/>
      <c r="D441" s="913"/>
      <c r="E441" s="910"/>
      <c r="F441" s="239" t="str">
        <f ca="1">IF(B430="Лікар-педіатр",Законод!$J$17,IF(B430="Лікар загальної практики - сімейний лікар",Законод!$J$21,IF(B430="Лікар-терапевт",Законод!$J$25,"х")))</f>
        <v>х</v>
      </c>
      <c r="G441" s="935" t="s">
        <v>346</v>
      </c>
      <c r="H441" s="936"/>
      <c r="I441" s="936"/>
      <c r="J441" s="936"/>
      <c r="K441" s="937"/>
      <c r="L441" s="196">
        <f ca="1">IF($B$430="Лікар загальної практики - сімейний лікар",IF(L434&gt;=Законод!$J$22,'01_Доходи'!L434-('01_Доходи'!L435+'01_Доходи'!L436+'01_Доходи'!L437+'01_Доходи'!L438+'01_Доходи'!L439+'01_Доходи'!L440),0),IF($B$430="Лікар-педіатр",IF(L434&gt;=Законод!$J$18,'01_Доходи'!L434-('01_Доходи'!L435+'01_Доходи'!L436+'01_Доходи'!L437+'01_Доходи'!L438+'01_Доходи'!L439+'01_Доходи'!L440),0),IF($B$430="Лікар-терапевт",IF('01_Доходи'!L434&gt;=Законод!$J$26,L434-Законод!$I$27,0),0)))</f>
        <v>0</v>
      </c>
      <c r="M441" s="931"/>
      <c r="N441" s="935" t="s">
        <v>346</v>
      </c>
      <c r="O441" s="936"/>
      <c r="P441" s="936"/>
      <c r="Q441" s="936"/>
      <c r="R441" s="937"/>
      <c r="S441" s="196">
        <f ca="1">IF($B$430="Лікар загальної практики - сімейний лікар",IF(S434&gt;=Законод!$J$22,'01_Доходи'!S434-('01_Доходи'!S435+'01_Доходи'!S436+'01_Доходи'!S437+'01_Доходи'!S438+'01_Доходи'!S439+'01_Доходи'!S440),0),IF($B$430="Лікар-педіатр",IF(S434&gt;=Законод!$J$18,'01_Доходи'!S434-('01_Доходи'!S435+'01_Доходи'!S436+'01_Доходи'!S437+'01_Доходи'!S438+'01_Доходи'!S439+'01_Доходи'!S440),0),IF($B$430="Лікар-терапевт",IF('01_Доходи'!S434&gt;=Законод!$J$26,S434-Законод!$I$27,0),0)))</f>
        <v>0</v>
      </c>
      <c r="T441" s="931"/>
      <c r="U441" s="935" t="s">
        <v>346</v>
      </c>
      <c r="V441" s="936"/>
      <c r="W441" s="936"/>
      <c r="X441" s="936"/>
      <c r="Y441" s="937"/>
      <c r="Z441" s="196">
        <f ca="1">IF($B$430="Лікар загальної практики - сімейний лікар",IF(Z434&gt;=Законод!$J$22,'01_Доходи'!Z434-('01_Доходи'!Z435+'01_Доходи'!Z436+'01_Доходи'!Z437+'01_Доходи'!Z438+'01_Доходи'!Z439+'01_Доходи'!Z440),0),IF($B$430="Лікар-педіатр",IF(Z434&gt;=Законод!$J$18,'01_Доходи'!Z434-('01_Доходи'!Z435+'01_Доходи'!Z436+'01_Доходи'!Z437+'01_Доходи'!Z438+'01_Доходи'!Z439+'01_Доходи'!Z440),0),IF($B$430="Лікар-терапевт",IF('01_Доходи'!Z434&gt;=Законод!$J$26,Z434-Законод!$I$27,0),0)))</f>
        <v>0</v>
      </c>
      <c r="AA441" s="931"/>
      <c r="AB441" s="935" t="s">
        <v>346</v>
      </c>
      <c r="AC441" s="936"/>
      <c r="AD441" s="936"/>
      <c r="AE441" s="936"/>
      <c r="AF441" s="937"/>
      <c r="AG441" s="196">
        <f ca="1">IF($B$430="Лікар загальної практики - сімейний лікар",IF(AG434&gt;=Законод!$J$22,'01_Доходи'!AG434-('01_Доходи'!AG435+'01_Доходи'!AG436+'01_Доходи'!AG437+'01_Доходи'!AG438+'01_Доходи'!AG439+'01_Доходи'!AG440),0),IF($B$430="Лікар-педіатр",IF(AG434&gt;=Законод!$J$18,'01_Доходи'!AG434-('01_Доходи'!AG435+'01_Доходи'!AG436+'01_Доходи'!AG437+'01_Доходи'!AG438+'01_Доходи'!AG439+'01_Доходи'!AG440),0),IF($B$430="Лікар-терапевт",IF('01_Доходи'!AG434&gt;=Законод!$J$26,AG434-Законод!$I$27,0),0)))</f>
        <v>0</v>
      </c>
      <c r="AH441" s="931"/>
      <c r="AI441" s="215"/>
      <c r="AJ441" s="934"/>
      <c r="AK441" s="928"/>
      <c r="AL441" s="928"/>
      <c r="AM441" s="900"/>
      <c r="AN441" s="216">
        <f ca="1">IF(B430="Лікар загальної практики - сімейний лікар",L441*Законод!$C$9/4*Законод!$J$16,IF(B430="Лікар-педіатр",L441*Законод!$C$9/4*Законод!$J$16,IF(B430="Лікар-терапевт",L441*Законод!$C$9/4*Законод!$J$16,0)))</f>
        <v>0</v>
      </c>
      <c r="AO441" s="216">
        <f ca="1">IF(B430="Лікар загальної практики - сімейний лікар",S441*Законод!$C$9/4*Законод!$J$16,IF(B430="Лікар-педіатр",S441*Законод!$C$9/4*Законод!$J$16,IF(B430="Лікар-терапевт",S441*Законод!$C$9/4*Законод!$J$16,0)))</f>
        <v>0</v>
      </c>
      <c r="AP441" s="216">
        <f ca="1">IF(B430="Лікар загальної практики - сімейний лікар",S441*Законод!$C$9/4*Законод!$J$16,IF(B430="Лікар-педіатр",S441*Законод!$C$9/4*Законод!$J$16,IF(B430="Лікар-терапевт",S441*Законод!$C$9/4*Законод!$J$16,0)))</f>
        <v>0</v>
      </c>
      <c r="AQ441" s="216">
        <f ca="1">IF(B430="Лікар загальної практики - сімейний лікар",AG441*Законод!$C$9/4*Законод!$J$16,IF(B430="Лікар-педіатр",AG441*Законод!$C$9/4*Законод!$J$16,IF(B430="Лікар-терапевт",AG441*Законод!$C$9/4*Законод!$J$16,0)))</f>
        <v>0</v>
      </c>
      <c r="AR441" s="217">
        <f t="shared" si="60"/>
        <v>0</v>
      </c>
    </row>
    <row r="442" spans="1:44" s="247" customFormat="1" ht="23.45" hidden="1" customHeight="1" thickBot="1">
      <c r="A442" s="243"/>
      <c r="B442" s="244"/>
      <c r="C442" s="244"/>
      <c r="D442" s="244"/>
      <c r="E442" s="244"/>
      <c r="F442" s="245"/>
      <c r="G442" s="246"/>
      <c r="H442" s="246"/>
      <c r="L442" s="248"/>
      <c r="S442" s="248"/>
      <c r="Z442" s="248"/>
      <c r="AG442" s="248"/>
      <c r="AM442" s="249"/>
      <c r="AR442" s="250"/>
    </row>
    <row r="443" spans="1:44" s="191" customFormat="1" ht="24.6" hidden="1" customHeight="1">
      <c r="A443" s="194">
        <f>A430+1</f>
        <v>32</v>
      </c>
      <c r="B443" s="892"/>
      <c r="C443" s="895"/>
      <c r="D443" s="911"/>
      <c r="E443" s="908"/>
      <c r="F443" s="234" t="s">
        <v>582</v>
      </c>
      <c r="G443" s="196">
        <f>IF($B$443="Лікар-педіатр",G446*L443,IF($B$443="Лікар-терапевт","х",IF($B$443="Лікар загальної практики - сімейний лікар",G446*L443,0)))</f>
        <v>0</v>
      </c>
      <c r="H443" s="196">
        <f>IF($B$443="Лікар-педіатр",H446*L443,IF($B$443="Лікар-терапевт","х",IF($B$443="Лікар загальної практики - сімейний лікар",H446*L443,0)))</f>
        <v>0</v>
      </c>
      <c r="I443" s="196">
        <f>IF($B$443="Лікар-педіатр","x",IF($B$443="Лікар-терапевт",I446*L443,IF($B$443="Лікар загальної практики - сімейний лікар",I446*L443,0)))</f>
        <v>0</v>
      </c>
      <c r="J443" s="196">
        <f>IF($B$443="Лікар-педіатр","x",IF($B$443="Лікар-терапевт",J446*L443,IF($B$443="Лікар загальної практики - сімейний лікар",J446*L443,0)))</f>
        <v>0</v>
      </c>
      <c r="K443" s="196">
        <f>IF($B$443="Лікар-педіатр","x",IF($B$443="Лікар-терапевт",K446*L443,IF($B$443="Лікар загальної практики - сімейний лікар",K446*L443,0)))</f>
        <v>0</v>
      </c>
      <c r="L443" s="558"/>
      <c r="M443" s="929"/>
      <c r="N443" s="196">
        <f>IF($B$443="Лікар-педіатр",N446*S443,IF($B$443="Лікар-терапевт","х",IF($B$443="Лікар загальної практики - сімейний лікар",N446*S443,0)))</f>
        <v>0</v>
      </c>
      <c r="O443" s="196">
        <f>IF($B$443="Лікар-педіатр",O446*S443,IF($B$443="Лікар-терапевт","х",IF($B$443="Лікар загальної практики - сімейний лікар",O446*S443,0)))</f>
        <v>0</v>
      </c>
      <c r="P443" s="196">
        <f>IF($B$443="Лікар-педіатр","x",IF($B$443="Лікар-терапевт",P446*S443,IF($B$443="Лікар загальної практики - сімейний лікар",P446*S443,0)))</f>
        <v>0</v>
      </c>
      <c r="Q443" s="196">
        <f>IF($B$443="Лікар-педіатр","x",IF($B$443="Лікар-терапевт",Q446*S443,IF($B$443="Лікар загальної практики - сімейний лікар",Q446*S443,0)))</f>
        <v>0</v>
      </c>
      <c r="R443" s="196">
        <f>IF($B$443="Лікар-педіатр","x",IF($B$443="Лікар-терапевт",R446*S443,IF($B$443="Лікар загальної практики - сімейний лікар",R446*S443,0)))</f>
        <v>0</v>
      </c>
      <c r="S443" s="558"/>
      <c r="T443" s="929"/>
      <c r="U443" s="196">
        <f>IF($B$443="Лікар-педіатр",U446*Z443,IF($B$443="Лікар-терапевт","х",IF($B$443="Лікар загальної практики - сімейний лікар",U446*Z443,0)))</f>
        <v>0</v>
      </c>
      <c r="V443" s="196">
        <f>IF($B$443="Лікар-педіатр",V446*Z443,IF($B$443="Лікар-терапевт","х",IF($B$443="Лікар загальної практики - сімейний лікар",V446*Z443,0)))</f>
        <v>0</v>
      </c>
      <c r="W443" s="196">
        <f>IF($B$443="Лікар-педіатр","x",IF($B$443="Лікар-терапевт",W446*Z443,IF($B$443="Лікар загальної практики - сімейний лікар",W446*Z443,0)))</f>
        <v>0</v>
      </c>
      <c r="X443" s="196">
        <f>IF($B$443="Лікар-педіатр","x",IF($B$443="Лікар-терапевт",X446*Z443,IF($B$443="Лікар загальної практики - сімейний лікар",X446*Z443,0)))</f>
        <v>0</v>
      </c>
      <c r="Y443" s="196">
        <f>IF($B$443="Лікар-педіатр","x",IF($B$443="Лікар-терапевт",Y446*Z443,IF($B$443="Лікар загальної практики - сімейний лікар",Y446*Z443,0)))</f>
        <v>0</v>
      </c>
      <c r="Z443" s="558"/>
      <c r="AA443" s="929"/>
      <c r="AB443" s="196">
        <f>IF($B$443="Лікар-педіатр",AB446*AG443,IF($B$443="Лікар-терапевт","х",IF($B$443="Лікар загальної практики - сімейний лікар",AB446*AG443,0)))</f>
        <v>0</v>
      </c>
      <c r="AC443" s="196">
        <f>IF($B$443="Лікар-педіатр",AC446*AG443,IF($B$443="Лікар-терапевт","х",IF($B$443="Лікар загальної практики - сімейний лікар",AC446*AG443,0)))</f>
        <v>0</v>
      </c>
      <c r="AD443" s="196">
        <f>IF($B$443="Лікар-педіатр","x",IF($B$443="Лікар-терапевт",AD446*AG443,IF($B$443="Лікар загальної практики - сімейний лікар",AD446*AG443,0)))</f>
        <v>0</v>
      </c>
      <c r="AE443" s="196">
        <f>IF($B$443="Лікар-педіатр","x",IF($B$443="Лікар-терапевт",AE446*AG443,IF($B$443="Лікар загальної практики - сімейний лікар",AE446*AG443,0)))</f>
        <v>0</v>
      </c>
      <c r="AF443" s="196">
        <f>IF($B$443="Лікар-педіатр","x",IF($B$443="Лікар-терапевт",AF446*AG443,IF($B$443="Лікар загальної практики - сімейний лікар",AF446*AG443,0)))</f>
        <v>0</v>
      </c>
      <c r="AG443" s="558"/>
      <c r="AH443" s="929"/>
      <c r="AI443" s="541">
        <f>A443</f>
        <v>32</v>
      </c>
      <c r="AJ443" s="932">
        <f>B443</f>
        <v>0</v>
      </c>
      <c r="AK443" s="926">
        <f>C443</f>
        <v>0</v>
      </c>
      <c r="AL443" s="926">
        <f>D443</f>
        <v>0</v>
      </c>
      <c r="AM443" s="901" t="s">
        <v>785</v>
      </c>
      <c r="AN443" s="923">
        <f>SUM(AN448:AN454)</f>
        <v>0</v>
      </c>
      <c r="AO443" s="923">
        <f>SUM(AO448:AO454)</f>
        <v>0</v>
      </c>
      <c r="AP443" s="923">
        <f>SUM(AP448:AP454)</f>
        <v>0</v>
      </c>
      <c r="AQ443" s="923">
        <f>SUM(AQ448:AQ454)</f>
        <v>0</v>
      </c>
      <c r="AR443" s="914">
        <f>SUM(AN443:AQ447)</f>
        <v>0</v>
      </c>
    </row>
    <row r="444" spans="1:44" s="50" customFormat="1" ht="28.15" hidden="1" customHeight="1">
      <c r="A444" s="197"/>
      <c r="B444" s="893"/>
      <c r="C444" s="896"/>
      <c r="D444" s="912"/>
      <c r="E444" s="909"/>
      <c r="F444" s="234" t="s">
        <v>583</v>
      </c>
      <c r="G444" s="196">
        <f>IF($B$443="Лікар-педіатр",G446*L444,IF($B$443="Лікар-терапевт","х",IF($B$443="Лікар загальної практики - сімейний лікар",G446*L444,0)))</f>
        <v>0</v>
      </c>
      <c r="H444" s="196">
        <f>IF($B$443="Лікар-педіатр",H446*L444,IF($B$443="Лікар-терапевт","х",IF($B$443="Лікар загальної практики - сімейний лікар",H446*L444,0)))</f>
        <v>0</v>
      </c>
      <c r="I444" s="196">
        <f>IF($B$443="Лікар-педіатр","x",IF($B$443="Лікар-терапевт",I446*L444,IF($B$443="Лікар загальної практики - сімейний лікар",I446*L444,0)))</f>
        <v>0</v>
      </c>
      <c r="J444" s="196">
        <f>IF($B$443="Лікар-педіатр","x",IF($B$443="Лікар-терапевт",J446*L444,IF($B$443="Лікар загальної практики - сімейний лікар",J446*L444,0)))</f>
        <v>0</v>
      </c>
      <c r="K444" s="196">
        <f>IF($B$443="Лікар-педіатр","x",IF($B$443="Лікар-терапевт",K446*L444,IF($B$443="Лікар загальної практики - сімейний лікар",K446*L444,0)))</f>
        <v>0</v>
      </c>
      <c r="L444" s="558"/>
      <c r="M444" s="930"/>
      <c r="N444" s="196">
        <f>IF($B$443="Лікар-педіатр",N446*S444,IF($B$443="Лікар-терапевт","х",IF($B$443="Лікар загальної практики - сімейний лікар",N446*S444,0)))</f>
        <v>0</v>
      </c>
      <c r="O444" s="196">
        <f>IF($B$443="Лікар-педіатр",O446*S444,IF($B$443="Лікар-терапевт","х",IF($B$443="Лікар загальної практики - сімейний лікар",O446*S444,0)))</f>
        <v>0</v>
      </c>
      <c r="P444" s="196">
        <f>IF($B$443="Лікар-педіатр","x",IF($B$443="Лікар-терапевт",P446*S444,IF($B$443="Лікар загальної практики - сімейний лікар",P446*S444,0)))</f>
        <v>0</v>
      </c>
      <c r="Q444" s="196">
        <f>IF($B$443="Лікар-педіатр","x",IF($B$443="Лікар-терапевт",Q446*S444,IF($B$443="Лікар загальної практики - сімейний лікар",Q446*S444,0)))</f>
        <v>0</v>
      </c>
      <c r="R444" s="196">
        <f>IF($B$443="Лікар-педіатр","x",IF($B$443="Лікар-терапевт",R446*S444,IF($B$443="Лікар загальної практики - сімейний лікар",R446*S444,0)))</f>
        <v>0</v>
      </c>
      <c r="S444" s="558"/>
      <c r="T444" s="930"/>
      <c r="U444" s="196">
        <f>IF($B$443="Лікар-педіатр",U446*Z444,IF($B$443="Лікар-терапевт","х",IF($B$443="Лікар загальної практики - сімейний лікар",U446*Z444,0)))</f>
        <v>0</v>
      </c>
      <c r="V444" s="196">
        <f>IF($B$443="Лікар-педіатр",V446*Z444,IF($B$443="Лікар-терапевт","х",IF($B$443="Лікар загальної практики - сімейний лікар",V446*Z444,0)))</f>
        <v>0</v>
      </c>
      <c r="W444" s="196">
        <f>IF($B$443="Лікар-педіатр","x",IF($B$443="Лікар-терапевт",W446*Z444,IF($B$443="Лікар загальної практики - сімейний лікар",W446*Z444,0)))</f>
        <v>0</v>
      </c>
      <c r="X444" s="196">
        <f>IF($B$443="Лікар-педіатр","x",IF($B$443="Лікар-терапевт",X446*Z444,IF($B$443="Лікар загальної практики - сімейний лікар",X446*Z444,0)))</f>
        <v>0</v>
      </c>
      <c r="Y444" s="196">
        <f>IF($B$443="Лікар-педіатр","x",IF($B$443="Лікар-терапевт",Y446*Z444,IF($B$443="Лікар загальної практики - сімейний лікар",Y446*Z444,0)))</f>
        <v>0</v>
      </c>
      <c r="Z444" s="558"/>
      <c r="AA444" s="930"/>
      <c r="AB444" s="196">
        <f>IF($B$443="Лікар-педіатр",AB446*AG444,IF($B$443="Лікар-терапевт","х",IF($B$443="Лікар загальної практики - сімейний лікар",AB446*AG444,0)))</f>
        <v>0</v>
      </c>
      <c r="AC444" s="196">
        <f>IF($B$443="Лікар-педіатр",AC446*AG444,IF($B$443="Лікар-терапевт","х",IF($B$443="Лікар загальної практики - сімейний лікар",AC446*AG444,0)))</f>
        <v>0</v>
      </c>
      <c r="AD444" s="196">
        <f>IF($B$443="Лікар-педіатр","x",IF($B$443="Лікар-терапевт",AD446*AG444,IF($B$443="Лікар загальної практики - сімейний лікар",AD446*AG444,0)))</f>
        <v>0</v>
      </c>
      <c r="AE444" s="196">
        <f>IF($B$443="Лікар-педіатр","x",IF($B$443="Лікар-терапевт",AE446*AG444,IF($B$443="Лікар загальної практики - сімейний лікар",AE446*AG444,0)))</f>
        <v>0</v>
      </c>
      <c r="AF444" s="196">
        <f>IF($B$443="Лікар-педіатр","x",IF($B$443="Лікар-терапевт",AF446*AG444,IF($B$443="Лікар загальної практики - сімейний лікар",AF446*AG444,0)))</f>
        <v>0</v>
      </c>
      <c r="AG444" s="558"/>
      <c r="AH444" s="930"/>
      <c r="AI444" s="198"/>
      <c r="AJ444" s="933"/>
      <c r="AK444" s="927"/>
      <c r="AL444" s="927"/>
      <c r="AM444" s="902"/>
      <c r="AN444" s="924"/>
      <c r="AO444" s="924"/>
      <c r="AP444" s="924"/>
      <c r="AQ444" s="924"/>
      <c r="AR444" s="915"/>
    </row>
    <row r="445" spans="1:44" s="50" customFormat="1" ht="31.15" hidden="1" customHeight="1">
      <c r="A445" s="197"/>
      <c r="B445" s="893"/>
      <c r="C445" s="896"/>
      <c r="D445" s="912"/>
      <c r="E445" s="909"/>
      <c r="F445" s="234" t="s">
        <v>584</v>
      </c>
      <c r="G445" s="199">
        <f>IF(B443="Лікар загальної практики - сімейний лікар"," ",IF(B443="Лікар-педіатр"," ",IF(B443="Лікар-терапевт","х",0)))</f>
        <v>0</v>
      </c>
      <c r="H445" s="199">
        <f>IF(B443="Лікар загальної практики - сімейний лікар"," ",IF(B443="Лікар-педіатр"," ",IF(B443="Лікар-терапевт","х",0)))</f>
        <v>0</v>
      </c>
      <c r="I445" s="199">
        <f>IF(B443="Лікар загальної практики - сімейний лікар"," ",IF(B443="Лікар-педіатр","х",IF(B443="Лікар-терапевт"," ",0)))</f>
        <v>0</v>
      </c>
      <c r="J445" s="199">
        <f>IF(B443="Лікар загальної практики - сімейний лікар"," ",IF(B443="Лікар-педіатр","х",IF(B443="Лікар-терапевт"," ",0)))</f>
        <v>0</v>
      </c>
      <c r="K445" s="199">
        <f>IF(B443="Лікар загальної практики - сімейний лікар"," ",IF(B443="Лікар-педіатр","х",IF(B443="Лікар-терапевт"," ",0)))</f>
        <v>0</v>
      </c>
      <c r="L445" s="200">
        <f>SUM(G445:K445)</f>
        <v>0</v>
      </c>
      <c r="M445" s="930"/>
      <c r="N445" s="199">
        <f>IF(B443="Лікар загальної практики - сімейний лікар"," ",IF(B443="Лікар-педіатр"," ",IF(B443="Лікар-терапевт","х",0)))</f>
        <v>0</v>
      </c>
      <c r="O445" s="199">
        <f>IF(B443="Лікар загальної практики - сімейний лікар"," ",IF(B443="Лікар-педіатр"," ",IF(B443="Лікар-терапевт","х",0)))</f>
        <v>0</v>
      </c>
      <c r="P445" s="199">
        <f>IF(B443="Лікар загальної практики - сімейний лікар"," ",IF(B443="Лікар-педіатр","х",IF(B443="Лікар-терапевт"," ",0)))</f>
        <v>0</v>
      </c>
      <c r="Q445" s="199">
        <f>IF(B443="Лікар загальної практики - сімейний лікар"," ",IF(B443="Лікар-педіатр","х",IF(B443="Лікар-терапевт"," ",0)))</f>
        <v>0</v>
      </c>
      <c r="R445" s="199">
        <f>IF(B443="Лікар загальної практики - сімейний лікар"," ",IF(B443="Лікар-педіатр","х",IF(B443="Лікар-терапевт"," ",0)))</f>
        <v>0</v>
      </c>
      <c r="S445" s="200">
        <f>SUM(N445:R445)</f>
        <v>0</v>
      </c>
      <c r="T445" s="930"/>
      <c r="U445" s="199">
        <f>IF(B443="Лікар загальної практики - сімейний лікар"," ",IF(B443="Лікар-педіатр"," ",IF(B443="Лікар-терапевт","х",0)))</f>
        <v>0</v>
      </c>
      <c r="V445" s="199">
        <f>IF(B443="Лікар загальної практики - сімейний лікар"," ",IF(B443="Лікар-педіатр"," ",IF(B443="Лікар-терапевт","х",0)))</f>
        <v>0</v>
      </c>
      <c r="W445" s="199">
        <f>IF(B443="Лікар загальної практики - сімейний лікар"," ",IF(B443="Лікар-педіатр","х",IF(B443="Лікар-терапевт"," ",0)))</f>
        <v>0</v>
      </c>
      <c r="X445" s="199">
        <f>IF(B443="Лікар загальної практики - сімейний лікар"," ",IF(B443="Лікар-педіатр","х",IF(B443="Лікар-терапевт"," ",0)))</f>
        <v>0</v>
      </c>
      <c r="Y445" s="199">
        <f>IF(B443="Лікар загальної практики - сімейний лікар"," ",IF(B443="Лікар-педіатр","х",IF(B443="Лікар-терапевт"," ",0)))</f>
        <v>0</v>
      </c>
      <c r="Z445" s="200">
        <f>SUM(U445:Y445)</f>
        <v>0</v>
      </c>
      <c r="AA445" s="930"/>
      <c r="AB445" s="199">
        <f>IF(B443="Лікар загальної практики - сімейний лікар"," ",IF(B443="Лікар-педіатр"," ",IF(B443="Лікар-терапевт","х",0)))</f>
        <v>0</v>
      </c>
      <c r="AC445" s="199">
        <f>IF(B443="Лікар загальної практики - сімейний лікар"," ",IF(B443="Лікар-педіатр"," ",IF(B443="Лікар-терапевт","х",0)))</f>
        <v>0</v>
      </c>
      <c r="AD445" s="199">
        <f>IF(B443="Лікар загальної практики - сімейний лікар"," ",IF(B443="Лікар-педіатр","х",IF(B443="Лікар-терапевт"," ",0)))</f>
        <v>0</v>
      </c>
      <c r="AE445" s="199">
        <f>IF(B443="Лікар загальної практики - сімейний лікар"," ",IF(B443="Лікар-педіатр","х",IF(B443="Лікар-терапевт"," ",0)))</f>
        <v>0</v>
      </c>
      <c r="AF445" s="199">
        <f>IF(B443="Лікар загальної практики - сімейний лікар"," ",IF(B443="Лікар-педіатр","х",IF(B443="Лікар-терапевт"," ",0)))</f>
        <v>0</v>
      </c>
      <c r="AG445" s="200">
        <f>SUM(AB445:AF445)</f>
        <v>0</v>
      </c>
      <c r="AH445" s="930"/>
      <c r="AI445" s="201"/>
      <c r="AJ445" s="933"/>
      <c r="AK445" s="927"/>
      <c r="AL445" s="927"/>
      <c r="AM445" s="902"/>
      <c r="AN445" s="924"/>
      <c r="AO445" s="924"/>
      <c r="AP445" s="924"/>
      <c r="AQ445" s="924"/>
      <c r="AR445" s="915"/>
    </row>
    <row r="446" spans="1:44" s="90" customFormat="1" ht="31.9" hidden="1" customHeight="1" thickBot="1">
      <c r="A446" s="240"/>
      <c r="B446" s="893"/>
      <c r="C446" s="896"/>
      <c r="D446" s="912"/>
      <c r="E446" s="909"/>
      <c r="F446" s="236" t="s">
        <v>349</v>
      </c>
      <c r="G446" s="203">
        <f>IF($B$443="Лікар-педіатр",G445/L445,IF($B$443="Лікар-терапевт","х",IF($B$443="Лікар загальної практики - сімейний лікар",G445/L445,0)))</f>
        <v>0</v>
      </c>
      <c r="H446" s="203">
        <f>IF($B$443="Лікар-педіатр",H445/L445,IF($B$443="Лікар-терапевт","х",IF($B$443="Лікар загальної практики - сімейний лікар",H445/L445,0)))</f>
        <v>0</v>
      </c>
      <c r="I446" s="203">
        <f>IF($B$443="Лікар-педіатр","x",IF($B$443="Лікар-терапевт",I445/L445,IF($B$443="Лікар загальної практики - сімейний лікар",I445/L445,0)))</f>
        <v>0</v>
      </c>
      <c r="J446" s="203">
        <f>IF($B$443="Лікар-педіатр","x",IF($B$443="Лікар-терапевт",J445/L445,IF($B$443="Лікар загальної практики - сімейний лікар",J445/L445,0)))</f>
        <v>0</v>
      </c>
      <c r="K446" s="203">
        <f>IF($B$443="Лікар-педіатр","x",IF($B$443="Лікар-терапевт",K445/L445,IF($B$443="Лікар загальної практики - сімейний лікар",K445/L445,0)))</f>
        <v>0</v>
      </c>
      <c r="L446" s="203">
        <f>SUM(G446:K446)</f>
        <v>0</v>
      </c>
      <c r="M446" s="930"/>
      <c r="N446" s="203">
        <f>IF($B$443="Лікар-педіатр",N445/S445,IF($B$443="Лікар-терапевт","х",IF($B$443="Лікар загальної практики - сімейний лікар",N445/S445,0)))</f>
        <v>0</v>
      </c>
      <c r="O446" s="203">
        <f>IF($B$443="Лікар-педіатр",O445/S445,IF($B$443="Лікар-терапевт","х",IF($B$443="Лікар загальної практики - сімейний лікар",O445/S445,0)))</f>
        <v>0</v>
      </c>
      <c r="P446" s="203">
        <f>IF($B$443="Лікар-педіатр","x",IF($B$443="Лікар-терапевт",P445/S445,IF($B$443="Лікар загальної практики - сімейний лікар",P445/S445,0)))</f>
        <v>0</v>
      </c>
      <c r="Q446" s="203">
        <f>IF($B$443="Лікар-педіатр","x",IF($B$443="Лікар-терапевт",Q445/S445,IF($B$443="Лікар загальної практики - сімейний лікар",Q445/S445,0)))</f>
        <v>0</v>
      </c>
      <c r="R446" s="203">
        <f>IF($B$443="Лікар-педіатр","x",IF($B$443="Лікар-терапевт",R445/S445,IF($B$443="Лікар загальної практики - сімейний лікар",R445/S445,0)))</f>
        <v>0</v>
      </c>
      <c r="S446" s="203">
        <f>SUM(N446:R446)</f>
        <v>0</v>
      </c>
      <c r="T446" s="930"/>
      <c r="U446" s="203">
        <f>IF($B$443="Лікар-педіатр",U445/Z445,IF($B$443="Лікар-терапевт","х",IF($B$443="Лікар загальної практики - сімейний лікар",U445/Z445,0)))</f>
        <v>0</v>
      </c>
      <c r="V446" s="203">
        <f>IF($B$443="Лікар-педіатр",V445/Z445,IF($B$443="Лікар-терапевт","х",IF($B$443="Лікар загальної практики - сімейний лікар",V445/Z445,0)))</f>
        <v>0</v>
      </c>
      <c r="W446" s="203">
        <f>IF($B$443="Лікар-педіатр","x",IF($B$443="Лікар-терапевт",W445/Z445,IF($B$443="Лікар загальної практики - сімейний лікар",W445/Z445,0)))</f>
        <v>0</v>
      </c>
      <c r="X446" s="203">
        <f>IF($B$443="Лікар-педіатр","x",IF($B$443="Лікар-терапевт",X445/Z445,IF($B$443="Лікар загальної практики - сімейний лікар",X445/Z445,0)))</f>
        <v>0</v>
      </c>
      <c r="Y446" s="203">
        <f>IF($B$443="Лікар-педіатр","x",IF($B$443="Лікар-терапевт",Y445/Z445,IF($B$443="Лікар загальної практики - сімейний лікар",Y445/Z445,0)))</f>
        <v>0</v>
      </c>
      <c r="Z446" s="203">
        <f>SUM(U446:Y446)</f>
        <v>0</v>
      </c>
      <c r="AA446" s="930"/>
      <c r="AB446" s="203">
        <f>IF($B$443="Лікар-педіатр",AB445/AG445,IF($B$443="Лікар-терапевт","х",IF($B$443="Лікар загальної практики - сімейний лікар",AB445/AG445,0)))</f>
        <v>0</v>
      </c>
      <c r="AC446" s="203">
        <f>IF($B$443="Лікар-педіатр",AC445/AG445,IF($B$443="Лікар-терапевт","х",IF($B$443="Лікар загальної практики - сімейний лікар",AC445/AG445,0)))</f>
        <v>0</v>
      </c>
      <c r="AD446" s="203">
        <f>IF($B$443="Лікар-педіатр","x",IF($B$443="Лікар-терапевт",AD445/AG445,IF($B$443="Лікар загальної практики - сімейний лікар",AD445/AG445,0)))</f>
        <v>0</v>
      </c>
      <c r="AE446" s="203">
        <f>IF($B$443="Лікар-педіатр","x",IF($B$443="Лікар-терапевт",AE445/AG445,IF($B$443="Лікар загальної практики - сімейний лікар",AE445/AG445,0)))</f>
        <v>0</v>
      </c>
      <c r="AF446" s="203">
        <f>IF($B$443="Лікар-педіатр","x",IF($B$443="Лікар-терапевт",AF445/AG445,IF($B$443="Лікар загальної практики - сімейний лікар",AF445/AG445,0)))</f>
        <v>0</v>
      </c>
      <c r="AG446" s="203">
        <f>SUM(AB446:AF446)</f>
        <v>0</v>
      </c>
      <c r="AH446" s="930"/>
      <c r="AI446" s="242"/>
      <c r="AJ446" s="933"/>
      <c r="AK446" s="927"/>
      <c r="AL446" s="927"/>
      <c r="AM446" s="902"/>
      <c r="AN446" s="924"/>
      <c r="AO446" s="924"/>
      <c r="AP446" s="924"/>
      <c r="AQ446" s="924"/>
      <c r="AR446" s="915"/>
    </row>
    <row r="447" spans="1:44" s="50" customFormat="1" ht="45" hidden="1" customHeight="1" thickBot="1">
      <c r="A447" s="197"/>
      <c r="B447" s="893"/>
      <c r="C447" s="896"/>
      <c r="D447" s="912"/>
      <c r="E447" s="909"/>
      <c r="F447" s="204" t="s">
        <v>585</v>
      </c>
      <c r="G447" s="205">
        <f>IF($B$443="Лікар загальної практики - сімейний лікар",AVERAGE(G443:G445),IF($B$443="Лікар-педіатр",AVERAGE(G443:G445),IF($B$443="Лікар-терапевт","х",0)))</f>
        <v>0</v>
      </c>
      <c r="H447" s="205">
        <f>IF($B$443="Лікар загальної практики - сімейний лікар",AVERAGE(H443:H445),IF($B$443="Лікар-педіатр",AVERAGE(H443:H445),IF($B$443="Лікар-терапевт","х",0)))</f>
        <v>0</v>
      </c>
      <c r="I447" s="205">
        <f>IF($B$443="Лікар загальної практики - сімейний лікар",AVERAGE(I443:I445),IF($B$443="Лікар-педіатр","x",IF($B$443="Лікар-терапевт",AVERAGE(I443:I445),0)))</f>
        <v>0</v>
      </c>
      <c r="J447" s="205">
        <f>IF($B$443="Лікар загальної практики - сімейний лікар",AVERAGE(J443:J445),IF($B$443="Лікар-педіатр","x",IF($B$443="Лікар-терапевт",AVERAGE(J443:J445),0)))</f>
        <v>0</v>
      </c>
      <c r="K447" s="205">
        <f>IF($B$443="Лікар загальної практики - сімейний лікар",AVERAGE(K443:K445),IF($B$443="Лікар-педіатр","x",IF($B$443="Лікар-терапевт",AVERAGE(K443:K445),0)))</f>
        <v>0</v>
      </c>
      <c r="L447" s="206">
        <f>SUM(G447:K447)</f>
        <v>0</v>
      </c>
      <c r="M447" s="930"/>
      <c r="N447" s="205">
        <f>IF($B$443="Лікар загальної практики - сімейний лікар",AVERAGE(N443:N445),IF($B$443="Лікар-педіатр",AVERAGE(N443:N445),IF($B$443="Лікар-терапевт","х",0)))</f>
        <v>0</v>
      </c>
      <c r="O447" s="205">
        <f>IF($B$443="Лікар загальної практики - сімейний лікар",AVERAGE(O443:O445),IF($B$443="Лікар-педіатр",AVERAGE(O443:O445),IF($B$443="Лікар-терапевт","х",0)))</f>
        <v>0</v>
      </c>
      <c r="P447" s="205">
        <f>IF($B$443="Лікар загальної практики - сімейний лікар",AVERAGE(P443:P445),IF($B$443="Лікар-педіатр","x",IF($B$443="Лікар-терапевт",AVERAGE(P443:P445),0)))</f>
        <v>0</v>
      </c>
      <c r="Q447" s="205">
        <f>IF($B$443="Лікар загальної практики - сімейний лікар",AVERAGE(Q443:Q445),IF($B$443="Лікар-педіатр","x",IF($B$443="Лікар-терапевт",AVERAGE(Q443:Q445),0)))</f>
        <v>0</v>
      </c>
      <c r="R447" s="205">
        <f>IF($B$443="Лікар загальної практики - сімейний лікар",AVERAGE(R443:R445),IF($B$443="Лікар-педіатр","x",IF($B$443="Лікар-терапевт",AVERAGE(R443:R445),0)))</f>
        <v>0</v>
      </c>
      <c r="S447" s="206">
        <f>SUM(N447:R447)</f>
        <v>0</v>
      </c>
      <c r="T447" s="930"/>
      <c r="U447" s="205">
        <f>IF($B$443="Лікар загальної практики - сімейний лікар",AVERAGE(U443:U445),IF($B$443="Лікар-педіатр",AVERAGE(U443:U445),IF($B$443="Лікар-терапевт","х",0)))</f>
        <v>0</v>
      </c>
      <c r="V447" s="205">
        <f>IF($B$443="Лікар загальної практики - сімейний лікар",AVERAGE(V443:V445),IF($B$443="Лікар-педіатр",AVERAGE(V443:V445),IF($B$443="Лікар-терапевт","х",0)))</f>
        <v>0</v>
      </c>
      <c r="W447" s="205">
        <f>IF($B$443="Лікар загальної практики - сімейний лікар",AVERAGE(W443:W445),IF($B$443="Лікар-педіатр","x",IF($B$443="Лікар-терапевт",AVERAGE(W443:W445),0)))</f>
        <v>0</v>
      </c>
      <c r="X447" s="205">
        <f>IF($B$443="Лікар загальної практики - сімейний лікар",AVERAGE(X443:X445),IF($B$443="Лікар-педіатр","x",IF($B$443="Лікар-терапевт",AVERAGE(X443:X445),0)))</f>
        <v>0</v>
      </c>
      <c r="Y447" s="205">
        <f>IF($B$443="Лікар загальної практики - сімейний лікар",AVERAGE(Y443:Y445),IF($B$443="Лікар-педіатр","x",IF($B$443="Лікар-терапевт",AVERAGE(Y443:Y445),0)))</f>
        <v>0</v>
      </c>
      <c r="Z447" s="206">
        <f>SUM(U447:Y447)</f>
        <v>0</v>
      </c>
      <c r="AA447" s="930"/>
      <c r="AB447" s="205">
        <f>IF($B$443="Лікар загальної практики - сімейний лікар",AVERAGE(AB443:AB445),IF($B$443="Лікар-педіатр",AVERAGE(AB443:AB445),IF($B$443="Лікар-терапевт","х",0)))</f>
        <v>0</v>
      </c>
      <c r="AC447" s="205">
        <f>IF($B$443="Лікар загальної практики - сімейний лікар",AVERAGE(AC443:AC445),IF($B$443="Лікар-педіатр",AVERAGE(AC443:AC445),IF($B$443="Лікар-терапевт","х",0)))</f>
        <v>0</v>
      </c>
      <c r="AD447" s="205">
        <f>IF($B$443="Лікар загальної практики - сімейний лікар",AVERAGE(AD443:AD445),IF($B$443="Лікар-педіатр","x",IF($B$443="Лікар-терапевт",AVERAGE(AD443:AD445),0)))</f>
        <v>0</v>
      </c>
      <c r="AE447" s="205">
        <f>IF($B$443="Лікар загальної практики - сімейний лікар",AVERAGE(AE443:AE445),IF($B$443="Лікар-педіатр","x",IF($B$443="Лікар-терапевт",AVERAGE(AE443:AE445),0)))</f>
        <v>0</v>
      </c>
      <c r="AF447" s="205">
        <f>IF($B$443="Лікар загальної практики - сімейний лікар",AVERAGE(AF443:AF445),IF($B$443="Лікар-педіатр","x",IF($B$443="Лікар-терапевт",AVERAGE(AF443:AF445),0)))</f>
        <v>0</v>
      </c>
      <c r="AG447" s="206">
        <f>SUM(AB447:AF447)</f>
        <v>0</v>
      </c>
      <c r="AH447" s="930"/>
      <c r="AI447" s="201"/>
      <c r="AJ447" s="933"/>
      <c r="AK447" s="927"/>
      <c r="AL447" s="927"/>
      <c r="AM447" s="903"/>
      <c r="AN447" s="925"/>
      <c r="AO447" s="925"/>
      <c r="AP447" s="925"/>
      <c r="AQ447" s="925"/>
      <c r="AR447" s="916"/>
    </row>
    <row r="448" spans="1:44" s="50" customFormat="1" ht="40.5" hidden="1">
      <c r="A448" s="197"/>
      <c r="B448" s="893"/>
      <c r="C448" s="896"/>
      <c r="D448" s="912"/>
      <c r="E448" s="909"/>
      <c r="F448" s="237" t="str">
        <f ca="1">IF(B443="Лікар-педіатр",Законод!$C$17,IF(B443="Лікар загальної практики - сімейний лікар",Законод!$C$21,IF(B443="Лікар-терапевт",Законод!$C$25,"х")))</f>
        <v>х</v>
      </c>
      <c r="G448" s="208">
        <f ca="1">IF($B$443="Лікар загальної практики - сімейний лікар",IF(L447&lt;=Законод!$C$22,G447,Законод!$C$22*'01_Доходи'!G446),IF($B$443="Лікар-педіатр",IF(L447&lt;=Законод!$C$18,G447,Законод!$C$18*'01_Доходи'!G446),IF($B$443="Лікар-терапевт","x",0)))</f>
        <v>0</v>
      </c>
      <c r="H448" s="208">
        <f ca="1">IF($B$443="Лікар загальної практики - сімейний лікар",IF(L447&lt;=Законод!$C$22,H447,Законод!$C$22*'01_Доходи'!H446),IF($B$443="Лікар-педіатр",IF(L447&lt;=Законод!$C$18,H447,Законод!$C$18*'01_Доходи'!H446),IF($B$443="Лікар-терапевт","x",0)))</f>
        <v>0</v>
      </c>
      <c r="I448" s="208">
        <f ca="1">IF($B$443="Лікар загальної практики - сімейний лікар",IF(L447&lt;=Законод!$C$22,I447,Законод!$C$22*'01_Доходи'!I446),IF($B$443="Лікар-педіатр","x",IF($B$443="Лікар-терапевт",IF(L447&lt;=Законод!$C$26,I447,Законод!$C$26*'01_Доходи'!I446),0)))</f>
        <v>0</v>
      </c>
      <c r="J448" s="208">
        <f ca="1">IF($B$443="Лікар загальної практики - сімейний лікар",IF(L447&lt;=Законод!$C$22,J447,Законод!$C$22*'01_Доходи'!J446),IF($B$443="Лікар-педіатр","x",IF($B$443="Лікар-терапевт",IF(L447&lt;=Законод!$C$26,J447,Законод!$C$26*'01_Доходи'!J446),0)))</f>
        <v>0</v>
      </c>
      <c r="K448" s="208">
        <f ca="1">IF($B$443="Лікар загальної практики - сімейний лікар",IF(L447&lt;=Законод!$C$22,K447,Законод!$C$22*'01_Доходи'!K446),IF($B$443="Лікар-педіатр","x",IF($B$443="Лікар-терапевт",IF(L447&lt;=Законод!$C$26,K447,Законод!$C$26*'01_Доходи'!K446),0)))</f>
        <v>0</v>
      </c>
      <c r="L448" s="209">
        <f ca="1">SUM(G448:K448)</f>
        <v>0</v>
      </c>
      <c r="M448" s="930"/>
      <c r="N448" s="208">
        <f ca="1">IF($B$443="Лікар загальної практики - сімейний лікар",IF(S447&lt;=Законод!$C$22,N447,Законод!$C$22*'01_Доходи'!N446),IF($B$443="Лікар-педіатр",IF(S447&lt;=Законод!$C$18,N447,Законод!$C$18*'01_Доходи'!N446),IF($B$443="Лікар-терапевт","x",0)))</f>
        <v>0</v>
      </c>
      <c r="O448" s="208">
        <f ca="1">IF($B$443="Лікар загальної практики - сімейний лікар",IF(S447&lt;=Законод!$C$22,O447,Законод!$C$22*'01_Доходи'!O446),IF($B$443="Лікар-педіатр",IF(S447&lt;=Законод!$C$18,O447,Законод!$C$18*'01_Доходи'!O446),IF($B$443="Лікар-терапевт","x",0)))</f>
        <v>0</v>
      </c>
      <c r="P448" s="208">
        <f ca="1">IF($B$443="Лікар загальної практики - сімейний лікар",IF(S447&lt;=Законод!$C$22,P447,Законод!$C$22*'01_Доходи'!P446),IF($B$443="Лікар-педіатр","x",IF($B$443="Лікар-терапевт",IF(S447&lt;=Законод!$C$26,P447,Законод!$C$26*'01_Доходи'!P446),0)))</f>
        <v>0</v>
      </c>
      <c r="Q448" s="208">
        <f ca="1">IF($B$443="Лікар загальної практики - сімейний лікар",IF(S447&lt;=Законод!$C$22,Q447,Законод!$C$22*'01_Доходи'!Q446),IF($B$443="Лікар-педіатр","x",IF($B$443="Лікар-терапевт",IF(S447&lt;=Законод!$C$26,Q447,Законод!$C$26*'01_Доходи'!Q446),0)))</f>
        <v>0</v>
      </c>
      <c r="R448" s="208">
        <f ca="1">IF($B$443="Лікар загальної практики - сімейний лікар",IF(S447&lt;=Законод!$C$22,R447,Законод!$C$22*'01_Доходи'!R446),IF($B$443="Лікар-педіатр","x",IF($B$443="Лікар-терапевт",IF(S447&lt;=Законод!$C$26,R447,Законод!$C$26*'01_Доходи'!R446),0)))</f>
        <v>0</v>
      </c>
      <c r="S448" s="209">
        <f ca="1">SUM(N448:R448)</f>
        <v>0</v>
      </c>
      <c r="T448" s="930"/>
      <c r="U448" s="208">
        <f ca="1">IF($B$443="Лікар загальної практики - сімейний лікар",IF(Z447&lt;=Законод!$C$22,U447,Законод!$C$22*'01_Доходи'!U446),IF($B$443="Лікар-педіатр",IF(Z447&lt;=Законод!$C$18,U447,Законод!$C$18*'01_Доходи'!U446),IF($B$443="Лікар-терапевт","x",0)))</f>
        <v>0</v>
      </c>
      <c r="V448" s="208">
        <f ca="1">IF($B$443="Лікар загальної практики - сімейний лікар",IF(Z447&lt;=Законод!$C$22,V447,Законод!$C$22*'01_Доходи'!V446),IF($B$443="Лікар-педіатр",IF(Z447&lt;=Законод!$C$18,V447,Законод!$C$18*'01_Доходи'!V446),IF($B$443="Лікар-терапевт","x",0)))</f>
        <v>0</v>
      </c>
      <c r="W448" s="208">
        <f ca="1">IF($B$443="Лікар загальної практики - сімейний лікар",IF(Z447&lt;=Законод!$C$22,W447,Законод!$C$22*'01_Доходи'!W446),IF($B$443="Лікар-педіатр","x",IF($B$443="Лікар-терапевт",IF(Z447&lt;=Законод!$C$26,W447,Законод!$C$26*'01_Доходи'!W446),0)))</f>
        <v>0</v>
      </c>
      <c r="X448" s="208">
        <f ca="1">IF($B$443="Лікар загальної практики - сімейний лікар",IF(Z447&lt;=Законод!$C$22,X447,Законод!$C$22*'01_Доходи'!X446),IF($B$443="Лікар-педіатр","x",IF($B$443="Лікар-терапевт",IF(Z447&lt;=Законод!$C$26,X447,Законод!$C$26*'01_Доходи'!X446),0)))</f>
        <v>0</v>
      </c>
      <c r="Y448" s="208">
        <f ca="1">IF($B$443="Лікар загальної практики - сімейний лікар",IF(Z447&lt;=Законод!$C$22,Y447,Законод!$C$22*'01_Доходи'!Y446),IF($B$443="Лікар-педіатр","x",IF($B$443="Лікар-терапевт",IF(Z447&lt;=Законод!$C$26,Y447,Законод!$C$26*'01_Доходи'!Y446),0)))</f>
        <v>0</v>
      </c>
      <c r="Z448" s="209">
        <f ca="1">SUM(U448:Y448)</f>
        <v>0</v>
      </c>
      <c r="AA448" s="930"/>
      <c r="AB448" s="208">
        <f ca="1">IF($B$443="Лікар загальної практики - сімейний лікар",IF(AG447&lt;=Законод!$C$22,AB447,Законод!$C$22*'01_Доходи'!AB446),IF($B$443="Лікар-педіатр",IF(AG447&lt;=Законод!$C$18,AB447,Законод!$C$18*'01_Доходи'!AB446),IF($B$443="Лікар-терапевт","x",0)))</f>
        <v>0</v>
      </c>
      <c r="AC448" s="208">
        <f ca="1">IF($B$443="Лікар загальної практики - сімейний лікар",IF(AG447&lt;=Законод!$C$22,AC447,Законод!$C$22*'01_Доходи'!AC446),IF($B$443="Лікар-педіатр",IF(AG447&lt;=Законод!$C$18,AC447,Законод!$C$18*'01_Доходи'!AC446),IF($B$443="Лікар-терапевт","x",0)))</f>
        <v>0</v>
      </c>
      <c r="AD448" s="208">
        <f ca="1">IF($B$443="Лікар загальної практики - сімейний лікар",IF(AG447&lt;=Законод!$C$22,AD447,Законод!$C$22*'01_Доходи'!AD446),IF($B$443="Лікар-педіатр","x",IF($B$443="Лікар-терапевт",IF(AG447&lt;=Законод!$C$26,AD447,Законод!$C$26*'01_Доходи'!AD446),0)))</f>
        <v>0</v>
      </c>
      <c r="AE448" s="208">
        <f ca="1">IF($B$443="Лікар загальної практики - сімейний лікар",IF(AG447&lt;=Законод!$C$22,AE447,Законод!$C$22*'01_Доходи'!AE446),IF($B$443="Лікар-педіатр","x",IF($B$443="Лікар-терапевт",IF(AG447&lt;=Законод!$C$26,AE447,Законод!$C$26*'01_Доходи'!AE446),0)))</f>
        <v>0</v>
      </c>
      <c r="AF448" s="208">
        <f ca="1">IF($B$443="Лікар загальної практики - сімейний лікар",IF(AG447&lt;=Законод!$C$22,AF447,Законод!$C$22*'01_Доходи'!AF446),IF($B$443="Лікар-педіатр","x",IF($B$443="Лікар-терапевт",IF(AG447&lt;=Законод!$C$26,AF447,Законод!$C$26*'01_Доходи'!AF446),0)))</f>
        <v>0</v>
      </c>
      <c r="AG448" s="209">
        <f ca="1">SUM(AB448:AF448)</f>
        <v>0</v>
      </c>
      <c r="AH448" s="930"/>
      <c r="AI448" s="201"/>
      <c r="AJ448" s="933"/>
      <c r="AK448" s="927"/>
      <c r="AL448" s="927"/>
      <c r="AM448" s="348" t="s">
        <v>374</v>
      </c>
      <c r="AN448" s="210">
        <f ca="1">IF(B443="Лікар загальної практики - сімейний лікар",G448*Законод!$C$11+'01_Доходи'!H448*Законод!$D$11+'01_Доходи'!I448*Законод!$E$11+'01_Доходи'!J448*Законод!$F$11+'01_Доходи'!K448*Законод!$G$11,IF(B443="Лікар-педіатр",G448*Законод!$C$11+'01_Доходи'!H448*Законод!$D$11,IF(B443="Лікар-терапевт",'01_Доходи'!I448*Законод!$E$11+'01_Доходи'!J448*Законод!$F$11+'01_Доходи'!K448*Законод!$G$11,0)))</f>
        <v>0</v>
      </c>
      <c r="AO448" s="210">
        <f ca="1">IF(B443="Лікар загальної практики - сімейний лікар",N448*Законод!$C$11+'01_Доходи'!O448*Законод!$D$11+'01_Доходи'!P448*Законод!$E$11+'01_Доходи'!Q448*Законод!$F$11+'01_Доходи'!R448*Законод!$G$11,IF(B443="Лікар-педіатр",N448*Законод!$C$11+'01_Доходи'!O448*Законод!$D$11,IF(B443="Лікар-терапевт",'01_Доходи'!P448*Законод!$E$11+'01_Доходи'!Q448*Законод!$F$11+'01_Доходи'!R448*Законод!$G$11,0)))</f>
        <v>0</v>
      </c>
      <c r="AP448" s="210">
        <f ca="1">IF(B443="Лікар загальної практики - сімейний лікар",U448*Законод!$C$11+'01_Доходи'!V448*Законод!$D$11+'01_Доходи'!W448*Законод!$E$11+'01_Доходи'!X448*Законод!$F$11+'01_Доходи'!Y448*Законод!$G$11,IF(B443="Лікар-педіатр",U448*Законод!$C$11+'01_Доходи'!V448*Законод!$D$11,IF(B443="Лікар-терапевт",'01_Доходи'!W448*Законод!$E$11+'01_Доходи'!X448*Законод!$F$11+'01_Доходи'!Y448*Законод!$G$11,0)))</f>
        <v>0</v>
      </c>
      <c r="AQ448" s="210">
        <f ca="1">IF(B443="Лікар загальної практики - сімейний лікар",AB448*Законод!$C$11+'01_Доходи'!AC448*Законод!$D$11+'01_Доходи'!AD448*Законод!$E$11+'01_Доходи'!AE448*Законод!$F$11+'01_Доходи'!AF448*Законод!$G$11,IF(B443="Лікар-педіатр",AB448*Законод!$C$11+'01_Доходи'!AC448*Законод!$D$11,IF(B443="Лікар-терапевт",'01_Доходи'!AD448*Законод!$E$11+'01_Доходи'!AE448*Законод!$F$11+'01_Доходи'!AF448*Законод!$G$11,0)))</f>
        <v>0</v>
      </c>
      <c r="AR448" s="211">
        <f t="shared" ref="AR448:AR454" si="61">SUM(AN448:AQ448)</f>
        <v>0</v>
      </c>
    </row>
    <row r="449" spans="1:44" s="50" customFormat="1" ht="31.9" hidden="1" customHeight="1">
      <c r="A449" s="197"/>
      <c r="B449" s="893"/>
      <c r="C449" s="896"/>
      <c r="D449" s="912"/>
      <c r="E449" s="909"/>
      <c r="F449" s="238" t="str">
        <f ca="1">IF(B443="Лікар-педіатр",Законод!$E$17,IF(B443="Лікар загальної практики - сімейний лікар",Законод!$E$21,IF(B443="Лікар-терапевт",Законод!$E$25,"х")))</f>
        <v>х</v>
      </c>
      <c r="G449" s="889" t="s">
        <v>346</v>
      </c>
      <c r="H449" s="890"/>
      <c r="I449" s="890"/>
      <c r="J449" s="890"/>
      <c r="K449" s="891"/>
      <c r="L449" s="196">
        <f ca="1">IF($B$443="Лікар загальної практики - сімейний лікар",IF(L447&lt;Законод!$C$22,0,(IF(AND(L447&gt;=Законод!$E$22,L447&lt;=Законод!$E$23),L447-Законод!$C$22,IF('01_Доходи'!L447&gt;=Законод!$F$22,Законод!$E$24,0)))),IF($B$443="Лікар-педіатр",IF(L447&lt;Законод!$C$18,0,(IF(AND(L447&gt;=Законод!$E$18,L447&lt;=Законод!$E$19),L447-Законод!$C$18,IF('01_Доходи'!L447&gt;=Законод!$F$18,Законод!$E$20,0)))),IF($B$443="Лікар-терапевт",IF(L447&lt;Законод!$C$26,0,(IF(AND(L447&gt;=Законод!$E$26,L447&lt;=Законод!$E$27),L447-Законод!$C$26,IF('01_Доходи'!L447&gt;=Законод!$F$26,Законод!$E$28,0)))),0)))</f>
        <v>0</v>
      </c>
      <c r="M449" s="930"/>
      <c r="N449" s="889" t="s">
        <v>346</v>
      </c>
      <c r="O449" s="890"/>
      <c r="P449" s="890"/>
      <c r="Q449" s="890"/>
      <c r="R449" s="891"/>
      <c r="S449" s="196">
        <f ca="1">IF($B$443="Лікар загальної практики - сімейний лікар",IF(S447&lt;Законод!$C$22,0,(IF(AND(S447&gt;=Законод!$E$22,S447&lt;=Законод!$E$23),S447-Законод!$C$22,IF('01_Доходи'!S447&gt;=Законод!$F$22,Законод!$E$24,0)))),IF($B$443="Лікар-педіатр",IF(S447&lt;Законод!$C$18,0,(IF(AND(S447&gt;=Законод!$E$18,S447&lt;=Законод!$E$19),S447-Законод!$C$18,IF('01_Доходи'!S447&gt;=Законод!$F$18,Законод!$E$20,0)))),IF($B$443="Лікар-терапевт",IF(S447&lt;Законод!$C$26,0,(IF(AND(S447&gt;=Законод!$E$26,S447&lt;=Законод!$E$27),S447-Законод!$C$26,IF('01_Доходи'!S447&gt;=Законод!$F$26,Законод!$E$28,0)))),0)))</f>
        <v>0</v>
      </c>
      <c r="T449" s="930"/>
      <c r="U449" s="889" t="s">
        <v>346</v>
      </c>
      <c r="V449" s="890"/>
      <c r="W449" s="890"/>
      <c r="X449" s="890"/>
      <c r="Y449" s="891"/>
      <c r="Z449" s="196">
        <f ca="1">IF($B$443="Лікар загальної практики - сімейний лікар",IF(Z447&lt;Законод!$C$22,0,(IF(AND(Z447&gt;=Законод!$E$22,Z447&lt;=Законод!$E$23),Z447-Законод!$C$22,IF('01_Доходи'!Z447&gt;=Законод!$F$22,Законод!$E$24,0)))),IF($B$443="Лікар-педіатр",IF(Z447&lt;Законод!$C$18,0,(IF(AND(Z447&gt;=Законод!$E$18,Z447&lt;=Законод!$E$19),Z447-Законод!$C$18,IF('01_Доходи'!Z447&gt;=Законод!$F$18,Законод!$E$20,0)))),IF($B$443="Лікар-терапевт",IF(Z447&lt;Законод!$C$26,0,(IF(AND(Z447&gt;=Законод!$E$26,Z447&lt;=Законод!$E$27),Z447-Законод!$C$26,IF('01_Доходи'!Z447&gt;=Законод!$F$26,Законод!$E$28,0)))),0)))</f>
        <v>0</v>
      </c>
      <c r="AA449" s="930"/>
      <c r="AB449" s="889" t="s">
        <v>346</v>
      </c>
      <c r="AC449" s="890"/>
      <c r="AD449" s="890"/>
      <c r="AE449" s="890"/>
      <c r="AF449" s="891"/>
      <c r="AG449" s="196">
        <f ca="1">IF($B$443="Лікар загальної практики - сімейний лікар",IF(AG447&lt;Законод!$C$22,0,(IF(AND(AG447&gt;=Законод!$E$22,AG447&lt;=Законод!$E$23),AG447-Законод!$C$22,IF('01_Доходи'!AG447&gt;=Законод!$F$22,Законод!$E$24,0)))),IF($B$443="Лікар-педіатр",IF(AG447&lt;Законод!$C$18,0,(IF(AND(AG447&gt;=Законод!$E$18,AG447&lt;=Законод!$E$19),AG447-Законод!$C$18,IF('01_Доходи'!AG447&gt;=Законод!$F$18,Законод!$E$20,0)))),IF($B$443="Лікар-терапевт",IF(AG447&lt;Законод!$C$26,0,(IF(AND(AG447&gt;=Законод!$E$26,AG447&lt;=Законод!$E$27),AG447-Законод!$C$26,IF('01_Доходи'!AG447&gt;=Законод!$F$26,Законод!$E$28,0)))),0)))</f>
        <v>0</v>
      </c>
      <c r="AH449" s="930"/>
      <c r="AI449" s="201"/>
      <c r="AJ449" s="933"/>
      <c r="AK449" s="927"/>
      <c r="AL449" s="927"/>
      <c r="AM449" s="898" t="s">
        <v>375</v>
      </c>
      <c r="AN449" s="210">
        <f ca="1">IF(B443="Лікар загальної практики - сімейний лікар",L449*Законод!$C$9/4*Законод!$E$16,IF(B443="Лікар-педіатр",L449*Законод!$C$9/4*Законод!$E$16,IF(B443="Лікар-терапевт",L449*Законод!$C$9/4*Законод!$E$16,0)))</f>
        <v>0</v>
      </c>
      <c r="AO449" s="210">
        <f ca="1">IF(B443="Лікар загальної практики - сімейний лікар",S449*Законод!$C$9/4*Законод!$E$16,IF(B443="Лікар-педіатр",S449*Законод!$C$9/4*Законод!$E$16,IF(B443="Лікар-терапевт",S449*Законод!$C$9/4*Законод!$E$16,0)))</f>
        <v>0</v>
      </c>
      <c r="AP449" s="210">
        <f ca="1">IF(B443="Лікар загальної практики - сімейний лікар",Z449*Законод!$C$9/4*Законод!$E$16,IF(B443="Лікар-педіатр",Z449*Законод!$C$9/4*Законод!$E$16,IF(B443="Лікар-терапевт",Z449*Законод!$C$9/4*Законод!$E$16,0)))</f>
        <v>0</v>
      </c>
      <c r="AQ449" s="210">
        <f ca="1">IF(B443="Лікар загальної практики - сімейний лікар",AG449*Законод!$C$9/4*Законод!$E$16,IF(B443="Лікар-педіатр",AG449*Законод!$C$9/4*Законод!$E$16,IF(B443="Лікар-терапевт",AG449*Законод!$C$9/4*Законод!$E$16,0)))</f>
        <v>0</v>
      </c>
      <c r="AR449" s="211">
        <f t="shared" si="61"/>
        <v>0</v>
      </c>
    </row>
    <row r="450" spans="1:44" s="50" customFormat="1" ht="31.9" hidden="1" customHeight="1">
      <c r="A450" s="197"/>
      <c r="B450" s="893"/>
      <c r="C450" s="896"/>
      <c r="D450" s="912"/>
      <c r="E450" s="909"/>
      <c r="F450" s="238" t="str">
        <f ca="1">IF(B443="Лікар-педіатр",Законод!$F$17,IF(B443="Лікар загальної практики - сімейний лікар",Законод!$F$21,IF(B443="Лікар-терапевт",Законод!$F$25,"х")))</f>
        <v>х</v>
      </c>
      <c r="G450" s="889" t="s">
        <v>346</v>
      </c>
      <c r="H450" s="890"/>
      <c r="I450" s="890"/>
      <c r="J450" s="890"/>
      <c r="K450" s="891"/>
      <c r="L450" s="196">
        <f ca="1">IF($B$443="Лікар загальної практики - сімейний лікар",IF(L447&lt;Законод!$C$22,0,(IF(AND(L447&gt;=Законод!$F$22,L447&lt;=Законод!$F$23),L447-Законод!$E$23,IF('01_Доходи'!L447&gt;=Законод!$G$22,Законод!$F$24,0)))),IF($B$443="Лікар-педіатр",IF(L447&lt;Законод!$C$18,0,(IF(AND(L447&gt;=Законод!$F$18,L447&lt;=Законод!$F$19),L447-Законод!$E$19,IF('01_Доходи'!L447&gt;=Законод!$G$18,Законод!$F$20,0)))),IF($B$443="Лікар-терапевт",IF(L447&lt;Законод!$C$26,0,(IF(AND(L447&gt;=Законод!$F$26,L447&lt;=Законод!$F$27),L447-Законод!$E$27,IF('01_Доходи'!L447&gt;=Законод!$G$26,Законод!$F$28,0)))),0)))</f>
        <v>0</v>
      </c>
      <c r="M450" s="930"/>
      <c r="N450" s="889" t="s">
        <v>346</v>
      </c>
      <c r="O450" s="890"/>
      <c r="P450" s="890"/>
      <c r="Q450" s="890"/>
      <c r="R450" s="891"/>
      <c r="S450" s="196">
        <f ca="1">IF($B$443="Лікар загальної практики - сімейний лікар",IF(S447&lt;Законод!$C$22,0,(IF(AND(S447&gt;=Законод!$F$22,S447&lt;=Законод!$F$23),S447-Законод!$E$23,IF('01_Доходи'!S447&gt;=Законод!$G$22,Законод!$F$24,0)))),IF($B$443="Лікар-педіатр",IF(S447&lt;Законод!$C$18,0,(IF(AND(S447&gt;=Законод!$F$18,S447&lt;=Законод!$F$19),S447-Законод!$E$19,IF('01_Доходи'!S447&gt;=Законод!$G$18,Законод!$F$20,0)))),IF($B$443="Лікар-терапевт",IF(S447&lt;Законод!$C$26,0,(IF(AND(S447&gt;=Законод!$F$26,S447&lt;=Законод!$F$27),S447-Законод!$E$27,IF('01_Доходи'!S447&gt;=Законод!$G$26,Законод!$F$28,0)))),0)))</f>
        <v>0</v>
      </c>
      <c r="T450" s="930"/>
      <c r="U450" s="889" t="s">
        <v>346</v>
      </c>
      <c r="V450" s="890"/>
      <c r="W450" s="890"/>
      <c r="X450" s="890"/>
      <c r="Y450" s="891"/>
      <c r="Z450" s="196">
        <f ca="1">IF($B$443="Лікар загальної практики - сімейний лікар",IF(Z447&lt;Законод!$C$22,0,(IF(AND(Z447&gt;=Законод!$F$22,Z447&lt;=Законод!$F$23),Z447-Законод!$E$23,IF('01_Доходи'!Z447&gt;=Законод!$G$22,Законод!$F$24,0)))),IF($B$443="Лікар-педіатр",IF(Z447&lt;Законод!$C$18,0,(IF(AND(Z447&gt;=Законод!$F$18,Z447&lt;=Законод!$F$19),Z447-Законод!$E$19,IF('01_Доходи'!Z447&gt;=Законод!$G$18,Законод!$F$20,0)))),IF($B$443="Лікар-терапевт",IF(Z447&lt;Законод!$C$26,0,(IF(AND(Z447&gt;=Законод!$F$26,Z447&lt;=Законод!$F$27),Z447-Законод!$E$27,IF('01_Доходи'!Z447&gt;=Законод!$G$26,Законод!$F$28,0)))),0)))</f>
        <v>0</v>
      </c>
      <c r="AA450" s="930"/>
      <c r="AB450" s="889" t="s">
        <v>346</v>
      </c>
      <c r="AC450" s="890"/>
      <c r="AD450" s="890"/>
      <c r="AE450" s="890"/>
      <c r="AF450" s="891"/>
      <c r="AG450" s="196">
        <f ca="1">IF($B$443="Лікар загальної практики - сімейний лікар",IF(AG447&lt;Законод!$C$22,0,(IF(AND(AG447&gt;=Законод!$F$22,AG447&lt;=Законод!$F$23),AG447-Законод!$E$23,IF('01_Доходи'!AG447&gt;=Законод!$G$22,Законод!$F$24,0)))),IF($B$443="Лікар-педіатр",IF(AG447&lt;Законод!$C$18,0,(IF(AND(AG447&gt;=Законод!$F$18,AG447&lt;=Законод!$F$19),AG447-Законод!$E$19,IF('01_Доходи'!AG447&gt;=Законод!$G$18,Законод!$F$20,0)))),IF($B$443="Лікар-терапевт",IF(AG447&lt;Законод!$C$26,0,(IF(AND(AG447&gt;=Законод!$F$26,AG447&lt;=Законод!$F$27),AG447-Законод!$E$27,IF('01_Доходи'!AG447&gt;=Законод!$G$26,Законод!$F$28,0)))),0)))</f>
        <v>0</v>
      </c>
      <c r="AH450" s="930"/>
      <c r="AI450" s="201"/>
      <c r="AJ450" s="933"/>
      <c r="AK450" s="927"/>
      <c r="AL450" s="927"/>
      <c r="AM450" s="899"/>
      <c r="AN450" s="210">
        <f ca="1">IF(B443="Лікар загальної практики - сімейний лікар",L450*Законод!$C$9/4*Законод!$F$16,IF(B443="Лікар-педіатр",L450*Законод!$C$9/4*Законод!$F$16,IF(B443="Лікар-терапевт",L450*Законод!$C$9/4*Законод!$F$16,0)))</f>
        <v>0</v>
      </c>
      <c r="AO450" s="210">
        <f ca="1">IF(B443="Лікар загальної практики - сімейний лікар",S450*Законод!$C$9/4*Законод!$F$16,IF(B443="Лікар-педіатр",S450*Законод!$C$9/4*Законод!$F$16,IF(B443="Лікар-терапевт",S450*Законод!$C$9/4*Законод!$F$16,0)))</f>
        <v>0</v>
      </c>
      <c r="AP450" s="210">
        <f ca="1">IF(B443="Лікар загальної практики - сімейний лікар",Z450*Законод!$C$9/4*Законод!$F$16,IF(B443="Лікар-педіатр",Z450*Законод!$C$9/4*Законод!$F$16,IF(B443="Лікар-терапевт",Z450*Законод!$C$9/4*Законод!$F$16,0)))</f>
        <v>0</v>
      </c>
      <c r="AQ450" s="210">
        <f ca="1">IF(B443="Лікар загальної практики - сімейний лікар",AG450*Законод!$C$9/4*Законод!$F$16,IF(B443="Лікар-педіатр",AG450*Законод!$C$9/4*Законод!$F$16,IF(B443="Лікар-терапевт",AG450*Законод!$C$9/4*Законод!$F$16,0)))</f>
        <v>0</v>
      </c>
      <c r="AR450" s="211">
        <f t="shared" si="61"/>
        <v>0</v>
      </c>
    </row>
    <row r="451" spans="1:44" s="50" customFormat="1" ht="31.9" hidden="1" customHeight="1">
      <c r="A451" s="197"/>
      <c r="B451" s="893"/>
      <c r="C451" s="896"/>
      <c r="D451" s="912"/>
      <c r="E451" s="909"/>
      <c r="F451" s="238" t="str">
        <f ca="1">IF(B443="Лікар-педіатр",Законод!$G$17,IF(B443="Лікар загальної практики - сімейний лікар",Законод!$G$21,IF(B443="Лікар-терапевт",Законод!$G$25,"х")))</f>
        <v>х</v>
      </c>
      <c r="G451" s="889" t="s">
        <v>346</v>
      </c>
      <c r="H451" s="890"/>
      <c r="I451" s="890"/>
      <c r="J451" s="890"/>
      <c r="K451" s="891"/>
      <c r="L451" s="196">
        <f ca="1">IF($B$443="Лікар загальної практики - сімейний лікар",IF(L447&lt;Законод!$C$22,0,(IF(AND(L447&gt;=Законод!$G$22,L447&lt;=Законод!$G$23),L447-Законод!$F$23,IF('01_Доходи'!L447&gt;=Законод!$H$22,Законод!$G$24,0)))),IF($B$443="Лікар-педіатр",IF(L447&lt;Законод!$C$18,0,(IF(AND(L447&gt;=Законод!$G$18,L447&lt;=Законод!$G$19),L447-Законод!$F$19,IF('01_Доходи'!L447&gt;=Законод!$H$18,Законод!$G$20,0)))),IF($B$443="Лікар-терапевт",IF(L447&lt;Законод!$C$26,0,(IF(AND(L447&gt;=Законод!$G$26,L447&lt;=Законод!$G$27),L447-Законод!$F$27,IF('01_Доходи'!L447&gt;=Законод!$H$26,Законод!$G$28,0)))),0)))</f>
        <v>0</v>
      </c>
      <c r="M451" s="930"/>
      <c r="N451" s="889" t="s">
        <v>346</v>
      </c>
      <c r="O451" s="890"/>
      <c r="P451" s="890"/>
      <c r="Q451" s="890"/>
      <c r="R451" s="891"/>
      <c r="S451" s="196">
        <f ca="1">IF($B$443="Лікар загальної практики - сімейний лікар",IF(S447&lt;Законод!$C$22,0,(IF(AND(S447&gt;=Законод!$G$22,S447&lt;=Законод!$G$23),S447-Законод!$F$23,IF('01_Доходи'!S447&gt;=Законод!$H$22,Законод!$G$24,0)))),IF($B$443="Лікар-педіатр",IF(S447&lt;Законод!$C$18,0,(IF(AND(S447&gt;=Законод!$G$18,S447&lt;=Законод!$G$19),S447-Законод!$F$19,IF('01_Доходи'!S447&gt;=Законод!$H$18,Законод!$G$20,0)))),IF($B$443="Лікар-терапевт",IF(S447&lt;Законод!$C$26,0,(IF(AND(S447&gt;=Законод!$G$26,S447&lt;=Законод!$G$27),S447-Законод!$F$27,IF('01_Доходи'!S447&gt;=Законод!$H$26,Законод!$G$28,0)))),0)))</f>
        <v>0</v>
      </c>
      <c r="T451" s="930"/>
      <c r="U451" s="889" t="s">
        <v>346</v>
      </c>
      <c r="V451" s="890"/>
      <c r="W451" s="890"/>
      <c r="X451" s="890"/>
      <c r="Y451" s="891"/>
      <c r="Z451" s="196">
        <f ca="1">IF($B$443="Лікар загальної практики - сімейний лікар",IF(Z447&lt;Законод!$C$22,0,(IF(AND(Z447&gt;=Законод!$G$22,Z447&lt;=Законод!$G$23),Z447-Законод!$F$23,IF('01_Доходи'!Z447&gt;=Законод!$H$22,Законод!$G$24,0)))),IF($B$443="Лікар-педіатр",IF(Z447&lt;Законод!$C$18,0,(IF(AND(Z447&gt;=Законод!$G$18,Z447&lt;=Законод!$G$19),Z447-Законод!$F$19,IF('01_Доходи'!Z447&gt;=Законод!$H$18,Законод!$G$20,0)))),IF($B$443="Лікар-терапевт",IF(Z447&lt;Законод!$C$26,0,(IF(AND(Z447&gt;=Законод!$G$26,Z447&lt;=Законод!$G$27),Z447-Законод!$F$27,IF('01_Доходи'!Z447&gt;=Законод!$H$26,Законод!$G$28,0)))),0)))</f>
        <v>0</v>
      </c>
      <c r="AA451" s="930"/>
      <c r="AB451" s="889" t="s">
        <v>346</v>
      </c>
      <c r="AC451" s="890"/>
      <c r="AD451" s="890"/>
      <c r="AE451" s="890"/>
      <c r="AF451" s="891"/>
      <c r="AG451" s="196">
        <f ca="1">IF($B$443="Лікар загальної практики - сімейний лікар",IF(AG447&lt;Законод!$C$22,0,(IF(AND(AG447&gt;=Законод!$G$22,AG447&lt;=Законод!$G$23),AG447-Законод!$F$23,IF('01_Доходи'!AG447&gt;=Законод!$H$22,Законод!$G$24,0)))),IF($B$443="Лікар-педіатр",IF(AG447&lt;Законод!$C$18,0,(IF(AND(AG447&gt;=Законод!$G$18,AG447&lt;=Законод!$G$19),AG447-Законод!$F$19,IF('01_Доходи'!AG447&gt;=Законод!$H$18,Законод!$G$20,0)))),IF($B$443="Лікар-терапевт",IF(AG447&lt;Законод!$C$26,0,(IF(AND(AG447&gt;=Законод!$G$26,AG447&lt;=Законод!$G$27),AG447-Законод!$F$27,IF('01_Доходи'!AG447&gt;=Законод!$H$26,Законод!$G$28,0)))),0)))</f>
        <v>0</v>
      </c>
      <c r="AH451" s="930"/>
      <c r="AI451" s="201"/>
      <c r="AJ451" s="933"/>
      <c r="AK451" s="927"/>
      <c r="AL451" s="927"/>
      <c r="AM451" s="899"/>
      <c r="AN451" s="210">
        <f ca="1">IF(B443="Лікар загальної практики - сімейний лікар",L451*Законод!$C$9/4*Законод!$G$16,IF(B443="Лікар-педіатр",L451*Законод!$C$9/4*Законод!$G$16,IF(B443="Лікар-терапевт",L451*Законод!$C$9/4*Законод!$G$16,0)))</f>
        <v>0</v>
      </c>
      <c r="AO451" s="210">
        <f ca="1">IF(B443="Лікар загальної практики - сімейний лікар",S451*Законод!$C$9/4*Законод!$G$16,IF(B443="Лікар-педіатр",S451*Законод!$C$9/4*Законод!$G$16,IF(B443="Лікар-терапевт",S451*Законод!$C$9/4*Законод!$G$16,0)))</f>
        <v>0</v>
      </c>
      <c r="AP451" s="210">
        <f ca="1">IF(B443="Лікар загальної практики - сімейний лікар",Z451*Законод!$C$9/4*Законод!$G$16,IF(B443="Лікар-педіатр",Z451*Законод!$C$9/4*Законод!$G$16,IF(B443="Лікар-терапевт",Z451*Законод!$C$9/4*Законод!$G$16,0)))</f>
        <v>0</v>
      </c>
      <c r="AQ451" s="210">
        <f ca="1">IF(B443="Лікар загальної практики - сімейний лікар",AG451*Законод!$C$9/4*Законод!$G$16,IF(B443="Лікар-педіатр",AG451*Законод!$C$9/4*Законод!$G$16,IF(B443="Лікар-терапевт",AG451*Законод!$C$9/4*Законод!$G$16,0)))</f>
        <v>0</v>
      </c>
      <c r="AR451" s="211">
        <f t="shared" si="61"/>
        <v>0</v>
      </c>
    </row>
    <row r="452" spans="1:44" s="50" customFormat="1" ht="31.9" hidden="1" customHeight="1">
      <c r="A452" s="197"/>
      <c r="B452" s="893"/>
      <c r="C452" s="896"/>
      <c r="D452" s="912"/>
      <c r="E452" s="909"/>
      <c r="F452" s="238" t="str">
        <f ca="1">IF(B443="Лікар-педіатр",Законод!$H$17,IF(B443="Лікар загальної практики - сімейний лікар",Законод!$H$21,IF(B443="Лікар-терапевт",Законод!$H$25,"х")))</f>
        <v>х</v>
      </c>
      <c r="G452" s="889" t="s">
        <v>346</v>
      </c>
      <c r="H452" s="890"/>
      <c r="I452" s="890"/>
      <c r="J452" s="890"/>
      <c r="K452" s="891"/>
      <c r="L452" s="196">
        <f ca="1">IF($B$443="Лікар загальної практики - сімейний лікар",IF(L447&lt;Законод!$C$22,0,(IF(AND(L447&gt;=Законод!$H$22,L447&lt;=Законод!$H$23),L447-Законод!$G$23,IF('01_Доходи'!L447&gt;=Законод!$I$22,Законод!$H$24,0)))),IF($B$443="Лікар-педіатр",IF(L447&lt;Законод!$C$18,0,(IF(AND(L447&gt;=Законод!$H$18,L447&lt;=Законод!$H$19),L447-Законод!$G$19,IF('01_Доходи'!L447&gt;=Законод!$I$18,Законод!$H$20,0)))),IF($B$443="Лікар-терапевт",IF(L447&lt;Законод!$C$26,0,(IF(AND(L447&gt;=Законод!$H$26,L447&lt;=Законод!$H$27),L447-Законод!$G$27,IF(L447&gt;=Законод!$I$26,Законод!$H$28,0)))),0)))</f>
        <v>0</v>
      </c>
      <c r="M452" s="930"/>
      <c r="N452" s="889" t="s">
        <v>346</v>
      </c>
      <c r="O452" s="890"/>
      <c r="P452" s="890"/>
      <c r="Q452" s="890"/>
      <c r="R452" s="891"/>
      <c r="S452" s="196">
        <f ca="1">IF($B$443="Лікар загальної практики - сімейний лікар",IF(S447&lt;Законод!$C$22,0,(IF(AND(S447&gt;=Законод!$H$22,S447&lt;=Законод!$H$23),S447-Законод!$G$23,IF('01_Доходи'!S447&gt;=Законод!$I$22,Законод!$H$24,0)))),IF($B$443="Лікар-педіатр",IF(S447&lt;Законод!$C$18,0,(IF(AND(S447&gt;=Законод!$H$18,S447&lt;=Законод!$H$19),S447-Законод!$G$19,IF('01_Доходи'!S447&gt;=Законод!$I$18,Законод!$H$20,0)))),IF($B$443="Лікар-терапевт",IF(S447&lt;Законод!$C$26,0,(IF(AND(S447&gt;=Законод!$H$26,S447&lt;=Законод!$H$27),S447-Законод!$G$27,IF(S447&gt;=Законод!$I$26,Законод!$H$28,0)))),0)))</f>
        <v>0</v>
      </c>
      <c r="T452" s="930"/>
      <c r="U452" s="889" t="s">
        <v>346</v>
      </c>
      <c r="V452" s="890"/>
      <c r="W452" s="890"/>
      <c r="X452" s="890"/>
      <c r="Y452" s="891"/>
      <c r="Z452" s="196">
        <f ca="1">IF($B$443="Лікар загальної практики - сімейний лікар",IF(Z447&lt;Законод!$C$22,0,(IF(AND(Z447&gt;=Законод!$H$22,Z447&lt;=Законод!$H$23),Z447-Законод!$G$23,IF('01_Доходи'!Z447&gt;=Законод!$I$22,Законод!$H$24,0)))),IF($B$443="Лікар-педіатр",IF(Z447&lt;Законод!$C$18,0,(IF(AND(Z447&gt;=Законод!$H$18,Z447&lt;=Законод!$H$19),Z447-Законод!$G$19,IF('01_Доходи'!Z447&gt;=Законод!$I$18,Законод!$H$20,0)))),IF($B$443="Лікар-терапевт",IF(Z447&lt;Законод!$C$26,0,(IF(AND(Z447&gt;=Законод!$H$26,Z447&lt;=Законод!$H$27),Z447-Законод!$G$27,IF(Z447&gt;=Законод!$I$26,Законод!$H$28,0)))),0)))</f>
        <v>0</v>
      </c>
      <c r="AA452" s="930"/>
      <c r="AB452" s="889" t="s">
        <v>346</v>
      </c>
      <c r="AC452" s="890"/>
      <c r="AD452" s="890"/>
      <c r="AE452" s="890"/>
      <c r="AF452" s="891"/>
      <c r="AG452" s="196">
        <f ca="1">IF($B$443="Лікар загальної практики - сімейний лікар",IF(AG447&lt;Законод!$C$22,0,(IF(AND(AG447&gt;=Законод!$H$22,AG447&lt;=Законод!$H$23),AG447-Законод!$G$23,IF('01_Доходи'!AG447&gt;=Законод!$I$22,Законод!$H$24,0)))),IF($B$443="Лікар-педіатр",IF(AG447&lt;Законод!$C$18,0,(IF(AND(AG447&gt;=Законод!$H$18,AG447&lt;=Законод!$H$19),AG447-Законод!$G$19,IF('01_Доходи'!AG447&gt;=Законод!$I$18,Законод!$H$20,0)))),IF($B$443="Лікар-терапевт",IF(AG447&lt;Законод!$C$26,0,(IF(AND(AG447&gt;=Законод!$H$26,AG447&lt;=Законод!$H$27),AG447-Законод!$G$27,IF(AG447&gt;=Законод!$I$26,Законод!$H$28,0)))),0)))</f>
        <v>0</v>
      </c>
      <c r="AH452" s="930"/>
      <c r="AI452" s="201"/>
      <c r="AJ452" s="933"/>
      <c r="AK452" s="927"/>
      <c r="AL452" s="927"/>
      <c r="AM452" s="899"/>
      <c r="AN452" s="210">
        <f ca="1">IF(B443="Лікар загальної практики - сімейний лікар",L452*Законод!$C$9/4*Законод!$H$16,IF(B443="Лікар-педіатр",L452*Законод!$C$9/4*Законод!$H$16,IF(B443="Лікар-терапевт",L452*Законод!$C$9/4*Законод!$H$16,0)))</f>
        <v>0</v>
      </c>
      <c r="AO452" s="210">
        <f ca="1">IF(B443="Лікар загальної практики - сімейний лікар",S452*Законод!$C$9/4*Законод!$H$16,IF(B443="Лікар-педіатр",S452*Законод!$C$9/4*Законод!$H$16,IF(B443="Лікар-терапевт",S452*Законод!$C$9/4*Законод!$H$16,0)))</f>
        <v>0</v>
      </c>
      <c r="AP452" s="210">
        <f ca="1">IF(B443="Лікар загальної практики - сімейний лікар",Z452*Законод!$C$9/4*Законод!$H$16,IF(B443="Лікар-педіатр",Z452*Законод!$C$9/4*Законод!$H$16,IF(B443="Лікар-терапевт",Z452*Законод!$C$9/4*Законод!$H$16,0)))</f>
        <v>0</v>
      </c>
      <c r="AQ452" s="210">
        <f ca="1">IF(B443="Лікар загальної практики - сімейний лікар",AG452*Законод!$C$9/4*Законод!$H$16,IF(B443="Лікар-педіатр",AG452*Законод!$C$9/4*Законод!$H$16,IF(B443="Лікар-терапевт",AG452*Законод!$C$9/4*Законод!$H$16,0)))</f>
        <v>0</v>
      </c>
      <c r="AR452" s="211">
        <f t="shared" si="61"/>
        <v>0</v>
      </c>
    </row>
    <row r="453" spans="1:44" s="50" customFormat="1" ht="31.9" hidden="1" customHeight="1">
      <c r="A453" s="197"/>
      <c r="B453" s="893"/>
      <c r="C453" s="896"/>
      <c r="D453" s="912"/>
      <c r="E453" s="909"/>
      <c r="F453" s="238" t="str">
        <f ca="1">IF(B443="Лікар-педіатр",Законод!$I$17,IF(B443="Лікар загальної практики - сімейний лікар",Законод!$I$21,IF(B443="Лікар-терапевт",Законод!$I$25,"х")))</f>
        <v>х</v>
      </c>
      <c r="G453" s="889" t="s">
        <v>346</v>
      </c>
      <c r="H453" s="890"/>
      <c r="I453" s="890"/>
      <c r="J453" s="890"/>
      <c r="K453" s="891"/>
      <c r="L453" s="196">
        <f ca="1">IF($B$443="Лікар загальної практики - сімейний лікар",IF(L447&lt;Законод!$C$22,0,(IF(AND(L447&gt;=Законод!$I$22,L447&lt;=Законод!$I$23),L447-Законод!$H$23,IF('01_Доходи'!L447&gt;=Законод!$I$22,Законод!$I$24,0)))),IF($B$443="Лікар-педіатр",IF(L447&lt;Законод!$C$18,0,(IF(AND(L447&gt;=Законод!$I$18,L447&lt;=Законод!$I$19),L447-Законод!$H$19,IF('01_Доходи'!L447&gt;=Законод!$I$18,Законод!$H$20,0)))),IF($B$443="Лікар-терапевт",IF(L447&lt;Законод!$C$26,0,(IF(AND(L447&gt;=Законод!$I$26,L447&lt;=Законод!$I$27),L447-Законод!$H$27,IF('01_Доходи'!L447&gt;=Законод!$I$26,Законод!$H$28,0)))),0)))</f>
        <v>0</v>
      </c>
      <c r="M453" s="930"/>
      <c r="N453" s="889" t="s">
        <v>346</v>
      </c>
      <c r="O453" s="890"/>
      <c r="P453" s="890"/>
      <c r="Q453" s="890"/>
      <c r="R453" s="891"/>
      <c r="S453" s="196">
        <f ca="1">IF($B$443="Лікар загальної практики - сімейний лікар",IF(S447&lt;Законод!$C$22,0,(IF(AND(S447&gt;=Законод!$I$22,S447&lt;=Законод!$I$23),S447-Законод!$H$23,IF('01_Доходи'!S447&gt;=Законод!$I$22,Законод!$I$24,0)))),IF($B$443="Лікар-педіатр",IF(S447&lt;Законод!$C$18,0,(IF(AND(S447&gt;=Законод!$I$18,S447&lt;=Законод!$I$19),S447-Законод!$H$19,IF('01_Доходи'!S447&gt;=Законод!$I$18,Законод!$H$20,0)))),IF($B$443="Лікар-терапевт",IF(S447&lt;Законод!$C$26,0,(IF(AND(S447&gt;=Законод!$I$26,S447&lt;=Законод!$I$27),S447-Законод!$H$27,IF('01_Доходи'!S447&gt;=Законод!$I$26,Законод!$H$28,0)))),0)))</f>
        <v>0</v>
      </c>
      <c r="T453" s="930"/>
      <c r="U453" s="889" t="s">
        <v>346</v>
      </c>
      <c r="V453" s="890"/>
      <c r="W453" s="890"/>
      <c r="X453" s="890"/>
      <c r="Y453" s="891"/>
      <c r="Z453" s="196">
        <f ca="1">IF($B$443="Лікар загальної практики - сімейний лікар",IF(Z447&lt;Законод!$C$22,0,(IF(AND(Z447&gt;=Законод!$I$22,Z447&lt;=Законод!$I$23),Z447-Законод!$H$23,IF('01_Доходи'!Z447&gt;=Законод!$I$22,Законод!$I$24,0)))),IF($B$443="Лікар-педіатр",IF(Z447&lt;Законод!$C$18,0,(IF(AND(Z447&gt;=Законод!$I$18,Z447&lt;=Законод!$I$19),Z447-Законод!$H$19,IF('01_Доходи'!Z447&gt;=Законод!$I$18,Законод!$H$20,0)))),IF($B$443="Лікар-терапевт",IF(Z447&lt;Законод!$C$26,0,(IF(AND(Z447&gt;=Законод!$I$26,Z447&lt;=Законод!$I$27),Z447-Законод!$H$27,IF('01_Доходи'!Z447&gt;=Законод!$I$26,Законод!$H$28,0)))),0)))</f>
        <v>0</v>
      </c>
      <c r="AA453" s="930"/>
      <c r="AB453" s="889" t="s">
        <v>346</v>
      </c>
      <c r="AC453" s="890"/>
      <c r="AD453" s="890"/>
      <c r="AE453" s="890"/>
      <c r="AF453" s="891"/>
      <c r="AG453" s="196">
        <f ca="1">IF($B$443="Лікар загальної практики - сімейний лікар",IF(AG447&lt;Законод!$C$22,0,(IF(AND(AG447&gt;=Законод!$I$22,AG447&lt;=Законод!$I$23),AG447-Законод!$H$23,IF('01_Доходи'!AG447&gt;=Законод!$I$22,Законод!$I$24,0)))),IF($B$443="Лікар-педіатр",IF(AG447&lt;Законод!$C$18,0,(IF(AND(AG447&gt;=Законод!$I$18,AG447&lt;=Законод!$I$19),AG447-Законод!$H$19,IF('01_Доходи'!AG447&gt;=Законод!$I$18,Законод!$H$20,0)))),IF($B$443="Лікар-терапевт",IF(AG447&lt;Законод!$C$26,0,(IF(AND(AG447&gt;=Законод!$I$26,AG447&lt;=Законод!$I$27),AG447-Законод!$H$27,IF('01_Доходи'!AG447&gt;=Законод!$I$26,Законод!$H$28,0)))),0)))</f>
        <v>0</v>
      </c>
      <c r="AH453" s="930"/>
      <c r="AI453" s="201"/>
      <c r="AJ453" s="933"/>
      <c r="AK453" s="927"/>
      <c r="AL453" s="927"/>
      <c r="AM453" s="899"/>
      <c r="AN453" s="210">
        <f ca="1">IF(B443="Лікар загальної практики - сімейний лікар",L453*Законод!$C$9/4*Законод!$I$16,IF(B443="Лікар-педіатр",L453*Законод!$C$9/4*Законод!$I$16,IF(B443="Лікар-терапевт",L453*Законод!$C$9/4*Законод!$I$16,0)))</f>
        <v>0</v>
      </c>
      <c r="AO453" s="210">
        <f ca="1">IF(B443="Лікар загальної практики - сімейний лікар",S453*Законод!$C$9/4*Законод!$I$16,IF(B443="Лікар-педіатр",S453*Законод!$C$9/4*Законод!$I$16,IF(B443="Лікар-терапевт",S453*Законод!$C$9/4*Законод!$I$16,0)))</f>
        <v>0</v>
      </c>
      <c r="AP453" s="210">
        <f ca="1">IF(B443="Лікар загальної практики - сімейний лікар",Z453*Законод!$C$9/4*Законод!$I$16,IF(B443="Лікар-педіатр",Z453*Законод!$C$9/4*Законод!$I$16,IF(B443="Лікар-терапевт",Z453*Законод!$C$9/4*Законод!$I$16,0)))</f>
        <v>0</v>
      </c>
      <c r="AQ453" s="210">
        <f ca="1">IF(B443="Лікар загальної практики - сімейний лікар",AG453*Законод!$C$9/4*Законод!$I$16,IF(B443="Лікар-педіатр",AG453*Законод!$C$9/4*Законод!$I$16,IF(B443="Лікар-терапевт",AG453*Законод!$C$9/4*Законод!$I$16,0)))</f>
        <v>0</v>
      </c>
      <c r="AR453" s="211">
        <f t="shared" si="61"/>
        <v>0</v>
      </c>
    </row>
    <row r="454" spans="1:44" s="218" customFormat="1" ht="31.9" hidden="1" customHeight="1" thickBot="1">
      <c r="A454" s="213"/>
      <c r="B454" s="894"/>
      <c r="C454" s="897"/>
      <c r="D454" s="913"/>
      <c r="E454" s="910"/>
      <c r="F454" s="239" t="str">
        <f ca="1">IF(B443="Лікар-педіатр",Законод!$J$17,IF(B443="Лікар загальної практики - сімейний лікар",Законод!$J$21,IF(B443="Лікар-терапевт",Законод!$J$25,"х")))</f>
        <v>х</v>
      </c>
      <c r="G454" s="935" t="s">
        <v>346</v>
      </c>
      <c r="H454" s="936"/>
      <c r="I454" s="936"/>
      <c r="J454" s="936"/>
      <c r="K454" s="937"/>
      <c r="L454" s="196">
        <f ca="1">IF($B$443="Лікар загальної практики - сімейний лікар",IF(L447&gt;=Законод!$J$22,'01_Доходи'!L447-('01_Доходи'!L448+'01_Доходи'!L449+'01_Доходи'!L450+'01_Доходи'!L451+'01_Доходи'!L452+'01_Доходи'!L453),0),IF($B$443="Лікар-педіатр",IF(L447&gt;=Законод!$J$18,'01_Доходи'!L447-('01_Доходи'!L448+'01_Доходи'!L449+'01_Доходи'!L450+'01_Доходи'!L451+'01_Доходи'!L452+'01_Доходи'!L453),0),IF($B$443="Лікар-терапевт",IF('01_Доходи'!L447&gt;=Законод!$J$26,L447-Законод!$I$27,0),0)))</f>
        <v>0</v>
      </c>
      <c r="M454" s="931"/>
      <c r="N454" s="935" t="s">
        <v>346</v>
      </c>
      <c r="O454" s="936"/>
      <c r="P454" s="936"/>
      <c r="Q454" s="936"/>
      <c r="R454" s="937"/>
      <c r="S454" s="196">
        <f ca="1">IF($B$443="Лікар загальної практики - сімейний лікар",IF(S447&gt;=Законод!$J$22,'01_Доходи'!S447-('01_Доходи'!S448+'01_Доходи'!S449+'01_Доходи'!S450+'01_Доходи'!S451+'01_Доходи'!S452+'01_Доходи'!S453),0),IF($B$443="Лікар-педіатр",IF(S447&gt;=Законод!$J$18,'01_Доходи'!S447-('01_Доходи'!S448+'01_Доходи'!S449+'01_Доходи'!S450+'01_Доходи'!S451+'01_Доходи'!S452+'01_Доходи'!S453),0),IF($B$443="Лікар-терапевт",IF('01_Доходи'!S447&gt;=Законод!$J$26,S447-Законод!$I$27,0),0)))</f>
        <v>0</v>
      </c>
      <c r="T454" s="931"/>
      <c r="U454" s="935" t="s">
        <v>346</v>
      </c>
      <c r="V454" s="936"/>
      <c r="W454" s="936"/>
      <c r="X454" s="936"/>
      <c r="Y454" s="937"/>
      <c r="Z454" s="196">
        <f ca="1">IF($B$443="Лікар загальної практики - сімейний лікар",IF(Z447&gt;=Законод!$J$22,'01_Доходи'!Z447-('01_Доходи'!Z448+'01_Доходи'!Z449+'01_Доходи'!Z450+'01_Доходи'!Z451+'01_Доходи'!Z452+'01_Доходи'!Z453),0),IF($B$443="Лікар-педіатр",IF(Z447&gt;=Законод!$J$18,'01_Доходи'!Z447-('01_Доходи'!Z448+'01_Доходи'!Z449+'01_Доходи'!Z450+'01_Доходи'!Z451+'01_Доходи'!Z452+'01_Доходи'!Z453),0),IF($B$443="Лікар-терапевт",IF('01_Доходи'!Z447&gt;=Законод!$J$26,Z447-Законод!$I$27,0),0)))</f>
        <v>0</v>
      </c>
      <c r="AA454" s="931"/>
      <c r="AB454" s="935" t="s">
        <v>346</v>
      </c>
      <c r="AC454" s="936"/>
      <c r="AD454" s="936"/>
      <c r="AE454" s="936"/>
      <c r="AF454" s="937"/>
      <c r="AG454" s="196">
        <f ca="1">IF($B$443="Лікар загальної практики - сімейний лікар",IF(AG447&gt;=Законод!$J$22,'01_Доходи'!AG447-('01_Доходи'!AG448+'01_Доходи'!AG449+'01_Доходи'!AG450+'01_Доходи'!AG451+'01_Доходи'!AG452+'01_Доходи'!AG453),0),IF($B$443="Лікар-педіатр",IF(AG447&gt;=Законод!$J$18,'01_Доходи'!AG447-('01_Доходи'!AG448+'01_Доходи'!AG449+'01_Доходи'!AG450+'01_Доходи'!AG451+'01_Доходи'!AG452+'01_Доходи'!AG453),0),IF($B$443="Лікар-терапевт",IF('01_Доходи'!AG447&gt;=Законод!$J$26,AG447-Законод!$I$27,0),0)))</f>
        <v>0</v>
      </c>
      <c r="AH454" s="931"/>
      <c r="AI454" s="215"/>
      <c r="AJ454" s="934"/>
      <c r="AK454" s="928"/>
      <c r="AL454" s="928"/>
      <c r="AM454" s="900"/>
      <c r="AN454" s="216">
        <f ca="1">IF(B443="Лікар загальної практики - сімейний лікар",L454*Законод!$C$9/4*Законод!$J$16,IF(B443="Лікар-педіатр",L454*Законод!$C$9/4*Законод!$J$16,IF(B443="Лікар-терапевт",L454*Законод!$C$9/4*Законод!$J$16,0)))</f>
        <v>0</v>
      </c>
      <c r="AO454" s="216">
        <f ca="1">IF(B443="Лікар загальної практики - сімейний лікар",S454*Законод!$C$9/4*Законод!$J$16,IF(B443="Лікар-педіатр",S454*Законод!$C$9/4*Законод!$J$16,IF(B443="Лікар-терапевт",S454*Законод!$C$9/4*Законод!$J$16,0)))</f>
        <v>0</v>
      </c>
      <c r="AP454" s="216">
        <f ca="1">IF(B443="Лікар загальної практики - сімейний лікар",S454*Законод!$C$9/4*Законод!$J$16,IF(B443="Лікар-педіатр",S454*Законод!$C$9/4*Законод!$J$16,IF(B443="Лікар-терапевт",S454*Законод!$C$9/4*Законод!$J$16,0)))</f>
        <v>0</v>
      </c>
      <c r="AQ454" s="216">
        <f ca="1">IF(B443="Лікар загальної практики - сімейний лікар",AG454*Законод!$C$9/4*Законод!$J$16,IF(B443="Лікар-педіатр",AG454*Законод!$C$9/4*Законод!$J$16,IF(B443="Лікар-терапевт",AG454*Законод!$C$9/4*Законод!$J$16,0)))</f>
        <v>0</v>
      </c>
      <c r="AR454" s="217">
        <f t="shared" si="61"/>
        <v>0</v>
      </c>
    </row>
    <row r="455" spans="1:44" s="247" customFormat="1" ht="23.45" hidden="1" customHeight="1" thickBot="1">
      <c r="A455" s="243"/>
      <c r="B455" s="244"/>
      <c r="C455" s="244"/>
      <c r="D455" s="244"/>
      <c r="E455" s="244"/>
      <c r="F455" s="245"/>
      <c r="G455" s="246"/>
      <c r="H455" s="246"/>
      <c r="L455" s="248"/>
      <c r="S455" s="248"/>
      <c r="Z455" s="248"/>
      <c r="AG455" s="248"/>
      <c r="AM455" s="249"/>
      <c r="AR455" s="250"/>
    </row>
    <row r="456" spans="1:44" s="191" customFormat="1" ht="24.6" hidden="1" customHeight="1">
      <c r="A456" s="194">
        <f>A443+1</f>
        <v>33</v>
      </c>
      <c r="B456" s="892"/>
      <c r="C456" s="895"/>
      <c r="D456" s="911"/>
      <c r="E456" s="908"/>
      <c r="F456" s="234" t="s">
        <v>582</v>
      </c>
      <c r="G456" s="196">
        <f>IF($B$456="Лікар-педіатр",G459*L456,IF($B$456="Лікар-терапевт","х",IF($B$456="Лікар загальної практики - сімейний лікар",G459*L456,0)))</f>
        <v>0</v>
      </c>
      <c r="H456" s="196">
        <f>IF($B$456="Лікар-педіатр",H459*L456,IF($B$456="Лікар-терапевт","х",IF($B$456="Лікар загальної практики - сімейний лікар",H459*L456,0)))</f>
        <v>0</v>
      </c>
      <c r="I456" s="196">
        <f>IF($B$456="Лікар-педіатр","x",IF($B$456="Лікар-терапевт",I459*L456,IF($B$456="Лікар загальної практики - сімейний лікар",I459*L456,0)))</f>
        <v>0</v>
      </c>
      <c r="J456" s="196">
        <f>IF($B$456="Лікар-педіатр","x",IF($B$456="Лікар-терапевт",J459*L456,IF($B$456="Лікар загальної практики - сімейний лікар",J459*L456,0)))</f>
        <v>0</v>
      </c>
      <c r="K456" s="196">
        <f>IF($B$456="Лікар-педіатр","x",IF($B$456="Лікар-терапевт",K459*L456,IF($B$456="Лікар загальної практики - сімейний лікар",K459*L456,0)))</f>
        <v>0</v>
      </c>
      <c r="L456" s="558"/>
      <c r="M456" s="929"/>
      <c r="N456" s="196">
        <f>IF($B$456="Лікар-педіатр",N459*S456,IF($B$456="Лікар-терапевт","х",IF($B$456="Лікар загальної практики - сімейний лікар",N459*S456,0)))</f>
        <v>0</v>
      </c>
      <c r="O456" s="196">
        <f>IF($B$456="Лікар-педіатр",O459*S456,IF($B$456="Лікар-терапевт","х",IF($B$456="Лікар загальної практики - сімейний лікар",O459*S456,0)))</f>
        <v>0</v>
      </c>
      <c r="P456" s="196">
        <f>IF($B$456="Лікар-педіатр","x",IF($B$456="Лікар-терапевт",P459*S456,IF($B$456="Лікар загальної практики - сімейний лікар",P459*S456,0)))</f>
        <v>0</v>
      </c>
      <c r="Q456" s="196">
        <f>IF($B$456="Лікар-педіатр","x",IF($B$456="Лікар-терапевт",Q459*S456,IF($B$456="Лікар загальної практики - сімейний лікар",Q459*S456,0)))</f>
        <v>0</v>
      </c>
      <c r="R456" s="196">
        <f>IF($B$456="Лікар-педіатр","x",IF($B$456="Лікар-терапевт",R459*S456,IF($B$456="Лікар загальної практики - сімейний лікар",R459*S456,0)))</f>
        <v>0</v>
      </c>
      <c r="S456" s="558"/>
      <c r="T456" s="929"/>
      <c r="U456" s="196">
        <f>IF($B$456="Лікар-педіатр",U459*Z456,IF($B$456="Лікар-терапевт","х",IF($B$456="Лікар загальної практики - сімейний лікар",U459*Z456,0)))</f>
        <v>0</v>
      </c>
      <c r="V456" s="196">
        <f>IF($B$456="Лікар-педіатр",V459*Z456,IF($B$456="Лікар-терапевт","х",IF($B$456="Лікар загальної практики - сімейний лікар",V459*Z456,0)))</f>
        <v>0</v>
      </c>
      <c r="W456" s="196">
        <f>IF($B$456="Лікар-педіатр","x",IF($B$456="Лікар-терапевт",W459*Z456,IF($B$456="Лікар загальної практики - сімейний лікар",W459*Z456,0)))</f>
        <v>0</v>
      </c>
      <c r="X456" s="196">
        <f>IF($B$456="Лікар-педіатр","x",IF($B$456="Лікар-терапевт",X459*Z456,IF($B$456="Лікар загальної практики - сімейний лікар",X459*Z456,0)))</f>
        <v>0</v>
      </c>
      <c r="Y456" s="196">
        <f>IF($B$456="Лікар-педіатр","x",IF($B$456="Лікар-терапевт",Y459*Z456,IF($B$456="Лікар загальної практики - сімейний лікар",Y459*Z456,0)))</f>
        <v>0</v>
      </c>
      <c r="Z456" s="558"/>
      <c r="AA456" s="929"/>
      <c r="AB456" s="196">
        <f>IF($B$456="Лікар-педіатр",AB459*AG456,IF($B$456="Лікар-терапевт","х",IF($B$456="Лікар загальної практики - сімейний лікар",AB459*AG456,0)))</f>
        <v>0</v>
      </c>
      <c r="AC456" s="196">
        <f>IF($B$456="Лікар-педіатр",AC459*AG456,IF($B$456="Лікар-терапевт","х",IF($B$456="Лікар загальної практики - сімейний лікар",AC459*AG456,0)))</f>
        <v>0</v>
      </c>
      <c r="AD456" s="196">
        <f>IF($B$456="Лікар-педіатр","x",IF($B$456="Лікар-терапевт",AD459*AG456,IF($B$456="Лікар загальної практики - сімейний лікар",AD459*AG456,0)))</f>
        <v>0</v>
      </c>
      <c r="AE456" s="196">
        <f>IF($B$456="Лікар-педіатр","x",IF($B$456="Лікар-терапевт",AE459*AG456,IF($B$456="Лікар загальної практики - сімейний лікар",AE459*AG456,0)))</f>
        <v>0</v>
      </c>
      <c r="AF456" s="196">
        <f>IF($B$456="Лікар-педіатр","x",IF($B$456="Лікар-терапевт",AF459*AG456,IF($B$456="Лікар загальної практики - сімейний лікар",AF459*AG456,0)))</f>
        <v>0</v>
      </c>
      <c r="AG456" s="558"/>
      <c r="AH456" s="929"/>
      <c r="AI456" s="541">
        <f>A456</f>
        <v>33</v>
      </c>
      <c r="AJ456" s="932">
        <f>B456</f>
        <v>0</v>
      </c>
      <c r="AK456" s="926">
        <f>C456</f>
        <v>0</v>
      </c>
      <c r="AL456" s="926">
        <f>D456</f>
        <v>0</v>
      </c>
      <c r="AM456" s="901" t="s">
        <v>785</v>
      </c>
      <c r="AN456" s="923">
        <f>SUM(AN461:AN467)</f>
        <v>0</v>
      </c>
      <c r="AO456" s="923">
        <f>SUM(AO461:AO467)</f>
        <v>0</v>
      </c>
      <c r="AP456" s="923">
        <f>SUM(AP461:AP467)</f>
        <v>0</v>
      </c>
      <c r="AQ456" s="923">
        <f>SUM(AQ461:AQ467)</f>
        <v>0</v>
      </c>
      <c r="AR456" s="914">
        <f>SUM(AN456:AQ460)</f>
        <v>0</v>
      </c>
    </row>
    <row r="457" spans="1:44" s="50" customFormat="1" ht="28.15" hidden="1" customHeight="1">
      <c r="A457" s="197"/>
      <c r="B457" s="893"/>
      <c r="C457" s="896"/>
      <c r="D457" s="912"/>
      <c r="E457" s="909"/>
      <c r="F457" s="234" t="s">
        <v>583</v>
      </c>
      <c r="G457" s="196">
        <f>IF($B$456="Лікар-педіатр",G459*L457,IF($B$456="Лікар-терапевт","х",IF($B$456="Лікар загальної практики - сімейний лікар",G459*L457,0)))</f>
        <v>0</v>
      </c>
      <c r="H457" s="196">
        <f>IF($B$456="Лікар-педіатр",H459*L457,IF($B$456="Лікар-терапевт","х",IF($B$456="Лікар загальної практики - сімейний лікар",H459*L457,0)))</f>
        <v>0</v>
      </c>
      <c r="I457" s="196">
        <f>IF($B$456="Лікар-педіатр","x",IF($B$456="Лікар-терапевт",I459*L457,IF($B$456="Лікар загальної практики - сімейний лікар",I459*L457,0)))</f>
        <v>0</v>
      </c>
      <c r="J457" s="196">
        <f>IF($B$456="Лікар-педіатр","x",IF($B$456="Лікар-терапевт",J459*L457,IF($B$456="Лікар загальної практики - сімейний лікар",J459*L457,0)))</f>
        <v>0</v>
      </c>
      <c r="K457" s="196">
        <f>IF($B$456="Лікар-педіатр","x",IF($B$456="Лікар-терапевт",K459*L457,IF($B$456="Лікар загальної практики - сімейний лікар",K459*L457,0)))</f>
        <v>0</v>
      </c>
      <c r="L457" s="558"/>
      <c r="M457" s="930"/>
      <c r="N457" s="196">
        <f>IF($B$456="Лікар-педіатр",N459*S457,IF($B$456="Лікар-терапевт","х",IF($B$456="Лікар загальної практики - сімейний лікар",N459*S457,0)))</f>
        <v>0</v>
      </c>
      <c r="O457" s="196">
        <f>IF($B$456="Лікар-педіатр",O459*S457,IF($B$456="Лікар-терапевт","х",IF($B$456="Лікар загальної практики - сімейний лікар",O459*S457,0)))</f>
        <v>0</v>
      </c>
      <c r="P457" s="196">
        <f>IF($B$456="Лікар-педіатр","x",IF($B$456="Лікар-терапевт",P459*S457,IF($B$456="Лікар загальної практики - сімейний лікар",P459*S457,0)))</f>
        <v>0</v>
      </c>
      <c r="Q457" s="196">
        <f>IF($B$456="Лікар-педіатр","x",IF($B$456="Лікар-терапевт",Q459*S457,IF($B$456="Лікар загальної практики - сімейний лікар",Q459*S457,0)))</f>
        <v>0</v>
      </c>
      <c r="R457" s="196">
        <f>IF($B$456="Лікар-педіатр","x",IF($B$456="Лікар-терапевт",R459*S457,IF($B$456="Лікар загальної практики - сімейний лікар",R459*S457,0)))</f>
        <v>0</v>
      </c>
      <c r="S457" s="558"/>
      <c r="T457" s="930"/>
      <c r="U457" s="196">
        <f>IF($B$456="Лікар-педіатр",U459*Z457,IF($B$456="Лікар-терапевт","х",IF($B$456="Лікар загальної практики - сімейний лікар",U459*Z457,0)))</f>
        <v>0</v>
      </c>
      <c r="V457" s="196">
        <f>IF($B$456="Лікар-педіатр",V459*Z457,IF($B$456="Лікар-терапевт","х",IF($B$456="Лікар загальної практики - сімейний лікар",V459*Z457,0)))</f>
        <v>0</v>
      </c>
      <c r="W457" s="196">
        <f>IF($B$456="Лікар-педіатр","x",IF($B$456="Лікар-терапевт",W459*Z457,IF($B$456="Лікар загальної практики - сімейний лікар",W459*Z457,0)))</f>
        <v>0</v>
      </c>
      <c r="X457" s="196">
        <f>IF($B$456="Лікар-педіатр","x",IF($B$456="Лікар-терапевт",X459*Z457,IF($B$456="Лікар загальної практики - сімейний лікар",X459*Z457,0)))</f>
        <v>0</v>
      </c>
      <c r="Y457" s="196">
        <f>IF($B$456="Лікар-педіатр","x",IF($B$456="Лікар-терапевт",Y459*Z457,IF($B$456="Лікар загальної практики - сімейний лікар",Y459*Z457,0)))</f>
        <v>0</v>
      </c>
      <c r="Z457" s="558"/>
      <c r="AA457" s="930"/>
      <c r="AB457" s="196">
        <f>IF($B$456="Лікар-педіатр",AB459*AG457,IF($B$456="Лікар-терапевт","х",IF($B$456="Лікар загальної практики - сімейний лікар",AB459*AG457,0)))</f>
        <v>0</v>
      </c>
      <c r="AC457" s="196">
        <f>IF($B$456="Лікар-педіатр",AC459*AG457,IF($B$456="Лікар-терапевт","х",IF($B$456="Лікар загальної практики - сімейний лікар",AC459*AG457,0)))</f>
        <v>0</v>
      </c>
      <c r="AD457" s="196">
        <f>IF($B$456="Лікар-педіатр","x",IF($B$456="Лікар-терапевт",AD459*AG457,IF($B$456="Лікар загальної практики - сімейний лікар",AD459*AG457,0)))</f>
        <v>0</v>
      </c>
      <c r="AE457" s="196">
        <f>IF($B$456="Лікар-педіатр","x",IF($B$456="Лікар-терапевт",AE459*AG457,IF($B$456="Лікар загальної практики - сімейний лікар",AE459*AG457,0)))</f>
        <v>0</v>
      </c>
      <c r="AF457" s="196">
        <f>IF($B$456="Лікар-педіатр","x",IF($B$456="Лікар-терапевт",AF459*AG457,IF($B$456="Лікар загальної практики - сімейний лікар",AF459*AG457,0)))</f>
        <v>0</v>
      </c>
      <c r="AG457" s="558"/>
      <c r="AH457" s="930"/>
      <c r="AI457" s="198"/>
      <c r="AJ457" s="933"/>
      <c r="AK457" s="927"/>
      <c r="AL457" s="927"/>
      <c r="AM457" s="902"/>
      <c r="AN457" s="924"/>
      <c r="AO457" s="924"/>
      <c r="AP457" s="924"/>
      <c r="AQ457" s="924"/>
      <c r="AR457" s="915"/>
    </row>
    <row r="458" spans="1:44" s="90" customFormat="1" ht="31.15" hidden="1" customHeight="1">
      <c r="A458" s="240"/>
      <c r="B458" s="893"/>
      <c r="C458" s="896"/>
      <c r="D458" s="912"/>
      <c r="E458" s="909"/>
      <c r="F458" s="241" t="s">
        <v>584</v>
      </c>
      <c r="G458" s="199">
        <f>IF(B456="Лікар загальної практики - сімейний лікар"," ",IF(B456="Лікар-педіатр"," ",IF(B456="Лікар-терапевт","х",0)))</f>
        <v>0</v>
      </c>
      <c r="H458" s="199">
        <f>IF(B456="Лікар загальної практики - сімейний лікар"," ",IF(B456="Лікар-педіатр"," ",IF(B456="Лікар-терапевт","х",0)))</f>
        <v>0</v>
      </c>
      <c r="I458" s="199">
        <f>IF(B456="Лікар загальної практики - сімейний лікар"," ",IF(B456="Лікар-педіатр","х",IF(B456="Лікар-терапевт"," ",0)))</f>
        <v>0</v>
      </c>
      <c r="J458" s="199">
        <f>IF(B456="Лікар загальної практики - сімейний лікар"," ",IF(B456="Лікар-педіатр","х",IF(B456="Лікар-терапевт"," ",0)))</f>
        <v>0</v>
      </c>
      <c r="K458" s="199">
        <f>IF(B456="Лікар загальної практики - сімейний лікар"," ",IF(B456="Лікар-педіатр","х",IF(B456="Лікар-терапевт"," ",0)))</f>
        <v>0</v>
      </c>
      <c r="L458" s="200">
        <f>SUM(G458:K458)</f>
        <v>0</v>
      </c>
      <c r="M458" s="930"/>
      <c r="N458" s="199">
        <f>IF(B456="Лікар загальної практики - сімейний лікар"," ",IF(B456="Лікар-педіатр"," ",IF(B456="Лікар-терапевт","х",0)))</f>
        <v>0</v>
      </c>
      <c r="O458" s="199">
        <f>IF(B456="Лікар загальної практики - сімейний лікар"," ",IF(B456="Лікар-педіатр"," ",IF(B456="Лікар-терапевт","х",0)))</f>
        <v>0</v>
      </c>
      <c r="P458" s="199">
        <f>IF(B456="Лікар загальної практики - сімейний лікар"," ",IF(B456="Лікар-педіатр","х",IF(B456="Лікар-терапевт"," ",0)))</f>
        <v>0</v>
      </c>
      <c r="Q458" s="199">
        <f>IF(B456="Лікар загальної практики - сімейний лікар"," ",IF(B456="Лікар-педіатр","х",IF(B456="Лікар-терапевт"," ",0)))</f>
        <v>0</v>
      </c>
      <c r="R458" s="199">
        <f>IF(B456="Лікар загальної практики - сімейний лікар"," ",IF(B456="Лікар-педіатр","х",IF(B456="Лікар-терапевт"," ",0)))</f>
        <v>0</v>
      </c>
      <c r="S458" s="200">
        <f>SUM(N458:R458)</f>
        <v>0</v>
      </c>
      <c r="T458" s="930"/>
      <c r="U458" s="199">
        <f>IF(B456="Лікар загальної практики - сімейний лікар"," ",IF(B456="Лікар-педіатр"," ",IF(B456="Лікар-терапевт","х",0)))</f>
        <v>0</v>
      </c>
      <c r="V458" s="199">
        <f>IF(B456="Лікар загальної практики - сімейний лікар"," ",IF(B456="Лікар-педіатр"," ",IF(B456="Лікар-терапевт","х",0)))</f>
        <v>0</v>
      </c>
      <c r="W458" s="199">
        <f>IF(B456="Лікар загальної практики - сімейний лікар"," ",IF(B456="Лікар-педіатр","х",IF(B456="Лікар-терапевт"," ",0)))</f>
        <v>0</v>
      </c>
      <c r="X458" s="199">
        <f>IF(B456="Лікар загальної практики - сімейний лікар"," ",IF(B456="Лікар-педіатр","х",IF(B456="Лікар-терапевт"," ",0)))</f>
        <v>0</v>
      </c>
      <c r="Y458" s="199">
        <f>IF(B456="Лікар загальної практики - сімейний лікар"," ",IF(B456="Лікар-педіатр","х",IF(B456="Лікар-терапевт"," ",0)))</f>
        <v>0</v>
      </c>
      <c r="Z458" s="200">
        <f>SUM(U458:Y458)</f>
        <v>0</v>
      </c>
      <c r="AA458" s="930"/>
      <c r="AB458" s="199">
        <f>IF(B456="Лікар загальної практики - сімейний лікар"," ",IF(B456="Лікар-педіатр"," ",IF(B456="Лікар-терапевт","х",0)))</f>
        <v>0</v>
      </c>
      <c r="AC458" s="199">
        <f>IF(B456="Лікар загальної практики - сімейний лікар"," ",IF(B456="Лікар-педіатр"," ",IF(B456="Лікар-терапевт","х",0)))</f>
        <v>0</v>
      </c>
      <c r="AD458" s="199">
        <f>IF(B456="Лікар загальної практики - сімейний лікар"," ",IF(B456="Лікар-педіатр","х",IF(B456="Лікар-терапевт"," ",0)))</f>
        <v>0</v>
      </c>
      <c r="AE458" s="199">
        <f>IF(B456="Лікар загальної практики - сімейний лікар"," ",IF(B456="Лікар-педіатр","х",IF(B456="Лікар-терапевт"," ",0)))</f>
        <v>0</v>
      </c>
      <c r="AF458" s="199">
        <f>IF(B456="Лікар загальної практики - сімейний лікар"," ",IF(B456="Лікар-педіатр","х",IF(B456="Лікар-терапевт"," ",0)))</f>
        <v>0</v>
      </c>
      <c r="AG458" s="200">
        <f>SUM(AB458:AF458)</f>
        <v>0</v>
      </c>
      <c r="AH458" s="930"/>
      <c r="AI458" s="242"/>
      <c r="AJ458" s="933"/>
      <c r="AK458" s="927"/>
      <c r="AL458" s="927"/>
      <c r="AM458" s="902"/>
      <c r="AN458" s="924"/>
      <c r="AO458" s="924"/>
      <c r="AP458" s="924"/>
      <c r="AQ458" s="924"/>
      <c r="AR458" s="915"/>
    </row>
    <row r="459" spans="1:44" s="50" customFormat="1" ht="31.9" hidden="1" customHeight="1" thickBot="1">
      <c r="A459" s="197"/>
      <c r="B459" s="893"/>
      <c r="C459" s="896"/>
      <c r="D459" s="912"/>
      <c r="E459" s="909"/>
      <c r="F459" s="236" t="s">
        <v>349</v>
      </c>
      <c r="G459" s="203">
        <f>IF($B$456="Лікар-педіатр",G458/L458,IF($B$456="Лікар-терапевт","х",IF($B$456="Лікар загальної практики - сімейний лікар",G458/L458,0)))</f>
        <v>0</v>
      </c>
      <c r="H459" s="203">
        <f>IF($B$456="Лікар-педіатр",H458/L458,IF($B$456="Лікар-терапевт","х",IF($B$456="Лікар загальної практики - сімейний лікар",H458/L458,0)))</f>
        <v>0</v>
      </c>
      <c r="I459" s="203">
        <f>IF($B$456="Лікар-педіатр","x",IF($B$456="Лікар-терапевт",I458/L458,IF($B$456="Лікар загальної практики - сімейний лікар",I458/L458,0)))</f>
        <v>0</v>
      </c>
      <c r="J459" s="203">
        <f>IF($B$456="Лікар-педіатр","x",IF($B$456="Лікар-терапевт",J458/L458,IF($B$456="Лікар загальної практики - сімейний лікар",J458/L458,0)))</f>
        <v>0</v>
      </c>
      <c r="K459" s="203">
        <f>IF($B$456="Лікар-педіатр","x",IF($B$456="Лікар-терапевт",K458/L458,IF($B$456="Лікар загальної практики - сімейний лікар",K458/L458,0)))</f>
        <v>0</v>
      </c>
      <c r="L459" s="203">
        <f>SUM(G459:K459)</f>
        <v>0</v>
      </c>
      <c r="M459" s="930"/>
      <c r="N459" s="203">
        <f>IF($B$456="Лікар-педіатр",N458/S458,IF($B$456="Лікар-терапевт","х",IF($B$456="Лікар загальної практики - сімейний лікар",N458/S458,0)))</f>
        <v>0</v>
      </c>
      <c r="O459" s="203">
        <f>IF($B$456="Лікар-педіатр",O458/S458,IF($B$456="Лікар-терапевт","х",IF($B$456="Лікар загальної практики - сімейний лікар",O458/S458,0)))</f>
        <v>0</v>
      </c>
      <c r="P459" s="203">
        <f>IF($B$456="Лікар-педіатр","x",IF($B$456="Лікар-терапевт",P458/S458,IF($B$456="Лікар загальної практики - сімейний лікар",P458/S458,0)))</f>
        <v>0</v>
      </c>
      <c r="Q459" s="203">
        <f>IF($B$456="Лікар-педіатр","x",IF($B$456="Лікар-терапевт",Q458/S458,IF($B$456="Лікар загальної практики - сімейний лікар",Q458/S458,0)))</f>
        <v>0</v>
      </c>
      <c r="R459" s="203">
        <f>IF($B$456="Лікар-педіатр","x",IF($B$456="Лікар-терапевт",R458/S458,IF($B$456="Лікар загальної практики - сімейний лікар",R458/S458,0)))</f>
        <v>0</v>
      </c>
      <c r="S459" s="203">
        <f>SUM(N459:R459)</f>
        <v>0</v>
      </c>
      <c r="T459" s="930"/>
      <c r="U459" s="203">
        <f>IF($B$456="Лікар-педіатр",U458/Z458,IF($B$456="Лікар-терапевт","х",IF($B$456="Лікар загальної практики - сімейний лікар",U458/Z458,0)))</f>
        <v>0</v>
      </c>
      <c r="V459" s="203">
        <f>IF($B$456="Лікар-педіатр",V458/Z458,IF($B$456="Лікар-терапевт","х",IF($B$456="Лікар загальної практики - сімейний лікар",V458/Z458,0)))</f>
        <v>0</v>
      </c>
      <c r="W459" s="203">
        <f>IF($B$456="Лікар-педіатр","x",IF($B$456="Лікар-терапевт",W458/Z458,IF($B$456="Лікар загальної практики - сімейний лікар",W458/Z458,0)))</f>
        <v>0</v>
      </c>
      <c r="X459" s="203">
        <f>IF($B$456="Лікар-педіатр","x",IF($B$456="Лікар-терапевт",X458/Z458,IF($B$456="Лікар загальної практики - сімейний лікар",X458/Z458,0)))</f>
        <v>0</v>
      </c>
      <c r="Y459" s="203">
        <f>IF($B$456="Лікар-педіатр","x",IF($B$456="Лікар-терапевт",Y458/Z458,IF($B$456="Лікар загальної практики - сімейний лікар",Y458/Z458,0)))</f>
        <v>0</v>
      </c>
      <c r="Z459" s="203">
        <f>SUM(U459:Y459)</f>
        <v>0</v>
      </c>
      <c r="AA459" s="930"/>
      <c r="AB459" s="203">
        <f>IF($B$456="Лікар-педіатр",AB458/AG458,IF($B$456="Лікар-терапевт","х",IF($B$456="Лікар загальної практики - сімейний лікар",AB458/AG458,0)))</f>
        <v>0</v>
      </c>
      <c r="AC459" s="203">
        <f>IF($B$456="Лікар-педіатр",AC458/AG458,IF($B$456="Лікар-терапевт","х",IF($B$456="Лікар загальної практики - сімейний лікар",AC458/AG458,0)))</f>
        <v>0</v>
      </c>
      <c r="AD459" s="203">
        <f>IF($B$456="Лікар-педіатр","x",IF($B$456="Лікар-терапевт",AD458/AG458,IF($B$456="Лікар загальної практики - сімейний лікар",AD458/AG458,0)))</f>
        <v>0</v>
      </c>
      <c r="AE459" s="203">
        <f>IF($B$456="Лікар-педіатр","x",IF($B$456="Лікар-терапевт",AE458/AG458,IF($B$456="Лікар загальної практики - сімейний лікар",AE458/AG458,0)))</f>
        <v>0</v>
      </c>
      <c r="AF459" s="203">
        <f>IF($B$456="Лікар-педіатр","x",IF($B$456="Лікар-терапевт",AF458/AG458,IF($B$456="Лікар загальної практики - сімейний лікар",AF458/AG458,0)))</f>
        <v>0</v>
      </c>
      <c r="AG459" s="203">
        <f>SUM(AB459:AF459)</f>
        <v>0</v>
      </c>
      <c r="AH459" s="930"/>
      <c r="AI459" s="201"/>
      <c r="AJ459" s="933"/>
      <c r="AK459" s="927"/>
      <c r="AL459" s="927"/>
      <c r="AM459" s="902"/>
      <c r="AN459" s="924"/>
      <c r="AO459" s="924"/>
      <c r="AP459" s="924"/>
      <c r="AQ459" s="924"/>
      <c r="AR459" s="915"/>
    </row>
    <row r="460" spans="1:44" s="50" customFormat="1" ht="45" hidden="1" customHeight="1" thickBot="1">
      <c r="A460" s="197"/>
      <c r="B460" s="893"/>
      <c r="C460" s="896"/>
      <c r="D460" s="912"/>
      <c r="E460" s="909"/>
      <c r="F460" s="204" t="s">
        <v>585</v>
      </c>
      <c r="G460" s="205">
        <f>IF($B$456="Лікар загальної практики - сімейний лікар",AVERAGE(G456:G458),IF($B$456="Лікар-педіатр",AVERAGE(G456:G458),IF($B$456="Лікар-терапевт","х",0)))</f>
        <v>0</v>
      </c>
      <c r="H460" s="205">
        <f>IF($B$456="Лікар загальної практики - сімейний лікар",AVERAGE(H456:H458),IF($B$456="Лікар-педіатр",AVERAGE(H456:H458),IF($B$456="Лікар-терапевт","х",0)))</f>
        <v>0</v>
      </c>
      <c r="I460" s="205">
        <f>IF($B$456="Лікар загальної практики - сімейний лікар",AVERAGE(I456:I458),IF($B$456="Лікар-педіатр","x",IF($B$456="Лікар-терапевт",AVERAGE(I456:I458),0)))</f>
        <v>0</v>
      </c>
      <c r="J460" s="205">
        <f>IF($B$456="Лікар загальної практики - сімейний лікар",AVERAGE(J456:J458),IF($B$456="Лікар-педіатр","x",IF($B$456="Лікар-терапевт",AVERAGE(J456:J458),0)))</f>
        <v>0</v>
      </c>
      <c r="K460" s="205">
        <f>IF($B$456="Лікар загальної практики - сімейний лікар",AVERAGE(K456:K458),IF($B$456="Лікар-педіатр","x",IF($B$456="Лікар-терапевт",AVERAGE(K456:K458),0)))</f>
        <v>0</v>
      </c>
      <c r="L460" s="206">
        <f>SUM(G460:K460)</f>
        <v>0</v>
      </c>
      <c r="M460" s="930"/>
      <c r="N460" s="205">
        <f>IF($B$456="Лікар загальної практики - сімейний лікар",AVERAGE(N456:N458),IF($B$456="Лікар-педіатр",AVERAGE(N456:N458),IF($B$456="Лікар-терапевт","х",0)))</f>
        <v>0</v>
      </c>
      <c r="O460" s="205">
        <f>IF($B$456="Лікар загальної практики - сімейний лікар",AVERAGE(O456:O458),IF($B$456="Лікар-педіатр",AVERAGE(O456:O458),IF($B$456="Лікар-терапевт","х",0)))</f>
        <v>0</v>
      </c>
      <c r="P460" s="205">
        <f>IF($B$456="Лікар загальної практики - сімейний лікар",AVERAGE(P456:P458),IF($B$456="Лікар-педіатр","x",IF($B$456="Лікар-терапевт",AVERAGE(P456:P458),0)))</f>
        <v>0</v>
      </c>
      <c r="Q460" s="205">
        <f>IF($B$456="Лікар загальної практики - сімейний лікар",AVERAGE(Q456:Q458),IF($B$456="Лікар-педіатр","x",IF($B$456="Лікар-терапевт",AVERAGE(Q456:Q458),0)))</f>
        <v>0</v>
      </c>
      <c r="R460" s="205">
        <f>IF($B$456="Лікар загальної практики - сімейний лікар",AVERAGE(R456:R458),IF($B$456="Лікар-педіатр","x",IF($B$456="Лікар-терапевт",AVERAGE(R456:R458),0)))</f>
        <v>0</v>
      </c>
      <c r="S460" s="206">
        <f>SUM(N460:R460)</f>
        <v>0</v>
      </c>
      <c r="T460" s="930"/>
      <c r="U460" s="205">
        <f>IF($B$456="Лікар загальної практики - сімейний лікар",AVERAGE(U456:U458),IF($B$456="Лікар-педіатр",AVERAGE(U456:U458),IF($B$456="Лікар-терапевт","х",0)))</f>
        <v>0</v>
      </c>
      <c r="V460" s="205">
        <f>IF($B$456="Лікар загальної практики - сімейний лікар",AVERAGE(V456:V458),IF($B$456="Лікар-педіатр",AVERAGE(V456:V458),IF($B$456="Лікар-терапевт","х",0)))</f>
        <v>0</v>
      </c>
      <c r="W460" s="205">
        <f>IF($B$456="Лікар загальної практики - сімейний лікар",AVERAGE(W456:W458),IF($B$456="Лікар-педіатр","x",IF($B$456="Лікар-терапевт",AVERAGE(W456:W458),0)))</f>
        <v>0</v>
      </c>
      <c r="X460" s="205">
        <f>IF($B$456="Лікар загальної практики - сімейний лікар",AVERAGE(X456:X458),IF($B$456="Лікар-педіатр","x",IF($B$456="Лікар-терапевт",AVERAGE(X456:X458),0)))</f>
        <v>0</v>
      </c>
      <c r="Y460" s="205">
        <f>IF($B$456="Лікар загальної практики - сімейний лікар",AVERAGE(Y456:Y458),IF($B$456="Лікар-педіатр","x",IF($B$456="Лікар-терапевт",AVERAGE(Y456:Y458),0)))</f>
        <v>0</v>
      </c>
      <c r="Z460" s="206">
        <f>SUM(U460:Y460)</f>
        <v>0</v>
      </c>
      <c r="AA460" s="930"/>
      <c r="AB460" s="205">
        <f>IF($B$456="Лікар загальної практики - сімейний лікар",AVERAGE(AB456:AB458),IF($B$456="Лікар-педіатр",AVERAGE(AB456:AB458),IF($B$456="Лікар-терапевт","х",0)))</f>
        <v>0</v>
      </c>
      <c r="AC460" s="205">
        <f>IF($B$456="Лікар загальної практики - сімейний лікар",AVERAGE(AC456:AC458),IF($B$456="Лікар-педіатр",AVERAGE(AC456:AC458),IF($B$456="Лікар-терапевт","х",0)))</f>
        <v>0</v>
      </c>
      <c r="AD460" s="205">
        <f>IF($B$456="Лікар загальної практики - сімейний лікар",AVERAGE(AD456:AD458),IF($B$456="Лікар-педіатр","x",IF($B$456="Лікар-терапевт",AVERAGE(AD456:AD458),0)))</f>
        <v>0</v>
      </c>
      <c r="AE460" s="205">
        <f>IF($B$456="Лікар загальної практики - сімейний лікар",AVERAGE(AE456:AE458),IF($B$456="Лікар-педіатр","x",IF($B$456="Лікар-терапевт",AVERAGE(AE456:AE458),0)))</f>
        <v>0</v>
      </c>
      <c r="AF460" s="205">
        <f>IF($B$456="Лікар загальної практики - сімейний лікар",AVERAGE(AF456:AF458),IF($B$456="Лікар-педіатр","x",IF($B$456="Лікар-терапевт",AVERAGE(AF456:AF458),0)))</f>
        <v>0</v>
      </c>
      <c r="AG460" s="206">
        <f>SUM(AB460:AF460)</f>
        <v>0</v>
      </c>
      <c r="AH460" s="930"/>
      <c r="AI460" s="201"/>
      <c r="AJ460" s="933"/>
      <c r="AK460" s="927"/>
      <c r="AL460" s="927"/>
      <c r="AM460" s="903"/>
      <c r="AN460" s="925"/>
      <c r="AO460" s="925"/>
      <c r="AP460" s="925"/>
      <c r="AQ460" s="925"/>
      <c r="AR460" s="916"/>
    </row>
    <row r="461" spans="1:44" s="50" customFormat="1" ht="40.5" hidden="1">
      <c r="A461" s="197"/>
      <c r="B461" s="893"/>
      <c r="C461" s="896"/>
      <c r="D461" s="912"/>
      <c r="E461" s="909"/>
      <c r="F461" s="237" t="str">
        <f ca="1">IF(B456="Лікар-педіатр",Законод!$C$17,IF(B456="Лікар загальної практики - сімейний лікар",Законод!$C$21,IF(B456="Лікар-терапевт",Законод!$C$25,"х")))</f>
        <v>х</v>
      </c>
      <c r="G461" s="208">
        <f ca="1">IF($B$456="Лікар загальної практики - сімейний лікар",IF(L460&lt;=Законод!$C$22,G460,Законод!$C$22*'01_Доходи'!G459),IF($B$456="Лікар-педіатр",IF(L460&lt;=Законод!$C$18,G460,Законод!$C$18*'01_Доходи'!G459),IF($B$456="Лікар-терапевт","x",0)))</f>
        <v>0</v>
      </c>
      <c r="H461" s="208">
        <f ca="1">IF($B$456="Лікар загальної практики - сімейний лікар",IF(L460&lt;=Законод!$C$22,H460,Законод!$C$22*'01_Доходи'!H459),IF($B$456="Лікар-педіатр",IF(L460&lt;=Законод!$C$18,H460,Законод!$C$18*'01_Доходи'!H459),IF($B$456="Лікар-терапевт","x",0)))</f>
        <v>0</v>
      </c>
      <c r="I461" s="208">
        <f ca="1">IF($B$456="Лікар загальної практики - сімейний лікар",IF(L460&lt;=Законод!$C$22,I460,Законод!$C$22*'01_Доходи'!I459),IF($B$456="Лікар-педіатр","x",IF($B$456="Лікар-терапевт",IF(L460&lt;=Законод!$C$26,I460,Законод!$C$26*'01_Доходи'!I459),0)))</f>
        <v>0</v>
      </c>
      <c r="J461" s="208">
        <f ca="1">IF($B$456="Лікар загальної практики - сімейний лікар",IF(L460&lt;=Законод!$C$22,J460,Законод!$C$22*'01_Доходи'!J459),IF($B$456="Лікар-педіатр","x",IF($B$456="Лікар-терапевт",IF(L460&lt;=Законод!$C$26,J460,Законод!$C$26*'01_Доходи'!J459),0)))</f>
        <v>0</v>
      </c>
      <c r="K461" s="208">
        <f ca="1">IF($B$456="Лікар загальної практики - сімейний лікар",IF(L460&lt;=Законод!$C$22,K460,Законод!$C$22*'01_Доходи'!K459),IF($B$456="Лікар-педіатр","x",IF($B$456="Лікар-терапевт",IF(L460&lt;=Законод!$C$26,K460,Законод!$C$26*'01_Доходи'!K459),0)))</f>
        <v>0</v>
      </c>
      <c r="L461" s="209">
        <f ca="1">SUM(G461:K461)</f>
        <v>0</v>
      </c>
      <c r="M461" s="930"/>
      <c r="N461" s="208">
        <f ca="1">IF($B$456="Лікар загальної практики - сімейний лікар",IF(S460&lt;=Законод!$C$22,N460,Законод!$C$22*'01_Доходи'!N459),IF($B$456="Лікар-педіатр",IF(S460&lt;=Законод!$C$18,N460,Законод!$C$18*'01_Доходи'!N459),IF($B$456="Лікар-терапевт","x",0)))</f>
        <v>0</v>
      </c>
      <c r="O461" s="208">
        <f ca="1">IF($B$456="Лікар загальної практики - сімейний лікар",IF(S460&lt;=Законод!$C$22,O460,Законод!$C$22*'01_Доходи'!O459),IF($B$456="Лікар-педіатр",IF(S460&lt;=Законод!$C$18,O460,Законод!$C$18*'01_Доходи'!O459),IF($B$456="Лікар-терапевт","x",0)))</f>
        <v>0</v>
      </c>
      <c r="P461" s="208">
        <f ca="1">IF($B$456="Лікар загальної практики - сімейний лікар",IF(S460&lt;=Законод!$C$22,P460,Законод!$C$22*'01_Доходи'!P459),IF($B$456="Лікар-педіатр","x",IF($B$456="Лікар-терапевт",IF(S460&lt;=Законод!$C$26,P460,Законод!$C$26*'01_Доходи'!P459),0)))</f>
        <v>0</v>
      </c>
      <c r="Q461" s="208">
        <f ca="1">IF($B$456="Лікар загальної практики - сімейний лікар",IF(S460&lt;=Законод!$C$22,Q460,Законод!$C$22*'01_Доходи'!Q459),IF($B$456="Лікар-педіатр","x",IF($B$456="Лікар-терапевт",IF(S460&lt;=Законод!$C$26,Q460,Законод!$C$26*'01_Доходи'!Q459),0)))</f>
        <v>0</v>
      </c>
      <c r="R461" s="208">
        <f ca="1">IF($B$456="Лікар загальної практики - сімейний лікар",IF(S460&lt;=Законод!$C$22,R460,Законод!$C$22*'01_Доходи'!R459),IF($B$456="Лікар-педіатр","x",IF($B$456="Лікар-терапевт",IF(S460&lt;=Законод!$C$26,R460,Законод!$C$26*'01_Доходи'!R459),0)))</f>
        <v>0</v>
      </c>
      <c r="S461" s="209">
        <f ca="1">SUM(N461:R461)</f>
        <v>0</v>
      </c>
      <c r="T461" s="930"/>
      <c r="U461" s="208">
        <f ca="1">IF($B$456="Лікар загальної практики - сімейний лікар",IF(Z460&lt;=Законод!$C$22,U460,Законод!$C$22*'01_Доходи'!U459),IF($B$456="Лікар-педіатр",IF(Z460&lt;=Законод!$C$18,U460,Законод!$C$18*'01_Доходи'!U459),IF($B$456="Лікар-терапевт","x",0)))</f>
        <v>0</v>
      </c>
      <c r="V461" s="208">
        <f ca="1">IF($B$456="Лікар загальної практики - сімейний лікар",IF(Z460&lt;=Законод!$C$22,V460,Законод!$C$22*'01_Доходи'!V459),IF($B$456="Лікар-педіатр",IF(Z460&lt;=Законод!$C$18,V460,Законод!$C$18*'01_Доходи'!V459),IF($B$456="Лікар-терапевт","x",0)))</f>
        <v>0</v>
      </c>
      <c r="W461" s="208">
        <f ca="1">IF($B$456="Лікар загальної практики - сімейний лікар",IF(Z460&lt;=Законод!$C$22,W460,Законод!$C$22*'01_Доходи'!W459),IF($B$456="Лікар-педіатр","x",IF($B$456="Лікар-терапевт",IF(Z460&lt;=Законод!$C$26,W460,Законод!$C$26*'01_Доходи'!W459),0)))</f>
        <v>0</v>
      </c>
      <c r="X461" s="208">
        <f ca="1">IF($B$456="Лікар загальної практики - сімейний лікар",IF(Z460&lt;=Законод!$C$22,X460,Законод!$C$22*'01_Доходи'!X459),IF($B$456="Лікар-педіатр","x",IF($B$456="Лікар-терапевт",IF(Z460&lt;=Законод!$C$26,X460,Законод!$C$26*'01_Доходи'!X459),0)))</f>
        <v>0</v>
      </c>
      <c r="Y461" s="208">
        <f ca="1">IF($B$456="Лікар загальної практики - сімейний лікар",IF(Z460&lt;=Законод!$C$22,Y460,Законод!$C$22*'01_Доходи'!Y459),IF($B$456="Лікар-педіатр","x",IF($B$456="Лікар-терапевт",IF(Z460&lt;=Законод!$C$26,Y460,Законод!$C$26*'01_Доходи'!Y459),0)))</f>
        <v>0</v>
      </c>
      <c r="Z461" s="209">
        <f ca="1">SUM(U461:Y461)</f>
        <v>0</v>
      </c>
      <c r="AA461" s="930"/>
      <c r="AB461" s="208">
        <f ca="1">IF($B$456="Лікар загальної практики - сімейний лікар",IF(AG460&lt;=Законод!$C$22,AB460,Законод!$C$22*'01_Доходи'!AB459),IF($B$456="Лікар-педіатр",IF(AG460&lt;=Законод!$C$18,AB460,Законод!$C$18*'01_Доходи'!AB459),IF($B$456="Лікар-терапевт","x",0)))</f>
        <v>0</v>
      </c>
      <c r="AC461" s="208">
        <f ca="1">IF($B$456="Лікар загальної практики - сімейний лікар",IF(AG460&lt;=Законод!$C$22,AC460,Законод!$C$22*'01_Доходи'!AC459),IF($B$456="Лікар-педіатр",IF(AG460&lt;=Законод!$C$18,AC460,Законод!$C$18*'01_Доходи'!AC459),IF($B$456="Лікар-терапевт","x",0)))</f>
        <v>0</v>
      </c>
      <c r="AD461" s="208">
        <f ca="1">IF($B$456="Лікар загальної практики - сімейний лікар",IF(AG460&lt;=Законод!$C$22,AD460,Законод!$C$22*'01_Доходи'!AD459),IF($B$456="Лікар-педіатр","x",IF($B$456="Лікар-терапевт",IF(AG460&lt;=Законод!$C$26,AD460,Законод!$C$26*'01_Доходи'!AD459),0)))</f>
        <v>0</v>
      </c>
      <c r="AE461" s="208">
        <f ca="1">IF($B$456="Лікар загальної практики - сімейний лікар",IF(AG460&lt;=Законод!$C$22,AE460,Законод!$C$22*'01_Доходи'!AE459),IF($B$456="Лікар-педіатр","x",IF($B$456="Лікар-терапевт",IF(AG460&lt;=Законод!$C$26,AE460,Законод!$C$26*'01_Доходи'!AE459),0)))</f>
        <v>0</v>
      </c>
      <c r="AF461" s="208">
        <f ca="1">IF($B$456="Лікар загальної практики - сімейний лікар",IF(AG460&lt;=Законод!$C$22,AF460,Законод!$C$22*'01_Доходи'!AF459),IF($B$456="Лікар-педіатр","x",IF($B$456="Лікар-терапевт",IF(AG460&lt;=Законод!$C$26,AF460,Законод!$C$26*'01_Доходи'!AF459),0)))</f>
        <v>0</v>
      </c>
      <c r="AG461" s="209">
        <f ca="1">SUM(AB461:AF461)</f>
        <v>0</v>
      </c>
      <c r="AH461" s="930"/>
      <c r="AI461" s="201"/>
      <c r="AJ461" s="933"/>
      <c r="AK461" s="927"/>
      <c r="AL461" s="927"/>
      <c r="AM461" s="348" t="s">
        <v>374</v>
      </c>
      <c r="AN461" s="210">
        <f ca="1">IF(B456="Лікар загальної практики - сімейний лікар",G461*Законод!$C$11+'01_Доходи'!H461*Законод!$D$11+'01_Доходи'!I461*Законод!$E$11+'01_Доходи'!J461*Законод!$F$11+'01_Доходи'!K461*Законод!$G$11,IF(B456="Лікар-педіатр",G461*Законод!$C$11+'01_Доходи'!H461*Законод!$D$11,IF(B456="Лікар-терапевт",'01_Доходи'!I461*Законод!$E$11+'01_Доходи'!J461*Законод!$F$11+'01_Доходи'!K461*Законод!$G$11,0)))</f>
        <v>0</v>
      </c>
      <c r="AO461" s="210">
        <f ca="1">IF(B456="Лікар загальної практики - сімейний лікар",N461*Законод!$C$11+'01_Доходи'!O461*Законод!$D$11+'01_Доходи'!P461*Законод!$E$11+'01_Доходи'!Q461*Законод!$F$11+'01_Доходи'!R461*Законод!$G$11,IF(B456="Лікар-педіатр",N461*Законод!$C$11+'01_Доходи'!O461*Законод!$D$11,IF(B456="Лікар-терапевт",'01_Доходи'!P461*Законод!$E$11+'01_Доходи'!Q461*Законод!$F$11+'01_Доходи'!R461*Законод!$G$11,0)))</f>
        <v>0</v>
      </c>
      <c r="AP461" s="210">
        <f ca="1">IF(B456="Лікар загальної практики - сімейний лікар",U461*Законод!$C$11+'01_Доходи'!V461*Законод!$D$11+'01_Доходи'!W461*Законод!$E$11+'01_Доходи'!X461*Законод!$F$11+'01_Доходи'!Y461*Законод!$G$11,IF(B456="Лікар-педіатр",U461*Законод!$C$11+'01_Доходи'!V461*Законод!$D$11,IF(B456="Лікар-терапевт",'01_Доходи'!W461*Законод!$E$11+'01_Доходи'!X461*Законод!$F$11+'01_Доходи'!Y461*Законод!$G$11,0)))</f>
        <v>0</v>
      </c>
      <c r="AQ461" s="210">
        <f ca="1">IF(B456="Лікар загальної практики - сімейний лікар",AB461*Законод!$C$11+'01_Доходи'!AC461*Законод!$D$11+'01_Доходи'!AD461*Законод!$E$11+'01_Доходи'!AE461*Законод!$F$11+'01_Доходи'!AF461*Законод!$G$11,IF(B456="Лікар-педіатр",AB461*Законод!$C$11+'01_Доходи'!AC461*Законод!$D$11,IF(B456="Лікар-терапевт",'01_Доходи'!AD461*Законод!$E$11+'01_Доходи'!AE461*Законод!$F$11+'01_Доходи'!AF461*Законод!$G$11,0)))</f>
        <v>0</v>
      </c>
      <c r="AR461" s="211">
        <f t="shared" ref="AR461:AR467" si="62">SUM(AN461:AQ461)</f>
        <v>0</v>
      </c>
    </row>
    <row r="462" spans="1:44" s="50" customFormat="1" ht="31.9" hidden="1" customHeight="1">
      <c r="A462" s="197"/>
      <c r="B462" s="893"/>
      <c r="C462" s="896"/>
      <c r="D462" s="912"/>
      <c r="E462" s="909"/>
      <c r="F462" s="238" t="str">
        <f ca="1">IF(B456="Лікар-педіатр",Законод!$E$17,IF(B456="Лікар загальної практики - сімейний лікар",Законод!$E$21,IF(B456="Лікар-терапевт",Законод!$E$25,"х")))</f>
        <v>х</v>
      </c>
      <c r="G462" s="889" t="s">
        <v>346</v>
      </c>
      <c r="H462" s="890"/>
      <c r="I462" s="890"/>
      <c r="J462" s="890"/>
      <c r="K462" s="891"/>
      <c r="L462" s="196">
        <f ca="1">IF($B$456="Лікар загальної практики - сімейний лікар",IF(L460&lt;Законод!$C$22,0,(IF(AND(L460&gt;=Законод!$E$22,L460&lt;=Законод!$E$23),L460-Законод!$C$22,IF('01_Доходи'!L460&gt;=Законод!$F$22,Законод!$E$24,0)))),IF($B$456="Лікар-педіатр",IF(L460&lt;Законод!$C$18,0,(IF(AND(L460&gt;=Законод!$E$18,L460&lt;=Законод!$E$19),L460-Законод!$C$18,IF('01_Доходи'!L460&gt;=Законод!$F$18,Законод!$E$20,0)))),IF($B$456="Лікар-терапевт",IF(L460&lt;Законод!$C$26,0,(IF(AND(L460&gt;=Законод!$E$26,L460&lt;=Законод!$E$27),L460-Законод!$C$26,IF('01_Доходи'!L460&gt;=Законод!$F$26,Законод!$E$28,0)))),0)))</f>
        <v>0</v>
      </c>
      <c r="M462" s="930"/>
      <c r="N462" s="889" t="s">
        <v>346</v>
      </c>
      <c r="O462" s="890"/>
      <c r="P462" s="890"/>
      <c r="Q462" s="890"/>
      <c r="R462" s="891"/>
      <c r="S462" s="196">
        <f ca="1">IF($B$456="Лікар загальної практики - сімейний лікар",IF(S460&lt;Законод!$C$22,0,(IF(AND(S460&gt;=Законод!$E$22,S460&lt;=Законод!$E$23),S460-Законод!$C$22,IF('01_Доходи'!S460&gt;=Законод!$F$22,Законод!$E$24,0)))),IF($B$456="Лікар-педіатр",IF(S460&lt;Законод!$C$18,0,(IF(AND(S460&gt;=Законод!$E$18,S460&lt;=Законод!$E$19),S460-Законод!$C$18,IF('01_Доходи'!S460&gt;=Законод!$F$18,Законод!$E$20,0)))),IF($B$456="Лікар-терапевт",IF(S460&lt;Законод!$C$26,0,(IF(AND(S460&gt;=Законод!$E$26,S460&lt;=Законод!$E$27),S460-Законод!$C$26,IF('01_Доходи'!S460&gt;=Законод!$F$26,Законод!$E$28,0)))),0)))</f>
        <v>0</v>
      </c>
      <c r="T462" s="930"/>
      <c r="U462" s="889" t="s">
        <v>346</v>
      </c>
      <c r="V462" s="890"/>
      <c r="W462" s="890"/>
      <c r="X462" s="890"/>
      <c r="Y462" s="891"/>
      <c r="Z462" s="196">
        <f ca="1">IF($B$456="Лікар загальної практики - сімейний лікар",IF(Z460&lt;Законод!$C$22,0,(IF(AND(Z460&gt;=Законод!$E$22,Z460&lt;=Законод!$E$23),Z460-Законод!$C$22,IF('01_Доходи'!Z460&gt;=Законод!$F$22,Законод!$E$24,0)))),IF($B$456="Лікар-педіатр",IF(Z460&lt;Законод!$C$18,0,(IF(AND(Z460&gt;=Законод!$E$18,Z460&lt;=Законод!$E$19),Z460-Законод!$C$18,IF('01_Доходи'!Z460&gt;=Законод!$F$18,Законод!$E$20,0)))),IF($B$456="Лікар-терапевт",IF(Z460&lt;Законод!$C$26,0,(IF(AND(Z460&gt;=Законод!$E$26,Z460&lt;=Законод!$E$27),Z460-Законод!$C$26,IF('01_Доходи'!Z460&gt;=Законод!$F$26,Законод!$E$28,0)))),0)))</f>
        <v>0</v>
      </c>
      <c r="AA462" s="930"/>
      <c r="AB462" s="889" t="s">
        <v>346</v>
      </c>
      <c r="AC462" s="890"/>
      <c r="AD462" s="890"/>
      <c r="AE462" s="890"/>
      <c r="AF462" s="891"/>
      <c r="AG462" s="196">
        <f ca="1">IF($B$456="Лікар загальної практики - сімейний лікар",IF(AG460&lt;Законод!$C$22,0,(IF(AND(AG460&gt;=Законод!$E$22,AG460&lt;=Законод!$E$23),AG460-Законод!$C$22,IF('01_Доходи'!AG460&gt;=Законод!$F$22,Законод!$E$24,0)))),IF($B$456="Лікар-педіатр",IF(AG460&lt;Законод!$C$18,0,(IF(AND(AG460&gt;=Законод!$E$18,AG460&lt;=Законод!$E$19),AG460-Законод!$C$18,IF('01_Доходи'!AG460&gt;=Законод!$F$18,Законод!$E$20,0)))),IF($B$456="Лікар-терапевт",IF(AG460&lt;Законод!$C$26,0,(IF(AND(AG460&gt;=Законод!$E$26,AG460&lt;=Законод!$E$27),AG460-Законод!$C$26,IF('01_Доходи'!AG460&gt;=Законод!$F$26,Законод!$E$28,0)))),0)))</f>
        <v>0</v>
      </c>
      <c r="AH462" s="930"/>
      <c r="AI462" s="201"/>
      <c r="AJ462" s="933"/>
      <c r="AK462" s="927"/>
      <c r="AL462" s="927"/>
      <c r="AM462" s="898" t="s">
        <v>375</v>
      </c>
      <c r="AN462" s="210">
        <f ca="1">IF(B456="Лікар загальної практики - сімейний лікар",L462*Законод!$C$9/4*Законод!$E$16,IF(B456="Лікар-педіатр",L462*Законод!$C$9/4*Законод!$E$16,IF(B456="Лікар-терапевт",L462*Законод!$C$9/4*Законод!$E$16,0)))</f>
        <v>0</v>
      </c>
      <c r="AO462" s="210">
        <f ca="1">IF(B456="Лікар загальної практики - сімейний лікар",S462*Законод!$C$9/4*Законод!$E$16,IF(B456="Лікар-педіатр",S462*Законод!$C$9/4*Законод!$E$16,IF(B456="Лікар-терапевт",S462*Законод!$C$9/4*Законод!$E$16,0)))</f>
        <v>0</v>
      </c>
      <c r="AP462" s="210">
        <f ca="1">IF(B456="Лікар загальної практики - сімейний лікар",Z462*Законод!$C$9/4*Законод!$E$16,IF(B456="Лікар-педіатр",Z462*Законод!$C$9/4*Законод!$E$16,IF(B456="Лікар-терапевт",Z462*Законод!$C$9/4*Законод!$E$16,0)))</f>
        <v>0</v>
      </c>
      <c r="AQ462" s="210">
        <f ca="1">IF(B456="Лікар загальної практики - сімейний лікар",AG462*Законод!$C$9/4*Законод!$E$16,IF(B456="Лікар-педіатр",AG462*Законод!$C$9/4*Законод!$E$16,IF(B456="Лікар-терапевт",AG462*Законод!$C$9/4*Законод!$E$16,0)))</f>
        <v>0</v>
      </c>
      <c r="AR462" s="211">
        <f t="shared" si="62"/>
        <v>0</v>
      </c>
    </row>
    <row r="463" spans="1:44" s="50" customFormat="1" ht="31.9" hidden="1" customHeight="1">
      <c r="A463" s="197"/>
      <c r="B463" s="893"/>
      <c r="C463" s="896"/>
      <c r="D463" s="912"/>
      <c r="E463" s="909"/>
      <c r="F463" s="238" t="str">
        <f ca="1">IF(B456="Лікар-педіатр",Законод!$F$17,IF(B456="Лікар загальної практики - сімейний лікар",Законод!$F$21,IF(B456="Лікар-терапевт",Законод!$F$25,"х")))</f>
        <v>х</v>
      </c>
      <c r="G463" s="889" t="s">
        <v>346</v>
      </c>
      <c r="H463" s="890"/>
      <c r="I463" s="890"/>
      <c r="J463" s="890"/>
      <c r="K463" s="891"/>
      <c r="L463" s="196">
        <f ca="1">IF($B$456="Лікар загальної практики - сімейний лікар",IF(L460&lt;Законод!$C$22,0,(IF(AND(L460&gt;=Законод!$F$22,L460&lt;=Законод!$F$23),L460-Законод!$E$23,IF('01_Доходи'!L460&gt;=Законод!$G$22,Законод!$F$24,0)))),IF($B$456="Лікар-педіатр",IF(L460&lt;Законод!$C$18,0,(IF(AND(L460&gt;=Законод!$F$18,L460&lt;=Законод!$F$19),L460-Законод!$E$19,IF('01_Доходи'!L460&gt;=Законод!$G$18,Законод!$F$20,0)))),IF($B$456="Лікар-терапевт",IF(L460&lt;Законод!$C$26,0,(IF(AND(L460&gt;=Законод!$F$26,L460&lt;=Законод!$F$27),L460-Законод!$E$27,IF('01_Доходи'!L460&gt;=Законод!$G$26,Законод!$F$28,0)))),0)))</f>
        <v>0</v>
      </c>
      <c r="M463" s="930"/>
      <c r="N463" s="889" t="s">
        <v>346</v>
      </c>
      <c r="O463" s="890"/>
      <c r="P463" s="890"/>
      <c r="Q463" s="890"/>
      <c r="R463" s="891"/>
      <c r="S463" s="196">
        <f ca="1">IF($B$456="Лікар загальної практики - сімейний лікар",IF(S460&lt;Законод!$C$22,0,(IF(AND(S460&gt;=Законод!$F$22,S460&lt;=Законод!$F$23),S460-Законод!$E$23,IF('01_Доходи'!S460&gt;=Законод!$G$22,Законод!$F$24,0)))),IF($B$456="Лікар-педіатр",IF(S460&lt;Законод!$C$18,0,(IF(AND(S460&gt;=Законод!$F$18,S460&lt;=Законод!$F$19),S460-Законод!$E$19,IF('01_Доходи'!S460&gt;=Законод!$G$18,Законод!$F$20,0)))),IF($B$456="Лікар-терапевт",IF(S460&lt;Законод!$C$26,0,(IF(AND(S460&gt;=Законод!$F$26,S460&lt;=Законод!$F$27),S460-Законод!$E$27,IF('01_Доходи'!S460&gt;=Законод!$G$26,Законод!$F$28,0)))),0)))</f>
        <v>0</v>
      </c>
      <c r="T463" s="930"/>
      <c r="U463" s="889" t="s">
        <v>346</v>
      </c>
      <c r="V463" s="890"/>
      <c r="W463" s="890"/>
      <c r="X463" s="890"/>
      <c r="Y463" s="891"/>
      <c r="Z463" s="196">
        <f ca="1">IF($B$456="Лікар загальної практики - сімейний лікар",IF(Z460&lt;Законод!$C$22,0,(IF(AND(Z460&gt;=Законод!$F$22,Z460&lt;=Законод!$F$23),Z460-Законод!$E$23,IF('01_Доходи'!Z460&gt;=Законод!$G$22,Законод!$F$24,0)))),IF($B$456="Лікар-педіатр",IF(Z460&lt;Законод!$C$18,0,(IF(AND(Z460&gt;=Законод!$F$18,Z460&lt;=Законод!$F$19),Z460-Законод!$E$19,IF('01_Доходи'!Z460&gt;=Законод!$G$18,Законод!$F$20,0)))),IF($B$456="Лікар-терапевт",IF(Z460&lt;Законод!$C$26,0,(IF(AND(Z460&gt;=Законод!$F$26,Z460&lt;=Законод!$F$27),Z460-Законод!$E$27,IF('01_Доходи'!Z460&gt;=Законод!$G$26,Законод!$F$28,0)))),0)))</f>
        <v>0</v>
      </c>
      <c r="AA463" s="930"/>
      <c r="AB463" s="889" t="s">
        <v>346</v>
      </c>
      <c r="AC463" s="890"/>
      <c r="AD463" s="890"/>
      <c r="AE463" s="890"/>
      <c r="AF463" s="891"/>
      <c r="AG463" s="196">
        <f ca="1">IF($B$456="Лікар загальної практики - сімейний лікар",IF(AG460&lt;Законод!$C$22,0,(IF(AND(AG460&gt;=Законод!$F$22,AG460&lt;=Законод!$F$23),AG460-Законод!$E$23,IF('01_Доходи'!AG460&gt;=Законод!$G$22,Законод!$F$24,0)))),IF($B$456="Лікар-педіатр",IF(AG460&lt;Законод!$C$18,0,(IF(AND(AG460&gt;=Законод!$F$18,AG460&lt;=Законод!$F$19),AG460-Законод!$E$19,IF('01_Доходи'!AG460&gt;=Законод!$G$18,Законод!$F$20,0)))),IF($B$456="Лікар-терапевт",IF(AG460&lt;Законод!$C$26,0,(IF(AND(AG460&gt;=Законод!$F$26,AG460&lt;=Законод!$F$27),AG460-Законод!$E$27,IF('01_Доходи'!AG460&gt;=Законод!$G$26,Законод!$F$28,0)))),0)))</f>
        <v>0</v>
      </c>
      <c r="AH463" s="930"/>
      <c r="AI463" s="201"/>
      <c r="AJ463" s="933"/>
      <c r="AK463" s="927"/>
      <c r="AL463" s="927"/>
      <c r="AM463" s="899"/>
      <c r="AN463" s="210">
        <f ca="1">IF(B456="Лікар загальної практики - сімейний лікар",L463*Законод!$C$9/4*Законод!$F$16,IF(B456="Лікар-педіатр",L463*Законод!$C$9/4*Законод!$F$16,IF(B456="Лікар-терапевт",L463*Законод!$C$9/4*Законод!$F$16,0)))</f>
        <v>0</v>
      </c>
      <c r="AO463" s="210">
        <f ca="1">IF(B456="Лікар загальної практики - сімейний лікар",S463*Законод!$C$9/4*Законод!$F$16,IF(B456="Лікар-педіатр",S463*Законод!$C$9/4*Законод!$F$16,IF(B456="Лікар-терапевт",S463*Законод!$C$9/4*Законод!$F$16,0)))</f>
        <v>0</v>
      </c>
      <c r="AP463" s="210">
        <f ca="1">IF(B456="Лікар загальної практики - сімейний лікар",Z463*Законод!$C$9/4*Законод!$F$16,IF(B456="Лікар-педіатр",Z463*Законод!$C$9/4*Законод!$F$16,IF(B456="Лікар-терапевт",Z463*Законод!$C$9/4*Законод!$F$16,0)))</f>
        <v>0</v>
      </c>
      <c r="AQ463" s="210">
        <f ca="1">IF(B456="Лікар загальної практики - сімейний лікар",AG463*Законод!$C$9/4*Законод!$F$16,IF(B456="Лікар-педіатр",AG463*Законод!$C$9/4*Законод!$F$16,IF(B456="Лікар-терапевт",AG463*Законод!$C$9/4*Законод!$F$16,0)))</f>
        <v>0</v>
      </c>
      <c r="AR463" s="211">
        <f t="shared" si="62"/>
        <v>0</v>
      </c>
    </row>
    <row r="464" spans="1:44" s="50" customFormat="1" ht="31.9" hidden="1" customHeight="1">
      <c r="A464" s="197"/>
      <c r="B464" s="893"/>
      <c r="C464" s="896"/>
      <c r="D464" s="912"/>
      <c r="E464" s="909"/>
      <c r="F464" s="238" t="str">
        <f ca="1">IF(B456="Лікар-педіатр",Законод!$G$17,IF(B456="Лікар загальної практики - сімейний лікар",Законод!$G$21,IF(B456="Лікар-терапевт",Законод!$G$25,"х")))</f>
        <v>х</v>
      </c>
      <c r="G464" s="889" t="s">
        <v>346</v>
      </c>
      <c r="H464" s="890"/>
      <c r="I464" s="890"/>
      <c r="J464" s="890"/>
      <c r="K464" s="891"/>
      <c r="L464" s="196">
        <f ca="1">IF($B$456="Лікар загальної практики - сімейний лікар",IF(L460&lt;Законод!$C$22,0,(IF(AND(L460&gt;=Законод!$G$22,L460&lt;=Законод!$G$23),L460-Законод!$F$23,IF('01_Доходи'!L460&gt;=Законод!$H$22,Законод!$G$24,0)))),IF($B$456="Лікар-педіатр",IF(L460&lt;Законод!$C$18,0,(IF(AND(L460&gt;=Законод!$G$18,L460&lt;=Законод!$G$19),L460-Законод!$F$19,IF('01_Доходи'!L460&gt;=Законод!$H$18,Законод!$G$20,0)))),IF($B$456="Лікар-терапевт",IF(L460&lt;Законод!$C$26,0,(IF(AND(L460&gt;=Законод!$G$26,L460&lt;=Законод!$G$27),L460-Законод!$F$27,IF('01_Доходи'!L460&gt;=Законод!$H$26,Законод!$G$28,0)))),0)))</f>
        <v>0</v>
      </c>
      <c r="M464" s="930"/>
      <c r="N464" s="889" t="s">
        <v>346</v>
      </c>
      <c r="O464" s="890"/>
      <c r="P464" s="890"/>
      <c r="Q464" s="890"/>
      <c r="R464" s="891"/>
      <c r="S464" s="196">
        <f ca="1">IF($B$456="Лікар загальної практики - сімейний лікар",IF(S460&lt;Законод!$C$22,0,(IF(AND(S460&gt;=Законод!$G$22,S460&lt;=Законод!$G$23),S460-Законод!$F$23,IF('01_Доходи'!S460&gt;=Законод!$H$22,Законод!$G$24,0)))),IF($B$456="Лікар-педіатр",IF(S460&lt;Законод!$C$18,0,(IF(AND(S460&gt;=Законод!$G$18,S460&lt;=Законод!$G$19),S460-Законод!$F$19,IF('01_Доходи'!S460&gt;=Законод!$H$18,Законод!$G$20,0)))),IF($B$456="Лікар-терапевт",IF(S460&lt;Законод!$C$26,0,(IF(AND(S460&gt;=Законод!$G$26,S460&lt;=Законод!$G$27),S460-Законод!$F$27,IF('01_Доходи'!S460&gt;=Законод!$H$26,Законод!$G$28,0)))),0)))</f>
        <v>0</v>
      </c>
      <c r="T464" s="930"/>
      <c r="U464" s="889" t="s">
        <v>346</v>
      </c>
      <c r="V464" s="890"/>
      <c r="W464" s="890"/>
      <c r="X464" s="890"/>
      <c r="Y464" s="891"/>
      <c r="Z464" s="196">
        <f ca="1">IF($B$456="Лікар загальної практики - сімейний лікар",IF(Z460&lt;Законод!$C$22,0,(IF(AND(Z460&gt;=Законод!$G$22,Z460&lt;=Законод!$G$23),Z460-Законод!$F$23,IF('01_Доходи'!Z460&gt;=Законод!$H$22,Законод!$G$24,0)))),IF($B$456="Лікар-педіатр",IF(Z460&lt;Законод!$C$18,0,(IF(AND(Z460&gt;=Законод!$G$18,Z460&lt;=Законод!$G$19),Z460-Законод!$F$19,IF('01_Доходи'!Z460&gt;=Законод!$H$18,Законод!$G$20,0)))),IF($B$456="Лікар-терапевт",IF(Z460&lt;Законод!$C$26,0,(IF(AND(Z460&gt;=Законод!$G$26,Z460&lt;=Законод!$G$27),Z460-Законод!$F$27,IF('01_Доходи'!Z460&gt;=Законод!$H$26,Законод!$G$28,0)))),0)))</f>
        <v>0</v>
      </c>
      <c r="AA464" s="930"/>
      <c r="AB464" s="889" t="s">
        <v>346</v>
      </c>
      <c r="AC464" s="890"/>
      <c r="AD464" s="890"/>
      <c r="AE464" s="890"/>
      <c r="AF464" s="891"/>
      <c r="AG464" s="196">
        <f ca="1">IF($B$456="Лікар загальної практики - сімейний лікар",IF(AG460&lt;Законод!$C$22,0,(IF(AND(AG460&gt;=Законод!$G$22,AG460&lt;=Законод!$G$23),AG460-Законод!$F$23,IF('01_Доходи'!AG460&gt;=Законод!$H$22,Законод!$G$24,0)))),IF($B$456="Лікар-педіатр",IF(AG460&lt;Законод!$C$18,0,(IF(AND(AG460&gt;=Законод!$G$18,AG460&lt;=Законод!$G$19),AG460-Законод!$F$19,IF('01_Доходи'!AG460&gt;=Законод!$H$18,Законод!$G$20,0)))),IF($B$456="Лікар-терапевт",IF(AG460&lt;Законод!$C$26,0,(IF(AND(AG460&gt;=Законод!$G$26,AG460&lt;=Законод!$G$27),AG460-Законод!$F$27,IF('01_Доходи'!AG460&gt;=Законод!$H$26,Законод!$G$28,0)))),0)))</f>
        <v>0</v>
      </c>
      <c r="AH464" s="930"/>
      <c r="AI464" s="201"/>
      <c r="AJ464" s="933"/>
      <c r="AK464" s="927"/>
      <c r="AL464" s="927"/>
      <c r="AM464" s="899"/>
      <c r="AN464" s="210">
        <f ca="1">IF(B456="Лікар загальної практики - сімейний лікар",L464*Законод!$C$9/4*Законод!$G$16,IF(B456="Лікар-педіатр",L464*Законод!$C$9/4*Законод!$G$16,IF(B456="Лікар-терапевт",L464*Законод!$C$9/4*Законод!$G$16,0)))</f>
        <v>0</v>
      </c>
      <c r="AO464" s="210">
        <f ca="1">IF(B456="Лікар загальної практики - сімейний лікар",S464*Законод!$C$9/4*Законод!$G$16,IF(B456="Лікар-педіатр",S464*Законод!$C$9/4*Законод!$G$16,IF(B456="Лікар-терапевт",S464*Законод!$C$9/4*Законод!$G$16,0)))</f>
        <v>0</v>
      </c>
      <c r="AP464" s="210">
        <f ca="1">IF(B456="Лікар загальної практики - сімейний лікар",Z464*Законод!$C$9/4*Законод!$G$16,IF(B456="Лікар-педіатр",Z464*Законод!$C$9/4*Законод!$G$16,IF(B456="Лікар-терапевт",Z464*Законод!$C$9/4*Законод!$G$16,0)))</f>
        <v>0</v>
      </c>
      <c r="AQ464" s="210">
        <f ca="1">IF(B456="Лікар загальної практики - сімейний лікар",AG464*Законод!$C$9/4*Законод!$G$16,IF(B456="Лікар-педіатр",AG464*Законод!$C$9/4*Законод!$G$16,IF(B456="Лікар-терапевт",AG464*Законод!$C$9/4*Законод!$G$16,0)))</f>
        <v>0</v>
      </c>
      <c r="AR464" s="211">
        <f t="shared" si="62"/>
        <v>0</v>
      </c>
    </row>
    <row r="465" spans="1:44" s="50" customFormat="1" ht="31.9" hidden="1" customHeight="1">
      <c r="A465" s="197"/>
      <c r="B465" s="893"/>
      <c r="C465" s="896"/>
      <c r="D465" s="912"/>
      <c r="E465" s="909"/>
      <c r="F465" s="238" t="str">
        <f ca="1">IF(B456="Лікар-педіатр",Законод!$H$17,IF(B456="Лікар загальної практики - сімейний лікар",Законод!$H$21,IF(B456="Лікар-терапевт",Законод!$H$25,"х")))</f>
        <v>х</v>
      </c>
      <c r="G465" s="889" t="s">
        <v>346</v>
      </c>
      <c r="H465" s="890"/>
      <c r="I465" s="890"/>
      <c r="J465" s="890"/>
      <c r="K465" s="891"/>
      <c r="L465" s="196">
        <f ca="1">IF($B$456="Лікар загальної практики - сімейний лікар",IF(L460&lt;Законод!$C$22,0,(IF(AND(L460&gt;=Законод!$H$22,L460&lt;=Законод!$H$23),L460-Законод!$G$23,IF('01_Доходи'!L460&gt;=Законод!$I$22,Законод!$H$24,0)))),IF($B$456="Лікар-педіатр",IF(L460&lt;Законод!$C$18,0,(IF(AND(L460&gt;=Законод!$H$18,L460&lt;=Законод!$H$19),L460-Законод!$G$19,IF('01_Доходи'!L460&gt;=Законод!$I$18,Законод!$H$20,0)))),IF($B$456="Лікар-терапевт",IF(L460&lt;Законод!$C$26,0,(IF(AND(L460&gt;=Законод!$H$26,L460&lt;=Законод!$H$27),L460-Законод!$G$27,IF(L460&gt;=Законод!$I$26,Законод!$H$28,0)))),0)))</f>
        <v>0</v>
      </c>
      <c r="M465" s="930"/>
      <c r="N465" s="889" t="s">
        <v>346</v>
      </c>
      <c r="O465" s="890"/>
      <c r="P465" s="890"/>
      <c r="Q465" s="890"/>
      <c r="R465" s="891"/>
      <c r="S465" s="196">
        <f ca="1">IF($B$456="Лікар загальної практики - сімейний лікар",IF(S460&lt;Законод!$C$22,0,(IF(AND(S460&gt;=Законод!$H$22,S460&lt;=Законод!$H$23),S460-Законод!$G$23,IF('01_Доходи'!S460&gt;=Законод!$I$22,Законод!$H$24,0)))),IF($B$456="Лікар-педіатр",IF(S460&lt;Законод!$C$18,0,(IF(AND(S460&gt;=Законод!$H$18,S460&lt;=Законод!$H$19),S460-Законод!$G$19,IF('01_Доходи'!S460&gt;=Законод!$I$18,Законод!$H$20,0)))),IF($B$456="Лікар-терапевт",IF(S460&lt;Законод!$C$26,0,(IF(AND(S460&gt;=Законод!$H$26,S460&lt;=Законод!$H$27),S460-Законод!$G$27,IF(S460&gt;=Законод!$I$26,Законод!$H$28,0)))),0)))</f>
        <v>0</v>
      </c>
      <c r="T465" s="930"/>
      <c r="U465" s="889" t="s">
        <v>346</v>
      </c>
      <c r="V465" s="890"/>
      <c r="W465" s="890"/>
      <c r="X465" s="890"/>
      <c r="Y465" s="891"/>
      <c r="Z465" s="196">
        <f ca="1">IF($B$456="Лікар загальної практики - сімейний лікар",IF(Z460&lt;Законод!$C$22,0,(IF(AND(Z460&gt;=Законод!$H$22,Z460&lt;=Законод!$H$23),Z460-Законод!$G$23,IF('01_Доходи'!Z460&gt;=Законод!$I$22,Законод!$H$24,0)))),IF($B$456="Лікар-педіатр",IF(Z460&lt;Законод!$C$18,0,(IF(AND(Z460&gt;=Законод!$H$18,Z460&lt;=Законод!$H$19),Z460-Законод!$G$19,IF('01_Доходи'!Z460&gt;=Законод!$I$18,Законод!$H$20,0)))),IF($B$456="Лікар-терапевт",IF(Z460&lt;Законод!$C$26,0,(IF(AND(Z460&gt;=Законод!$H$26,Z460&lt;=Законод!$H$27),Z460-Законод!$G$27,IF(Z460&gt;=Законод!$I$26,Законод!$H$28,0)))),0)))</f>
        <v>0</v>
      </c>
      <c r="AA465" s="930"/>
      <c r="AB465" s="889" t="s">
        <v>346</v>
      </c>
      <c r="AC465" s="890"/>
      <c r="AD465" s="890"/>
      <c r="AE465" s="890"/>
      <c r="AF465" s="891"/>
      <c r="AG465" s="196">
        <f ca="1">IF($B$456="Лікар загальної практики - сімейний лікар",IF(AG460&lt;Законод!$C$22,0,(IF(AND(AG460&gt;=Законод!$H$22,AG460&lt;=Законод!$H$23),AG460-Законод!$G$23,IF('01_Доходи'!AG460&gt;=Законод!$I$22,Законод!$H$24,0)))),IF($B$456="Лікар-педіатр",IF(AG460&lt;Законод!$C$18,0,(IF(AND(AG460&gt;=Законод!$H$18,AG460&lt;=Законод!$H$19),AG460-Законод!$G$19,IF('01_Доходи'!AG460&gt;=Законод!$I$18,Законод!$H$20,0)))),IF($B$456="Лікар-терапевт",IF(AG460&lt;Законод!$C$26,0,(IF(AND(AG460&gt;=Законод!$H$26,AG460&lt;=Законод!$H$27),AG460-Законод!$G$27,IF(AG460&gt;=Законод!$I$26,Законод!$H$28,0)))),0)))</f>
        <v>0</v>
      </c>
      <c r="AH465" s="930"/>
      <c r="AI465" s="201"/>
      <c r="AJ465" s="933"/>
      <c r="AK465" s="927"/>
      <c r="AL465" s="927"/>
      <c r="AM465" s="899"/>
      <c r="AN465" s="210">
        <f ca="1">IF(B456="Лікар загальної практики - сімейний лікар",L465*Законод!$C$9/4*Законод!$H$16,IF(B456="Лікар-педіатр",L465*Законод!$C$9/4*Законод!$H$16,IF(B456="Лікар-терапевт",L465*Законод!$C$9/4*Законод!$H$16,0)))</f>
        <v>0</v>
      </c>
      <c r="AO465" s="210">
        <f ca="1">IF(B456="Лікар загальної практики - сімейний лікар",S465*Законод!$C$9/4*Законод!$H$16,IF(B456="Лікар-педіатр",S465*Законод!$C$9/4*Законод!$H$16,IF(B456="Лікар-терапевт",S465*Законод!$C$9/4*Законод!$H$16,0)))</f>
        <v>0</v>
      </c>
      <c r="AP465" s="210">
        <f ca="1">IF(B456="Лікар загальної практики - сімейний лікар",Z465*Законод!$C$9/4*Законод!$H$16,IF(B456="Лікар-педіатр",Z465*Законод!$C$9/4*Законод!$H$16,IF(B456="Лікар-терапевт",Z465*Законод!$C$9/4*Законод!$H$16,0)))</f>
        <v>0</v>
      </c>
      <c r="AQ465" s="210">
        <f ca="1">IF(B456="Лікар загальної практики - сімейний лікар",AG465*Законод!$C$9/4*Законод!$H$16,IF(B456="Лікар-педіатр",AG465*Законод!$C$9/4*Законод!$H$16,IF(B456="Лікар-терапевт",AG465*Законод!$C$9/4*Законод!$H$16,0)))</f>
        <v>0</v>
      </c>
      <c r="AR465" s="211">
        <f t="shared" si="62"/>
        <v>0</v>
      </c>
    </row>
    <row r="466" spans="1:44" s="50" customFormat="1" ht="31.9" hidden="1" customHeight="1">
      <c r="A466" s="197"/>
      <c r="B466" s="893"/>
      <c r="C466" s="896"/>
      <c r="D466" s="912"/>
      <c r="E466" s="909"/>
      <c r="F466" s="238" t="str">
        <f ca="1">IF(B456="Лікар-педіатр",Законод!$I$17,IF(B456="Лікар загальної практики - сімейний лікар",Законод!$I$21,IF(B456="Лікар-терапевт",Законод!$I$25,"х")))</f>
        <v>х</v>
      </c>
      <c r="G466" s="889" t="s">
        <v>346</v>
      </c>
      <c r="H466" s="890"/>
      <c r="I466" s="890"/>
      <c r="J466" s="890"/>
      <c r="K466" s="891"/>
      <c r="L466" s="196">
        <f ca="1">IF($B$456="Лікар загальної практики - сімейний лікар",IF(L460&lt;Законод!$C$22,0,(IF(AND(L460&gt;=Законод!$I$22,L460&lt;=Законод!$I$23),L460-Законод!$H$23,IF('01_Доходи'!L460&gt;=Законод!$I$22,Законод!$I$24,0)))),IF($B$456="Лікар-педіатр",IF(L460&lt;Законод!$C$18,0,(IF(AND(L460&gt;=Законод!$I$18,L460&lt;=Законод!$I$19),L460-Законод!$H$19,IF('01_Доходи'!L460&gt;=Законод!$I$18,Законод!$H$20,0)))),IF($B$456="Лікар-терапевт",IF(L460&lt;Законод!$C$26,0,(IF(AND(L460&gt;=Законод!$I$26,L460&lt;=Законод!$I$27),L460-Законод!$H$27,IF('01_Доходи'!L460&gt;=Законод!$I$26,Законод!$H$28,0)))),0)))</f>
        <v>0</v>
      </c>
      <c r="M466" s="930"/>
      <c r="N466" s="889" t="s">
        <v>346</v>
      </c>
      <c r="O466" s="890"/>
      <c r="P466" s="890"/>
      <c r="Q466" s="890"/>
      <c r="R466" s="891"/>
      <c r="S466" s="196">
        <f ca="1">IF($B$456="Лікар загальної практики - сімейний лікар",IF(S460&lt;Законод!$C$22,0,(IF(AND(S460&gt;=Законод!$I$22,S460&lt;=Законод!$I$23),S460-Законод!$H$23,IF('01_Доходи'!S460&gt;=Законод!$I$22,Законод!$I$24,0)))),IF($B$456="Лікар-педіатр",IF(S460&lt;Законод!$C$18,0,(IF(AND(S460&gt;=Законод!$I$18,S460&lt;=Законод!$I$19),S460-Законод!$H$19,IF('01_Доходи'!S460&gt;=Законод!$I$18,Законод!$H$20,0)))),IF($B$456="Лікар-терапевт",IF(S460&lt;Законод!$C$26,0,(IF(AND(S460&gt;=Законод!$I$26,S460&lt;=Законод!$I$27),S460-Законод!$H$27,IF('01_Доходи'!S460&gt;=Законод!$I$26,Законод!$H$28,0)))),0)))</f>
        <v>0</v>
      </c>
      <c r="T466" s="930"/>
      <c r="U466" s="889" t="s">
        <v>346</v>
      </c>
      <c r="V466" s="890"/>
      <c r="W466" s="890"/>
      <c r="X466" s="890"/>
      <c r="Y466" s="891"/>
      <c r="Z466" s="196">
        <f ca="1">IF($B$456="Лікар загальної практики - сімейний лікар",IF(Z460&lt;Законод!$C$22,0,(IF(AND(Z460&gt;=Законод!$I$22,Z460&lt;=Законод!$I$23),Z460-Законод!$H$23,IF('01_Доходи'!Z460&gt;=Законод!$I$22,Законод!$I$24,0)))),IF($B$456="Лікар-педіатр",IF(Z460&lt;Законод!$C$18,0,(IF(AND(Z460&gt;=Законод!$I$18,Z460&lt;=Законод!$I$19),Z460-Законод!$H$19,IF('01_Доходи'!Z460&gt;=Законод!$I$18,Законод!$H$20,0)))),IF($B$456="Лікар-терапевт",IF(Z460&lt;Законод!$C$26,0,(IF(AND(Z460&gt;=Законод!$I$26,Z460&lt;=Законод!$I$27),Z460-Законод!$H$27,IF('01_Доходи'!Z460&gt;=Законод!$I$26,Законод!$H$28,0)))),0)))</f>
        <v>0</v>
      </c>
      <c r="AA466" s="930"/>
      <c r="AB466" s="889" t="s">
        <v>346</v>
      </c>
      <c r="AC466" s="890"/>
      <c r="AD466" s="890"/>
      <c r="AE466" s="890"/>
      <c r="AF466" s="891"/>
      <c r="AG466" s="196">
        <f ca="1">IF($B$456="Лікар загальної практики - сімейний лікар",IF(AG460&lt;Законод!$C$22,0,(IF(AND(AG460&gt;=Законод!$I$22,AG460&lt;=Законод!$I$23),AG460-Законод!$H$23,IF('01_Доходи'!AG460&gt;=Законод!$I$22,Законод!$I$24,0)))),IF($B$456="Лікар-педіатр",IF(AG460&lt;Законод!$C$18,0,(IF(AND(AG460&gt;=Законод!$I$18,AG460&lt;=Законод!$I$19),AG460-Законод!$H$19,IF('01_Доходи'!AG460&gt;=Законод!$I$18,Законод!$H$20,0)))),IF($B$456="Лікар-терапевт",IF(AG460&lt;Законод!$C$26,0,(IF(AND(AG460&gt;=Законод!$I$26,AG460&lt;=Законод!$I$27),AG460-Законод!$H$27,IF('01_Доходи'!AG460&gt;=Законод!$I$26,Законод!$H$28,0)))),0)))</f>
        <v>0</v>
      </c>
      <c r="AH466" s="930"/>
      <c r="AI466" s="201"/>
      <c r="AJ466" s="933"/>
      <c r="AK466" s="927"/>
      <c r="AL466" s="927"/>
      <c r="AM466" s="899"/>
      <c r="AN466" s="210">
        <f ca="1">IF(B456="Лікар загальної практики - сімейний лікар",L466*Законод!$C$9/4*Законод!$I$16,IF(B456="Лікар-педіатр",L466*Законод!$C$9/4*Законод!$I$16,IF(B456="Лікар-терапевт",L466*Законод!$C$9/4*Законод!$I$16,0)))</f>
        <v>0</v>
      </c>
      <c r="AO466" s="210">
        <f ca="1">IF(B456="Лікар загальної практики - сімейний лікар",S466*Законод!$C$9/4*Законод!$I$16,IF(B456="Лікар-педіатр",S466*Законод!$C$9/4*Законод!$I$16,IF(B456="Лікар-терапевт",S466*Законод!$C$9/4*Законод!$I$16,0)))</f>
        <v>0</v>
      </c>
      <c r="AP466" s="210">
        <f ca="1">IF(B456="Лікар загальної практики - сімейний лікар",Z466*Законод!$C$9/4*Законод!$I$16,IF(B456="Лікар-педіатр",Z466*Законод!$C$9/4*Законод!$I$16,IF(B456="Лікар-терапевт",Z466*Законод!$C$9/4*Законод!$I$16,0)))</f>
        <v>0</v>
      </c>
      <c r="AQ466" s="210">
        <f ca="1">IF(B456="Лікар загальної практики - сімейний лікар",AG466*Законод!$C$9/4*Законод!$I$16,IF(B456="Лікар-педіатр",AG466*Законод!$C$9/4*Законод!$I$16,IF(B456="Лікар-терапевт",AG466*Законод!$C$9/4*Законод!$I$16,0)))</f>
        <v>0</v>
      </c>
      <c r="AR466" s="211">
        <f t="shared" si="62"/>
        <v>0</v>
      </c>
    </row>
    <row r="467" spans="1:44" s="218" customFormat="1" ht="31.9" hidden="1" customHeight="1" thickBot="1">
      <c r="A467" s="213"/>
      <c r="B467" s="894"/>
      <c r="C467" s="897"/>
      <c r="D467" s="913"/>
      <c r="E467" s="910"/>
      <c r="F467" s="239" t="str">
        <f ca="1">IF(B456="Лікар-педіатр",Законод!$J$17,IF(B456="Лікар загальної практики - сімейний лікар",Законод!$J$21,IF(B456="Лікар-терапевт",Законод!$J$25,"х")))</f>
        <v>х</v>
      </c>
      <c r="G467" s="935" t="s">
        <v>346</v>
      </c>
      <c r="H467" s="936"/>
      <c r="I467" s="936"/>
      <c r="J467" s="936"/>
      <c r="K467" s="937"/>
      <c r="L467" s="196">
        <f ca="1">IF($B$456="Лікар загальної практики - сімейний лікар",IF(L460&gt;=Законод!$J$22,'01_Доходи'!L460-('01_Доходи'!L461+'01_Доходи'!L462+'01_Доходи'!L463+'01_Доходи'!L464+'01_Доходи'!L465+'01_Доходи'!L466),0),IF($B$456="Лікар-педіатр",IF(L460&gt;=Законод!$J$18,'01_Доходи'!L460-('01_Доходи'!L461+'01_Доходи'!L462+'01_Доходи'!L463+'01_Доходи'!L464+'01_Доходи'!L465+'01_Доходи'!L466),0),IF($B$456="Лікар-терапевт",IF('01_Доходи'!L460&gt;=Законод!$J$26,L460-Законод!$I$27,0),0)))</f>
        <v>0</v>
      </c>
      <c r="M467" s="931"/>
      <c r="N467" s="935" t="s">
        <v>346</v>
      </c>
      <c r="O467" s="936"/>
      <c r="P467" s="936"/>
      <c r="Q467" s="936"/>
      <c r="R467" s="937"/>
      <c r="S467" s="196">
        <f ca="1">IF($B$456="Лікар загальної практики - сімейний лікар",IF(S460&gt;=Законод!$J$22,'01_Доходи'!S460-('01_Доходи'!S461+'01_Доходи'!S462+'01_Доходи'!S463+'01_Доходи'!S464+'01_Доходи'!S465+'01_Доходи'!S466),0),IF($B$456="Лікар-педіатр",IF(S460&gt;=Законод!$J$18,'01_Доходи'!S460-('01_Доходи'!S461+'01_Доходи'!S462+'01_Доходи'!S463+'01_Доходи'!S464+'01_Доходи'!S465+'01_Доходи'!S466),0),IF($B$456="Лікар-терапевт",IF('01_Доходи'!S460&gt;=Законод!$J$26,S460-Законод!$I$27,0),0)))</f>
        <v>0</v>
      </c>
      <c r="T467" s="931"/>
      <c r="U467" s="935" t="s">
        <v>346</v>
      </c>
      <c r="V467" s="936"/>
      <c r="W467" s="936"/>
      <c r="X467" s="936"/>
      <c r="Y467" s="937"/>
      <c r="Z467" s="196">
        <f ca="1">IF($B$456="Лікар загальної практики - сімейний лікар",IF(Z460&gt;=Законод!$J$22,'01_Доходи'!Z460-('01_Доходи'!Z461+'01_Доходи'!Z462+'01_Доходи'!Z463+'01_Доходи'!Z464+'01_Доходи'!Z465+'01_Доходи'!Z466),0),IF($B$456="Лікар-педіатр",IF(Z460&gt;=Законод!$J$18,'01_Доходи'!Z460-('01_Доходи'!Z461+'01_Доходи'!Z462+'01_Доходи'!Z463+'01_Доходи'!Z464+'01_Доходи'!Z465+'01_Доходи'!Z466),0),IF($B$456="Лікар-терапевт",IF('01_Доходи'!Z460&gt;=Законод!$J$26,Z460-Законод!$I$27,0),0)))</f>
        <v>0</v>
      </c>
      <c r="AA467" s="931"/>
      <c r="AB467" s="935" t="s">
        <v>346</v>
      </c>
      <c r="AC467" s="936"/>
      <c r="AD467" s="936"/>
      <c r="AE467" s="936"/>
      <c r="AF467" s="937"/>
      <c r="AG467" s="196">
        <f ca="1">IF($B$456="Лікар загальної практики - сімейний лікар",IF(AG460&gt;=Законод!$J$22,'01_Доходи'!AG460-('01_Доходи'!AG461+'01_Доходи'!AG462+'01_Доходи'!AG463+'01_Доходи'!AG464+'01_Доходи'!AG465+'01_Доходи'!AG466),0),IF($B$456="Лікар-педіатр",IF(AG460&gt;=Законод!$J$18,'01_Доходи'!AG460-('01_Доходи'!AG461+'01_Доходи'!AG462+'01_Доходи'!AG463+'01_Доходи'!AG464+'01_Доходи'!AG465+'01_Доходи'!AG466),0),IF($B$456="Лікар-терапевт",IF('01_Доходи'!AG460&gt;=Законод!$J$26,AG460-Законод!$I$27,0),0)))</f>
        <v>0</v>
      </c>
      <c r="AH467" s="931"/>
      <c r="AI467" s="215"/>
      <c r="AJ467" s="934"/>
      <c r="AK467" s="928"/>
      <c r="AL467" s="928"/>
      <c r="AM467" s="900"/>
      <c r="AN467" s="216">
        <f ca="1">IF(B456="Лікар загальної практики - сімейний лікар",L467*Законод!$C$9/4*Законод!$J$16,IF(B456="Лікар-педіатр",L467*Законод!$C$9/4*Законод!$J$16,IF(B456="Лікар-терапевт",L467*Законод!$C$9/4*Законод!$J$16,0)))</f>
        <v>0</v>
      </c>
      <c r="AO467" s="216">
        <f ca="1">IF(B456="Лікар загальної практики - сімейний лікар",S467*Законод!$C$9/4*Законод!$J$16,IF(B456="Лікар-педіатр",S467*Законод!$C$9/4*Законод!$J$16,IF(B456="Лікар-терапевт",S467*Законод!$C$9/4*Законод!$J$16,0)))</f>
        <v>0</v>
      </c>
      <c r="AP467" s="216">
        <f ca="1">IF(B456="Лікар загальної практики - сімейний лікар",S467*Законод!$C$9/4*Законод!$J$16,IF(B456="Лікар-педіатр",S467*Законод!$C$9/4*Законод!$J$16,IF(B456="Лікар-терапевт",S467*Законод!$C$9/4*Законод!$J$16,0)))</f>
        <v>0</v>
      </c>
      <c r="AQ467" s="216">
        <f ca="1">IF(B456="Лікар загальної практики - сімейний лікар",AG467*Законод!$C$9/4*Законод!$J$16,IF(B456="Лікар-педіатр",AG467*Законод!$C$9/4*Законод!$J$16,IF(B456="Лікар-терапевт",AG467*Законод!$C$9/4*Законод!$J$16,0)))</f>
        <v>0</v>
      </c>
      <c r="AR467" s="217">
        <f t="shared" si="62"/>
        <v>0</v>
      </c>
    </row>
    <row r="468" spans="1:44" s="247" customFormat="1" ht="23.45" hidden="1" customHeight="1" thickBot="1">
      <c r="A468" s="243"/>
      <c r="B468" s="244"/>
      <c r="C468" s="244"/>
      <c r="D468" s="244"/>
      <c r="E468" s="244"/>
      <c r="F468" s="245"/>
      <c r="G468" s="246"/>
      <c r="H468" s="246"/>
      <c r="L468" s="248"/>
      <c r="S468" s="248"/>
      <c r="Z468" s="248"/>
      <c r="AG468" s="248"/>
      <c r="AM468" s="249"/>
      <c r="AR468" s="250"/>
    </row>
    <row r="469" spans="1:44" s="191" customFormat="1" ht="24.6" hidden="1" customHeight="1">
      <c r="A469" s="194">
        <f>A456+1</f>
        <v>34</v>
      </c>
      <c r="B469" s="892"/>
      <c r="C469" s="895"/>
      <c r="D469" s="911"/>
      <c r="E469" s="908"/>
      <c r="F469" s="234" t="s">
        <v>582</v>
      </c>
      <c r="G469" s="196">
        <f>IF($B$469="Лікар-педіатр",G472*L469,IF($B$469="Лікар-терапевт","х",IF($B$469="Лікар загальної практики - сімейний лікар",G472*L469,0)))</f>
        <v>0</v>
      </c>
      <c r="H469" s="196">
        <f>IF($B$469="Лікар-педіатр",H472*L469,IF($B$469="Лікар-терапевт","х",IF($B$469="Лікар загальної практики - сімейний лікар",H472*L469,0)))</f>
        <v>0</v>
      </c>
      <c r="I469" s="196">
        <f>IF($B$469="Лікар-педіатр","x",IF($B$469="Лікар-терапевт",I472*L469,IF($B$469="Лікар загальної практики - сімейний лікар",I472*L469,0)))</f>
        <v>0</v>
      </c>
      <c r="J469" s="196">
        <f>IF($B$469="Лікар-педіатр","x",IF($B$469="Лікар-терапевт",J472*L469,IF($B$469="Лікар загальної практики - сімейний лікар",J472*L469,0)))</f>
        <v>0</v>
      </c>
      <c r="K469" s="196">
        <f>IF($B$469="Лікар-педіатр","x",IF($B$469="Лікар-терапевт",K472*L469,IF($B$469="Лікар загальної практики - сімейний лікар",K472*L469,0)))</f>
        <v>0</v>
      </c>
      <c r="L469" s="558"/>
      <c r="M469" s="929"/>
      <c r="N469" s="196">
        <f>IF($B$469="Лікар-педіатр",N472*S469,IF($B$469="Лікар-терапевт","х",IF($B$469="Лікар загальної практики - сімейний лікар",N472*S469,0)))</f>
        <v>0</v>
      </c>
      <c r="O469" s="196">
        <f>IF($B$469="Лікар-педіатр",O472*S469,IF($B$469="Лікар-терапевт","х",IF($B$469="Лікар загальної практики - сімейний лікар",O472*S469,0)))</f>
        <v>0</v>
      </c>
      <c r="P469" s="196">
        <f>IF($B$469="Лікар-педіатр","x",IF($B$469="Лікар-терапевт",P472*S469,IF($B$469="Лікар загальної практики - сімейний лікар",P472*S469,0)))</f>
        <v>0</v>
      </c>
      <c r="Q469" s="196">
        <f>IF($B$469="Лікар-педіатр","x",IF($B$469="Лікар-терапевт",Q472*S469,IF($B$469="Лікар загальної практики - сімейний лікар",Q472*S469,0)))</f>
        <v>0</v>
      </c>
      <c r="R469" s="196">
        <f>IF($B$469="Лікар-педіатр","x",IF($B$469="Лікар-терапевт",R472*S469,IF($B$469="Лікар загальної практики - сімейний лікар",R472*S469,0)))</f>
        <v>0</v>
      </c>
      <c r="S469" s="558"/>
      <c r="T469" s="929"/>
      <c r="U469" s="196">
        <f>IF($B$469="Лікар-педіатр",U472*Z469,IF($B$469="Лікар-терапевт","х",IF($B$469="Лікар загальної практики - сімейний лікар",U472*Z469,0)))</f>
        <v>0</v>
      </c>
      <c r="V469" s="196">
        <f>IF($B$469="Лікар-педіатр",V472*Z469,IF($B$469="Лікар-терапевт","х",IF($B$469="Лікар загальної практики - сімейний лікар",V472*Z469,0)))</f>
        <v>0</v>
      </c>
      <c r="W469" s="196">
        <f>IF($B$469="Лікар-педіатр","x",IF($B$469="Лікар-терапевт",W472*Z469,IF($B$469="Лікар загальної практики - сімейний лікар",W472*Z469,0)))</f>
        <v>0</v>
      </c>
      <c r="X469" s="196">
        <f>IF($B$469="Лікар-педіатр","x",IF($B$469="Лікар-терапевт",X472*Z469,IF($B$469="Лікар загальної практики - сімейний лікар",X472*Z469,0)))</f>
        <v>0</v>
      </c>
      <c r="Y469" s="196">
        <f>IF($B$469="Лікар-педіатр","x",IF($B$469="Лікар-терапевт",Y472*Z469,IF($B$469="Лікар загальної практики - сімейний лікар",Y472*Z469,0)))</f>
        <v>0</v>
      </c>
      <c r="Z469" s="558"/>
      <c r="AA469" s="929"/>
      <c r="AB469" s="196">
        <f>IF($B$469="Лікар-педіатр",AB472*AG469,IF($B$469="Лікар-терапевт","х",IF($B$469="Лікар загальної практики - сімейний лікар",AB472*AG469,0)))</f>
        <v>0</v>
      </c>
      <c r="AC469" s="196">
        <f>IF($B$469="Лікар-педіатр",AC472*AG469,IF($B$469="Лікар-терапевт","х",IF($B$469="Лікар загальної практики - сімейний лікар",AC472*AG469,0)))</f>
        <v>0</v>
      </c>
      <c r="AD469" s="196">
        <f>IF($B$469="Лікар-педіатр","x",IF($B$469="Лікар-терапевт",AD472*AG469,IF($B$469="Лікар загальної практики - сімейний лікар",AD472*AG469,0)))</f>
        <v>0</v>
      </c>
      <c r="AE469" s="196">
        <f>IF($B$469="Лікар-педіатр","x",IF($B$469="Лікар-терапевт",AE472*AG469,IF($B$469="Лікар загальної практики - сімейний лікар",AE472*AG469,0)))</f>
        <v>0</v>
      </c>
      <c r="AF469" s="196">
        <f>IF($B$469="Лікар-педіатр","x",IF($B$469="Лікар-терапевт",AF472*AG469,IF($B$469="Лікар загальної практики - сімейний лікар",AF472*AG469,0)))</f>
        <v>0</v>
      </c>
      <c r="AG469" s="558"/>
      <c r="AH469" s="929"/>
      <c r="AI469" s="541">
        <f>A469</f>
        <v>34</v>
      </c>
      <c r="AJ469" s="932">
        <f>B469</f>
        <v>0</v>
      </c>
      <c r="AK469" s="926">
        <f>C469</f>
        <v>0</v>
      </c>
      <c r="AL469" s="926">
        <f>D469</f>
        <v>0</v>
      </c>
      <c r="AM469" s="901" t="s">
        <v>785</v>
      </c>
      <c r="AN469" s="923">
        <f>SUM(AN474:AN480)</f>
        <v>0</v>
      </c>
      <c r="AO469" s="923">
        <f>SUM(AO474:AO480)</f>
        <v>0</v>
      </c>
      <c r="AP469" s="923">
        <f>SUM(AP474:AP480)</f>
        <v>0</v>
      </c>
      <c r="AQ469" s="923">
        <f>SUM(AQ474:AQ480)</f>
        <v>0</v>
      </c>
      <c r="AR469" s="914">
        <f>SUM(AN469:AQ473)</f>
        <v>0</v>
      </c>
    </row>
    <row r="470" spans="1:44" s="50" customFormat="1" ht="28.15" hidden="1" customHeight="1">
      <c r="A470" s="197"/>
      <c r="B470" s="893"/>
      <c r="C470" s="896"/>
      <c r="D470" s="912"/>
      <c r="E470" s="909"/>
      <c r="F470" s="234" t="s">
        <v>583</v>
      </c>
      <c r="G470" s="196">
        <f>IF($B$469="Лікар-педіатр",G472*L470,IF($B$469="Лікар-терапевт","х",IF($B$469="Лікар загальної практики - сімейний лікар",G472*L470,0)))</f>
        <v>0</v>
      </c>
      <c r="H470" s="196">
        <f>IF($B$469="Лікар-педіатр",H472*L470,IF($B$469="Лікар-терапевт","х",IF($B$469="Лікар загальної практики - сімейний лікар",H472*L470,0)))</f>
        <v>0</v>
      </c>
      <c r="I470" s="196">
        <f>IF($B$469="Лікар-педіатр","x",IF($B$469="Лікар-терапевт",I472*L470,IF($B$469="Лікар загальної практики - сімейний лікар",I472*L470,0)))</f>
        <v>0</v>
      </c>
      <c r="J470" s="196">
        <f>IF($B$469="Лікар-педіатр","x",IF($B$469="Лікар-терапевт",J472*L470,IF($B$469="Лікар загальної практики - сімейний лікар",J472*L470,0)))</f>
        <v>0</v>
      </c>
      <c r="K470" s="196">
        <f>IF($B$469="Лікар-педіатр","x",IF($B$469="Лікар-терапевт",K472*L470,IF($B$469="Лікар загальної практики - сімейний лікар",K472*L470,0)))</f>
        <v>0</v>
      </c>
      <c r="L470" s="558"/>
      <c r="M470" s="930"/>
      <c r="N470" s="196">
        <f>IF($B$469="Лікар-педіатр",N472*S470,IF($B$469="Лікар-терапевт","х",IF($B$469="Лікар загальної практики - сімейний лікар",N472*S470,0)))</f>
        <v>0</v>
      </c>
      <c r="O470" s="196">
        <f>IF($B$469="Лікар-педіатр",O472*S470,IF($B$469="Лікар-терапевт","х",IF($B$469="Лікар загальної практики - сімейний лікар",O472*S470,0)))</f>
        <v>0</v>
      </c>
      <c r="P470" s="196">
        <f>IF($B$469="Лікар-педіатр","x",IF($B$469="Лікар-терапевт",P472*S470,IF($B$469="Лікар загальної практики - сімейний лікар",P472*S470,0)))</f>
        <v>0</v>
      </c>
      <c r="Q470" s="196">
        <f>IF($B$469="Лікар-педіатр","x",IF($B$469="Лікар-терапевт",Q472*S470,IF($B$469="Лікар загальної практики - сімейний лікар",Q472*S470,0)))</f>
        <v>0</v>
      </c>
      <c r="R470" s="196">
        <f>IF($B$469="Лікар-педіатр","x",IF($B$469="Лікар-терапевт",R472*S470,IF($B$469="Лікар загальної практики - сімейний лікар",R472*S470,0)))</f>
        <v>0</v>
      </c>
      <c r="S470" s="558"/>
      <c r="T470" s="930"/>
      <c r="U470" s="196">
        <f>IF($B$469="Лікар-педіатр",U472*Z470,IF($B$469="Лікар-терапевт","х",IF($B$469="Лікар загальної практики - сімейний лікар",U472*Z470,0)))</f>
        <v>0</v>
      </c>
      <c r="V470" s="196">
        <f>IF($B$469="Лікар-педіатр",V472*Z470,IF($B$469="Лікар-терапевт","х",IF($B$469="Лікар загальної практики - сімейний лікар",V472*Z470,0)))</f>
        <v>0</v>
      </c>
      <c r="W470" s="196">
        <f>IF($B$469="Лікар-педіатр","x",IF($B$469="Лікар-терапевт",W472*Z470,IF($B$469="Лікар загальної практики - сімейний лікар",W472*Z470,0)))</f>
        <v>0</v>
      </c>
      <c r="X470" s="196">
        <f>IF($B$469="Лікар-педіатр","x",IF($B$469="Лікар-терапевт",X472*Z470,IF($B$469="Лікар загальної практики - сімейний лікар",X472*Z470,0)))</f>
        <v>0</v>
      </c>
      <c r="Y470" s="196">
        <f>IF($B$469="Лікар-педіатр","x",IF($B$469="Лікар-терапевт",Y472*Z470,IF($B$469="Лікар загальної практики - сімейний лікар",Y472*Z470,0)))</f>
        <v>0</v>
      </c>
      <c r="Z470" s="558"/>
      <c r="AA470" s="930"/>
      <c r="AB470" s="196">
        <f>IF($B$469="Лікар-педіатр",AB472*AG470,IF($B$469="Лікар-терапевт","х",IF($B$469="Лікар загальної практики - сімейний лікар",AB472*AG470,0)))</f>
        <v>0</v>
      </c>
      <c r="AC470" s="196">
        <f>IF($B$469="Лікар-педіатр",AC472*AG470,IF($B$469="Лікар-терапевт","х",IF($B$469="Лікар загальної практики - сімейний лікар",AC472*AG470,0)))</f>
        <v>0</v>
      </c>
      <c r="AD470" s="196">
        <f>IF($B$469="Лікар-педіатр","x",IF($B$469="Лікар-терапевт",AD472*AG470,IF($B$469="Лікар загальної практики - сімейний лікар",AD472*AG470,0)))</f>
        <v>0</v>
      </c>
      <c r="AE470" s="196">
        <f>IF($B$469="Лікар-педіатр","x",IF($B$469="Лікар-терапевт",AE472*AG470,IF($B$469="Лікар загальної практики - сімейний лікар",AE472*AG470,0)))</f>
        <v>0</v>
      </c>
      <c r="AF470" s="196">
        <f>IF($B$469="Лікар-педіатр","x",IF($B$469="Лікар-терапевт",AF472*AG470,IF($B$469="Лікар загальної практики - сімейний лікар",AF472*AG470,0)))</f>
        <v>0</v>
      </c>
      <c r="AG470" s="558"/>
      <c r="AH470" s="930"/>
      <c r="AI470" s="198"/>
      <c r="AJ470" s="933"/>
      <c r="AK470" s="927"/>
      <c r="AL470" s="927"/>
      <c r="AM470" s="902"/>
      <c r="AN470" s="924"/>
      <c r="AO470" s="924"/>
      <c r="AP470" s="924"/>
      <c r="AQ470" s="924"/>
      <c r="AR470" s="915"/>
    </row>
    <row r="471" spans="1:44" s="90" customFormat="1" ht="31.15" hidden="1" customHeight="1">
      <c r="A471" s="240"/>
      <c r="B471" s="893"/>
      <c r="C471" s="896"/>
      <c r="D471" s="912"/>
      <c r="E471" s="909"/>
      <c r="F471" s="241" t="s">
        <v>584</v>
      </c>
      <c r="G471" s="199">
        <f>IF(B469="Лікар загальної практики - сімейний лікар"," ",IF(B469="Лікар-педіатр"," ",IF(B469="Лікар-терапевт","х",0)))</f>
        <v>0</v>
      </c>
      <c r="H471" s="199">
        <f>IF(B469="Лікар загальної практики - сімейний лікар"," ",IF(B469="Лікар-педіатр"," ",IF(B469="Лікар-терапевт","х",0)))</f>
        <v>0</v>
      </c>
      <c r="I471" s="199">
        <f>IF(B469="Лікар загальної практики - сімейний лікар"," ",IF(B469="Лікар-педіатр","х",IF(B469="Лікар-терапевт"," ",0)))</f>
        <v>0</v>
      </c>
      <c r="J471" s="199">
        <f>IF(B469="Лікар загальної практики - сімейний лікар"," ",IF(B469="Лікар-педіатр","х",IF(B469="Лікар-терапевт"," ",0)))</f>
        <v>0</v>
      </c>
      <c r="K471" s="199">
        <f>IF(B469="Лікар загальної практики - сімейний лікар"," ",IF(B469="Лікар-педіатр","х",IF(B469="Лікар-терапевт"," ",0)))</f>
        <v>0</v>
      </c>
      <c r="L471" s="200">
        <f>SUM(G471:K471)</f>
        <v>0</v>
      </c>
      <c r="M471" s="930"/>
      <c r="N471" s="199">
        <f>IF(B469="Лікар загальної практики - сімейний лікар"," ",IF(B469="Лікар-педіатр"," ",IF(B469="Лікар-терапевт","х",0)))</f>
        <v>0</v>
      </c>
      <c r="O471" s="199">
        <f>IF(B469="Лікар загальної практики - сімейний лікар"," ",IF(B469="Лікар-педіатр"," ",IF(B469="Лікар-терапевт","х",0)))</f>
        <v>0</v>
      </c>
      <c r="P471" s="199">
        <f>IF(B469="Лікар загальної практики - сімейний лікар"," ",IF(B469="Лікар-педіатр","х",IF(B469="Лікар-терапевт"," ",0)))</f>
        <v>0</v>
      </c>
      <c r="Q471" s="199">
        <f>IF(B469="Лікар загальної практики - сімейний лікар"," ",IF(B469="Лікар-педіатр","х",IF(B469="Лікар-терапевт"," ",0)))</f>
        <v>0</v>
      </c>
      <c r="R471" s="199">
        <f>IF(B469="Лікар загальної практики - сімейний лікар"," ",IF(B469="Лікар-педіатр","х",IF(B469="Лікар-терапевт"," ",0)))</f>
        <v>0</v>
      </c>
      <c r="S471" s="200">
        <f>SUM(N471:R471)</f>
        <v>0</v>
      </c>
      <c r="T471" s="930"/>
      <c r="U471" s="199">
        <f>IF(B469="Лікар загальної практики - сімейний лікар"," ",IF(B469="Лікар-педіатр"," ",IF(B469="Лікар-терапевт","х",0)))</f>
        <v>0</v>
      </c>
      <c r="V471" s="199">
        <f>IF(B469="Лікар загальної практики - сімейний лікар"," ",IF(B469="Лікар-педіатр"," ",IF(B469="Лікар-терапевт","х",0)))</f>
        <v>0</v>
      </c>
      <c r="W471" s="199">
        <f>IF(B469="Лікар загальної практики - сімейний лікар"," ",IF(B469="Лікар-педіатр","х",IF(B469="Лікар-терапевт"," ",0)))</f>
        <v>0</v>
      </c>
      <c r="X471" s="199">
        <f>IF(B469="Лікар загальної практики - сімейний лікар"," ",IF(B469="Лікар-педіатр","х",IF(B469="Лікар-терапевт"," ",0)))</f>
        <v>0</v>
      </c>
      <c r="Y471" s="199">
        <f>IF(B469="Лікар загальної практики - сімейний лікар"," ",IF(B469="Лікар-педіатр","х",IF(B469="Лікар-терапевт"," ",0)))</f>
        <v>0</v>
      </c>
      <c r="Z471" s="200">
        <f>SUM(U471:Y471)</f>
        <v>0</v>
      </c>
      <c r="AA471" s="930"/>
      <c r="AB471" s="199">
        <f>IF(B469="Лікар загальної практики - сімейний лікар"," ",IF(B469="Лікар-педіатр"," ",IF(B469="Лікар-терапевт","х",0)))</f>
        <v>0</v>
      </c>
      <c r="AC471" s="199">
        <f>IF(B469="Лікар загальної практики - сімейний лікар"," ",IF(B469="Лікар-педіатр"," ",IF(B469="Лікар-терапевт","х",0)))</f>
        <v>0</v>
      </c>
      <c r="AD471" s="199">
        <f>IF(B469="Лікар загальної практики - сімейний лікар"," ",IF(B469="Лікар-педіатр","х",IF(B469="Лікар-терапевт"," ",0)))</f>
        <v>0</v>
      </c>
      <c r="AE471" s="199">
        <f>IF(B469="Лікар загальної практики - сімейний лікар"," ",IF(B469="Лікар-педіатр","х",IF(B469="Лікар-терапевт"," ",0)))</f>
        <v>0</v>
      </c>
      <c r="AF471" s="199">
        <f>IF(B469="Лікар загальної практики - сімейний лікар"," ",IF(B469="Лікар-педіатр","х",IF(B469="Лікар-терапевт"," ",0)))</f>
        <v>0</v>
      </c>
      <c r="AG471" s="200">
        <f>SUM(AB471:AF471)</f>
        <v>0</v>
      </c>
      <c r="AH471" s="930"/>
      <c r="AI471" s="242"/>
      <c r="AJ471" s="933"/>
      <c r="AK471" s="927"/>
      <c r="AL471" s="927"/>
      <c r="AM471" s="902"/>
      <c r="AN471" s="924"/>
      <c r="AO471" s="924"/>
      <c r="AP471" s="924"/>
      <c r="AQ471" s="924"/>
      <c r="AR471" s="915"/>
    </row>
    <row r="472" spans="1:44" s="50" customFormat="1" ht="31.9" hidden="1" customHeight="1" thickBot="1">
      <c r="A472" s="197"/>
      <c r="B472" s="893"/>
      <c r="C472" s="896"/>
      <c r="D472" s="912"/>
      <c r="E472" s="909"/>
      <c r="F472" s="236" t="s">
        <v>349</v>
      </c>
      <c r="G472" s="203">
        <f>IF($B$469="Лікар-педіатр",G471/L471,IF($B$469="Лікар-терапевт","х",IF($B$469="Лікар загальної практики - сімейний лікар",G471/L471,0)))</f>
        <v>0</v>
      </c>
      <c r="H472" s="203">
        <f>IF($B$469="Лікар-педіатр",H471/L471,IF($B$469="Лікар-терапевт","х",IF($B$469="Лікар загальної практики - сімейний лікар",H471/L471,0)))</f>
        <v>0</v>
      </c>
      <c r="I472" s="203">
        <f>IF($B$469="Лікар-педіатр","x",IF($B$469="Лікар-терапевт",I471/L471,IF($B$469="Лікар загальної практики - сімейний лікар",I471/L471,0)))</f>
        <v>0</v>
      </c>
      <c r="J472" s="203">
        <f>IF($B$469="Лікар-педіатр","x",IF($B$469="Лікар-терапевт",J471/L471,IF($B$469="Лікар загальної практики - сімейний лікар",J471/L471,0)))</f>
        <v>0</v>
      </c>
      <c r="K472" s="203">
        <f>IF($B$469="Лікар-педіатр","x",IF($B$469="Лікар-терапевт",K471/L471,IF($B$469="Лікар загальної практики - сімейний лікар",K471/L471,0)))</f>
        <v>0</v>
      </c>
      <c r="L472" s="203">
        <f>SUM(G472:K472)</f>
        <v>0</v>
      </c>
      <c r="M472" s="930"/>
      <c r="N472" s="203">
        <f>IF($B$469="Лікар-педіатр",N471/S471,IF($B$469="Лікар-терапевт","х",IF($B$469="Лікар загальної практики - сімейний лікар",N471/S471,0)))</f>
        <v>0</v>
      </c>
      <c r="O472" s="203">
        <f>IF($B$469="Лікар-педіатр",O471/S471,IF($B$469="Лікар-терапевт","х",IF($B$469="Лікар загальної практики - сімейний лікар",O471/S471,0)))</f>
        <v>0</v>
      </c>
      <c r="P472" s="203">
        <f>IF($B$469="Лікар-педіатр","x",IF($B$469="Лікар-терапевт",P471/S471,IF($B$469="Лікар загальної практики - сімейний лікар",P471/S471,0)))</f>
        <v>0</v>
      </c>
      <c r="Q472" s="203">
        <f>IF($B$469="Лікар-педіатр","x",IF($B$469="Лікар-терапевт",Q471/S471,IF($B$469="Лікар загальної практики - сімейний лікар",Q471/S471,0)))</f>
        <v>0</v>
      </c>
      <c r="R472" s="203">
        <f>IF($B$469="Лікар-педіатр","x",IF($B$469="Лікар-терапевт",R471/S471,IF($B$469="Лікар загальної практики - сімейний лікар",R471/S471,0)))</f>
        <v>0</v>
      </c>
      <c r="S472" s="203">
        <f>SUM(N472:R472)</f>
        <v>0</v>
      </c>
      <c r="T472" s="930"/>
      <c r="U472" s="203">
        <f>IF($B$469="Лікар-педіатр",U471/Z471,IF($B$469="Лікар-терапевт","х",IF($B$469="Лікар загальної практики - сімейний лікар",U471/Z471,0)))</f>
        <v>0</v>
      </c>
      <c r="V472" s="203">
        <f>IF($B$469="Лікар-педіатр",V471/Z471,IF($B$469="Лікар-терапевт","х",IF($B$469="Лікар загальної практики - сімейний лікар",V471/Z471,0)))</f>
        <v>0</v>
      </c>
      <c r="W472" s="203">
        <f>IF($B$469="Лікар-педіатр","x",IF($B$469="Лікар-терапевт",W471/Z471,IF($B$469="Лікар загальної практики - сімейний лікар",W471/Z471,0)))</f>
        <v>0</v>
      </c>
      <c r="X472" s="203">
        <f>IF($B$469="Лікар-педіатр","x",IF($B$469="Лікар-терапевт",X471/Z471,IF($B$469="Лікар загальної практики - сімейний лікар",X471/Z471,0)))</f>
        <v>0</v>
      </c>
      <c r="Y472" s="203">
        <f>IF($B$469="Лікар-педіатр","x",IF($B$469="Лікар-терапевт",Y471/Z471,IF($B$469="Лікар загальної практики - сімейний лікар",Y471/Z471,0)))</f>
        <v>0</v>
      </c>
      <c r="Z472" s="203">
        <f>SUM(U472:Y472)</f>
        <v>0</v>
      </c>
      <c r="AA472" s="930"/>
      <c r="AB472" s="203">
        <f>IF($B$469="Лікар-педіатр",AB471/AG471,IF($B$469="Лікар-терапевт","х",IF($B$469="Лікар загальної практики - сімейний лікар",AB471/AG471,0)))</f>
        <v>0</v>
      </c>
      <c r="AC472" s="203">
        <f>IF($B$469="Лікар-педіатр",AC471/AG471,IF($B$469="Лікар-терапевт","х",IF($B$469="Лікар загальної практики - сімейний лікар",AC471/AG471,0)))</f>
        <v>0</v>
      </c>
      <c r="AD472" s="203">
        <f>IF($B$469="Лікар-педіатр","x",IF($B$469="Лікар-терапевт",AD471/AG471,IF($B$469="Лікар загальної практики - сімейний лікар",AD471/AG471,0)))</f>
        <v>0</v>
      </c>
      <c r="AE472" s="203">
        <f>IF($B$469="Лікар-педіатр","x",IF($B$469="Лікар-терапевт",AE471/AG471,IF($B$469="Лікар загальної практики - сімейний лікар",AE471/AG471,0)))</f>
        <v>0</v>
      </c>
      <c r="AF472" s="203">
        <f>IF($B$469="Лікар-педіатр","x",IF($B$469="Лікар-терапевт",AF471/AG471,IF($B$469="Лікар загальної практики - сімейний лікар",AF471/AG471,0)))</f>
        <v>0</v>
      </c>
      <c r="AG472" s="203">
        <f>SUM(AB472:AF472)</f>
        <v>0</v>
      </c>
      <c r="AH472" s="930"/>
      <c r="AI472" s="201"/>
      <c r="AJ472" s="933"/>
      <c r="AK472" s="927"/>
      <c r="AL472" s="927"/>
      <c r="AM472" s="902"/>
      <c r="AN472" s="924"/>
      <c r="AO472" s="924"/>
      <c r="AP472" s="924"/>
      <c r="AQ472" s="924"/>
      <c r="AR472" s="915"/>
    </row>
    <row r="473" spans="1:44" s="50" customFormat="1" ht="45" hidden="1" customHeight="1" thickBot="1">
      <c r="A473" s="197"/>
      <c r="B473" s="893"/>
      <c r="C473" s="896"/>
      <c r="D473" s="912"/>
      <c r="E473" s="909"/>
      <c r="F473" s="204" t="s">
        <v>585</v>
      </c>
      <c r="G473" s="205">
        <f>IF($B$469="Лікар загальної практики - сімейний лікар",AVERAGE(G469:G471),IF($B$469="Лікар-педіатр",AVERAGE(G469:G471),IF($B$469="Лікар-терапевт","х",0)))</f>
        <v>0</v>
      </c>
      <c r="H473" s="205">
        <f>IF($B$469="Лікар загальної практики - сімейний лікар",AVERAGE(H469:H471),IF($B$469="Лікар-педіатр",AVERAGE(H469:H471),IF($B$469="Лікар-терапевт","х",0)))</f>
        <v>0</v>
      </c>
      <c r="I473" s="205">
        <f>IF($B$469="Лікар загальної практики - сімейний лікар",AVERAGE(I469:I471),IF($B$469="Лікар-педіатр","x",IF($B$469="Лікар-терапевт",AVERAGE(I469:I471),0)))</f>
        <v>0</v>
      </c>
      <c r="J473" s="205">
        <f>IF($B$469="Лікар загальної практики - сімейний лікар",AVERAGE(J469:J471),IF($B$469="Лікар-педіатр","x",IF($B$469="Лікар-терапевт",AVERAGE(J469:J471),0)))</f>
        <v>0</v>
      </c>
      <c r="K473" s="205">
        <f>IF($B$469="Лікар загальної практики - сімейний лікар",AVERAGE(K469:K471),IF($B$469="Лікар-педіатр","x",IF($B$469="Лікар-терапевт",AVERAGE(K469:K471),0)))</f>
        <v>0</v>
      </c>
      <c r="L473" s="206">
        <f>SUM(G473:K473)</f>
        <v>0</v>
      </c>
      <c r="M473" s="930"/>
      <c r="N473" s="205">
        <f>IF($B$469="Лікар загальної практики - сімейний лікар",AVERAGE(N469:N471),IF($B$469="Лікар-педіатр",AVERAGE(N469:N471),IF($B$469="Лікар-терапевт","х",0)))</f>
        <v>0</v>
      </c>
      <c r="O473" s="205">
        <f>IF($B$469="Лікар загальної практики - сімейний лікар",AVERAGE(O469:O471),IF($B$469="Лікар-педіатр",AVERAGE(O469:O471),IF($B$469="Лікар-терапевт","х",0)))</f>
        <v>0</v>
      </c>
      <c r="P473" s="205">
        <f>IF($B$469="Лікар загальної практики - сімейний лікар",AVERAGE(P469:P471),IF($B$469="Лікар-педіатр","x",IF($B$469="Лікар-терапевт",AVERAGE(P469:P471),0)))</f>
        <v>0</v>
      </c>
      <c r="Q473" s="205">
        <f>IF($B$469="Лікар загальної практики - сімейний лікар",AVERAGE(Q469:Q471),IF($B$469="Лікар-педіатр","x",IF($B$469="Лікар-терапевт",AVERAGE(Q469:Q471),0)))</f>
        <v>0</v>
      </c>
      <c r="R473" s="205">
        <f>IF($B$469="Лікар загальної практики - сімейний лікар",AVERAGE(R469:R471),IF($B$469="Лікар-педіатр","x",IF($B$469="Лікар-терапевт",AVERAGE(R469:R471),0)))</f>
        <v>0</v>
      </c>
      <c r="S473" s="206">
        <f>SUM(N473:R473)</f>
        <v>0</v>
      </c>
      <c r="T473" s="930"/>
      <c r="U473" s="205">
        <f>IF($B$469="Лікар загальної практики - сімейний лікар",AVERAGE(U469:U471),IF($B$469="Лікар-педіатр",AVERAGE(U469:U471),IF($B$469="Лікар-терапевт","х",0)))</f>
        <v>0</v>
      </c>
      <c r="V473" s="205">
        <f>IF($B$469="Лікар загальної практики - сімейний лікар",AVERAGE(V469:V471),IF($B$469="Лікар-педіатр",AVERAGE(V469:V471),IF($B$469="Лікар-терапевт","х",0)))</f>
        <v>0</v>
      </c>
      <c r="W473" s="205">
        <f>IF($B$469="Лікар загальної практики - сімейний лікар",AVERAGE(W469:W471),IF($B$469="Лікар-педіатр","x",IF($B$469="Лікар-терапевт",AVERAGE(W469:W471),0)))</f>
        <v>0</v>
      </c>
      <c r="X473" s="205">
        <f>IF($B$469="Лікар загальної практики - сімейний лікар",AVERAGE(X469:X471),IF($B$469="Лікар-педіатр","x",IF($B$469="Лікар-терапевт",AVERAGE(X469:X471),0)))</f>
        <v>0</v>
      </c>
      <c r="Y473" s="205">
        <f>IF($B$469="Лікар загальної практики - сімейний лікар",AVERAGE(Y469:Y471),IF($B$469="Лікар-педіатр","x",IF($B$469="Лікар-терапевт",AVERAGE(Y469:Y471),0)))</f>
        <v>0</v>
      </c>
      <c r="Z473" s="206">
        <f>SUM(U473:Y473)</f>
        <v>0</v>
      </c>
      <c r="AA473" s="930"/>
      <c r="AB473" s="205">
        <f>IF($B$469="Лікар загальної практики - сімейний лікар",AVERAGE(AB469:AB471),IF($B$469="Лікар-педіатр",AVERAGE(AB469:AB471),IF($B$469="Лікар-терапевт","х",0)))</f>
        <v>0</v>
      </c>
      <c r="AC473" s="205">
        <f>IF($B$469="Лікар загальної практики - сімейний лікар",AVERAGE(AC469:AC471),IF($B$469="Лікар-педіатр",AVERAGE(AC469:AC471),IF($B$469="Лікар-терапевт","х",0)))</f>
        <v>0</v>
      </c>
      <c r="AD473" s="205">
        <f>IF($B$469="Лікар загальної практики - сімейний лікар",AVERAGE(AD469:AD471),IF($B$469="Лікар-педіатр","x",IF($B$469="Лікар-терапевт",AVERAGE(AD469:AD471),0)))</f>
        <v>0</v>
      </c>
      <c r="AE473" s="205">
        <f>IF($B$469="Лікар загальної практики - сімейний лікар",AVERAGE(AE469:AE471),IF($B$469="Лікар-педіатр","x",IF($B$469="Лікар-терапевт",AVERAGE(AE469:AE471),0)))</f>
        <v>0</v>
      </c>
      <c r="AF473" s="205">
        <f>IF($B$469="Лікар загальної практики - сімейний лікар",AVERAGE(AF469:AF471),IF($B$469="Лікар-педіатр","x",IF($B$469="Лікар-терапевт",AVERAGE(AF469:AF471),0)))</f>
        <v>0</v>
      </c>
      <c r="AG473" s="206">
        <f>SUM(AB473:AF473)</f>
        <v>0</v>
      </c>
      <c r="AH473" s="930"/>
      <c r="AI473" s="201"/>
      <c r="AJ473" s="933"/>
      <c r="AK473" s="927"/>
      <c r="AL473" s="927"/>
      <c r="AM473" s="903"/>
      <c r="AN473" s="925"/>
      <c r="AO473" s="925"/>
      <c r="AP473" s="925"/>
      <c r="AQ473" s="925"/>
      <c r="AR473" s="916"/>
    </row>
    <row r="474" spans="1:44" s="50" customFormat="1" ht="40.5" hidden="1">
      <c r="A474" s="197"/>
      <c r="B474" s="893"/>
      <c r="C474" s="896"/>
      <c r="D474" s="912"/>
      <c r="E474" s="909"/>
      <c r="F474" s="237" t="str">
        <f ca="1">IF(B469="Лікар-педіатр",Законод!$C$17,IF(B469="Лікар загальної практики - сімейний лікар",Законод!$C$21,IF(B469="Лікар-терапевт",Законод!$C$25,"х")))</f>
        <v>х</v>
      </c>
      <c r="G474" s="208">
        <f ca="1">IF($B$469="Лікар загальної практики - сімейний лікар",IF(L473&lt;=Законод!$C$22,G473,Законод!$C$22*'01_Доходи'!G472),IF($B$469="Лікар-педіатр",IF(L473&lt;=Законод!$C$18,G473,Законод!$C$18*'01_Доходи'!G472),IF($B$469="Лікар-терапевт","x",0)))</f>
        <v>0</v>
      </c>
      <c r="H474" s="208">
        <f ca="1">IF($B$469="Лікар загальної практики - сімейний лікар",IF(L473&lt;=Законод!$C$22,H473,Законод!$C$22*'01_Доходи'!H472),IF($B$469="Лікар-педіатр",IF(L473&lt;=Законод!$C$18,H473,Законод!$C$18*'01_Доходи'!H472),IF($B$469="Лікар-терапевт","x",0)))</f>
        <v>0</v>
      </c>
      <c r="I474" s="208">
        <f ca="1">IF($B$469="Лікар загальної практики - сімейний лікар",IF(L473&lt;=Законод!$C$22,I473,Законод!$C$22*'01_Доходи'!I472),IF($B$469="Лікар-педіатр","x",IF($B$469="Лікар-терапевт",IF(L473&lt;=Законод!$C$26,I473,Законод!$C$26*'01_Доходи'!I472),0)))</f>
        <v>0</v>
      </c>
      <c r="J474" s="208">
        <f ca="1">IF($B$469="Лікар загальної практики - сімейний лікар",IF(L473&lt;=Законод!$C$22,J473,Законод!$C$22*'01_Доходи'!J472),IF($B$469="Лікар-педіатр","x",IF($B$469="Лікар-терапевт",IF(L473&lt;=Законод!$C$26,J473,Законод!$C$26*'01_Доходи'!J472),0)))</f>
        <v>0</v>
      </c>
      <c r="K474" s="208">
        <f ca="1">IF($B$469="Лікар загальної практики - сімейний лікар",IF(L473&lt;=Законод!$C$22,K473,Законод!$C$22*'01_Доходи'!K472),IF($B$469="Лікар-педіатр","x",IF($B$469="Лікар-терапевт",IF(L473&lt;=Законод!$C$26,K473,Законод!$C$26*'01_Доходи'!K472),0)))</f>
        <v>0</v>
      </c>
      <c r="L474" s="209">
        <f ca="1">SUM(G474:K474)</f>
        <v>0</v>
      </c>
      <c r="M474" s="930"/>
      <c r="N474" s="208">
        <f ca="1">IF($B$469="Лікар загальної практики - сімейний лікар",IF(S473&lt;=Законод!$C$22,N473,Законод!$C$22*'01_Доходи'!N472),IF($B$469="Лікар-педіатр",IF(S473&lt;=Законод!$C$18,N473,Законод!$C$18*'01_Доходи'!N472),IF($B$469="Лікар-терапевт","x",0)))</f>
        <v>0</v>
      </c>
      <c r="O474" s="208">
        <f ca="1">IF($B$469="Лікар загальної практики - сімейний лікар",IF(S473&lt;=Законод!$C$22,O473,Законод!$C$22*'01_Доходи'!O472),IF($B$469="Лікар-педіатр",IF(S473&lt;=Законод!$C$18,O473,Законод!$C$18*'01_Доходи'!O472),IF($B$469="Лікар-терапевт","x",0)))</f>
        <v>0</v>
      </c>
      <c r="P474" s="208">
        <f ca="1">IF($B$469="Лікар загальної практики - сімейний лікар",IF(S473&lt;=Законод!$C$22,P473,Законод!$C$22*'01_Доходи'!P472),IF($B$469="Лікар-педіатр","x",IF($B$469="Лікар-терапевт",IF(S473&lt;=Законод!$C$26,P473,Законод!$C$26*'01_Доходи'!P472),0)))</f>
        <v>0</v>
      </c>
      <c r="Q474" s="208">
        <f ca="1">IF($B$469="Лікар загальної практики - сімейний лікар",IF(S473&lt;=Законод!$C$22,Q473,Законод!$C$22*'01_Доходи'!Q472),IF($B$469="Лікар-педіатр","x",IF($B$469="Лікар-терапевт",IF(S473&lt;=Законод!$C$26,Q473,Законод!$C$26*'01_Доходи'!Q472),0)))</f>
        <v>0</v>
      </c>
      <c r="R474" s="208">
        <f ca="1">IF($B$469="Лікар загальної практики - сімейний лікар",IF(S473&lt;=Законод!$C$22,R473,Законод!$C$22*'01_Доходи'!R472),IF($B$469="Лікар-педіатр","x",IF($B$469="Лікар-терапевт",IF(S473&lt;=Законод!$C$26,R473,Законод!$C$26*'01_Доходи'!R472),0)))</f>
        <v>0</v>
      </c>
      <c r="S474" s="209">
        <f ca="1">SUM(N474:R474)</f>
        <v>0</v>
      </c>
      <c r="T474" s="930"/>
      <c r="U474" s="208">
        <f ca="1">IF($B$469="Лікар загальної практики - сімейний лікар",IF(Z473&lt;=Законод!$C$22,U473,Законод!$C$22*'01_Доходи'!U472),IF($B$469="Лікар-педіатр",IF(Z473&lt;=Законод!$C$18,U473,Законод!$C$18*'01_Доходи'!U472),IF($B$469="Лікар-терапевт","x",0)))</f>
        <v>0</v>
      </c>
      <c r="V474" s="208">
        <f ca="1">IF($B$469="Лікар загальної практики - сімейний лікар",IF(Z473&lt;=Законод!$C$22,V473,Законод!$C$22*'01_Доходи'!V472),IF($B$469="Лікар-педіатр",IF(Z473&lt;=Законод!$C$18,V473,Законод!$C$18*'01_Доходи'!V472),IF($B$469="Лікар-терапевт","x",0)))</f>
        <v>0</v>
      </c>
      <c r="W474" s="208">
        <f ca="1">IF($B$469="Лікар загальної практики - сімейний лікар",IF(Z473&lt;=Законод!$C$22,W473,Законод!$C$22*'01_Доходи'!W472),IF($B$469="Лікар-педіатр","x",IF($B$469="Лікар-терапевт",IF(Z473&lt;=Законод!$C$26,W473,Законод!$C$26*'01_Доходи'!W472),0)))</f>
        <v>0</v>
      </c>
      <c r="X474" s="208">
        <f ca="1">IF($B$469="Лікар загальної практики - сімейний лікар",IF(Z473&lt;=Законод!$C$22,X473,Законод!$C$22*'01_Доходи'!X472),IF($B$469="Лікар-педіатр","x",IF($B$469="Лікар-терапевт",IF(Z473&lt;=Законод!$C$26,X473,Законод!$C$26*'01_Доходи'!X472),0)))</f>
        <v>0</v>
      </c>
      <c r="Y474" s="208">
        <f ca="1">IF($B$469="Лікар загальної практики - сімейний лікар",IF(Z473&lt;=Законод!$C$22,Y473,Законод!$C$22*'01_Доходи'!Y472),IF($B$469="Лікар-педіатр","x",IF($B$469="Лікар-терапевт",IF(Z473&lt;=Законод!$C$26,Y473,Законод!$C$26*'01_Доходи'!Y472),0)))</f>
        <v>0</v>
      </c>
      <c r="Z474" s="209">
        <f ca="1">SUM(U474:Y474)</f>
        <v>0</v>
      </c>
      <c r="AA474" s="930"/>
      <c r="AB474" s="208">
        <f ca="1">IF($B$469="Лікар загальної практики - сімейний лікар",IF(AG473&lt;=Законод!$C$22,AB473,Законод!$C$22*'01_Доходи'!AB472),IF($B$469="Лікар-педіатр",IF(AG473&lt;=Законод!$C$18,AB473,Законод!$C$18*'01_Доходи'!AB472),IF($B$469="Лікар-терапевт","x",0)))</f>
        <v>0</v>
      </c>
      <c r="AC474" s="208">
        <f ca="1">IF($B$469="Лікар загальної практики - сімейний лікар",IF(AG473&lt;=Законод!$C$22,AC473,Законод!$C$22*'01_Доходи'!AC472),IF($B$469="Лікар-педіатр",IF(AG473&lt;=Законод!$C$18,AC473,Законод!$C$18*'01_Доходи'!AC472),IF($B$469="Лікар-терапевт","x",0)))</f>
        <v>0</v>
      </c>
      <c r="AD474" s="208">
        <f ca="1">IF($B$469="Лікар загальної практики - сімейний лікар",IF(AG473&lt;=Законод!$C$22,AD473,Законод!$C$22*'01_Доходи'!AD472),IF($B$469="Лікар-педіатр","x",IF($B$469="Лікар-терапевт",IF(AG473&lt;=Законод!$C$26,AD473,Законод!$C$26*'01_Доходи'!AD472),0)))</f>
        <v>0</v>
      </c>
      <c r="AE474" s="208">
        <f ca="1">IF($B$469="Лікар загальної практики - сімейний лікар",IF(AG473&lt;=Законод!$C$22,AE473,Законод!$C$22*'01_Доходи'!AE472),IF($B$469="Лікар-педіатр","x",IF($B$469="Лікар-терапевт",IF(AG473&lt;=Законод!$C$26,AE473,Законод!$C$26*'01_Доходи'!AE472),0)))</f>
        <v>0</v>
      </c>
      <c r="AF474" s="208">
        <f ca="1">IF($B$469="Лікар загальної практики - сімейний лікар",IF(AG473&lt;=Законод!$C$22,AF473,Законод!$C$22*'01_Доходи'!AF472),IF($B$469="Лікар-педіатр","x",IF($B$469="Лікар-терапевт",IF(AG473&lt;=Законод!$C$26,AF473,Законод!$C$26*'01_Доходи'!AF472),0)))</f>
        <v>0</v>
      </c>
      <c r="AG474" s="209">
        <f ca="1">SUM(AB474:AF474)</f>
        <v>0</v>
      </c>
      <c r="AH474" s="930"/>
      <c r="AI474" s="201"/>
      <c r="AJ474" s="933"/>
      <c r="AK474" s="927"/>
      <c r="AL474" s="927"/>
      <c r="AM474" s="348" t="s">
        <v>374</v>
      </c>
      <c r="AN474" s="210">
        <f ca="1">IF(B469="Лікар загальної практики - сімейний лікар",G474*Законод!$C$11+'01_Доходи'!H474*Законод!$D$11+'01_Доходи'!I474*Законод!$E$11+'01_Доходи'!J474*Законод!$F$11+'01_Доходи'!K474*Законод!$G$11,IF(B469="Лікар-педіатр",G474*Законод!$C$11+'01_Доходи'!H474*Законод!$D$11,IF(B469="Лікар-терапевт",'01_Доходи'!I474*Законод!$E$11+'01_Доходи'!J474*Законод!$F$11+'01_Доходи'!K474*Законод!$G$11,0)))</f>
        <v>0</v>
      </c>
      <c r="AO474" s="210">
        <f ca="1">IF(B469="Лікар загальної практики - сімейний лікар",N474*Законод!$C$11+'01_Доходи'!O474*Законод!$D$11+'01_Доходи'!P474*Законод!$E$11+'01_Доходи'!Q474*Законод!$F$11+'01_Доходи'!R474*Законод!$G$11,IF(B469="Лікар-педіатр",N474*Законод!$C$11+'01_Доходи'!O474*Законод!$D$11,IF(B469="Лікар-терапевт",'01_Доходи'!P474*Законод!$E$11+'01_Доходи'!Q474*Законод!$F$11+'01_Доходи'!R474*Законод!$G$11,0)))</f>
        <v>0</v>
      </c>
      <c r="AP474" s="210">
        <f ca="1">IF(B469="Лікар загальної практики - сімейний лікар",U474*Законод!$C$11+'01_Доходи'!V474*Законод!$D$11+'01_Доходи'!W474*Законод!$E$11+'01_Доходи'!X474*Законод!$F$11+'01_Доходи'!Y474*Законод!$G$11,IF(B469="Лікар-педіатр",U474*Законод!$C$11+'01_Доходи'!V474*Законод!$D$11,IF(B469="Лікар-терапевт",'01_Доходи'!W474*Законод!$E$11+'01_Доходи'!X474*Законод!$F$11+'01_Доходи'!Y474*Законод!$G$11,0)))</f>
        <v>0</v>
      </c>
      <c r="AQ474" s="210">
        <f ca="1">IF(B469="Лікар загальної практики - сімейний лікар",AB474*Законод!$C$11+'01_Доходи'!AC474*Законод!$D$11+'01_Доходи'!AD474*Законод!$E$11+'01_Доходи'!AE474*Законод!$F$11+'01_Доходи'!AF474*Законод!$G$11,IF(B469="Лікар-педіатр",AB474*Законод!$C$11+'01_Доходи'!AC474*Законод!$D$11,IF(B469="Лікар-терапевт",'01_Доходи'!AD474*Законод!$E$11+'01_Доходи'!AE474*Законод!$F$11+'01_Доходи'!AF474*Законод!$G$11,0)))</f>
        <v>0</v>
      </c>
      <c r="AR474" s="211">
        <f t="shared" ref="AR474:AR480" si="63">SUM(AN474:AQ474)</f>
        <v>0</v>
      </c>
    </row>
    <row r="475" spans="1:44" s="50" customFormat="1" ht="31.9" hidden="1" customHeight="1">
      <c r="A475" s="197"/>
      <c r="B475" s="893"/>
      <c r="C475" s="896"/>
      <c r="D475" s="912"/>
      <c r="E475" s="909"/>
      <c r="F475" s="238" t="str">
        <f ca="1">IF(B469="Лікар-педіатр",Законод!$E$17,IF(B469="Лікар загальної практики - сімейний лікар",Законод!$E$21,IF(B469="Лікар-терапевт",Законод!$E$25,"х")))</f>
        <v>х</v>
      </c>
      <c r="G475" s="889" t="s">
        <v>346</v>
      </c>
      <c r="H475" s="890"/>
      <c r="I475" s="890"/>
      <c r="J475" s="890"/>
      <c r="K475" s="891"/>
      <c r="L475" s="196">
        <f ca="1">IF($B$469="Лікар загальної практики - сімейний лікар",IF(L473&lt;Законод!$C$22,0,(IF(AND(L473&gt;=Законод!$E$22,L473&lt;=Законод!$E$23),L473-Законод!$C$22,IF('01_Доходи'!L473&gt;=Законод!$F$22,Законод!$E$24,0)))),IF($B$469="Лікар-педіатр",IF(L473&lt;Законод!$C$18,0,(IF(AND(L473&gt;=Законод!$E$18,L473&lt;=Законод!$E$19),L473-Законод!$C$18,IF('01_Доходи'!L473&gt;=Законод!$F$18,Законод!$E$20,0)))),IF($B$469="Лікар-терапевт",IF(L473&lt;Законод!$C$26,0,(IF(AND(L473&gt;=Законод!$E$26,L473&lt;=Законод!$E$27),L473-Законод!$C$26,IF('01_Доходи'!L473&gt;=Законод!$F$26,Законод!$E$28,0)))),0)))</f>
        <v>0</v>
      </c>
      <c r="M475" s="930"/>
      <c r="N475" s="889" t="s">
        <v>346</v>
      </c>
      <c r="O475" s="890"/>
      <c r="P475" s="890"/>
      <c r="Q475" s="890"/>
      <c r="R475" s="891"/>
      <c r="S475" s="196">
        <f ca="1">IF($B$469="Лікар загальної практики - сімейний лікар",IF(S473&lt;Законод!$C$22,0,(IF(AND(S473&gt;=Законод!$E$22,S473&lt;=Законод!$E$23),S473-Законод!$C$22,IF('01_Доходи'!S473&gt;=Законод!$F$22,Законод!$E$24,0)))),IF($B$469="Лікар-педіатр",IF(S473&lt;Законод!$C$18,0,(IF(AND(S473&gt;=Законод!$E$18,S473&lt;=Законод!$E$19),S473-Законод!$C$18,IF('01_Доходи'!S473&gt;=Законод!$F$18,Законод!$E$20,0)))),IF($B$469="Лікар-терапевт",IF(S473&lt;Законод!$C$26,0,(IF(AND(S473&gt;=Законод!$E$26,S473&lt;=Законод!$E$27),S473-Законод!$C$26,IF('01_Доходи'!S473&gt;=Законод!$F$26,Законод!$E$28,0)))),0)))</f>
        <v>0</v>
      </c>
      <c r="T475" s="930"/>
      <c r="U475" s="889" t="s">
        <v>346</v>
      </c>
      <c r="V475" s="890"/>
      <c r="W475" s="890"/>
      <c r="X475" s="890"/>
      <c r="Y475" s="891"/>
      <c r="Z475" s="196">
        <f ca="1">IF($B$469="Лікар загальної практики - сімейний лікар",IF(Z473&lt;Законод!$C$22,0,(IF(AND(Z473&gt;=Законод!$E$22,Z473&lt;=Законод!$E$23),Z473-Законод!$C$22,IF('01_Доходи'!Z473&gt;=Законод!$F$22,Законод!$E$24,0)))),IF($B$469="Лікар-педіатр",IF(Z473&lt;Законод!$C$18,0,(IF(AND(Z473&gt;=Законод!$E$18,Z473&lt;=Законод!$E$19),Z473-Законод!$C$18,IF('01_Доходи'!Z473&gt;=Законод!$F$18,Законод!$E$20,0)))),IF($B$469="Лікар-терапевт",IF(Z473&lt;Законод!$C$26,0,(IF(AND(Z473&gt;=Законод!$E$26,Z473&lt;=Законод!$E$27),Z473-Законод!$C$26,IF('01_Доходи'!Z473&gt;=Законод!$F$26,Законод!$E$28,0)))),0)))</f>
        <v>0</v>
      </c>
      <c r="AA475" s="930"/>
      <c r="AB475" s="889" t="s">
        <v>346</v>
      </c>
      <c r="AC475" s="890"/>
      <c r="AD475" s="890"/>
      <c r="AE475" s="890"/>
      <c r="AF475" s="891"/>
      <c r="AG475" s="196">
        <f ca="1">IF($B$469="Лікар загальної практики - сімейний лікар",IF(AG473&lt;Законод!$C$22,0,(IF(AND(AG473&gt;=Законод!$E$22,AG473&lt;=Законод!$E$23),AG473-Законод!$C$22,IF('01_Доходи'!AG473&gt;=Законод!$F$22,Законод!$E$24,0)))),IF($B$469="Лікар-педіатр",IF(AG473&lt;Законод!$C$18,0,(IF(AND(AG473&gt;=Законод!$E$18,AG473&lt;=Законод!$E$19),AG473-Законод!$C$18,IF('01_Доходи'!AG473&gt;=Законод!$F$18,Законод!$E$20,0)))),IF($B$469="Лікар-терапевт",IF(AG473&lt;Законод!$C$26,0,(IF(AND(AG473&gt;=Законод!$E$26,AG473&lt;=Законод!$E$27),AG473-Законод!$C$26,IF('01_Доходи'!AG473&gt;=Законод!$F$26,Законод!$E$28,0)))),0)))</f>
        <v>0</v>
      </c>
      <c r="AH475" s="930"/>
      <c r="AI475" s="201"/>
      <c r="AJ475" s="933"/>
      <c r="AK475" s="927"/>
      <c r="AL475" s="927"/>
      <c r="AM475" s="898" t="s">
        <v>375</v>
      </c>
      <c r="AN475" s="210">
        <f ca="1">IF(B469="Лікар загальної практики - сімейний лікар",L475*Законод!$C$9/4*Законод!$E$16,IF(B469="Лікар-педіатр",L475*Законод!$C$9/4*Законод!$E$16,IF(B469="Лікар-терапевт",L475*Законод!$C$9/4*Законод!$E$16,0)))</f>
        <v>0</v>
      </c>
      <c r="AO475" s="210">
        <f ca="1">IF(B469="Лікар загальної практики - сімейний лікар",S475*Законод!$C$9/4*Законод!$E$16,IF(B469="Лікар-педіатр",S475*Законод!$C$9/4*Законод!$E$16,IF(B469="Лікар-терапевт",S475*Законод!$C$9/4*Законод!$E$16,0)))</f>
        <v>0</v>
      </c>
      <c r="AP475" s="210">
        <f ca="1">IF(B469="Лікар загальної практики - сімейний лікар",Z475*Законод!$C$9/4*Законод!$E$16,IF(B469="Лікар-педіатр",Z475*Законод!$C$9/4*Законод!$E$16,IF(B469="Лікар-терапевт",Z475*Законод!$C$9/4*Законод!$E$16,0)))</f>
        <v>0</v>
      </c>
      <c r="AQ475" s="210">
        <f ca="1">IF(B469="Лікар загальної практики - сімейний лікар",AG475*Законод!$C$9/4*Законод!$E$16,IF(B469="Лікар-педіатр",AG475*Законод!$C$9/4*Законод!$E$16,IF(B469="Лікар-терапевт",AG475*Законод!$C$9/4*Законод!$E$16,0)))</f>
        <v>0</v>
      </c>
      <c r="AR475" s="211">
        <f t="shared" si="63"/>
        <v>0</v>
      </c>
    </row>
    <row r="476" spans="1:44" s="50" customFormat="1" ht="31.9" hidden="1" customHeight="1">
      <c r="A476" s="197"/>
      <c r="B476" s="893"/>
      <c r="C476" s="896"/>
      <c r="D476" s="912"/>
      <c r="E476" s="909"/>
      <c r="F476" s="238" t="str">
        <f ca="1">IF(B469="Лікар-педіатр",Законод!$F$17,IF(B469="Лікар загальної практики - сімейний лікар",Законод!$F$21,IF(B469="Лікар-терапевт",Законод!$F$25,"х")))</f>
        <v>х</v>
      </c>
      <c r="G476" s="889" t="s">
        <v>346</v>
      </c>
      <c r="H476" s="890"/>
      <c r="I476" s="890"/>
      <c r="J476" s="890"/>
      <c r="K476" s="891"/>
      <c r="L476" s="196">
        <f ca="1">IF($B$469="Лікар загальної практики - сімейний лікар",IF(L473&lt;Законод!$C$22,0,(IF(AND(L473&gt;=Законод!$F$22,L473&lt;=Законод!$F$23),L473-Законод!$E$23,IF('01_Доходи'!L473&gt;=Законод!$G$22,Законод!$F$24,0)))),IF($B$469="Лікар-педіатр",IF(L473&lt;Законод!$C$18,0,(IF(AND(L473&gt;=Законод!$F$18,L473&lt;=Законод!$F$19),L473-Законод!$E$19,IF('01_Доходи'!L473&gt;=Законод!$G$18,Законод!$F$20,0)))),IF($B$469="Лікар-терапевт",IF(L473&lt;Законод!$C$26,0,(IF(AND(L473&gt;=Законод!$F$26,L473&lt;=Законод!$F$27),L473-Законод!$E$27,IF('01_Доходи'!L473&gt;=Законод!$G$26,Законод!$F$28,0)))),0)))</f>
        <v>0</v>
      </c>
      <c r="M476" s="930"/>
      <c r="N476" s="889" t="s">
        <v>346</v>
      </c>
      <c r="O476" s="890"/>
      <c r="P476" s="890"/>
      <c r="Q476" s="890"/>
      <c r="R476" s="891"/>
      <c r="S476" s="196">
        <f ca="1">IF($B$469="Лікар загальної практики - сімейний лікар",IF(S473&lt;Законод!$C$22,0,(IF(AND(S473&gt;=Законод!$F$22,S473&lt;=Законод!$F$23),S473-Законод!$E$23,IF('01_Доходи'!S473&gt;=Законод!$G$22,Законод!$F$24,0)))),IF($B$469="Лікар-педіатр",IF(S473&lt;Законод!$C$18,0,(IF(AND(S473&gt;=Законод!$F$18,S473&lt;=Законод!$F$19),S473-Законод!$E$19,IF('01_Доходи'!S473&gt;=Законод!$G$18,Законод!$F$20,0)))),IF($B$469="Лікар-терапевт",IF(S473&lt;Законод!$C$26,0,(IF(AND(S473&gt;=Законод!$F$26,S473&lt;=Законод!$F$27),S473-Законод!$E$27,IF('01_Доходи'!S473&gt;=Законод!$G$26,Законод!$F$28,0)))),0)))</f>
        <v>0</v>
      </c>
      <c r="T476" s="930"/>
      <c r="U476" s="889" t="s">
        <v>346</v>
      </c>
      <c r="V476" s="890"/>
      <c r="W476" s="890"/>
      <c r="X476" s="890"/>
      <c r="Y476" s="891"/>
      <c r="Z476" s="196">
        <f ca="1">IF($B$469="Лікар загальної практики - сімейний лікар",IF(Z473&lt;Законод!$C$22,0,(IF(AND(Z473&gt;=Законод!$F$22,Z473&lt;=Законод!$F$23),Z473-Законод!$E$23,IF('01_Доходи'!Z473&gt;=Законод!$G$22,Законод!$F$24,0)))),IF($B$469="Лікар-педіатр",IF(Z473&lt;Законод!$C$18,0,(IF(AND(Z473&gt;=Законод!$F$18,Z473&lt;=Законод!$F$19),Z473-Законод!$E$19,IF('01_Доходи'!Z473&gt;=Законод!$G$18,Законод!$F$20,0)))),IF($B$469="Лікар-терапевт",IF(Z473&lt;Законод!$C$26,0,(IF(AND(Z473&gt;=Законод!$F$26,Z473&lt;=Законод!$F$27),Z473-Законод!$E$27,IF('01_Доходи'!Z473&gt;=Законод!$G$26,Законод!$F$28,0)))),0)))</f>
        <v>0</v>
      </c>
      <c r="AA476" s="930"/>
      <c r="AB476" s="889" t="s">
        <v>346</v>
      </c>
      <c r="AC476" s="890"/>
      <c r="AD476" s="890"/>
      <c r="AE476" s="890"/>
      <c r="AF476" s="891"/>
      <c r="AG476" s="196">
        <f ca="1">IF($B$469="Лікар загальної практики - сімейний лікар",IF(AG473&lt;Законод!$C$22,0,(IF(AND(AG473&gt;=Законод!$F$22,AG473&lt;=Законод!$F$23),AG473-Законод!$E$23,IF('01_Доходи'!AG473&gt;=Законод!$G$22,Законод!$F$24,0)))),IF($B$469="Лікар-педіатр",IF(AG473&lt;Законод!$C$18,0,(IF(AND(AG473&gt;=Законод!$F$18,AG473&lt;=Законод!$F$19),AG473-Законод!$E$19,IF('01_Доходи'!AG473&gt;=Законод!$G$18,Законод!$F$20,0)))),IF($B$469="Лікар-терапевт",IF(AG473&lt;Законод!$C$26,0,(IF(AND(AG473&gt;=Законод!$F$26,AG473&lt;=Законод!$F$27),AG473-Законод!$E$27,IF('01_Доходи'!AG473&gt;=Законод!$G$26,Законод!$F$28,0)))),0)))</f>
        <v>0</v>
      </c>
      <c r="AH476" s="930"/>
      <c r="AI476" s="201"/>
      <c r="AJ476" s="933"/>
      <c r="AK476" s="927"/>
      <c r="AL476" s="927"/>
      <c r="AM476" s="899"/>
      <c r="AN476" s="210">
        <f ca="1">IF(B469="Лікар загальної практики - сімейний лікар",L476*Законод!$C$9/4*Законод!$F$16,IF(B469="Лікар-педіатр",L476*Законод!$C$9/4*Законод!$F$16,IF(B469="Лікар-терапевт",L476*Законод!$C$9/4*Законод!$F$16,0)))</f>
        <v>0</v>
      </c>
      <c r="AO476" s="210">
        <f ca="1">IF(B469="Лікар загальної практики - сімейний лікар",S476*Законод!$C$9/4*Законод!$F$16,IF(B469="Лікар-педіатр",S476*Законод!$C$9/4*Законод!$F$16,IF(B469="Лікар-терапевт",S476*Законод!$C$9/4*Законод!$F$16,0)))</f>
        <v>0</v>
      </c>
      <c r="AP476" s="210">
        <f ca="1">IF(B469="Лікар загальної практики - сімейний лікар",Z476*Законод!$C$9/4*Законод!$F$16,IF(B469="Лікар-педіатр",Z476*Законод!$C$9/4*Законод!$F$16,IF(B469="Лікар-терапевт",Z476*Законод!$C$9/4*Законод!$F$16,0)))</f>
        <v>0</v>
      </c>
      <c r="AQ476" s="210">
        <f ca="1">IF(B469="Лікар загальної практики - сімейний лікар",AG476*Законод!$C$9/4*Законод!$F$16,IF(B469="Лікар-педіатр",AG476*Законод!$C$9/4*Законод!$F$16,IF(B469="Лікар-терапевт",AG476*Законод!$C$9/4*Законод!$F$16,0)))</f>
        <v>0</v>
      </c>
      <c r="AR476" s="211">
        <f t="shared" si="63"/>
        <v>0</v>
      </c>
    </row>
    <row r="477" spans="1:44" s="50" customFormat="1" ht="31.9" hidden="1" customHeight="1">
      <c r="A477" s="197"/>
      <c r="B477" s="893"/>
      <c r="C477" s="896"/>
      <c r="D477" s="912"/>
      <c r="E477" s="909"/>
      <c r="F477" s="238" t="str">
        <f ca="1">IF(B469="Лікар-педіатр",Законод!$G$17,IF(B469="Лікар загальної практики - сімейний лікар",Законод!$G$21,IF(B469="Лікар-терапевт",Законод!$G$25,"х")))</f>
        <v>х</v>
      </c>
      <c r="G477" s="889" t="s">
        <v>346</v>
      </c>
      <c r="H477" s="890"/>
      <c r="I477" s="890"/>
      <c r="J477" s="890"/>
      <c r="K477" s="891"/>
      <c r="L477" s="196">
        <f ca="1">IF($B$469="Лікар загальної практики - сімейний лікар",IF(L473&lt;Законод!$C$22,0,(IF(AND(L473&gt;=Законод!$G$22,L473&lt;=Законод!$G$23),L473-Законод!$F$23,IF('01_Доходи'!L473&gt;=Законод!$H$22,Законод!$G$24,0)))),IF($B$469="Лікар-педіатр",IF(L473&lt;Законод!$C$18,0,(IF(AND(L473&gt;=Законод!$G$18,L473&lt;=Законод!$G$19),L473-Законод!$F$19,IF('01_Доходи'!L473&gt;=Законод!$H$18,Законод!$G$20,0)))),IF($B$469="Лікар-терапевт",IF(L473&lt;Законод!$C$26,0,(IF(AND(L473&gt;=Законод!$G$26,L473&lt;=Законод!$G$27),L473-Законод!$F$27,IF('01_Доходи'!L473&gt;=Законод!$H$26,Законод!$G$28,0)))),0)))</f>
        <v>0</v>
      </c>
      <c r="M477" s="930"/>
      <c r="N477" s="889" t="s">
        <v>346</v>
      </c>
      <c r="O477" s="890"/>
      <c r="P477" s="890"/>
      <c r="Q477" s="890"/>
      <c r="R477" s="891"/>
      <c r="S477" s="196">
        <f ca="1">IF($B$469="Лікар загальної практики - сімейний лікар",IF(S473&lt;Законод!$C$22,0,(IF(AND(S473&gt;=Законод!$G$22,S473&lt;=Законод!$G$23),S473-Законод!$F$23,IF('01_Доходи'!S473&gt;=Законод!$H$22,Законод!$G$24,0)))),IF($B$469="Лікар-педіатр",IF(S473&lt;Законод!$C$18,0,(IF(AND(S473&gt;=Законод!$G$18,S473&lt;=Законод!$G$19),S473-Законод!$F$19,IF('01_Доходи'!S473&gt;=Законод!$H$18,Законод!$G$20,0)))),IF($B$469="Лікар-терапевт",IF(S473&lt;Законод!$C$26,0,(IF(AND(S473&gt;=Законод!$G$26,S473&lt;=Законод!$G$27),S473-Законод!$F$27,IF('01_Доходи'!S473&gt;=Законод!$H$26,Законод!$G$28,0)))),0)))</f>
        <v>0</v>
      </c>
      <c r="T477" s="930"/>
      <c r="U477" s="889" t="s">
        <v>346</v>
      </c>
      <c r="V477" s="890"/>
      <c r="W477" s="890"/>
      <c r="X477" s="890"/>
      <c r="Y477" s="891"/>
      <c r="Z477" s="196">
        <f ca="1">IF($B$469="Лікар загальної практики - сімейний лікар",IF(Z473&lt;Законод!$C$22,0,(IF(AND(Z473&gt;=Законод!$G$22,Z473&lt;=Законод!$G$23),Z473-Законод!$F$23,IF('01_Доходи'!Z473&gt;=Законод!$H$22,Законод!$G$24,0)))),IF($B$469="Лікар-педіатр",IF(Z473&lt;Законод!$C$18,0,(IF(AND(Z473&gt;=Законод!$G$18,Z473&lt;=Законод!$G$19),Z473-Законод!$F$19,IF('01_Доходи'!Z473&gt;=Законод!$H$18,Законод!$G$20,0)))),IF($B$469="Лікар-терапевт",IF(Z473&lt;Законод!$C$26,0,(IF(AND(Z473&gt;=Законод!$G$26,Z473&lt;=Законод!$G$27),Z473-Законод!$F$27,IF('01_Доходи'!Z473&gt;=Законод!$H$26,Законод!$G$28,0)))),0)))</f>
        <v>0</v>
      </c>
      <c r="AA477" s="930"/>
      <c r="AB477" s="889" t="s">
        <v>346</v>
      </c>
      <c r="AC477" s="890"/>
      <c r="AD477" s="890"/>
      <c r="AE477" s="890"/>
      <c r="AF477" s="891"/>
      <c r="AG477" s="196">
        <f ca="1">IF($B$469="Лікар загальної практики - сімейний лікар",IF(AG473&lt;Законод!$C$22,0,(IF(AND(AG473&gt;=Законод!$G$22,AG473&lt;=Законод!$G$23),AG473-Законод!$F$23,IF('01_Доходи'!AG473&gt;=Законод!$H$22,Законод!$G$24,0)))),IF($B$469="Лікар-педіатр",IF(AG473&lt;Законод!$C$18,0,(IF(AND(AG473&gt;=Законод!$G$18,AG473&lt;=Законод!$G$19),AG473-Законод!$F$19,IF('01_Доходи'!AG473&gt;=Законод!$H$18,Законод!$G$20,0)))),IF($B$469="Лікар-терапевт",IF(AG473&lt;Законод!$C$26,0,(IF(AND(AG473&gt;=Законод!$G$26,AG473&lt;=Законод!$G$27),AG473-Законод!$F$27,IF('01_Доходи'!AG473&gt;=Законод!$H$26,Законод!$G$28,0)))),0)))</f>
        <v>0</v>
      </c>
      <c r="AH477" s="930"/>
      <c r="AI477" s="201"/>
      <c r="AJ477" s="933"/>
      <c r="AK477" s="927"/>
      <c r="AL477" s="927"/>
      <c r="AM477" s="899"/>
      <c r="AN477" s="210">
        <f ca="1">IF(B469="Лікар загальної практики - сімейний лікар",L477*Законод!$C$9/4*Законод!$G$16,IF(B469="Лікар-педіатр",L477*Законод!$C$9/4*Законод!$G$16,IF(B469="Лікар-терапевт",L477*Законод!$C$9/4*Законод!$G$16,0)))</f>
        <v>0</v>
      </c>
      <c r="AO477" s="210">
        <f ca="1">IF(B469="Лікар загальної практики - сімейний лікар",S477*Законод!$C$9/4*Законод!$G$16,IF(B469="Лікар-педіатр",S477*Законод!$C$9/4*Законод!$G$16,IF(B469="Лікар-терапевт",S477*Законод!$C$9/4*Законод!$G$16,0)))</f>
        <v>0</v>
      </c>
      <c r="AP477" s="210">
        <f ca="1">IF(B469="Лікар загальної практики - сімейний лікар",Z477*Законод!$C$9/4*Законод!$G$16,IF(B469="Лікар-педіатр",Z477*Законод!$C$9/4*Законод!$G$16,IF(B469="Лікар-терапевт",Z477*Законод!$C$9/4*Законод!$G$16,0)))</f>
        <v>0</v>
      </c>
      <c r="AQ477" s="210">
        <f ca="1">IF(B469="Лікар загальної практики - сімейний лікар",AG477*Законод!$C$9/4*Законод!$G$16,IF(B469="Лікар-педіатр",AG477*Законод!$C$9/4*Законод!$G$16,IF(B469="Лікар-терапевт",AG477*Законод!$C$9/4*Законод!$G$16,0)))</f>
        <v>0</v>
      </c>
      <c r="AR477" s="211">
        <f t="shared" si="63"/>
        <v>0</v>
      </c>
    </row>
    <row r="478" spans="1:44" s="50" customFormat="1" ht="31.9" hidden="1" customHeight="1">
      <c r="A478" s="197"/>
      <c r="B478" s="893"/>
      <c r="C478" s="896"/>
      <c r="D478" s="912"/>
      <c r="E478" s="909"/>
      <c r="F478" s="238" t="str">
        <f ca="1">IF(B469="Лікар-педіатр",Законод!$H$17,IF(B469="Лікар загальної практики - сімейний лікар",Законод!$H$21,IF(B469="Лікар-терапевт",Законод!$H$25,"х")))</f>
        <v>х</v>
      </c>
      <c r="G478" s="889" t="s">
        <v>346</v>
      </c>
      <c r="H478" s="890"/>
      <c r="I478" s="890"/>
      <c r="J478" s="890"/>
      <c r="K478" s="891"/>
      <c r="L478" s="196">
        <f ca="1">IF($B$469="Лікар загальної практики - сімейний лікар",IF(L473&lt;Законод!$C$22,0,(IF(AND(L473&gt;=Законод!$H$22,L473&lt;=Законод!$H$23),L473-Законод!$G$23,IF('01_Доходи'!L473&gt;=Законод!$I$22,Законод!$H$24,0)))),IF($B$469="Лікар-педіатр",IF(L473&lt;Законод!$C$18,0,(IF(AND(L473&gt;=Законод!$H$18,L473&lt;=Законод!$H$19),L473-Законод!$G$19,IF('01_Доходи'!L473&gt;=Законод!$I$18,Законод!$H$20,0)))),IF($B$469="Лікар-терапевт",IF(L473&lt;Законод!$C$26,0,(IF(AND(L473&gt;=Законод!$H$26,L473&lt;=Законод!$H$27),L473-Законод!$G$27,IF(L473&gt;=Законод!$I$26,Законод!$H$28,0)))),0)))</f>
        <v>0</v>
      </c>
      <c r="M478" s="930"/>
      <c r="N478" s="889" t="s">
        <v>346</v>
      </c>
      <c r="O478" s="890"/>
      <c r="P478" s="890"/>
      <c r="Q478" s="890"/>
      <c r="R478" s="891"/>
      <c r="S478" s="196">
        <f ca="1">IF($B$469="Лікар загальної практики - сімейний лікар",IF(S473&lt;Законод!$C$22,0,(IF(AND(S473&gt;=Законод!$H$22,S473&lt;=Законод!$H$23),S473-Законод!$G$23,IF('01_Доходи'!S473&gt;=Законод!$I$22,Законод!$H$24,0)))),IF($B$469="Лікар-педіатр",IF(S473&lt;Законод!$C$18,0,(IF(AND(S473&gt;=Законод!$H$18,S473&lt;=Законод!$H$19),S473-Законод!$G$19,IF('01_Доходи'!S473&gt;=Законод!$I$18,Законод!$H$20,0)))),IF($B$469="Лікар-терапевт",IF(S473&lt;Законод!$C$26,0,(IF(AND(S473&gt;=Законод!$H$26,S473&lt;=Законод!$H$27),S473-Законод!$G$27,IF(S473&gt;=Законод!$I$26,Законод!$H$28,0)))),0)))</f>
        <v>0</v>
      </c>
      <c r="T478" s="930"/>
      <c r="U478" s="889" t="s">
        <v>346</v>
      </c>
      <c r="V478" s="890"/>
      <c r="W478" s="890"/>
      <c r="X478" s="890"/>
      <c r="Y478" s="891"/>
      <c r="Z478" s="196">
        <f ca="1">IF($B$469="Лікар загальної практики - сімейний лікар",IF(Z473&lt;Законод!$C$22,0,(IF(AND(Z473&gt;=Законод!$H$22,Z473&lt;=Законод!$H$23),Z473-Законод!$G$23,IF('01_Доходи'!Z473&gt;=Законод!$I$22,Законод!$H$24,0)))),IF($B$469="Лікар-педіатр",IF(Z473&lt;Законод!$C$18,0,(IF(AND(Z473&gt;=Законод!$H$18,Z473&lt;=Законод!$H$19),Z473-Законод!$G$19,IF('01_Доходи'!Z473&gt;=Законод!$I$18,Законод!$H$20,0)))),IF($B$469="Лікар-терапевт",IF(Z473&lt;Законод!$C$26,0,(IF(AND(Z473&gt;=Законод!$H$26,Z473&lt;=Законод!$H$27),Z473-Законод!$G$27,IF(Z473&gt;=Законод!$I$26,Законод!$H$28,0)))),0)))</f>
        <v>0</v>
      </c>
      <c r="AA478" s="930"/>
      <c r="AB478" s="889" t="s">
        <v>346</v>
      </c>
      <c r="AC478" s="890"/>
      <c r="AD478" s="890"/>
      <c r="AE478" s="890"/>
      <c r="AF478" s="891"/>
      <c r="AG478" s="196">
        <f ca="1">IF($B$469="Лікар загальної практики - сімейний лікар",IF(AG473&lt;Законод!$C$22,0,(IF(AND(AG473&gt;=Законод!$H$22,AG473&lt;=Законод!$H$23),AG473-Законод!$G$23,IF('01_Доходи'!AG473&gt;=Законод!$I$22,Законод!$H$24,0)))),IF($B$469="Лікар-педіатр",IF(AG473&lt;Законод!$C$18,0,(IF(AND(AG473&gt;=Законод!$H$18,AG473&lt;=Законод!$H$19),AG473-Законод!$G$19,IF('01_Доходи'!AG473&gt;=Законод!$I$18,Законод!$H$20,0)))),IF($B$469="Лікар-терапевт",IF(AG473&lt;Законод!$C$26,0,(IF(AND(AG473&gt;=Законод!$H$26,AG473&lt;=Законод!$H$27),AG473-Законод!$G$27,IF(AG473&gt;=Законод!$I$26,Законод!$H$28,0)))),0)))</f>
        <v>0</v>
      </c>
      <c r="AH478" s="930"/>
      <c r="AI478" s="201"/>
      <c r="AJ478" s="933"/>
      <c r="AK478" s="927"/>
      <c r="AL478" s="927"/>
      <c r="AM478" s="899"/>
      <c r="AN478" s="210">
        <f ca="1">IF(B469="Лікар загальної практики - сімейний лікар",L478*Законод!$C$9/4*Законод!$H$16,IF(B469="Лікар-педіатр",L478*Законод!$C$9/4*Законод!$H$16,IF(B469="Лікар-терапевт",L478*Законод!$C$9/4*Законод!$H$16,0)))</f>
        <v>0</v>
      </c>
      <c r="AO478" s="210">
        <f ca="1">IF(B469="Лікар загальної практики - сімейний лікар",S478*Законод!$C$9/4*Законод!$H$16,IF(B469="Лікар-педіатр",S478*Законод!$C$9/4*Законод!$H$16,IF(B469="Лікар-терапевт",S478*Законод!$C$9/4*Законод!$H$16,0)))</f>
        <v>0</v>
      </c>
      <c r="AP478" s="210">
        <f ca="1">IF(B469="Лікар загальної практики - сімейний лікар",Z478*Законод!$C$9/4*Законод!$H$16,IF(B469="Лікар-педіатр",Z478*Законод!$C$9/4*Законод!$H$16,IF(B469="Лікар-терапевт",Z478*Законод!$C$9/4*Законод!$H$16,0)))</f>
        <v>0</v>
      </c>
      <c r="AQ478" s="210">
        <f ca="1">IF(B469="Лікар загальної практики - сімейний лікар",AG478*Законод!$C$9/4*Законод!$H$16,IF(B469="Лікар-педіатр",AG478*Законод!$C$9/4*Законод!$H$16,IF(B469="Лікар-терапевт",AG478*Законод!$C$9/4*Законод!$H$16,0)))</f>
        <v>0</v>
      </c>
      <c r="AR478" s="211">
        <f t="shared" si="63"/>
        <v>0</v>
      </c>
    </row>
    <row r="479" spans="1:44" s="50" customFormat="1" ht="31.9" hidden="1" customHeight="1">
      <c r="A479" s="197"/>
      <c r="B479" s="893"/>
      <c r="C479" s="896"/>
      <c r="D479" s="912"/>
      <c r="E479" s="909"/>
      <c r="F479" s="238" t="str">
        <f ca="1">IF(B469="Лікар-педіатр",Законод!$I$17,IF(B469="Лікар загальної практики - сімейний лікар",Законод!$I$21,IF(B469="Лікар-терапевт",Законод!$I$25,"х")))</f>
        <v>х</v>
      </c>
      <c r="G479" s="889" t="s">
        <v>346</v>
      </c>
      <c r="H479" s="890"/>
      <c r="I479" s="890"/>
      <c r="J479" s="890"/>
      <c r="K479" s="891"/>
      <c r="L479" s="196">
        <f ca="1">IF($B$469="Лікар загальної практики - сімейний лікар",IF(L473&lt;Законод!$C$22,0,(IF(AND(L473&gt;=Законод!$I$22,L473&lt;=Законод!$I$23),L473-Законод!$H$23,IF('01_Доходи'!L473&gt;=Законод!$I$22,Законод!$I$24,0)))),IF($B$469="Лікар-педіатр",IF(L473&lt;Законод!$C$18,0,(IF(AND(L473&gt;=Законод!$I$18,L473&lt;=Законод!$I$19),L473-Законод!$H$19,IF('01_Доходи'!L473&gt;=Законод!$I$18,Законод!$H$20,0)))),IF($B$469="Лікар-терапевт",IF(L473&lt;Законод!$C$26,0,(IF(AND(L473&gt;=Законод!$I$26,L473&lt;=Законод!$I$27),L473-Законод!$H$27,IF('01_Доходи'!L473&gt;=Законод!$I$26,Законод!$H$28,0)))),0)))</f>
        <v>0</v>
      </c>
      <c r="M479" s="930"/>
      <c r="N479" s="889" t="s">
        <v>346</v>
      </c>
      <c r="O479" s="890"/>
      <c r="P479" s="890"/>
      <c r="Q479" s="890"/>
      <c r="R479" s="891"/>
      <c r="S479" s="196">
        <f ca="1">IF($B$469="Лікар загальної практики - сімейний лікар",IF(S473&lt;Законод!$C$22,0,(IF(AND(S473&gt;=Законод!$I$22,S473&lt;=Законод!$I$23),S473-Законод!$H$23,IF('01_Доходи'!S473&gt;=Законод!$I$22,Законод!$I$24,0)))),IF($B$469="Лікар-педіатр",IF(S473&lt;Законод!$C$18,0,(IF(AND(S473&gt;=Законод!$I$18,S473&lt;=Законод!$I$19),S473-Законод!$H$19,IF('01_Доходи'!S473&gt;=Законод!$I$18,Законод!$H$20,0)))),IF($B$469="Лікар-терапевт",IF(S473&lt;Законод!$C$26,0,(IF(AND(S473&gt;=Законод!$I$26,S473&lt;=Законод!$I$27),S473-Законод!$H$27,IF('01_Доходи'!S473&gt;=Законод!$I$26,Законод!$H$28,0)))),0)))</f>
        <v>0</v>
      </c>
      <c r="T479" s="930"/>
      <c r="U479" s="889" t="s">
        <v>346</v>
      </c>
      <c r="V479" s="890"/>
      <c r="W479" s="890"/>
      <c r="X479" s="890"/>
      <c r="Y479" s="891"/>
      <c r="Z479" s="196">
        <f ca="1">IF($B$469="Лікар загальної практики - сімейний лікар",IF(Z473&lt;Законод!$C$22,0,(IF(AND(Z473&gt;=Законод!$I$22,Z473&lt;=Законод!$I$23),Z473-Законод!$H$23,IF('01_Доходи'!Z473&gt;=Законод!$I$22,Законод!$I$24,0)))),IF($B$469="Лікар-педіатр",IF(Z473&lt;Законод!$C$18,0,(IF(AND(Z473&gt;=Законод!$I$18,Z473&lt;=Законод!$I$19),Z473-Законод!$H$19,IF('01_Доходи'!Z473&gt;=Законод!$I$18,Законод!$H$20,0)))),IF($B$469="Лікар-терапевт",IF(Z473&lt;Законод!$C$26,0,(IF(AND(Z473&gt;=Законод!$I$26,Z473&lt;=Законод!$I$27),Z473-Законод!$H$27,IF('01_Доходи'!Z473&gt;=Законод!$I$26,Законод!$H$28,0)))),0)))</f>
        <v>0</v>
      </c>
      <c r="AA479" s="930"/>
      <c r="AB479" s="889" t="s">
        <v>346</v>
      </c>
      <c r="AC479" s="890"/>
      <c r="AD479" s="890"/>
      <c r="AE479" s="890"/>
      <c r="AF479" s="891"/>
      <c r="AG479" s="196">
        <f ca="1">IF($B$469="Лікар загальної практики - сімейний лікар",IF(AG473&lt;Законод!$C$22,0,(IF(AND(AG473&gt;=Законод!$I$22,AG473&lt;=Законод!$I$23),AG473-Законод!$H$23,IF('01_Доходи'!AG473&gt;=Законод!$I$22,Законод!$I$24,0)))),IF($B$469="Лікар-педіатр",IF(AG473&lt;Законод!$C$18,0,(IF(AND(AG473&gt;=Законод!$I$18,AG473&lt;=Законод!$I$19),AG473-Законод!$H$19,IF('01_Доходи'!AG473&gt;=Законод!$I$18,Законод!$H$20,0)))),IF($B$469="Лікар-терапевт",IF(AG473&lt;Законод!$C$26,0,(IF(AND(AG473&gt;=Законод!$I$26,AG473&lt;=Законод!$I$27),AG473-Законод!$H$27,IF('01_Доходи'!AG473&gt;=Законод!$I$26,Законод!$H$28,0)))),0)))</f>
        <v>0</v>
      </c>
      <c r="AH479" s="930"/>
      <c r="AI479" s="201"/>
      <c r="AJ479" s="933"/>
      <c r="AK479" s="927"/>
      <c r="AL479" s="927"/>
      <c r="AM479" s="899"/>
      <c r="AN479" s="210">
        <f ca="1">IF(B469="Лікар загальної практики - сімейний лікар",L479*Законод!$C$9/4*Законод!$I$16,IF(B469="Лікар-педіатр",L479*Законод!$C$9/4*Законод!$I$16,IF(B469="Лікар-терапевт",L479*Законод!$C$9/4*Законод!$I$16,0)))</f>
        <v>0</v>
      </c>
      <c r="AO479" s="210">
        <f ca="1">IF(B469="Лікар загальної практики - сімейний лікар",S479*Законод!$C$9/4*Законод!$I$16,IF(B469="Лікар-педіатр",S479*Законод!$C$9/4*Законод!$I$16,IF(B469="Лікар-терапевт",S479*Законод!$C$9/4*Законод!$I$16,0)))</f>
        <v>0</v>
      </c>
      <c r="AP479" s="210">
        <f ca="1">IF(B469="Лікар загальної практики - сімейний лікар",Z479*Законод!$C$9/4*Законод!$I$16,IF(B469="Лікар-педіатр",Z479*Законод!$C$9/4*Законод!$I$16,IF(B469="Лікар-терапевт",Z479*Законод!$C$9/4*Законод!$I$16,0)))</f>
        <v>0</v>
      </c>
      <c r="AQ479" s="210">
        <f ca="1">IF(B469="Лікар загальної практики - сімейний лікар",AG479*Законод!$C$9/4*Законод!$I$16,IF(B469="Лікар-педіатр",AG479*Законод!$C$9/4*Законод!$I$16,IF(B469="Лікар-терапевт",AG479*Законод!$C$9/4*Законод!$I$16,0)))</f>
        <v>0</v>
      </c>
      <c r="AR479" s="211">
        <f t="shared" si="63"/>
        <v>0</v>
      </c>
    </row>
    <row r="480" spans="1:44" s="218" customFormat="1" ht="31.9" hidden="1" customHeight="1" thickBot="1">
      <c r="A480" s="213"/>
      <c r="B480" s="894"/>
      <c r="C480" s="897"/>
      <c r="D480" s="913"/>
      <c r="E480" s="910"/>
      <c r="F480" s="239" t="str">
        <f ca="1">IF(B469="Лікар-педіатр",Законод!$J$17,IF(B469="Лікар загальної практики - сімейний лікар",Законод!$J$21,IF(B469="Лікар-терапевт",Законод!$J$25,"х")))</f>
        <v>х</v>
      </c>
      <c r="G480" s="935" t="s">
        <v>346</v>
      </c>
      <c r="H480" s="936"/>
      <c r="I480" s="936"/>
      <c r="J480" s="936"/>
      <c r="K480" s="937"/>
      <c r="L480" s="196">
        <f ca="1">IF($B$469="Лікар загальної практики - сімейний лікар",IF(L473&gt;=Законод!$J$22,'01_Доходи'!L473-('01_Доходи'!L474+'01_Доходи'!L475+'01_Доходи'!L476+'01_Доходи'!L477+'01_Доходи'!L478+'01_Доходи'!L479),0),IF($B$469="Лікар-педіатр",IF(L473&gt;=Законод!$J$18,'01_Доходи'!L473-('01_Доходи'!L474+'01_Доходи'!L475+'01_Доходи'!L476+'01_Доходи'!L477+'01_Доходи'!L478+'01_Доходи'!L479),0),IF($B$469="Лікар-терапевт",IF('01_Доходи'!L473&gt;=Законод!$J$26,L473-Законод!$I$27,0),0)))</f>
        <v>0</v>
      </c>
      <c r="M480" s="931"/>
      <c r="N480" s="935" t="s">
        <v>346</v>
      </c>
      <c r="O480" s="936"/>
      <c r="P480" s="936"/>
      <c r="Q480" s="936"/>
      <c r="R480" s="937"/>
      <c r="S480" s="196">
        <f ca="1">IF($B$469="Лікар загальної практики - сімейний лікар",IF(S473&gt;=Законод!$J$22,'01_Доходи'!S473-('01_Доходи'!S474+'01_Доходи'!S475+'01_Доходи'!S476+'01_Доходи'!S477+'01_Доходи'!S478+'01_Доходи'!S479),0),IF($B$469="Лікар-педіатр",IF(S473&gt;=Законод!$J$18,'01_Доходи'!S473-('01_Доходи'!S474+'01_Доходи'!S475+'01_Доходи'!S476+'01_Доходи'!S477+'01_Доходи'!S478+'01_Доходи'!S479),0),IF($B$469="Лікар-терапевт",IF('01_Доходи'!S473&gt;=Законод!$J$26,S473-Законод!$I$27,0),0)))</f>
        <v>0</v>
      </c>
      <c r="T480" s="931"/>
      <c r="U480" s="935" t="s">
        <v>346</v>
      </c>
      <c r="V480" s="936"/>
      <c r="W480" s="936"/>
      <c r="X480" s="936"/>
      <c r="Y480" s="937"/>
      <c r="Z480" s="196">
        <f ca="1">IF($B$469="Лікар загальної практики - сімейний лікар",IF(Z473&gt;=Законод!$J$22,'01_Доходи'!Z473-('01_Доходи'!Z474+'01_Доходи'!Z475+'01_Доходи'!Z476+'01_Доходи'!Z477+'01_Доходи'!Z478+'01_Доходи'!Z479),0),IF($B$469="Лікар-педіатр",IF(Z473&gt;=Законод!$J$18,'01_Доходи'!Z473-('01_Доходи'!Z474+'01_Доходи'!Z475+'01_Доходи'!Z476+'01_Доходи'!Z477+'01_Доходи'!Z478+'01_Доходи'!Z479),0),IF($B$469="Лікар-терапевт",IF('01_Доходи'!Z473&gt;=Законод!$J$26,Z473-Законод!$I$27,0),0)))</f>
        <v>0</v>
      </c>
      <c r="AA480" s="931"/>
      <c r="AB480" s="935" t="s">
        <v>346</v>
      </c>
      <c r="AC480" s="936"/>
      <c r="AD480" s="936"/>
      <c r="AE480" s="936"/>
      <c r="AF480" s="937"/>
      <c r="AG480" s="196">
        <f ca="1">IF($B$469="Лікар загальної практики - сімейний лікар",IF(AG473&gt;=Законод!$J$22,'01_Доходи'!AG473-('01_Доходи'!AG474+'01_Доходи'!AG475+'01_Доходи'!AG476+'01_Доходи'!AG477+'01_Доходи'!AG478+'01_Доходи'!AG479),0),IF($B$469="Лікар-педіатр",IF(AG473&gt;=Законод!$J$18,'01_Доходи'!AG473-('01_Доходи'!AG474+'01_Доходи'!AG475+'01_Доходи'!AG476+'01_Доходи'!AG477+'01_Доходи'!AG478+'01_Доходи'!AG479),0),IF($B$469="Лікар-терапевт",IF('01_Доходи'!AG473&gt;=Законод!$J$26,AG473-Законод!$I$27,0),0)))</f>
        <v>0</v>
      </c>
      <c r="AH480" s="931"/>
      <c r="AI480" s="215"/>
      <c r="AJ480" s="934"/>
      <c r="AK480" s="928"/>
      <c r="AL480" s="928"/>
      <c r="AM480" s="900"/>
      <c r="AN480" s="216">
        <f ca="1">IF(B469="Лікар загальної практики - сімейний лікар",L480*Законод!$C$9/4*Законод!$J$16,IF(B469="Лікар-педіатр",L480*Законод!$C$9/4*Законод!$J$16,IF(B469="Лікар-терапевт",L480*Законод!$C$9/4*Законод!$J$16,0)))</f>
        <v>0</v>
      </c>
      <c r="AO480" s="216">
        <f ca="1">IF(B469="Лікар загальної практики - сімейний лікар",S480*Законод!$C$9/4*Законод!$J$16,IF(B469="Лікар-педіатр",S480*Законод!$C$9/4*Законод!$J$16,IF(B469="Лікар-терапевт",S480*Законод!$C$9/4*Законод!$J$16,0)))</f>
        <v>0</v>
      </c>
      <c r="AP480" s="216">
        <f ca="1">IF(B469="Лікар загальної практики - сімейний лікар",S480*Законод!$C$9/4*Законод!$J$16,IF(B469="Лікар-педіатр",S480*Законод!$C$9/4*Законод!$J$16,IF(B469="Лікар-терапевт",S480*Законод!$C$9/4*Законод!$J$16,0)))</f>
        <v>0</v>
      </c>
      <c r="AQ480" s="216">
        <f ca="1">IF(B469="Лікар загальної практики - сімейний лікар",AG480*Законод!$C$9/4*Законод!$J$16,IF(B469="Лікар-педіатр",AG480*Законод!$C$9/4*Законод!$J$16,IF(B469="Лікар-терапевт",AG480*Законод!$C$9/4*Законод!$J$16,0)))</f>
        <v>0</v>
      </c>
      <c r="AR480" s="217">
        <f t="shared" si="63"/>
        <v>0</v>
      </c>
    </row>
    <row r="481" spans="1:44" s="247" customFormat="1" ht="23.45" hidden="1" customHeight="1" thickBot="1">
      <c r="A481" s="243"/>
      <c r="B481" s="244"/>
      <c r="C481" s="244"/>
      <c r="D481" s="244"/>
      <c r="E481" s="244"/>
      <c r="F481" s="245"/>
      <c r="G481" s="246"/>
      <c r="H481" s="246"/>
      <c r="L481" s="248"/>
      <c r="S481" s="248"/>
      <c r="Z481" s="248"/>
      <c r="AG481" s="248"/>
      <c r="AM481" s="249"/>
      <c r="AR481" s="250"/>
    </row>
    <row r="482" spans="1:44" s="191" customFormat="1" ht="24.6" hidden="1" customHeight="1">
      <c r="A482" s="194">
        <f>A469+1</f>
        <v>35</v>
      </c>
      <c r="B482" s="892"/>
      <c r="C482" s="895"/>
      <c r="D482" s="911"/>
      <c r="E482" s="908"/>
      <c r="F482" s="234" t="s">
        <v>582</v>
      </c>
      <c r="G482" s="196">
        <f>IF($B$482="Лікар-педіатр",G485*L482,IF($B$482="Лікар-терапевт","х",IF($B$482="Лікар загальної практики - сімейний лікар",G485*L482,0)))</f>
        <v>0</v>
      </c>
      <c r="H482" s="196">
        <f>IF($B$482="Лікар-педіатр",H485*L482,IF($B$482="Лікар-терапевт","х",IF($B$482="Лікар загальної практики - сімейний лікар",H485*L482,0)))</f>
        <v>0</v>
      </c>
      <c r="I482" s="196">
        <f>IF($B$482="Лікар-педіатр","x",IF($B$482="Лікар-терапевт",I485*L482,IF($B$482="Лікар загальної практики - сімейний лікар",I485*L482,0)))</f>
        <v>0</v>
      </c>
      <c r="J482" s="196">
        <f>IF($B$482="Лікар-педіатр","x",IF($B$482="Лікар-терапевт",J485*L482,IF($B$482="Лікар загальної практики - сімейний лікар",J485*L482,0)))</f>
        <v>0</v>
      </c>
      <c r="K482" s="196">
        <f>IF($B$482="Лікар-педіатр","x",IF($B$482="Лікар-терапевт",K485*L482,IF($B$482="Лікар загальної практики - сімейний лікар",K485*L482,0)))</f>
        <v>0</v>
      </c>
      <c r="L482" s="558"/>
      <c r="M482" s="929"/>
      <c r="N482" s="196">
        <f>IF($B$482="Лікар-педіатр",N485*S482,IF($B$482="Лікар-терапевт","х",IF($B$482="Лікар загальної практики - сімейний лікар",N485*S482,0)))</f>
        <v>0</v>
      </c>
      <c r="O482" s="196">
        <f>IF($B$482="Лікар-педіатр",O485*S482,IF($B$482="Лікар-терапевт","х",IF($B$482="Лікар загальної практики - сімейний лікар",O485*S482,0)))</f>
        <v>0</v>
      </c>
      <c r="P482" s="196">
        <f>IF($B$482="Лікар-педіатр","x",IF($B$482="Лікар-терапевт",P485*S482,IF($B$482="Лікар загальної практики - сімейний лікар",P485*S482,0)))</f>
        <v>0</v>
      </c>
      <c r="Q482" s="196">
        <f>IF($B$482="Лікар-педіатр","x",IF($B$482="Лікар-терапевт",Q485*S482,IF($B$482="Лікар загальної практики - сімейний лікар",Q485*S482,0)))</f>
        <v>0</v>
      </c>
      <c r="R482" s="196">
        <f>IF($B$482="Лікар-педіатр","x",IF($B$482="Лікар-терапевт",R485*S482,IF($B$482="Лікар загальної практики - сімейний лікар",R485*S482,0)))</f>
        <v>0</v>
      </c>
      <c r="S482" s="558"/>
      <c r="T482" s="929"/>
      <c r="U482" s="196">
        <f>IF($B$482="Лікар-педіатр",U485*Z482,IF($B$482="Лікар-терапевт","х",IF($B$482="Лікар загальної практики - сімейний лікар",U485*Z482,0)))</f>
        <v>0</v>
      </c>
      <c r="V482" s="196">
        <f>IF($B$482="Лікар-педіатр",V485*Z482,IF($B$482="Лікар-терапевт","х",IF($B$482="Лікар загальної практики - сімейний лікар",V485*Z482,0)))</f>
        <v>0</v>
      </c>
      <c r="W482" s="196">
        <f>IF($B$482="Лікар-педіатр","x",IF($B$482="Лікар-терапевт",W485*Z482,IF($B$482="Лікар загальної практики - сімейний лікар",W485*Z482,0)))</f>
        <v>0</v>
      </c>
      <c r="X482" s="196">
        <f>IF($B$482="Лікар-педіатр","x",IF($B$482="Лікар-терапевт",X485*Z482,IF($B$482="Лікар загальної практики - сімейний лікар",X485*Z482,0)))</f>
        <v>0</v>
      </c>
      <c r="Y482" s="196">
        <f>IF($B$482="Лікар-педіатр","x",IF($B$482="Лікар-терапевт",Y485*Z482,IF($B$482="Лікар загальної практики - сімейний лікар",Y485*Z482,0)))</f>
        <v>0</v>
      </c>
      <c r="Z482" s="558"/>
      <c r="AA482" s="929"/>
      <c r="AB482" s="196">
        <f>IF($B$482="Лікар-педіатр",AB485*AG482,IF($B$482="Лікар-терапевт","х",IF($B$482="Лікар загальної практики - сімейний лікар",AB485*AG482,0)))</f>
        <v>0</v>
      </c>
      <c r="AC482" s="196">
        <f>IF($B$482="Лікар-педіатр",AC485*AG482,IF($B$482="Лікар-терапевт","х",IF($B$482="Лікар загальної практики - сімейний лікар",AC485*AG482,0)))</f>
        <v>0</v>
      </c>
      <c r="AD482" s="196">
        <f>IF($B$482="Лікар-педіатр","x",IF($B$482="Лікар-терапевт",AD485*AG482,IF($B$482="Лікар загальної практики - сімейний лікар",AD485*AG482,0)))</f>
        <v>0</v>
      </c>
      <c r="AE482" s="196">
        <f>IF($B$482="Лікар-педіатр","x",IF($B$482="Лікар-терапевт",AE485*AG482,IF($B$482="Лікар загальної практики - сімейний лікар",AE485*AG482,0)))</f>
        <v>0</v>
      </c>
      <c r="AF482" s="196">
        <f>IF($B$482="Лікар-педіатр","x",IF($B$482="Лікар-терапевт",AF485*AG482,IF($B$482="Лікар загальної практики - сімейний лікар",AF485*AG482,0)))</f>
        <v>0</v>
      </c>
      <c r="AG482" s="558"/>
      <c r="AH482" s="929"/>
      <c r="AI482" s="541">
        <f>A482</f>
        <v>35</v>
      </c>
      <c r="AJ482" s="932">
        <f>B482</f>
        <v>0</v>
      </c>
      <c r="AK482" s="926">
        <f>C482</f>
        <v>0</v>
      </c>
      <c r="AL482" s="926">
        <f>D482</f>
        <v>0</v>
      </c>
      <c r="AM482" s="901" t="s">
        <v>785</v>
      </c>
      <c r="AN482" s="923">
        <f>SUM(AN487:AN493)</f>
        <v>0</v>
      </c>
      <c r="AO482" s="923">
        <f>SUM(AO487:AO493)</f>
        <v>0</v>
      </c>
      <c r="AP482" s="923">
        <f>SUM(AP487:AP493)</f>
        <v>0</v>
      </c>
      <c r="AQ482" s="923">
        <f>SUM(AQ487:AQ493)</f>
        <v>0</v>
      </c>
      <c r="AR482" s="914">
        <f>SUM(AN482:AQ486)</f>
        <v>0</v>
      </c>
    </row>
    <row r="483" spans="1:44" s="50" customFormat="1" ht="28.15" hidden="1" customHeight="1">
      <c r="A483" s="197"/>
      <c r="B483" s="893"/>
      <c r="C483" s="896"/>
      <c r="D483" s="912"/>
      <c r="E483" s="909"/>
      <c r="F483" s="234" t="s">
        <v>583</v>
      </c>
      <c r="G483" s="196">
        <f>IF($B$482="Лікар-педіатр",G485*L483,IF($B$482="Лікар-терапевт","х",IF($B$482="Лікар загальної практики - сімейний лікар",G485*L483,0)))</f>
        <v>0</v>
      </c>
      <c r="H483" s="196">
        <f>IF($B$482="Лікар-педіатр",H485*L483,IF($B$482="Лікар-терапевт","х",IF($B$482="Лікар загальної практики - сімейний лікар",H485*L483,0)))</f>
        <v>0</v>
      </c>
      <c r="I483" s="196">
        <f>IF($B$482="Лікар-педіатр","x",IF($B$482="Лікар-терапевт",I485*L483,IF($B$482="Лікар загальної практики - сімейний лікар",I485*L483,0)))</f>
        <v>0</v>
      </c>
      <c r="J483" s="196">
        <f>IF($B$482="Лікар-педіатр","x",IF($B$482="Лікар-терапевт",J485*L483,IF($B$482="Лікар загальної практики - сімейний лікар",J485*L483,0)))</f>
        <v>0</v>
      </c>
      <c r="K483" s="196">
        <f>IF($B$482="Лікар-педіатр","x",IF($B$482="Лікар-терапевт",K485*L483,IF($B$482="Лікар загальної практики - сімейний лікар",K485*L483,0)))</f>
        <v>0</v>
      </c>
      <c r="L483" s="558"/>
      <c r="M483" s="930"/>
      <c r="N483" s="196">
        <f>IF($B$482="Лікар-педіатр",N485*S483,IF($B$482="Лікар-терапевт","х",IF($B$482="Лікар загальної практики - сімейний лікар",N485*S483,0)))</f>
        <v>0</v>
      </c>
      <c r="O483" s="196">
        <f>IF($B$482="Лікар-педіатр",O485*S483,IF($B$482="Лікар-терапевт","х",IF($B$482="Лікар загальної практики - сімейний лікар",O485*S483,0)))</f>
        <v>0</v>
      </c>
      <c r="P483" s="196">
        <f>IF($B$482="Лікар-педіатр","x",IF($B$482="Лікар-терапевт",P485*S483,IF($B$482="Лікар загальної практики - сімейний лікар",P485*S483,0)))</f>
        <v>0</v>
      </c>
      <c r="Q483" s="196">
        <f>IF($B$482="Лікар-педіатр","x",IF($B$482="Лікар-терапевт",Q485*S483,IF($B$482="Лікар загальної практики - сімейний лікар",Q485*S483,0)))</f>
        <v>0</v>
      </c>
      <c r="R483" s="196">
        <f>IF($B$482="Лікар-педіатр","x",IF($B$482="Лікар-терапевт",R485*S483,IF($B$482="Лікар загальної практики - сімейний лікар",R485*S483,0)))</f>
        <v>0</v>
      </c>
      <c r="S483" s="558"/>
      <c r="T483" s="930"/>
      <c r="U483" s="196">
        <f>IF($B$482="Лікар-педіатр",U485*Z483,IF($B$482="Лікар-терапевт","х",IF($B$482="Лікар загальної практики - сімейний лікар",U485*Z483,0)))</f>
        <v>0</v>
      </c>
      <c r="V483" s="196">
        <f>IF($B$482="Лікар-педіатр",V485*Z483,IF($B$482="Лікар-терапевт","х",IF($B$482="Лікар загальної практики - сімейний лікар",V485*Z483,0)))</f>
        <v>0</v>
      </c>
      <c r="W483" s="196">
        <f>IF($B$482="Лікар-педіатр","x",IF($B$482="Лікар-терапевт",W485*Z483,IF($B$482="Лікар загальної практики - сімейний лікар",W485*Z483,0)))</f>
        <v>0</v>
      </c>
      <c r="X483" s="196">
        <f>IF($B$482="Лікар-педіатр","x",IF($B$482="Лікар-терапевт",X485*Z483,IF($B$482="Лікар загальної практики - сімейний лікар",X485*Z483,0)))</f>
        <v>0</v>
      </c>
      <c r="Y483" s="196">
        <f>IF($B$482="Лікар-педіатр","x",IF($B$482="Лікар-терапевт",Y485*Z483,IF($B$482="Лікар загальної практики - сімейний лікар",Y485*Z483,0)))</f>
        <v>0</v>
      </c>
      <c r="Z483" s="558"/>
      <c r="AA483" s="930"/>
      <c r="AB483" s="196">
        <f>IF($B$482="Лікар-педіатр",AB485*AG483,IF($B$482="Лікар-терапевт","х",IF($B$482="Лікар загальної практики - сімейний лікар",AB485*AG483,0)))</f>
        <v>0</v>
      </c>
      <c r="AC483" s="196">
        <f>IF($B$482="Лікар-педіатр",AC485*AG483,IF($B$482="Лікар-терапевт","х",IF($B$482="Лікар загальної практики - сімейний лікар",AC485*AG483,0)))</f>
        <v>0</v>
      </c>
      <c r="AD483" s="196">
        <f>IF($B$482="Лікар-педіатр","x",IF($B$482="Лікар-терапевт",AD485*AG483,IF($B$482="Лікар загальної практики - сімейний лікар",AD485*AG483,0)))</f>
        <v>0</v>
      </c>
      <c r="AE483" s="196">
        <f>IF($B$482="Лікар-педіатр","x",IF($B$482="Лікар-терапевт",AE485*AG483,IF($B$482="Лікар загальної практики - сімейний лікар",AE485*AG483,0)))</f>
        <v>0</v>
      </c>
      <c r="AF483" s="196">
        <f>IF($B$482="Лікар-педіатр","x",IF($B$482="Лікар-терапевт",AF485*AG483,IF($B$482="Лікар загальної практики - сімейний лікар",AF485*AG483,0)))</f>
        <v>0</v>
      </c>
      <c r="AG483" s="558"/>
      <c r="AH483" s="930"/>
      <c r="AI483" s="198"/>
      <c r="AJ483" s="933"/>
      <c r="AK483" s="927"/>
      <c r="AL483" s="927"/>
      <c r="AM483" s="902"/>
      <c r="AN483" s="924"/>
      <c r="AO483" s="924"/>
      <c r="AP483" s="924"/>
      <c r="AQ483" s="924"/>
      <c r="AR483" s="915"/>
    </row>
    <row r="484" spans="1:44" s="90" customFormat="1" ht="31.15" hidden="1" customHeight="1">
      <c r="A484" s="240"/>
      <c r="B484" s="893"/>
      <c r="C484" s="896"/>
      <c r="D484" s="912"/>
      <c r="E484" s="909"/>
      <c r="F484" s="241" t="s">
        <v>584</v>
      </c>
      <c r="G484" s="199">
        <f>IF(B482="Лікар загальної практики - сімейний лікар"," ",IF(B482="Лікар-педіатр"," ",IF(B482="Лікар-терапевт","х",0)))</f>
        <v>0</v>
      </c>
      <c r="H484" s="199">
        <f>IF(B482="Лікар загальної практики - сімейний лікар"," ",IF(B482="Лікар-педіатр"," ",IF(B482="Лікар-терапевт","х",0)))</f>
        <v>0</v>
      </c>
      <c r="I484" s="199">
        <f>IF(B482="Лікар загальної практики - сімейний лікар"," ",IF(B482="Лікар-педіатр","х",IF(B482="Лікар-терапевт"," ",0)))</f>
        <v>0</v>
      </c>
      <c r="J484" s="199">
        <f>IF(B482="Лікар загальної практики - сімейний лікар"," ",IF(B482="Лікар-педіатр","х",IF(B482="Лікар-терапевт"," ",0)))</f>
        <v>0</v>
      </c>
      <c r="K484" s="199">
        <f>IF(B482="Лікар загальної практики - сімейний лікар"," ",IF(B482="Лікар-педіатр","х",IF(B482="Лікар-терапевт"," ",0)))</f>
        <v>0</v>
      </c>
      <c r="L484" s="200">
        <f>SUM(G484:K484)</f>
        <v>0</v>
      </c>
      <c r="M484" s="930"/>
      <c r="N484" s="199">
        <f>IF(B482="Лікар загальної практики - сімейний лікар"," ",IF(B482="Лікар-педіатр"," ",IF(B482="Лікар-терапевт","х",0)))</f>
        <v>0</v>
      </c>
      <c r="O484" s="199">
        <f>IF(B482="Лікар загальної практики - сімейний лікар"," ",IF(B482="Лікар-педіатр"," ",IF(B482="Лікар-терапевт","х",0)))</f>
        <v>0</v>
      </c>
      <c r="P484" s="199">
        <f>IF(B482="Лікар загальної практики - сімейний лікар"," ",IF(B482="Лікар-педіатр","х",IF(B482="Лікар-терапевт"," ",0)))</f>
        <v>0</v>
      </c>
      <c r="Q484" s="199">
        <f>IF(B482="Лікар загальної практики - сімейний лікар"," ",IF(B482="Лікар-педіатр","х",IF(B482="Лікар-терапевт"," ",0)))</f>
        <v>0</v>
      </c>
      <c r="R484" s="199">
        <f>IF(B482="Лікар загальної практики - сімейний лікар"," ",IF(B482="Лікар-педіатр","х",IF(B482="Лікар-терапевт"," ",0)))</f>
        <v>0</v>
      </c>
      <c r="S484" s="200">
        <f>SUM(N484:R484)</f>
        <v>0</v>
      </c>
      <c r="T484" s="930"/>
      <c r="U484" s="199">
        <f>IF(B482="Лікар загальної практики - сімейний лікар"," ",IF(B482="Лікар-педіатр"," ",IF(B482="Лікар-терапевт","х",0)))</f>
        <v>0</v>
      </c>
      <c r="V484" s="199">
        <f>IF(B482="Лікар загальної практики - сімейний лікар"," ",IF(B482="Лікар-педіатр"," ",IF(B482="Лікар-терапевт","х",0)))</f>
        <v>0</v>
      </c>
      <c r="W484" s="199">
        <f>IF(B482="Лікар загальної практики - сімейний лікар"," ",IF(B482="Лікар-педіатр","х",IF(B482="Лікар-терапевт"," ",0)))</f>
        <v>0</v>
      </c>
      <c r="X484" s="199">
        <f>IF(B482="Лікар загальної практики - сімейний лікар"," ",IF(B482="Лікар-педіатр","х",IF(B482="Лікар-терапевт"," ",0)))</f>
        <v>0</v>
      </c>
      <c r="Y484" s="199">
        <f>IF(B482="Лікар загальної практики - сімейний лікар"," ",IF(B482="Лікар-педіатр","х",IF(B482="Лікар-терапевт"," ",0)))</f>
        <v>0</v>
      </c>
      <c r="Z484" s="200">
        <f>SUM(U484:Y484)</f>
        <v>0</v>
      </c>
      <c r="AA484" s="930"/>
      <c r="AB484" s="199">
        <f>IF(B482="Лікар загальної практики - сімейний лікар"," ",IF(B482="Лікар-педіатр"," ",IF(B482="Лікар-терапевт","х",0)))</f>
        <v>0</v>
      </c>
      <c r="AC484" s="199">
        <f>IF(B482="Лікар загальної практики - сімейний лікар"," ",IF(B482="Лікар-педіатр"," ",IF(B482="Лікар-терапевт","х",0)))</f>
        <v>0</v>
      </c>
      <c r="AD484" s="199">
        <f>IF(B482="Лікар загальної практики - сімейний лікар"," ",IF(B482="Лікар-педіатр","х",IF(B482="Лікар-терапевт"," ",0)))</f>
        <v>0</v>
      </c>
      <c r="AE484" s="199">
        <f>IF(B482="Лікар загальної практики - сімейний лікар"," ",IF(B482="Лікар-педіатр","х",IF(B482="Лікар-терапевт"," ",0)))</f>
        <v>0</v>
      </c>
      <c r="AF484" s="199">
        <f>IF(B482="Лікар загальної практики - сімейний лікар"," ",IF(B482="Лікар-педіатр","х",IF(B482="Лікар-терапевт"," ",0)))</f>
        <v>0</v>
      </c>
      <c r="AG484" s="200">
        <f>SUM(AB484:AF484)</f>
        <v>0</v>
      </c>
      <c r="AH484" s="930"/>
      <c r="AI484" s="242"/>
      <c r="AJ484" s="933"/>
      <c r="AK484" s="927"/>
      <c r="AL484" s="927"/>
      <c r="AM484" s="902"/>
      <c r="AN484" s="924"/>
      <c r="AO484" s="924"/>
      <c r="AP484" s="924"/>
      <c r="AQ484" s="924"/>
      <c r="AR484" s="915"/>
    </row>
    <row r="485" spans="1:44" s="50" customFormat="1" ht="31.9" hidden="1" customHeight="1" thickBot="1">
      <c r="A485" s="197"/>
      <c r="B485" s="893"/>
      <c r="C485" s="896"/>
      <c r="D485" s="912"/>
      <c r="E485" s="909"/>
      <c r="F485" s="236" t="s">
        <v>349</v>
      </c>
      <c r="G485" s="203">
        <f>IF($B$482="Лікар-педіатр",G484/L484,IF($B$482="Лікар-терапевт","х",IF($B$482="Лікар загальної практики - сімейний лікар",G484/L484,0)))</f>
        <v>0</v>
      </c>
      <c r="H485" s="203">
        <f>IF($B$482="Лікар-педіатр",H484/L484,IF($B$482="Лікар-терапевт","х",IF($B$482="Лікар загальної практики - сімейний лікар",H484/L484,0)))</f>
        <v>0</v>
      </c>
      <c r="I485" s="203">
        <f>IF($B$482="Лікар-педіатр","x",IF($B$482="Лікар-терапевт",I484/L484,IF($B$482="Лікар загальної практики - сімейний лікар",I484/L484,0)))</f>
        <v>0</v>
      </c>
      <c r="J485" s="203">
        <f>IF($B$482="Лікар-педіатр","x",IF($B$482="Лікар-терапевт",J484/L484,IF($B$482="Лікар загальної практики - сімейний лікар",J484/L484,0)))</f>
        <v>0</v>
      </c>
      <c r="K485" s="203">
        <f>IF($B$482="Лікар-педіатр","x",IF($B$482="Лікар-терапевт",K484/L484,IF($B$482="Лікар загальної практики - сімейний лікар",K484/L484,0)))</f>
        <v>0</v>
      </c>
      <c r="L485" s="203">
        <f>SUM(G485:K485)</f>
        <v>0</v>
      </c>
      <c r="M485" s="930"/>
      <c r="N485" s="203">
        <f>IF($B$482="Лікар-педіатр",N484/S484,IF($B$482="Лікар-терапевт","х",IF($B$482="Лікар загальної практики - сімейний лікар",N484/S484,0)))</f>
        <v>0</v>
      </c>
      <c r="O485" s="203">
        <f>IF($B$482="Лікар-педіатр",O484/S484,IF($B$482="Лікар-терапевт","х",IF($B$482="Лікар загальної практики - сімейний лікар",O484/S484,0)))</f>
        <v>0</v>
      </c>
      <c r="P485" s="203">
        <f>IF($B$482="Лікар-педіатр","x",IF($B$482="Лікар-терапевт",P484/S484,IF($B$482="Лікар загальної практики - сімейний лікар",P484/S484,0)))</f>
        <v>0</v>
      </c>
      <c r="Q485" s="203">
        <f>IF($B$482="Лікар-педіатр","x",IF($B$482="Лікар-терапевт",Q484/S484,IF($B$482="Лікар загальної практики - сімейний лікар",Q484/S484,0)))</f>
        <v>0</v>
      </c>
      <c r="R485" s="203">
        <f>IF($B$482="Лікар-педіатр","x",IF($B$482="Лікар-терапевт",R484/S484,IF($B$482="Лікар загальної практики - сімейний лікар",R484/S484,0)))</f>
        <v>0</v>
      </c>
      <c r="S485" s="203">
        <f>SUM(N485:R485)</f>
        <v>0</v>
      </c>
      <c r="T485" s="930"/>
      <c r="U485" s="203">
        <f>IF($B$482="Лікар-педіатр",U484/Z484,IF($B$482="Лікар-терапевт","х",IF($B$482="Лікар загальної практики - сімейний лікар",U484/Z484,0)))</f>
        <v>0</v>
      </c>
      <c r="V485" s="203">
        <f>IF($B$482="Лікар-педіатр",V484/Z484,IF($B$482="Лікар-терапевт","х",IF($B$482="Лікар загальної практики - сімейний лікар",V484/Z484,0)))</f>
        <v>0</v>
      </c>
      <c r="W485" s="203">
        <f>IF($B$482="Лікар-педіатр","x",IF($B$482="Лікар-терапевт",W484/Z484,IF($B$482="Лікар загальної практики - сімейний лікар",W484/Z484,0)))</f>
        <v>0</v>
      </c>
      <c r="X485" s="203">
        <f>IF($B$482="Лікар-педіатр","x",IF($B$482="Лікар-терапевт",X484/Z484,IF($B$482="Лікар загальної практики - сімейний лікар",X484/Z484,0)))</f>
        <v>0</v>
      </c>
      <c r="Y485" s="203">
        <f>IF($B$482="Лікар-педіатр","x",IF($B$482="Лікар-терапевт",Y484/Z484,IF($B$482="Лікар загальної практики - сімейний лікар",Y484/Z484,0)))</f>
        <v>0</v>
      </c>
      <c r="Z485" s="203">
        <f>SUM(U485:Y485)</f>
        <v>0</v>
      </c>
      <c r="AA485" s="930"/>
      <c r="AB485" s="203">
        <f>IF($B$482="Лікар-педіатр",AB484/AG484,IF($B$482="Лікар-терапевт","х",IF($B$482="Лікар загальної практики - сімейний лікар",AB484/AG484,0)))</f>
        <v>0</v>
      </c>
      <c r="AC485" s="203">
        <f>IF($B$482="Лікар-педіатр",AC484/AG484,IF($B$482="Лікар-терапевт","х",IF($B$482="Лікар загальної практики - сімейний лікар",AC484/AG484,0)))</f>
        <v>0</v>
      </c>
      <c r="AD485" s="203">
        <f>IF($B$482="Лікар-педіатр","x",IF($B$482="Лікар-терапевт",AD484/AG484,IF($B$482="Лікар загальної практики - сімейний лікар",AD484/AG484,0)))</f>
        <v>0</v>
      </c>
      <c r="AE485" s="203">
        <f>IF($B$482="Лікар-педіатр","x",IF($B$482="Лікар-терапевт",AE484/AG484,IF($B$482="Лікар загальної практики - сімейний лікар",AE484/AG484,0)))</f>
        <v>0</v>
      </c>
      <c r="AF485" s="203">
        <f>IF($B$482="Лікар-педіатр","x",IF($B$482="Лікар-терапевт",AF484/AG484,IF($B$482="Лікар загальної практики - сімейний лікар",AF484/AG484,0)))</f>
        <v>0</v>
      </c>
      <c r="AG485" s="203">
        <f>SUM(AB485:AF485)</f>
        <v>0</v>
      </c>
      <c r="AH485" s="930"/>
      <c r="AI485" s="201"/>
      <c r="AJ485" s="933"/>
      <c r="AK485" s="927"/>
      <c r="AL485" s="927"/>
      <c r="AM485" s="902"/>
      <c r="AN485" s="924"/>
      <c r="AO485" s="924"/>
      <c r="AP485" s="924"/>
      <c r="AQ485" s="924"/>
      <c r="AR485" s="915"/>
    </row>
    <row r="486" spans="1:44" s="50" customFormat="1" ht="45" hidden="1" customHeight="1" thickBot="1">
      <c r="A486" s="197"/>
      <c r="B486" s="893"/>
      <c r="C486" s="896"/>
      <c r="D486" s="912"/>
      <c r="E486" s="909"/>
      <c r="F486" s="204" t="s">
        <v>585</v>
      </c>
      <c r="G486" s="205">
        <f>IF($B$482="Лікар загальної практики - сімейний лікар",AVERAGE(G482:G484),IF($B$482="Лікар-педіатр",AVERAGE(G482:G484),IF($B$482="Лікар-терапевт","х",0)))</f>
        <v>0</v>
      </c>
      <c r="H486" s="205">
        <f>IF($B$482="Лікар загальної практики - сімейний лікар",AVERAGE(H482:H484),IF($B$482="Лікар-педіатр",AVERAGE(H482:H484),IF($B$482="Лікар-терапевт","х",0)))</f>
        <v>0</v>
      </c>
      <c r="I486" s="205">
        <f>IF($B$482="Лікар загальної практики - сімейний лікар",AVERAGE(I482:I484),IF($B$482="Лікар-педіатр","x",IF($B$482="Лікар-терапевт",AVERAGE(I482:I484),0)))</f>
        <v>0</v>
      </c>
      <c r="J486" s="205">
        <f>IF($B$482="Лікар загальної практики - сімейний лікар",AVERAGE(J482:J484),IF($B$482="Лікар-педіатр","x",IF($B$482="Лікар-терапевт",AVERAGE(J482:J484),0)))</f>
        <v>0</v>
      </c>
      <c r="K486" s="205">
        <f>IF($B$482="Лікар загальної практики - сімейний лікар",AVERAGE(K482:K484),IF($B$482="Лікар-педіатр","x",IF($B$482="Лікар-терапевт",AVERAGE(K482:K484),0)))</f>
        <v>0</v>
      </c>
      <c r="L486" s="206">
        <f>SUM(G486:K486)</f>
        <v>0</v>
      </c>
      <c r="M486" s="930"/>
      <c r="N486" s="205">
        <f>IF($B$482="Лікар загальної практики - сімейний лікар",AVERAGE(N482:N484),IF($B$482="Лікар-педіатр",AVERAGE(N482:N484),IF($B$482="Лікар-терапевт","х",0)))</f>
        <v>0</v>
      </c>
      <c r="O486" s="205">
        <f>IF($B$482="Лікар загальної практики - сімейний лікар",AVERAGE(O482:O484),IF($B$482="Лікар-педіатр",AVERAGE(O482:O484),IF($B$482="Лікар-терапевт","х",0)))</f>
        <v>0</v>
      </c>
      <c r="P486" s="205">
        <f>IF($B$482="Лікар загальної практики - сімейний лікар",AVERAGE(P482:P484),IF($B$482="Лікар-педіатр","x",IF($B$482="Лікар-терапевт",AVERAGE(P482:P484),0)))</f>
        <v>0</v>
      </c>
      <c r="Q486" s="205">
        <f>IF($B$482="Лікар загальної практики - сімейний лікар",AVERAGE(Q482:Q484),IF($B$482="Лікар-педіатр","x",IF($B$482="Лікар-терапевт",AVERAGE(Q482:Q484),0)))</f>
        <v>0</v>
      </c>
      <c r="R486" s="205">
        <f>IF($B$482="Лікар загальної практики - сімейний лікар",AVERAGE(R482:R484),IF($B$482="Лікар-педіатр","x",IF($B$482="Лікар-терапевт",AVERAGE(R482:R484),0)))</f>
        <v>0</v>
      </c>
      <c r="S486" s="206">
        <f>SUM(N486:R486)</f>
        <v>0</v>
      </c>
      <c r="T486" s="930"/>
      <c r="U486" s="205">
        <f>IF($B$482="Лікар загальної практики - сімейний лікар",AVERAGE(U482:U484),IF($B$482="Лікар-педіатр",AVERAGE(U482:U484),IF($B$482="Лікар-терапевт","х",0)))</f>
        <v>0</v>
      </c>
      <c r="V486" s="205">
        <f>IF($B$482="Лікар загальної практики - сімейний лікар",AVERAGE(V482:V484),IF($B$482="Лікар-педіатр",AVERAGE(V482:V484),IF($B$482="Лікар-терапевт","х",0)))</f>
        <v>0</v>
      </c>
      <c r="W486" s="205">
        <f>IF($B$482="Лікар загальної практики - сімейний лікар",AVERAGE(W482:W484),IF($B$482="Лікар-педіатр","x",IF($B$482="Лікар-терапевт",AVERAGE(W482:W484),0)))</f>
        <v>0</v>
      </c>
      <c r="X486" s="205">
        <f>IF($B$482="Лікар загальної практики - сімейний лікар",AVERAGE(X482:X484),IF($B$482="Лікар-педіатр","x",IF($B$482="Лікар-терапевт",AVERAGE(X482:X484),0)))</f>
        <v>0</v>
      </c>
      <c r="Y486" s="205">
        <f>IF($B$482="Лікар загальної практики - сімейний лікар",AVERAGE(Y482:Y484),IF($B$482="Лікар-педіатр","x",IF($B$482="Лікар-терапевт",AVERAGE(Y482:Y484),0)))</f>
        <v>0</v>
      </c>
      <c r="Z486" s="206">
        <f>SUM(U486:Y486)</f>
        <v>0</v>
      </c>
      <c r="AA486" s="930"/>
      <c r="AB486" s="205">
        <f>IF($B$482="Лікар загальної практики - сімейний лікар",AVERAGE(AB482:AB484),IF($B$482="Лікар-педіатр",AVERAGE(AB482:AB484),IF($B$482="Лікар-терапевт","х",0)))</f>
        <v>0</v>
      </c>
      <c r="AC486" s="205">
        <f>IF($B$482="Лікар загальної практики - сімейний лікар",AVERAGE(AC482:AC484),IF($B$482="Лікар-педіатр",AVERAGE(AC482:AC484),IF($B$482="Лікар-терапевт","х",0)))</f>
        <v>0</v>
      </c>
      <c r="AD486" s="205">
        <f>IF($B$482="Лікар загальної практики - сімейний лікар",AVERAGE(AD482:AD484),IF($B$482="Лікар-педіатр","x",IF($B$482="Лікар-терапевт",AVERAGE(AD482:AD484),0)))</f>
        <v>0</v>
      </c>
      <c r="AE486" s="205">
        <f>IF($B$482="Лікар загальної практики - сімейний лікар",AVERAGE(AE482:AE484),IF($B$482="Лікар-педіатр","x",IF($B$482="Лікар-терапевт",AVERAGE(AE482:AE484),0)))</f>
        <v>0</v>
      </c>
      <c r="AF486" s="205">
        <f>IF($B$482="Лікар загальної практики - сімейний лікар",AVERAGE(AF482:AF484),IF($B$482="Лікар-педіатр","x",IF($B$482="Лікар-терапевт",AVERAGE(AF482:AF484),0)))</f>
        <v>0</v>
      </c>
      <c r="AG486" s="206">
        <f>SUM(AB486:AF486)</f>
        <v>0</v>
      </c>
      <c r="AH486" s="930"/>
      <c r="AI486" s="201"/>
      <c r="AJ486" s="933"/>
      <c r="AK486" s="927"/>
      <c r="AL486" s="927"/>
      <c r="AM486" s="903"/>
      <c r="AN486" s="925"/>
      <c r="AO486" s="925"/>
      <c r="AP486" s="925"/>
      <c r="AQ486" s="925"/>
      <c r="AR486" s="916"/>
    </row>
    <row r="487" spans="1:44" s="50" customFormat="1" ht="40.5" hidden="1">
      <c r="A487" s="197"/>
      <c r="B487" s="893"/>
      <c r="C487" s="896"/>
      <c r="D487" s="912"/>
      <c r="E487" s="909"/>
      <c r="F487" s="237" t="str">
        <f ca="1">IF(B482="Лікар-педіатр",Законод!$C$17,IF(B482="Лікар загальної практики - сімейний лікар",Законод!$C$21,IF(B482="Лікар-терапевт",Законод!$C$25,"х")))</f>
        <v>х</v>
      </c>
      <c r="G487" s="208">
        <f ca="1">IF($B$482="Лікар загальної практики - сімейний лікар",IF(L486&lt;=Законод!$C$22,G486,Законод!$C$22*'01_Доходи'!G485),IF($B$482="Лікар-педіатр",IF(L486&lt;=Законод!$C$18,G486,Законод!$C$18*'01_Доходи'!G485),IF($B$482="Лікар-терапевт","x",0)))</f>
        <v>0</v>
      </c>
      <c r="H487" s="208">
        <f ca="1">IF($B$482="Лікар загальної практики - сімейний лікар",IF(L486&lt;=Законод!$C$22,H486,Законод!$C$22*'01_Доходи'!H485),IF($B$482="Лікар-педіатр",IF(L486&lt;=Законод!$C$18,H486,Законод!$C$18*'01_Доходи'!H485),IF($B$482="Лікар-терапевт","x",0)))</f>
        <v>0</v>
      </c>
      <c r="I487" s="208">
        <f ca="1">IF($B$482="Лікар загальної практики - сімейний лікар",IF(L486&lt;=Законод!$C$22,I486,Законод!$C$22*'01_Доходи'!I485),IF($B$482="Лікар-педіатр","x",IF($B$482="Лікар-терапевт",IF(L486&lt;=Законод!$C$26,I486,Законод!$C$26*'01_Доходи'!I485),0)))</f>
        <v>0</v>
      </c>
      <c r="J487" s="208">
        <f ca="1">IF($B$482="Лікар загальної практики - сімейний лікар",IF(L486&lt;=Законод!$C$22,J486,Законод!$C$22*'01_Доходи'!J485),IF($B$482="Лікар-педіатр","x",IF($B$482="Лікар-терапевт",IF(L486&lt;=Законод!$C$26,J486,Законод!$C$26*'01_Доходи'!J485),0)))</f>
        <v>0</v>
      </c>
      <c r="K487" s="208">
        <f ca="1">IF($B$482="Лікар загальної практики - сімейний лікар",IF(L486&lt;=Законод!$C$22,K486,Законод!$C$22*'01_Доходи'!K485),IF($B$482="Лікар-педіатр","x",IF($B$482="Лікар-терапевт",IF(L486&lt;=Законод!$C$26,K486,Законод!$C$26*'01_Доходи'!K485),0)))</f>
        <v>0</v>
      </c>
      <c r="L487" s="209">
        <f ca="1">SUM(G487:K487)</f>
        <v>0</v>
      </c>
      <c r="M487" s="930"/>
      <c r="N487" s="208">
        <f ca="1">IF($B$482="Лікар загальної практики - сімейний лікар",IF(S486&lt;=Законод!$C$22,N486,Законод!$C$22*'01_Доходи'!N485),IF($B$482="Лікар-педіатр",IF(S486&lt;=Законод!$C$18,N486,Законод!$C$18*'01_Доходи'!N485),IF($B$482="Лікар-терапевт","x",0)))</f>
        <v>0</v>
      </c>
      <c r="O487" s="208">
        <f ca="1">IF($B$482="Лікар загальної практики - сімейний лікар",IF(S486&lt;=Законод!$C$22,O486,Законод!$C$22*'01_Доходи'!O485),IF($B$482="Лікар-педіатр",IF(S486&lt;=Законод!$C$18,O486,Законод!$C$18*'01_Доходи'!O485),IF($B$482="Лікар-терапевт","x",0)))</f>
        <v>0</v>
      </c>
      <c r="P487" s="208">
        <f ca="1">IF($B$482="Лікар загальної практики - сімейний лікар",IF(S486&lt;=Законод!$C$22,P486,Законод!$C$22*'01_Доходи'!P485),IF($B$482="Лікар-педіатр","x",IF($B$482="Лікар-терапевт",IF(S486&lt;=Законод!$C$26,P486,Законод!$C$26*'01_Доходи'!P485),0)))</f>
        <v>0</v>
      </c>
      <c r="Q487" s="208">
        <f ca="1">IF($B$482="Лікар загальної практики - сімейний лікар",IF(S486&lt;=Законод!$C$22,Q486,Законод!$C$22*'01_Доходи'!Q485),IF($B$482="Лікар-педіатр","x",IF($B$482="Лікар-терапевт",IF(S486&lt;=Законод!$C$26,Q486,Законод!$C$26*'01_Доходи'!Q485),0)))</f>
        <v>0</v>
      </c>
      <c r="R487" s="208">
        <f ca="1">IF($B$482="Лікар загальної практики - сімейний лікар",IF(S486&lt;=Законод!$C$22,R486,Законод!$C$22*'01_Доходи'!R485),IF($B$482="Лікар-педіатр","x",IF($B$482="Лікар-терапевт",IF(S486&lt;=Законод!$C$26,R486,Законод!$C$26*'01_Доходи'!R485),0)))</f>
        <v>0</v>
      </c>
      <c r="S487" s="209">
        <f ca="1">SUM(N487:R487)</f>
        <v>0</v>
      </c>
      <c r="T487" s="930"/>
      <c r="U487" s="208">
        <f ca="1">IF($B$482="Лікар загальної практики - сімейний лікар",IF(Z486&lt;=Законод!$C$22,U486,Законод!$C$22*'01_Доходи'!U485),IF($B$482="Лікар-педіатр",IF(Z486&lt;=Законод!$C$18,U486,Законод!$C$18*'01_Доходи'!U485),IF($B$482="Лікар-терапевт","x",0)))</f>
        <v>0</v>
      </c>
      <c r="V487" s="208">
        <f ca="1">IF($B$482="Лікар загальної практики - сімейний лікар",IF(Z486&lt;=Законод!$C$22,V486,Законод!$C$22*'01_Доходи'!V485),IF($B$482="Лікар-педіатр",IF(Z486&lt;=Законод!$C$18,V486,Законод!$C$18*'01_Доходи'!V485),IF($B$482="Лікар-терапевт","x",0)))</f>
        <v>0</v>
      </c>
      <c r="W487" s="208">
        <f ca="1">IF($B$482="Лікар загальної практики - сімейний лікар",IF(Z486&lt;=Законод!$C$22,W486,Законод!$C$22*'01_Доходи'!W485),IF($B$482="Лікар-педіатр","x",IF($B$482="Лікар-терапевт",IF(Z486&lt;=Законод!$C$26,W486,Законод!$C$26*'01_Доходи'!W485),0)))</f>
        <v>0</v>
      </c>
      <c r="X487" s="208">
        <f ca="1">IF($B$482="Лікар загальної практики - сімейний лікар",IF(Z486&lt;=Законод!$C$22,X486,Законод!$C$22*'01_Доходи'!X485),IF($B$482="Лікар-педіатр","x",IF($B$482="Лікар-терапевт",IF(Z486&lt;=Законод!$C$26,X486,Законод!$C$26*'01_Доходи'!X485),0)))</f>
        <v>0</v>
      </c>
      <c r="Y487" s="208">
        <f ca="1">IF($B$482="Лікар загальної практики - сімейний лікар",IF(Z486&lt;=Законод!$C$22,Y486,Законод!$C$22*'01_Доходи'!Y485),IF($B$482="Лікар-педіатр","x",IF($B$482="Лікар-терапевт",IF(Z486&lt;=Законод!$C$26,Y486,Законод!$C$26*'01_Доходи'!Y485),0)))</f>
        <v>0</v>
      </c>
      <c r="Z487" s="209">
        <f ca="1">SUM(U487:Y487)</f>
        <v>0</v>
      </c>
      <c r="AA487" s="930"/>
      <c r="AB487" s="208">
        <f ca="1">IF($B$482="Лікар загальної практики - сімейний лікар",IF(AG486&lt;=Законод!$C$22,AB486,Законод!$C$22*'01_Доходи'!AB485),IF($B$482="Лікар-педіатр",IF(AG486&lt;=Законод!$C$18,AB486,Законод!$C$18*'01_Доходи'!AB485),IF($B$482="Лікар-терапевт","x",0)))</f>
        <v>0</v>
      </c>
      <c r="AC487" s="208">
        <f ca="1">IF($B$482="Лікар загальної практики - сімейний лікар",IF(AG486&lt;=Законод!$C$22,AC486,Законод!$C$22*'01_Доходи'!AC485),IF($B$482="Лікар-педіатр",IF(AG486&lt;=Законод!$C$18,AC486,Законод!$C$18*'01_Доходи'!AC485),IF($B$482="Лікар-терапевт","x",0)))</f>
        <v>0</v>
      </c>
      <c r="AD487" s="208">
        <f ca="1">IF($B$482="Лікар загальної практики - сімейний лікар",IF(AG486&lt;=Законод!$C$22,AD486,Законод!$C$22*'01_Доходи'!AD485),IF($B$482="Лікар-педіатр","x",IF($B$482="Лікар-терапевт",IF(AG486&lt;=Законод!$C$26,AD486,Законод!$C$26*'01_Доходи'!AD485),0)))</f>
        <v>0</v>
      </c>
      <c r="AE487" s="208">
        <f ca="1">IF($B$482="Лікар загальної практики - сімейний лікар",IF(AG486&lt;=Законод!$C$22,AE486,Законод!$C$22*'01_Доходи'!AE485),IF($B$482="Лікар-педіатр","x",IF($B$482="Лікар-терапевт",IF(AG486&lt;=Законод!$C$26,AE486,Законод!$C$26*'01_Доходи'!AE485),0)))</f>
        <v>0</v>
      </c>
      <c r="AF487" s="208">
        <f ca="1">IF($B$482="Лікар загальної практики - сімейний лікар",IF(AG486&lt;=Законод!$C$22,AF486,Законод!$C$22*'01_Доходи'!AF485),IF($B$482="Лікар-педіатр","x",IF($B$482="Лікар-терапевт",IF(AG486&lt;=Законод!$C$26,AF486,Законод!$C$26*'01_Доходи'!AF485),0)))</f>
        <v>0</v>
      </c>
      <c r="AG487" s="209">
        <f ca="1">SUM(AB487:AF487)</f>
        <v>0</v>
      </c>
      <c r="AH487" s="930"/>
      <c r="AI487" s="201"/>
      <c r="AJ487" s="933"/>
      <c r="AK487" s="927"/>
      <c r="AL487" s="927"/>
      <c r="AM487" s="348" t="s">
        <v>374</v>
      </c>
      <c r="AN487" s="210">
        <f ca="1">IF(B482="Лікар загальної практики - сімейний лікар",G487*Законод!$C$11+'01_Доходи'!H487*Законод!$D$11+'01_Доходи'!I487*Законод!$E$11+'01_Доходи'!J487*Законод!$F$11+'01_Доходи'!K487*Законод!$G$11,IF(B482="Лікар-педіатр",G487*Законод!$C$11+'01_Доходи'!H487*Законод!$D$11,IF(B482="Лікар-терапевт",'01_Доходи'!I487*Законод!$E$11+'01_Доходи'!J487*Законод!$F$11+'01_Доходи'!K487*Законод!$G$11,0)))</f>
        <v>0</v>
      </c>
      <c r="AO487" s="210">
        <f ca="1">IF(B482="Лікар загальної практики - сімейний лікар",N487*Законод!$C$11+'01_Доходи'!O487*Законод!$D$11+'01_Доходи'!P487*Законод!$E$11+'01_Доходи'!Q487*Законод!$F$11+'01_Доходи'!R487*Законод!$G$11,IF(B482="Лікар-педіатр",N487*Законод!$C$11+'01_Доходи'!O487*Законод!$D$11,IF(B482="Лікар-терапевт",'01_Доходи'!P487*Законод!$E$11+'01_Доходи'!Q487*Законод!$F$11+'01_Доходи'!R487*Законод!$G$11,0)))</f>
        <v>0</v>
      </c>
      <c r="AP487" s="210">
        <f ca="1">IF(B482="Лікар загальної практики - сімейний лікар",U487*Законод!$C$11+'01_Доходи'!V487*Законод!$D$11+'01_Доходи'!W487*Законод!$E$11+'01_Доходи'!X487*Законод!$F$11+'01_Доходи'!Y487*Законод!$G$11,IF(B482="Лікар-педіатр",U487*Законод!$C$11+'01_Доходи'!V487*Законод!$D$11,IF(B482="Лікар-терапевт",'01_Доходи'!W487*Законод!$E$11+'01_Доходи'!X487*Законод!$F$11+'01_Доходи'!Y487*Законод!$G$11,0)))</f>
        <v>0</v>
      </c>
      <c r="AQ487" s="210">
        <f ca="1">IF(B482="Лікар загальної практики - сімейний лікар",AB487*Законод!$C$11+'01_Доходи'!AC487*Законод!$D$11+'01_Доходи'!AD487*Законод!$E$11+'01_Доходи'!AE487*Законод!$F$11+'01_Доходи'!AF487*Законод!$G$11,IF(B482="Лікар-педіатр",AB487*Законод!$C$11+'01_Доходи'!AC487*Законод!$D$11,IF(B482="Лікар-терапевт",'01_Доходи'!AD487*Законод!$E$11+'01_Доходи'!AE487*Законод!$F$11+'01_Доходи'!AF487*Законод!$G$11,0)))</f>
        <v>0</v>
      </c>
      <c r="AR487" s="211">
        <f t="shared" ref="AR487:AR493" si="64">SUM(AN487:AQ487)</f>
        <v>0</v>
      </c>
    </row>
    <row r="488" spans="1:44" s="50" customFormat="1" ht="31.9" hidden="1" customHeight="1">
      <c r="A488" s="197"/>
      <c r="B488" s="893"/>
      <c r="C488" s="896"/>
      <c r="D488" s="912"/>
      <c r="E488" s="909"/>
      <c r="F488" s="238" t="str">
        <f ca="1">IF(B482="Лікар-педіатр",Законод!$E$17,IF(B482="Лікар загальної практики - сімейний лікар",Законод!$E$21,IF(B482="Лікар-терапевт",Законод!$E$25,"х")))</f>
        <v>х</v>
      </c>
      <c r="G488" s="889" t="s">
        <v>346</v>
      </c>
      <c r="H488" s="890"/>
      <c r="I488" s="890"/>
      <c r="J488" s="890"/>
      <c r="K488" s="891"/>
      <c r="L488" s="196">
        <f ca="1">IF($B$482="Лікар загальної практики - сімейний лікар",IF(L486&lt;Законод!$C$22,0,(IF(AND(L486&gt;=Законод!$E$22,L486&lt;=Законод!$E$23),L486-Законод!$C$22,IF('01_Доходи'!L486&gt;=Законод!$F$22,Законод!$E$24,0)))),IF($B$482="Лікар-педіатр",IF(L486&lt;Законод!$C$18,0,(IF(AND(L486&gt;=Законод!$E$18,L486&lt;=Законод!$E$19),L486-Законод!$C$18,IF('01_Доходи'!L486&gt;=Законод!$F$18,Законод!$E$20,0)))),IF($B$482="Лікар-терапевт",IF(L486&lt;Законод!$C$26,0,(IF(AND(L486&gt;=Законод!$E$26,L486&lt;=Законод!$E$27),L486-Законод!$C$26,IF('01_Доходи'!L486&gt;=Законод!$F$26,Законод!$E$28,0)))),0)))</f>
        <v>0</v>
      </c>
      <c r="M488" s="930"/>
      <c r="N488" s="889" t="s">
        <v>346</v>
      </c>
      <c r="O488" s="890"/>
      <c r="P488" s="890"/>
      <c r="Q488" s="890"/>
      <c r="R488" s="891"/>
      <c r="S488" s="196">
        <f ca="1">IF($B$482="Лікар загальної практики - сімейний лікар",IF(S486&lt;Законод!$C$22,0,(IF(AND(S486&gt;=Законод!$E$22,S486&lt;=Законод!$E$23),S486-Законод!$C$22,IF('01_Доходи'!S486&gt;=Законод!$F$22,Законод!$E$24,0)))),IF($B$482="Лікар-педіатр",IF(S486&lt;Законод!$C$18,0,(IF(AND(S486&gt;=Законод!$E$18,S486&lt;=Законод!$E$19),S486-Законод!$C$18,IF('01_Доходи'!S486&gt;=Законод!$F$18,Законод!$E$20,0)))),IF($B$482="Лікар-терапевт",IF(S486&lt;Законод!$C$26,0,(IF(AND(S486&gt;=Законод!$E$26,S486&lt;=Законод!$E$27),S486-Законод!$C$26,IF('01_Доходи'!S486&gt;=Законод!$F$26,Законод!$E$28,0)))),0)))</f>
        <v>0</v>
      </c>
      <c r="T488" s="930"/>
      <c r="U488" s="889" t="s">
        <v>346</v>
      </c>
      <c r="V488" s="890"/>
      <c r="W488" s="890"/>
      <c r="X488" s="890"/>
      <c r="Y488" s="891"/>
      <c r="Z488" s="196">
        <f ca="1">IF($B$482="Лікар загальної практики - сімейний лікар",IF(Z486&lt;Законод!$C$22,0,(IF(AND(Z486&gt;=Законод!$E$22,Z486&lt;=Законод!$E$23),Z486-Законод!$C$22,IF('01_Доходи'!Z486&gt;=Законод!$F$22,Законод!$E$24,0)))),IF($B$482="Лікар-педіатр",IF(Z486&lt;Законод!$C$18,0,(IF(AND(Z486&gt;=Законод!$E$18,Z486&lt;=Законод!$E$19),Z486-Законод!$C$18,IF('01_Доходи'!Z486&gt;=Законод!$F$18,Законод!$E$20,0)))),IF($B$482="Лікар-терапевт",IF(Z486&lt;Законод!$C$26,0,(IF(AND(Z486&gt;=Законод!$E$26,Z486&lt;=Законод!$E$27),Z486-Законод!$C$26,IF('01_Доходи'!Z486&gt;=Законод!$F$26,Законод!$E$28,0)))),0)))</f>
        <v>0</v>
      </c>
      <c r="AA488" s="930"/>
      <c r="AB488" s="889" t="s">
        <v>346</v>
      </c>
      <c r="AC488" s="890"/>
      <c r="AD488" s="890"/>
      <c r="AE488" s="890"/>
      <c r="AF488" s="891"/>
      <c r="AG488" s="196">
        <f ca="1">IF($B$482="Лікар загальної практики - сімейний лікар",IF(AG486&lt;Законод!$C$22,0,(IF(AND(AG486&gt;=Законод!$E$22,AG486&lt;=Законод!$E$23),AG486-Законод!$C$22,IF('01_Доходи'!AG486&gt;=Законод!$F$22,Законод!$E$24,0)))),IF($B$482="Лікар-педіатр",IF(AG486&lt;Законод!$C$18,0,(IF(AND(AG486&gt;=Законод!$E$18,AG486&lt;=Законод!$E$19),AG486-Законод!$C$18,IF('01_Доходи'!AG486&gt;=Законод!$F$18,Законод!$E$20,0)))),IF($B$482="Лікар-терапевт",IF(AG486&lt;Законод!$C$26,0,(IF(AND(AG486&gt;=Законод!$E$26,AG486&lt;=Законод!$E$27),AG486-Законод!$C$26,IF('01_Доходи'!AG486&gt;=Законод!$F$26,Законод!$E$28,0)))),0)))</f>
        <v>0</v>
      </c>
      <c r="AH488" s="930"/>
      <c r="AI488" s="201"/>
      <c r="AJ488" s="933"/>
      <c r="AK488" s="927"/>
      <c r="AL488" s="927"/>
      <c r="AM488" s="898" t="s">
        <v>375</v>
      </c>
      <c r="AN488" s="210">
        <f ca="1">IF(B482="Лікар загальної практики - сімейний лікар",L488*Законод!$C$9/4*Законод!$E$16,IF(B482="Лікар-педіатр",L488*Законод!$C$9/4*Законод!$E$16,IF(B482="Лікар-терапевт",L488*Законод!$C$9/4*Законод!$E$16,0)))</f>
        <v>0</v>
      </c>
      <c r="AO488" s="210">
        <f ca="1">IF(B482="Лікар загальної практики - сімейний лікар",S488*Законод!$C$9/4*Законод!$E$16,IF(B482="Лікар-педіатр",S488*Законод!$C$9/4*Законод!$E$16,IF(B482="Лікар-терапевт",S488*Законод!$C$9/4*Законод!$E$16,0)))</f>
        <v>0</v>
      </c>
      <c r="AP488" s="210">
        <f ca="1">IF(B482="Лікар загальної практики - сімейний лікар",Z488*Законод!$C$9/4*Законод!$E$16,IF(B482="Лікар-педіатр",Z488*Законод!$C$9/4*Законод!$E$16,IF(B482="Лікар-терапевт",Z488*Законод!$C$9/4*Законод!$E$16,0)))</f>
        <v>0</v>
      </c>
      <c r="AQ488" s="210">
        <f ca="1">IF(B482="Лікар загальної практики - сімейний лікар",AG488*Законод!$C$9/4*Законод!$E$16,IF(B482="Лікар-педіатр",AG488*Законод!$C$9/4*Законод!$E$16,IF(B482="Лікар-терапевт",AG488*Законод!$C$9/4*Законод!$E$16,0)))</f>
        <v>0</v>
      </c>
      <c r="AR488" s="211">
        <f t="shared" si="64"/>
        <v>0</v>
      </c>
    </row>
    <row r="489" spans="1:44" s="50" customFormat="1" ht="31.9" hidden="1" customHeight="1">
      <c r="A489" s="197"/>
      <c r="B489" s="893"/>
      <c r="C489" s="896"/>
      <c r="D489" s="912"/>
      <c r="E489" s="909"/>
      <c r="F489" s="238" t="str">
        <f ca="1">IF(B482="Лікар-педіатр",Законод!$F$17,IF(B482="Лікар загальної практики - сімейний лікар",Законод!$F$21,IF(B482="Лікар-терапевт",Законод!$F$25,"х")))</f>
        <v>х</v>
      </c>
      <c r="G489" s="889" t="s">
        <v>346</v>
      </c>
      <c r="H489" s="890"/>
      <c r="I489" s="890"/>
      <c r="J489" s="890"/>
      <c r="K489" s="891"/>
      <c r="L489" s="196">
        <f ca="1">IF($B$482="Лікар загальної практики - сімейний лікар",IF(L486&lt;Законод!$C$22,0,(IF(AND(L486&gt;=Законод!$F$22,L486&lt;=Законод!$F$23),L486-Законод!$E$23,IF('01_Доходи'!L486&gt;=Законод!$G$22,Законод!$F$24,0)))),IF($B$482="Лікар-педіатр",IF(L486&lt;Законод!$C$18,0,(IF(AND(L486&gt;=Законод!$F$18,L486&lt;=Законод!$F$19),L486-Законод!$E$19,IF('01_Доходи'!L486&gt;=Законод!$G$18,Законод!$F$20,0)))),IF($B$482="Лікар-терапевт",IF(L486&lt;Законод!$C$26,0,(IF(AND(L486&gt;=Законод!$F$26,L486&lt;=Законод!$F$27),L486-Законод!$E$27,IF('01_Доходи'!L486&gt;=Законод!$G$26,Законод!$F$28,0)))),0)))</f>
        <v>0</v>
      </c>
      <c r="M489" s="930"/>
      <c r="N489" s="889" t="s">
        <v>346</v>
      </c>
      <c r="O489" s="890"/>
      <c r="P489" s="890"/>
      <c r="Q489" s="890"/>
      <c r="R489" s="891"/>
      <c r="S489" s="196">
        <f ca="1">IF($B$482="Лікар загальної практики - сімейний лікар",IF(S486&lt;Законод!$C$22,0,(IF(AND(S486&gt;=Законод!$F$22,S486&lt;=Законод!$F$23),S486-Законод!$E$23,IF('01_Доходи'!S486&gt;=Законод!$G$22,Законод!$F$24,0)))),IF($B$482="Лікар-педіатр",IF(S486&lt;Законод!$C$18,0,(IF(AND(S486&gt;=Законод!$F$18,S486&lt;=Законод!$F$19),S486-Законод!$E$19,IF('01_Доходи'!S486&gt;=Законод!$G$18,Законод!$F$20,0)))),IF($B$482="Лікар-терапевт",IF(S486&lt;Законод!$C$26,0,(IF(AND(S486&gt;=Законод!$F$26,S486&lt;=Законод!$F$27),S486-Законод!$E$27,IF('01_Доходи'!S486&gt;=Законод!$G$26,Законод!$F$28,0)))),0)))</f>
        <v>0</v>
      </c>
      <c r="T489" s="930"/>
      <c r="U489" s="889" t="s">
        <v>346</v>
      </c>
      <c r="V489" s="890"/>
      <c r="W489" s="890"/>
      <c r="X489" s="890"/>
      <c r="Y489" s="891"/>
      <c r="Z489" s="196">
        <f ca="1">IF($B$482="Лікар загальної практики - сімейний лікар",IF(Z486&lt;Законод!$C$22,0,(IF(AND(Z486&gt;=Законод!$F$22,Z486&lt;=Законод!$F$23),Z486-Законод!$E$23,IF('01_Доходи'!Z486&gt;=Законод!$G$22,Законод!$F$24,0)))),IF($B$482="Лікар-педіатр",IF(Z486&lt;Законод!$C$18,0,(IF(AND(Z486&gt;=Законод!$F$18,Z486&lt;=Законод!$F$19),Z486-Законод!$E$19,IF('01_Доходи'!Z486&gt;=Законод!$G$18,Законод!$F$20,0)))),IF($B$482="Лікар-терапевт",IF(Z486&lt;Законод!$C$26,0,(IF(AND(Z486&gt;=Законод!$F$26,Z486&lt;=Законод!$F$27),Z486-Законод!$E$27,IF('01_Доходи'!Z486&gt;=Законод!$G$26,Законод!$F$28,0)))),0)))</f>
        <v>0</v>
      </c>
      <c r="AA489" s="930"/>
      <c r="AB489" s="889" t="s">
        <v>346</v>
      </c>
      <c r="AC489" s="890"/>
      <c r="AD489" s="890"/>
      <c r="AE489" s="890"/>
      <c r="AF489" s="891"/>
      <c r="AG489" s="196">
        <f ca="1">IF($B$482="Лікар загальної практики - сімейний лікар",IF(AG486&lt;Законод!$C$22,0,(IF(AND(AG486&gt;=Законод!$F$22,AG486&lt;=Законод!$F$23),AG486-Законод!$E$23,IF('01_Доходи'!AG486&gt;=Законод!$G$22,Законод!$F$24,0)))),IF($B$482="Лікар-педіатр",IF(AG486&lt;Законод!$C$18,0,(IF(AND(AG486&gt;=Законод!$F$18,AG486&lt;=Законод!$F$19),AG486-Законод!$E$19,IF('01_Доходи'!AG486&gt;=Законод!$G$18,Законод!$F$20,0)))),IF($B$482="Лікар-терапевт",IF(AG486&lt;Законод!$C$26,0,(IF(AND(AG486&gt;=Законод!$F$26,AG486&lt;=Законод!$F$27),AG486-Законод!$E$27,IF('01_Доходи'!AG486&gt;=Законод!$G$26,Законод!$F$28,0)))),0)))</f>
        <v>0</v>
      </c>
      <c r="AH489" s="930"/>
      <c r="AI489" s="201"/>
      <c r="AJ489" s="933"/>
      <c r="AK489" s="927"/>
      <c r="AL489" s="927"/>
      <c r="AM489" s="899"/>
      <c r="AN489" s="210">
        <f ca="1">IF(B482="Лікар загальної практики - сімейний лікар",L489*Законод!$C$9/4*Законод!$F$16,IF(B482="Лікар-педіатр",L489*Законод!$C$9/4*Законод!$F$16,IF(B482="Лікар-терапевт",L489*Законод!$C$9/4*Законод!$F$16,0)))</f>
        <v>0</v>
      </c>
      <c r="AO489" s="210">
        <f ca="1">IF(B482="Лікар загальної практики - сімейний лікар",S489*Законод!$C$9/4*Законод!$F$16,IF(B482="Лікар-педіатр",S489*Законод!$C$9/4*Законод!$F$16,IF(B482="Лікар-терапевт",S489*Законод!$C$9/4*Законод!$F$16,0)))</f>
        <v>0</v>
      </c>
      <c r="AP489" s="210">
        <f ca="1">IF(B482="Лікар загальної практики - сімейний лікар",Z489*Законод!$C$9/4*Законод!$F$16,IF(B482="Лікар-педіатр",Z489*Законод!$C$9/4*Законод!$F$16,IF(B482="Лікар-терапевт",Z489*Законод!$C$9/4*Законод!$F$16,0)))</f>
        <v>0</v>
      </c>
      <c r="AQ489" s="210">
        <f ca="1">IF(B482="Лікар загальної практики - сімейний лікар",AG489*Законод!$C$9/4*Законод!$F$16,IF(B482="Лікар-педіатр",AG489*Законод!$C$9/4*Законод!$F$16,IF(B482="Лікар-терапевт",AG489*Законод!$C$9/4*Законод!$F$16,0)))</f>
        <v>0</v>
      </c>
      <c r="AR489" s="211">
        <f t="shared" si="64"/>
        <v>0</v>
      </c>
    </row>
    <row r="490" spans="1:44" s="50" customFormat="1" ht="31.9" hidden="1" customHeight="1">
      <c r="A490" s="197"/>
      <c r="B490" s="893"/>
      <c r="C490" s="896"/>
      <c r="D490" s="912"/>
      <c r="E490" s="909"/>
      <c r="F490" s="238" t="str">
        <f ca="1">IF(B482="Лікар-педіатр",Законод!$G$17,IF(B482="Лікар загальної практики - сімейний лікар",Законод!$G$21,IF(B482="Лікар-терапевт",Законод!$G$25,"х")))</f>
        <v>х</v>
      </c>
      <c r="G490" s="889" t="s">
        <v>346</v>
      </c>
      <c r="H490" s="890"/>
      <c r="I490" s="890"/>
      <c r="J490" s="890"/>
      <c r="K490" s="891"/>
      <c r="L490" s="196">
        <f ca="1">IF($B$482="Лікар загальної практики - сімейний лікар",IF(L486&lt;Законод!$C$22,0,(IF(AND(L486&gt;=Законод!$G$22,L486&lt;=Законод!$G$23),L486-Законод!$F$23,IF('01_Доходи'!L486&gt;=Законод!$H$22,Законод!$G$24,0)))),IF($B$482="Лікар-педіатр",IF(L486&lt;Законод!$C$18,0,(IF(AND(L486&gt;=Законод!$G$18,L486&lt;=Законод!$G$19),L486-Законод!$F$19,IF('01_Доходи'!L486&gt;=Законод!$H$18,Законод!$G$20,0)))),IF($B$482="Лікар-терапевт",IF(L486&lt;Законод!$C$26,0,(IF(AND(L486&gt;=Законод!$G$26,L486&lt;=Законод!$G$27),L486-Законод!$F$27,IF('01_Доходи'!L486&gt;=Законод!$H$26,Законод!$G$28,0)))),0)))</f>
        <v>0</v>
      </c>
      <c r="M490" s="930"/>
      <c r="N490" s="889" t="s">
        <v>346</v>
      </c>
      <c r="O490" s="890"/>
      <c r="P490" s="890"/>
      <c r="Q490" s="890"/>
      <c r="R490" s="891"/>
      <c r="S490" s="196">
        <f ca="1">IF($B$482="Лікар загальної практики - сімейний лікар",IF(S486&lt;Законод!$C$22,0,(IF(AND(S486&gt;=Законод!$G$22,S486&lt;=Законод!$G$23),S486-Законод!$F$23,IF('01_Доходи'!S486&gt;=Законод!$H$22,Законод!$G$24,0)))),IF($B$482="Лікар-педіатр",IF(S486&lt;Законод!$C$18,0,(IF(AND(S486&gt;=Законод!$G$18,S486&lt;=Законод!$G$19),S486-Законод!$F$19,IF('01_Доходи'!S486&gt;=Законод!$H$18,Законод!$G$20,0)))),IF($B$482="Лікар-терапевт",IF(S486&lt;Законод!$C$26,0,(IF(AND(S486&gt;=Законод!$G$26,S486&lt;=Законод!$G$27),S486-Законод!$F$27,IF('01_Доходи'!S486&gt;=Законод!$H$26,Законод!$G$28,0)))),0)))</f>
        <v>0</v>
      </c>
      <c r="T490" s="930"/>
      <c r="U490" s="889" t="s">
        <v>346</v>
      </c>
      <c r="V490" s="890"/>
      <c r="W490" s="890"/>
      <c r="X490" s="890"/>
      <c r="Y490" s="891"/>
      <c r="Z490" s="196">
        <f ca="1">IF($B$482="Лікар загальної практики - сімейний лікар",IF(Z486&lt;Законод!$C$22,0,(IF(AND(Z486&gt;=Законод!$G$22,Z486&lt;=Законод!$G$23),Z486-Законод!$F$23,IF('01_Доходи'!Z486&gt;=Законод!$H$22,Законод!$G$24,0)))),IF($B$482="Лікар-педіатр",IF(Z486&lt;Законод!$C$18,0,(IF(AND(Z486&gt;=Законод!$G$18,Z486&lt;=Законод!$G$19),Z486-Законод!$F$19,IF('01_Доходи'!Z486&gt;=Законод!$H$18,Законод!$G$20,0)))),IF($B$482="Лікар-терапевт",IF(Z486&lt;Законод!$C$26,0,(IF(AND(Z486&gt;=Законод!$G$26,Z486&lt;=Законод!$G$27),Z486-Законод!$F$27,IF('01_Доходи'!Z486&gt;=Законод!$H$26,Законод!$G$28,0)))),0)))</f>
        <v>0</v>
      </c>
      <c r="AA490" s="930"/>
      <c r="AB490" s="889" t="s">
        <v>346</v>
      </c>
      <c r="AC490" s="890"/>
      <c r="AD490" s="890"/>
      <c r="AE490" s="890"/>
      <c r="AF490" s="891"/>
      <c r="AG490" s="196">
        <f ca="1">IF($B$482="Лікар загальної практики - сімейний лікар",IF(AG486&lt;Законод!$C$22,0,(IF(AND(AG486&gt;=Законод!$G$22,AG486&lt;=Законод!$G$23),AG486-Законод!$F$23,IF('01_Доходи'!AG486&gt;=Законод!$H$22,Законод!$G$24,0)))),IF($B$482="Лікар-педіатр",IF(AG486&lt;Законод!$C$18,0,(IF(AND(AG486&gt;=Законод!$G$18,AG486&lt;=Законод!$G$19),AG486-Законод!$F$19,IF('01_Доходи'!AG486&gt;=Законод!$H$18,Законод!$G$20,0)))),IF($B$482="Лікар-терапевт",IF(AG486&lt;Законод!$C$26,0,(IF(AND(AG486&gt;=Законод!$G$26,AG486&lt;=Законод!$G$27),AG486-Законод!$F$27,IF('01_Доходи'!AG486&gt;=Законод!$H$26,Законод!$G$28,0)))),0)))</f>
        <v>0</v>
      </c>
      <c r="AH490" s="930"/>
      <c r="AI490" s="201"/>
      <c r="AJ490" s="933"/>
      <c r="AK490" s="927"/>
      <c r="AL490" s="927"/>
      <c r="AM490" s="899"/>
      <c r="AN490" s="210">
        <f ca="1">IF(B482="Лікар загальної практики - сімейний лікар",L490*Законод!$C$9/4*Законод!$G$16,IF(B482="Лікар-педіатр",L490*Законод!$C$9/4*Законод!$G$16,IF(B482="Лікар-терапевт",L490*Законод!$C$9/4*Законод!$G$16,0)))</f>
        <v>0</v>
      </c>
      <c r="AO490" s="210">
        <f ca="1">IF(B482="Лікар загальної практики - сімейний лікар",S490*Законод!$C$9/4*Законод!$G$16,IF(B482="Лікар-педіатр",S490*Законод!$C$9/4*Законод!$G$16,IF(B482="Лікар-терапевт",S490*Законод!$C$9/4*Законод!$G$16,0)))</f>
        <v>0</v>
      </c>
      <c r="AP490" s="210">
        <f ca="1">IF(B482="Лікар загальної практики - сімейний лікар",Z490*Законод!$C$9/4*Законод!$G$16,IF(B482="Лікар-педіатр",Z490*Законод!$C$9/4*Законод!$G$16,IF(B482="Лікар-терапевт",Z490*Законод!$C$9/4*Законод!$G$16,0)))</f>
        <v>0</v>
      </c>
      <c r="AQ490" s="210">
        <f ca="1">IF(B482="Лікар загальної практики - сімейний лікар",AG490*Законод!$C$9/4*Законод!$G$16,IF(B482="Лікар-педіатр",AG490*Законод!$C$9/4*Законод!$G$16,IF(B482="Лікар-терапевт",AG490*Законод!$C$9/4*Законод!$G$16,0)))</f>
        <v>0</v>
      </c>
      <c r="AR490" s="211">
        <f t="shared" si="64"/>
        <v>0</v>
      </c>
    </row>
    <row r="491" spans="1:44" s="50" customFormat="1" ht="31.9" hidden="1" customHeight="1">
      <c r="A491" s="197"/>
      <c r="B491" s="893"/>
      <c r="C491" s="896"/>
      <c r="D491" s="912"/>
      <c r="E491" s="909"/>
      <c r="F491" s="238" t="str">
        <f ca="1">IF(B482="Лікар-педіатр",Законод!$H$17,IF(B482="Лікар загальної практики - сімейний лікар",Законод!$H$21,IF(B482="Лікар-терапевт",Законод!$H$25,"х")))</f>
        <v>х</v>
      </c>
      <c r="G491" s="889" t="s">
        <v>346</v>
      </c>
      <c r="H491" s="890"/>
      <c r="I491" s="890"/>
      <c r="J491" s="890"/>
      <c r="K491" s="891"/>
      <c r="L491" s="196">
        <f ca="1">IF($B$482="Лікар загальної практики - сімейний лікар",IF(L486&lt;Законод!$C$22,0,(IF(AND(L486&gt;=Законод!$H$22,L486&lt;=Законод!$H$23),L486-Законод!$G$23,IF('01_Доходи'!L486&gt;=Законод!$I$22,Законод!$H$24,0)))),IF($B$482="Лікар-педіатр",IF(L486&lt;Законод!$C$18,0,(IF(AND(L486&gt;=Законод!$H$18,L486&lt;=Законод!$H$19),L486-Законод!$G$19,IF('01_Доходи'!L486&gt;=Законод!$I$18,Законод!$H$20,0)))),IF($B$482="Лікар-терапевт",IF(L486&lt;Законод!$C$26,0,(IF(AND(L486&gt;=Законод!$H$26,L486&lt;=Законод!$H$27),L486-Законод!$G$27,IF(L486&gt;=Законод!$I$26,Законод!$H$28,0)))),0)))</f>
        <v>0</v>
      </c>
      <c r="M491" s="930"/>
      <c r="N491" s="889" t="s">
        <v>346</v>
      </c>
      <c r="O491" s="890"/>
      <c r="P491" s="890"/>
      <c r="Q491" s="890"/>
      <c r="R491" s="891"/>
      <c r="S491" s="196">
        <f ca="1">IF($B$482="Лікар загальної практики - сімейний лікар",IF(S486&lt;Законод!$C$22,0,(IF(AND(S486&gt;=Законод!$H$22,S486&lt;=Законод!$H$23),S486-Законод!$G$23,IF('01_Доходи'!S486&gt;=Законод!$I$22,Законод!$H$24,0)))),IF($B$482="Лікар-педіатр",IF(S486&lt;Законод!$C$18,0,(IF(AND(S486&gt;=Законод!$H$18,S486&lt;=Законод!$H$19),S486-Законод!$G$19,IF('01_Доходи'!S486&gt;=Законод!$I$18,Законод!$H$20,0)))),IF($B$482="Лікар-терапевт",IF(S486&lt;Законод!$C$26,0,(IF(AND(S486&gt;=Законод!$H$26,S486&lt;=Законод!$H$27),S486-Законод!$G$27,IF(S486&gt;=Законод!$I$26,Законод!$H$28,0)))),0)))</f>
        <v>0</v>
      </c>
      <c r="T491" s="930"/>
      <c r="U491" s="889" t="s">
        <v>346</v>
      </c>
      <c r="V491" s="890"/>
      <c r="W491" s="890"/>
      <c r="X491" s="890"/>
      <c r="Y491" s="891"/>
      <c r="Z491" s="196">
        <f ca="1">IF($B$482="Лікар загальної практики - сімейний лікар",IF(Z486&lt;Законод!$C$22,0,(IF(AND(Z486&gt;=Законод!$H$22,Z486&lt;=Законод!$H$23),Z486-Законод!$G$23,IF('01_Доходи'!Z486&gt;=Законод!$I$22,Законод!$H$24,0)))),IF($B$482="Лікар-педіатр",IF(Z486&lt;Законод!$C$18,0,(IF(AND(Z486&gt;=Законод!$H$18,Z486&lt;=Законод!$H$19),Z486-Законод!$G$19,IF('01_Доходи'!Z486&gt;=Законод!$I$18,Законод!$H$20,0)))),IF($B$482="Лікар-терапевт",IF(Z486&lt;Законод!$C$26,0,(IF(AND(Z486&gt;=Законод!$H$26,Z486&lt;=Законод!$H$27),Z486-Законод!$G$27,IF(Z486&gt;=Законод!$I$26,Законод!$H$28,0)))),0)))</f>
        <v>0</v>
      </c>
      <c r="AA491" s="930"/>
      <c r="AB491" s="889" t="s">
        <v>346</v>
      </c>
      <c r="AC491" s="890"/>
      <c r="AD491" s="890"/>
      <c r="AE491" s="890"/>
      <c r="AF491" s="891"/>
      <c r="AG491" s="196">
        <f ca="1">IF($B$482="Лікар загальної практики - сімейний лікар",IF(AG486&lt;Законод!$C$22,0,(IF(AND(AG486&gt;=Законод!$H$22,AG486&lt;=Законод!$H$23),AG486-Законод!$G$23,IF('01_Доходи'!AG486&gt;=Законод!$I$22,Законод!$H$24,0)))),IF($B$482="Лікар-педіатр",IF(AG486&lt;Законод!$C$18,0,(IF(AND(AG486&gt;=Законод!$H$18,AG486&lt;=Законод!$H$19),AG486-Законод!$G$19,IF('01_Доходи'!AG486&gt;=Законод!$I$18,Законод!$H$20,0)))),IF($B$482="Лікар-терапевт",IF(AG486&lt;Законод!$C$26,0,(IF(AND(AG486&gt;=Законод!$H$26,AG486&lt;=Законод!$H$27),AG486-Законод!$G$27,IF(AG486&gt;=Законод!$I$26,Законод!$H$28,0)))),0)))</f>
        <v>0</v>
      </c>
      <c r="AH491" s="930"/>
      <c r="AI491" s="201"/>
      <c r="AJ491" s="933"/>
      <c r="AK491" s="927"/>
      <c r="AL491" s="927"/>
      <c r="AM491" s="899"/>
      <c r="AN491" s="210">
        <f ca="1">IF(B482="Лікар загальної практики - сімейний лікар",L491*Законод!$C$9/4*Законод!$H$16,IF(B482="Лікар-педіатр",L491*Законод!$C$9/4*Законод!$H$16,IF(B482="Лікар-терапевт",L491*Законод!$C$9/4*Законод!$H$16,0)))</f>
        <v>0</v>
      </c>
      <c r="AO491" s="210">
        <f ca="1">IF(B482="Лікар загальної практики - сімейний лікар",S491*Законод!$C$9/4*Законод!$H$16,IF(B482="Лікар-педіатр",S491*Законод!$C$9/4*Законод!$H$16,IF(B482="Лікар-терапевт",S491*Законод!$C$9/4*Законод!$H$16,0)))</f>
        <v>0</v>
      </c>
      <c r="AP491" s="210">
        <f ca="1">IF(B482="Лікар загальної практики - сімейний лікар",Z491*Законод!$C$9/4*Законод!$H$16,IF(B482="Лікар-педіатр",Z491*Законод!$C$9/4*Законод!$H$16,IF(B482="Лікар-терапевт",Z491*Законод!$C$9/4*Законод!$H$16,0)))</f>
        <v>0</v>
      </c>
      <c r="AQ491" s="210">
        <f ca="1">IF(B482="Лікар загальної практики - сімейний лікар",AG491*Законод!$C$9/4*Законод!$H$16,IF(B482="Лікар-педіатр",AG491*Законод!$C$9/4*Законод!$H$16,IF(B482="Лікар-терапевт",AG491*Законод!$C$9/4*Законод!$H$16,0)))</f>
        <v>0</v>
      </c>
      <c r="AR491" s="211">
        <f t="shared" si="64"/>
        <v>0</v>
      </c>
    </row>
    <row r="492" spans="1:44" s="50" customFormat="1" ht="31.9" hidden="1" customHeight="1">
      <c r="A492" s="197"/>
      <c r="B492" s="893"/>
      <c r="C492" s="896"/>
      <c r="D492" s="912"/>
      <c r="E492" s="909"/>
      <c r="F492" s="238" t="str">
        <f ca="1">IF(B482="Лікар-педіатр",Законод!$I$17,IF(B482="Лікар загальної практики - сімейний лікар",Законод!$I$21,IF(B482="Лікар-терапевт",Законод!$I$25,"х")))</f>
        <v>х</v>
      </c>
      <c r="G492" s="889" t="s">
        <v>346</v>
      </c>
      <c r="H492" s="890"/>
      <c r="I492" s="890"/>
      <c r="J492" s="890"/>
      <c r="K492" s="891"/>
      <c r="L492" s="196">
        <f ca="1">IF($B$482="Лікар загальної практики - сімейний лікар",IF(L486&lt;Законод!$C$22,0,(IF(AND(L486&gt;=Законод!$I$22,L486&lt;=Законод!$I$23),L486-Законод!$H$23,IF('01_Доходи'!L486&gt;=Законод!$I$22,Законод!$I$24,0)))),IF($B$482="Лікар-педіатр",IF(L486&lt;Законод!$C$18,0,(IF(AND(L486&gt;=Законод!$I$18,L486&lt;=Законод!$I$19),L486-Законод!$H$19,IF('01_Доходи'!L486&gt;=Законод!$I$18,Законод!$H$20,0)))),IF($B$482="Лікар-терапевт",IF(L486&lt;Законод!$C$26,0,(IF(AND(L486&gt;=Законод!$I$26,L486&lt;=Законод!$I$27),L486-Законод!$H$27,IF('01_Доходи'!L486&gt;=Законод!$I$26,Законод!$H$28,0)))),0)))</f>
        <v>0</v>
      </c>
      <c r="M492" s="930"/>
      <c r="N492" s="889" t="s">
        <v>346</v>
      </c>
      <c r="O492" s="890"/>
      <c r="P492" s="890"/>
      <c r="Q492" s="890"/>
      <c r="R492" s="891"/>
      <c r="S492" s="196">
        <f ca="1">IF($B$482="Лікар загальної практики - сімейний лікар",IF(S486&lt;Законод!$C$22,0,(IF(AND(S486&gt;=Законод!$I$22,S486&lt;=Законод!$I$23),S486-Законод!$H$23,IF('01_Доходи'!S486&gt;=Законод!$I$22,Законод!$I$24,0)))),IF($B$482="Лікар-педіатр",IF(S486&lt;Законод!$C$18,0,(IF(AND(S486&gt;=Законод!$I$18,S486&lt;=Законод!$I$19),S486-Законод!$H$19,IF('01_Доходи'!S486&gt;=Законод!$I$18,Законод!$H$20,0)))),IF($B$482="Лікар-терапевт",IF(S486&lt;Законод!$C$26,0,(IF(AND(S486&gt;=Законод!$I$26,S486&lt;=Законод!$I$27),S486-Законод!$H$27,IF('01_Доходи'!S486&gt;=Законод!$I$26,Законод!$H$28,0)))),0)))</f>
        <v>0</v>
      </c>
      <c r="T492" s="930"/>
      <c r="U492" s="889" t="s">
        <v>346</v>
      </c>
      <c r="V492" s="890"/>
      <c r="W492" s="890"/>
      <c r="X492" s="890"/>
      <c r="Y492" s="891"/>
      <c r="Z492" s="196">
        <f ca="1">IF($B$482="Лікар загальної практики - сімейний лікар",IF(Z486&lt;Законод!$C$22,0,(IF(AND(Z486&gt;=Законод!$I$22,Z486&lt;=Законод!$I$23),Z486-Законод!$H$23,IF('01_Доходи'!Z486&gt;=Законод!$I$22,Законод!$I$24,0)))),IF($B$482="Лікар-педіатр",IF(Z486&lt;Законод!$C$18,0,(IF(AND(Z486&gt;=Законод!$I$18,Z486&lt;=Законод!$I$19),Z486-Законод!$H$19,IF('01_Доходи'!Z486&gt;=Законод!$I$18,Законод!$H$20,0)))),IF($B$482="Лікар-терапевт",IF(Z486&lt;Законод!$C$26,0,(IF(AND(Z486&gt;=Законод!$I$26,Z486&lt;=Законод!$I$27),Z486-Законод!$H$27,IF('01_Доходи'!Z486&gt;=Законод!$I$26,Законод!$H$28,0)))),0)))</f>
        <v>0</v>
      </c>
      <c r="AA492" s="930"/>
      <c r="AB492" s="889" t="s">
        <v>346</v>
      </c>
      <c r="AC492" s="890"/>
      <c r="AD492" s="890"/>
      <c r="AE492" s="890"/>
      <c r="AF492" s="891"/>
      <c r="AG492" s="196">
        <f ca="1">IF($B$482="Лікар загальної практики - сімейний лікар",IF(AG486&lt;Законод!$C$22,0,(IF(AND(AG486&gt;=Законод!$I$22,AG486&lt;=Законод!$I$23),AG486-Законод!$H$23,IF('01_Доходи'!AG486&gt;=Законод!$I$22,Законод!$I$24,0)))),IF($B$482="Лікар-педіатр",IF(AG486&lt;Законод!$C$18,0,(IF(AND(AG486&gt;=Законод!$I$18,AG486&lt;=Законод!$I$19),AG486-Законод!$H$19,IF('01_Доходи'!AG486&gt;=Законод!$I$18,Законод!$H$20,0)))),IF($B$482="Лікар-терапевт",IF(AG486&lt;Законод!$C$26,0,(IF(AND(AG486&gt;=Законод!$I$26,AG486&lt;=Законод!$I$27),AG486-Законод!$H$27,IF('01_Доходи'!AG486&gt;=Законод!$I$26,Законод!$H$28,0)))),0)))</f>
        <v>0</v>
      </c>
      <c r="AH492" s="930"/>
      <c r="AI492" s="201"/>
      <c r="AJ492" s="933"/>
      <c r="AK492" s="927"/>
      <c r="AL492" s="927"/>
      <c r="AM492" s="899"/>
      <c r="AN492" s="210">
        <f ca="1">IF(B482="Лікар загальної практики - сімейний лікар",L492*Законод!$C$9/4*Законод!$I$16,IF(B482="Лікар-педіатр",L492*Законод!$C$9/4*Законод!$I$16,IF(B482="Лікар-терапевт",L492*Законод!$C$9/4*Законод!$I$16,0)))</f>
        <v>0</v>
      </c>
      <c r="AO492" s="210">
        <f ca="1">IF(B482="Лікар загальної практики - сімейний лікар",S492*Законод!$C$9/4*Законод!$I$16,IF(B482="Лікар-педіатр",S492*Законод!$C$9/4*Законод!$I$16,IF(B482="Лікар-терапевт",S492*Законод!$C$9/4*Законод!$I$16,0)))</f>
        <v>0</v>
      </c>
      <c r="AP492" s="210">
        <f ca="1">IF(B482="Лікар загальної практики - сімейний лікар",Z492*Законод!$C$9/4*Законод!$I$16,IF(B482="Лікар-педіатр",Z492*Законод!$C$9/4*Законод!$I$16,IF(B482="Лікар-терапевт",Z492*Законод!$C$9/4*Законод!$I$16,0)))</f>
        <v>0</v>
      </c>
      <c r="AQ492" s="210">
        <f ca="1">IF(B482="Лікар загальної практики - сімейний лікар",AG492*Законод!$C$9/4*Законод!$I$16,IF(B482="Лікар-педіатр",AG492*Законод!$C$9/4*Законод!$I$16,IF(B482="Лікар-терапевт",AG492*Законод!$C$9/4*Законод!$I$16,0)))</f>
        <v>0</v>
      </c>
      <c r="AR492" s="211">
        <f t="shared" si="64"/>
        <v>0</v>
      </c>
    </row>
    <row r="493" spans="1:44" s="218" customFormat="1" ht="31.9" hidden="1" customHeight="1" thickBot="1">
      <c r="A493" s="213"/>
      <c r="B493" s="894"/>
      <c r="C493" s="897"/>
      <c r="D493" s="913"/>
      <c r="E493" s="910"/>
      <c r="F493" s="239" t="str">
        <f ca="1">IF(B482="Лікар-педіатр",Законод!$J$17,IF(B482="Лікар загальної практики - сімейний лікар",Законод!$J$21,IF(B482="Лікар-терапевт",Законод!$J$25,"х")))</f>
        <v>х</v>
      </c>
      <c r="G493" s="935" t="s">
        <v>346</v>
      </c>
      <c r="H493" s="936"/>
      <c r="I493" s="936"/>
      <c r="J493" s="936"/>
      <c r="K493" s="937"/>
      <c r="L493" s="196">
        <f ca="1">IF($B$482="Лікар загальної практики - сімейний лікар",IF(L486&gt;=Законод!$J$22,'01_Доходи'!L486-('01_Доходи'!L487+'01_Доходи'!L488+'01_Доходи'!L489+'01_Доходи'!L490+'01_Доходи'!L491+'01_Доходи'!L492),0),IF($B$482="Лікар-педіатр",IF(L486&gt;=Законод!$J$18,'01_Доходи'!L486-('01_Доходи'!L487+'01_Доходи'!L488+'01_Доходи'!L489+'01_Доходи'!L490+'01_Доходи'!L491+'01_Доходи'!L492),0),IF($B$482="Лікар-терапевт",IF('01_Доходи'!L486&gt;=Законод!$J$26,L486-Законод!$I$27,0),0)))</f>
        <v>0</v>
      </c>
      <c r="M493" s="931"/>
      <c r="N493" s="935" t="s">
        <v>346</v>
      </c>
      <c r="O493" s="936"/>
      <c r="P493" s="936"/>
      <c r="Q493" s="936"/>
      <c r="R493" s="937"/>
      <c r="S493" s="196">
        <f ca="1">IF($B$482="Лікар загальної практики - сімейний лікар",IF(S486&gt;=Законод!$J$22,'01_Доходи'!S486-('01_Доходи'!S487+'01_Доходи'!S488+'01_Доходи'!S489+'01_Доходи'!S490+'01_Доходи'!S491+'01_Доходи'!S492),0),IF($B$482="Лікар-педіатр",IF(S486&gt;=Законод!$J$18,'01_Доходи'!S486-('01_Доходи'!S487+'01_Доходи'!S488+'01_Доходи'!S489+'01_Доходи'!S490+'01_Доходи'!S491+'01_Доходи'!S492),0),IF($B$482="Лікар-терапевт",IF('01_Доходи'!S486&gt;=Законод!$J$26,S486-Законод!$I$27,0),0)))</f>
        <v>0</v>
      </c>
      <c r="T493" s="931"/>
      <c r="U493" s="935" t="s">
        <v>346</v>
      </c>
      <c r="V493" s="936"/>
      <c r="W493" s="936"/>
      <c r="X493" s="936"/>
      <c r="Y493" s="937"/>
      <c r="Z493" s="196">
        <f ca="1">IF($B$482="Лікар загальної практики - сімейний лікар",IF(Z486&gt;=Законод!$J$22,'01_Доходи'!Z486-('01_Доходи'!Z487+'01_Доходи'!Z488+'01_Доходи'!Z489+'01_Доходи'!Z490+'01_Доходи'!Z491+'01_Доходи'!Z492),0),IF($B$482="Лікар-педіатр",IF(Z486&gt;=Законод!$J$18,'01_Доходи'!Z486-('01_Доходи'!Z487+'01_Доходи'!Z488+'01_Доходи'!Z489+'01_Доходи'!Z490+'01_Доходи'!Z491+'01_Доходи'!Z492),0),IF($B$482="Лікар-терапевт",IF('01_Доходи'!Z486&gt;=Законод!$J$26,Z486-Законод!$I$27,0),0)))</f>
        <v>0</v>
      </c>
      <c r="AA493" s="931"/>
      <c r="AB493" s="935" t="s">
        <v>346</v>
      </c>
      <c r="AC493" s="936"/>
      <c r="AD493" s="936"/>
      <c r="AE493" s="936"/>
      <c r="AF493" s="937"/>
      <c r="AG493" s="196">
        <f ca="1">IF($B$482="Лікар загальної практики - сімейний лікар",IF(AG486&gt;=Законод!$J$22,'01_Доходи'!AG486-('01_Доходи'!AG487+'01_Доходи'!AG488+'01_Доходи'!AG489+'01_Доходи'!AG490+'01_Доходи'!AG491+'01_Доходи'!AG492),0),IF($B$482="Лікар-педіатр",IF(AG486&gt;=Законод!$J$18,'01_Доходи'!AG486-('01_Доходи'!AG487+'01_Доходи'!AG488+'01_Доходи'!AG489+'01_Доходи'!AG490+'01_Доходи'!AG491+'01_Доходи'!AG492),0),IF($B$482="Лікар-терапевт",IF('01_Доходи'!AG486&gt;=Законод!$J$26,AG486-Законод!$I$27,0),0)))</f>
        <v>0</v>
      </c>
      <c r="AH493" s="931"/>
      <c r="AI493" s="215"/>
      <c r="AJ493" s="934"/>
      <c r="AK493" s="928"/>
      <c r="AL493" s="928"/>
      <c r="AM493" s="900"/>
      <c r="AN493" s="216">
        <f ca="1">IF(B482="Лікар загальної практики - сімейний лікар",L493*Законод!$C$9/4*Законод!$J$16,IF(B482="Лікар-педіатр",L493*Законод!$C$9/4*Законод!$J$16,IF(B482="Лікар-терапевт",L493*Законод!$C$9/4*Законод!$J$16,0)))</f>
        <v>0</v>
      </c>
      <c r="AO493" s="216">
        <f ca="1">IF(B482="Лікар загальної практики - сімейний лікар",S493*Законод!$C$9/4*Законод!$J$16,IF(B482="Лікар-педіатр",S493*Законод!$C$9/4*Законод!$J$16,IF(B482="Лікар-терапевт",S493*Законод!$C$9/4*Законод!$J$16,0)))</f>
        <v>0</v>
      </c>
      <c r="AP493" s="216">
        <f ca="1">IF(B482="Лікар загальної практики - сімейний лікар",S493*Законод!$C$9/4*Законод!$J$16,IF(B482="Лікар-педіатр",S493*Законод!$C$9/4*Законод!$J$16,IF(B482="Лікар-терапевт",S493*Законод!$C$9/4*Законод!$J$16,0)))</f>
        <v>0</v>
      </c>
      <c r="AQ493" s="216">
        <f ca="1">IF(B482="Лікар загальної практики - сімейний лікар",AG493*Законод!$C$9/4*Законод!$J$16,IF(B482="Лікар-педіатр",AG493*Законод!$C$9/4*Законод!$J$16,IF(B482="Лікар-терапевт",AG493*Законод!$C$9/4*Законод!$J$16,0)))</f>
        <v>0</v>
      </c>
      <c r="AR493" s="217">
        <f t="shared" si="64"/>
        <v>0</v>
      </c>
    </row>
    <row r="494" spans="1:44" s="247" customFormat="1" ht="23.45" hidden="1" customHeight="1" thickBot="1">
      <c r="A494" s="243"/>
      <c r="B494" s="244"/>
      <c r="C494" s="244"/>
      <c r="D494" s="244"/>
      <c r="E494" s="244"/>
      <c r="F494" s="245"/>
      <c r="G494" s="246"/>
      <c r="H494" s="246"/>
      <c r="L494" s="248"/>
      <c r="S494" s="248"/>
      <c r="Z494" s="248"/>
      <c r="AG494" s="248"/>
      <c r="AM494" s="249"/>
      <c r="AR494" s="250"/>
    </row>
    <row r="495" spans="1:44" s="191" customFormat="1" ht="24.6" hidden="1" customHeight="1">
      <c r="A495" s="194">
        <f>A482+1</f>
        <v>36</v>
      </c>
      <c r="B495" s="892"/>
      <c r="C495" s="895"/>
      <c r="D495" s="911"/>
      <c r="E495" s="908"/>
      <c r="F495" s="234" t="s">
        <v>582</v>
      </c>
      <c r="G495" s="196">
        <f>IF($B$495="Лікар-педіатр",G498*L495,IF($B$495="Лікар-терапевт","х",IF($B$495="Лікар загальної практики - сімейний лікар",G498*L495,0)))</f>
        <v>0</v>
      </c>
      <c r="H495" s="196">
        <f>IF($B$495="Лікар-педіатр",H498*L495,IF($B$495="Лікар-терапевт","х",IF($B$495="Лікар загальної практики - сімейний лікар",H498*L495,0)))</f>
        <v>0</v>
      </c>
      <c r="I495" s="196">
        <f>IF($B$495="Лікар-педіатр","x",IF($B$495="Лікар-терапевт",I498*L495,IF($B$495="Лікар загальної практики - сімейний лікар",I498*L495,0)))</f>
        <v>0</v>
      </c>
      <c r="J495" s="196">
        <f>IF($B$495="Лікар-педіатр","x",IF($B$495="Лікар-терапевт",J498*L495,IF($B$495="Лікар загальної практики - сімейний лікар",J498*L495,0)))</f>
        <v>0</v>
      </c>
      <c r="K495" s="196">
        <f>IF($B$495="Лікар-педіатр","x",IF($B$495="Лікар-терапевт",K498*L495,IF($B$495="Лікар загальної практики - сімейний лікар",K498*L495,0)))</f>
        <v>0</v>
      </c>
      <c r="L495" s="558"/>
      <c r="M495" s="929"/>
      <c r="N495" s="196">
        <f>IF($B$495="Лікар-педіатр",N498*S495,IF($B$495="Лікар-терапевт","х",IF($B$495="Лікар загальної практики - сімейний лікар",N498*S495,0)))</f>
        <v>0</v>
      </c>
      <c r="O495" s="196">
        <f>IF($B$495="Лікар-педіатр",O498*S495,IF($B$495="Лікар-терапевт","х",IF($B$495="Лікар загальної практики - сімейний лікар",O498*S495,0)))</f>
        <v>0</v>
      </c>
      <c r="P495" s="196">
        <f>IF($B$495="Лікар-педіатр","x",IF($B$495="Лікар-терапевт",P498*S495,IF($B$495="Лікар загальної практики - сімейний лікар",P498*S495,0)))</f>
        <v>0</v>
      </c>
      <c r="Q495" s="196">
        <f>IF($B$495="Лікар-педіатр","x",IF($B$495="Лікар-терапевт",Q498*S495,IF($B$495="Лікар загальної практики - сімейний лікар",Q498*S495,0)))</f>
        <v>0</v>
      </c>
      <c r="R495" s="196">
        <f>IF($B$495="Лікар-педіатр","x",IF($B$495="Лікар-терапевт",R498*S495,IF($B$495="Лікар загальної практики - сімейний лікар",R498*S495,0)))</f>
        <v>0</v>
      </c>
      <c r="S495" s="558"/>
      <c r="T495" s="929"/>
      <c r="U495" s="196">
        <f>IF($B$495="Лікар-педіатр",U498*Z495,IF($B$495="Лікар-терапевт","х",IF($B$495="Лікар загальної практики - сімейний лікар",U498*Z495,0)))</f>
        <v>0</v>
      </c>
      <c r="V495" s="196">
        <f>IF($B$495="Лікар-педіатр",V498*Z495,IF($B$495="Лікар-терапевт","х",IF($B$495="Лікар загальної практики - сімейний лікар",V498*Z495,0)))</f>
        <v>0</v>
      </c>
      <c r="W495" s="196">
        <f>IF($B$495="Лікар-педіатр","x",IF($B$495="Лікар-терапевт",W498*Z495,IF($B$495="Лікар загальної практики - сімейний лікар",W498*Z495,0)))</f>
        <v>0</v>
      </c>
      <c r="X495" s="196">
        <f>IF($B$495="Лікар-педіатр","x",IF($B$495="Лікар-терапевт",X498*Z495,IF($B$495="Лікар загальної практики - сімейний лікар",X498*Z495,0)))</f>
        <v>0</v>
      </c>
      <c r="Y495" s="196">
        <f>IF($B$495="Лікар-педіатр","x",IF($B$495="Лікар-терапевт",Y498*Z495,IF($B$495="Лікар загальної практики - сімейний лікар",Y498*Z495,0)))</f>
        <v>0</v>
      </c>
      <c r="Z495" s="558"/>
      <c r="AA495" s="929"/>
      <c r="AB495" s="196">
        <f>IF($B$495="Лікар-педіатр",AB498*AG495,IF($B$495="Лікар-терапевт","х",IF($B$495="Лікар загальної практики - сімейний лікар",AB498*AG495,0)))</f>
        <v>0</v>
      </c>
      <c r="AC495" s="196">
        <f>IF($B$495="Лікар-педіатр",AC498*AG495,IF($B$495="Лікар-терапевт","х",IF($B$495="Лікар загальної практики - сімейний лікар",AC498*AG495,0)))</f>
        <v>0</v>
      </c>
      <c r="AD495" s="196">
        <f>IF($B$495="Лікар-педіатр","x",IF($B$495="Лікар-терапевт",AD498*AG495,IF($B$495="Лікар загальної практики - сімейний лікар",AD498*AG495,0)))</f>
        <v>0</v>
      </c>
      <c r="AE495" s="196">
        <f>IF($B$495="Лікар-педіатр","x",IF($B$495="Лікар-терапевт",AE498*AG495,IF($B$495="Лікар загальної практики - сімейний лікар",AE498*AG495,0)))</f>
        <v>0</v>
      </c>
      <c r="AF495" s="196">
        <f>IF($B$495="Лікар-педіатр","x",IF($B$495="Лікар-терапевт",AF498*AG495,IF($B$495="Лікар загальної практики - сімейний лікар",AF498*AG495,0)))</f>
        <v>0</v>
      </c>
      <c r="AG495" s="558"/>
      <c r="AH495" s="929"/>
      <c r="AI495" s="541">
        <f>A495</f>
        <v>36</v>
      </c>
      <c r="AJ495" s="932">
        <f>B495</f>
        <v>0</v>
      </c>
      <c r="AK495" s="926">
        <f>C495</f>
        <v>0</v>
      </c>
      <c r="AL495" s="926">
        <f>D495</f>
        <v>0</v>
      </c>
      <c r="AM495" s="901" t="s">
        <v>785</v>
      </c>
      <c r="AN495" s="923">
        <f>SUM(AN500:AN506)</f>
        <v>0</v>
      </c>
      <c r="AO495" s="923">
        <f>SUM(AO500:AO506)</f>
        <v>0</v>
      </c>
      <c r="AP495" s="923">
        <f>SUM(AP500:AP506)</f>
        <v>0</v>
      </c>
      <c r="AQ495" s="923">
        <f>SUM(AQ500:AQ506)</f>
        <v>0</v>
      </c>
      <c r="AR495" s="914">
        <f>SUM(AN495:AQ499)</f>
        <v>0</v>
      </c>
    </row>
    <row r="496" spans="1:44" s="50" customFormat="1" ht="28.15" hidden="1" customHeight="1">
      <c r="A496" s="197"/>
      <c r="B496" s="893"/>
      <c r="C496" s="896"/>
      <c r="D496" s="912"/>
      <c r="E496" s="909"/>
      <c r="F496" s="234" t="s">
        <v>583</v>
      </c>
      <c r="G496" s="196">
        <f>IF($B$495="Лікар-педіатр",G498*L496,IF($B$495="Лікар-терапевт","х",IF($B$495="Лікар загальної практики - сімейний лікар",G498*L496,0)))</f>
        <v>0</v>
      </c>
      <c r="H496" s="196">
        <f>IF($B$495="Лікар-педіатр",H498*L496,IF($B$495="Лікар-терапевт","х",IF($B$495="Лікар загальної практики - сімейний лікар",H498*L496,0)))</f>
        <v>0</v>
      </c>
      <c r="I496" s="196">
        <f>IF($B$495="Лікар-педіатр","x",IF($B$495="Лікар-терапевт",I498*L496,IF($B$495="Лікар загальної практики - сімейний лікар",I498*L496,0)))</f>
        <v>0</v>
      </c>
      <c r="J496" s="196">
        <f>IF($B$495="Лікар-педіатр","x",IF($B$495="Лікар-терапевт",J498*L496,IF($B$495="Лікар загальної практики - сімейний лікар",J498*L496,0)))</f>
        <v>0</v>
      </c>
      <c r="K496" s="196">
        <f>IF($B$495="Лікар-педіатр","x",IF($B$495="Лікар-терапевт",K498*L496,IF($B$495="Лікар загальної практики - сімейний лікар",K498*L496,0)))</f>
        <v>0</v>
      </c>
      <c r="L496" s="558"/>
      <c r="M496" s="930"/>
      <c r="N496" s="196">
        <f>IF($B$495="Лікар-педіатр",N498*S496,IF($B$495="Лікар-терапевт","х",IF($B$495="Лікар загальної практики - сімейний лікар",N498*S496,0)))</f>
        <v>0</v>
      </c>
      <c r="O496" s="196">
        <f>IF($B$495="Лікар-педіатр",O498*S496,IF($B$495="Лікар-терапевт","х",IF($B$495="Лікар загальної практики - сімейний лікар",O498*S496,0)))</f>
        <v>0</v>
      </c>
      <c r="P496" s="196">
        <f>IF($B$495="Лікар-педіатр","x",IF($B$495="Лікар-терапевт",P498*S496,IF($B$495="Лікар загальної практики - сімейний лікар",P498*S496,0)))</f>
        <v>0</v>
      </c>
      <c r="Q496" s="196">
        <f>IF($B$495="Лікар-педіатр","x",IF($B$495="Лікар-терапевт",Q498*S496,IF($B$495="Лікар загальної практики - сімейний лікар",Q498*S496,0)))</f>
        <v>0</v>
      </c>
      <c r="R496" s="196">
        <f>IF($B$495="Лікар-педіатр","x",IF($B$495="Лікар-терапевт",R498*S496,IF($B$495="Лікар загальної практики - сімейний лікар",R498*S496,0)))</f>
        <v>0</v>
      </c>
      <c r="S496" s="558"/>
      <c r="T496" s="930"/>
      <c r="U496" s="196">
        <f>IF($B$495="Лікар-педіатр",U498*Z496,IF($B$495="Лікар-терапевт","х",IF($B$495="Лікар загальної практики - сімейний лікар",U498*Z496,0)))</f>
        <v>0</v>
      </c>
      <c r="V496" s="196">
        <f>IF($B$495="Лікар-педіатр",V498*Z496,IF($B$495="Лікар-терапевт","х",IF($B$495="Лікар загальної практики - сімейний лікар",V498*Z496,0)))</f>
        <v>0</v>
      </c>
      <c r="W496" s="196">
        <f>IF($B$495="Лікар-педіатр","x",IF($B$495="Лікар-терапевт",W498*Z496,IF($B$495="Лікар загальної практики - сімейний лікар",W498*Z496,0)))</f>
        <v>0</v>
      </c>
      <c r="X496" s="196">
        <f>IF($B$495="Лікар-педіатр","x",IF($B$495="Лікар-терапевт",X498*Z496,IF($B$495="Лікар загальної практики - сімейний лікар",X498*Z496,0)))</f>
        <v>0</v>
      </c>
      <c r="Y496" s="196">
        <f>IF($B$495="Лікар-педіатр","x",IF($B$495="Лікар-терапевт",Y498*Z496,IF($B$495="Лікар загальної практики - сімейний лікар",Y498*Z496,0)))</f>
        <v>0</v>
      </c>
      <c r="Z496" s="558"/>
      <c r="AA496" s="930"/>
      <c r="AB496" s="196">
        <f>IF($B$495="Лікар-педіатр",AB498*AG496,IF($B$495="Лікар-терапевт","х",IF($B$495="Лікар загальної практики - сімейний лікар",AB498*AG496,0)))</f>
        <v>0</v>
      </c>
      <c r="AC496" s="196">
        <f>IF($B$495="Лікар-педіатр",AC498*AG496,IF($B$495="Лікар-терапевт","х",IF($B$495="Лікар загальної практики - сімейний лікар",AC498*AG496,0)))</f>
        <v>0</v>
      </c>
      <c r="AD496" s="196">
        <f>IF($B$495="Лікар-педіатр","x",IF($B$495="Лікар-терапевт",AD498*AG496,IF($B$495="Лікар загальної практики - сімейний лікар",AD498*AG496,0)))</f>
        <v>0</v>
      </c>
      <c r="AE496" s="196">
        <f>IF($B$495="Лікар-педіатр","x",IF($B$495="Лікар-терапевт",AE498*AG496,IF($B$495="Лікар загальної практики - сімейний лікар",AE498*AG496,0)))</f>
        <v>0</v>
      </c>
      <c r="AF496" s="196">
        <f>IF($B$495="Лікар-педіатр","x",IF($B$495="Лікар-терапевт",AF498*AG496,IF($B$495="Лікар загальної практики - сімейний лікар",AF498*AG496,0)))</f>
        <v>0</v>
      </c>
      <c r="AG496" s="558"/>
      <c r="AH496" s="930"/>
      <c r="AI496" s="198"/>
      <c r="AJ496" s="933"/>
      <c r="AK496" s="927"/>
      <c r="AL496" s="927"/>
      <c r="AM496" s="902"/>
      <c r="AN496" s="924"/>
      <c r="AO496" s="924"/>
      <c r="AP496" s="924"/>
      <c r="AQ496" s="924"/>
      <c r="AR496" s="915"/>
    </row>
    <row r="497" spans="1:44" s="90" customFormat="1" ht="31.15" hidden="1" customHeight="1">
      <c r="A497" s="240"/>
      <c r="B497" s="893"/>
      <c r="C497" s="896"/>
      <c r="D497" s="912"/>
      <c r="E497" s="909"/>
      <c r="F497" s="241" t="s">
        <v>584</v>
      </c>
      <c r="G497" s="199">
        <f>IF(B495="Лікар загальної практики - сімейний лікар"," ",IF(B495="Лікар-педіатр"," ",IF(B495="Лікар-терапевт","х",0)))</f>
        <v>0</v>
      </c>
      <c r="H497" s="199">
        <f>IF(B495="Лікар загальної практики - сімейний лікар"," ",IF(B495="Лікар-педіатр"," ",IF(B495="Лікар-терапевт","х",0)))</f>
        <v>0</v>
      </c>
      <c r="I497" s="199">
        <f>IF(B495="Лікар загальної практики - сімейний лікар"," ",IF(B495="Лікар-педіатр","х",IF(B495="Лікар-терапевт"," ",0)))</f>
        <v>0</v>
      </c>
      <c r="J497" s="199">
        <f>IF(B495="Лікар загальної практики - сімейний лікар"," ",IF(B495="Лікар-педіатр","х",IF(B495="Лікар-терапевт"," ",0)))</f>
        <v>0</v>
      </c>
      <c r="K497" s="199">
        <f>IF(B495="Лікар загальної практики - сімейний лікар"," ",IF(B495="Лікар-педіатр","х",IF(B495="Лікар-терапевт"," ",0)))</f>
        <v>0</v>
      </c>
      <c r="L497" s="200">
        <f>SUM(G497:K497)</f>
        <v>0</v>
      </c>
      <c r="M497" s="930"/>
      <c r="N497" s="199">
        <f>IF(B495="Лікар загальної практики - сімейний лікар"," ",IF(B495="Лікар-педіатр"," ",IF(B495="Лікар-терапевт","х",0)))</f>
        <v>0</v>
      </c>
      <c r="O497" s="199">
        <f>IF(B495="Лікар загальної практики - сімейний лікар"," ",IF(B495="Лікар-педіатр"," ",IF(B495="Лікар-терапевт","х",0)))</f>
        <v>0</v>
      </c>
      <c r="P497" s="199">
        <f>IF(B495="Лікар загальної практики - сімейний лікар"," ",IF(B495="Лікар-педіатр","х",IF(B495="Лікар-терапевт"," ",0)))</f>
        <v>0</v>
      </c>
      <c r="Q497" s="199">
        <f>IF(B495="Лікар загальної практики - сімейний лікар"," ",IF(B495="Лікар-педіатр","х",IF(B495="Лікар-терапевт"," ",0)))</f>
        <v>0</v>
      </c>
      <c r="R497" s="199">
        <f>IF(B495="Лікар загальної практики - сімейний лікар"," ",IF(B495="Лікар-педіатр","х",IF(B495="Лікар-терапевт"," ",0)))</f>
        <v>0</v>
      </c>
      <c r="S497" s="200">
        <f>SUM(N497:R497)</f>
        <v>0</v>
      </c>
      <c r="T497" s="930"/>
      <c r="U497" s="199">
        <f>IF(B495="Лікар загальної практики - сімейний лікар"," ",IF(B495="Лікар-педіатр"," ",IF(B495="Лікар-терапевт","х",0)))</f>
        <v>0</v>
      </c>
      <c r="V497" s="199">
        <f>IF(B495="Лікар загальної практики - сімейний лікар"," ",IF(B495="Лікар-педіатр"," ",IF(B495="Лікар-терапевт","х",0)))</f>
        <v>0</v>
      </c>
      <c r="W497" s="199">
        <f>IF(B495="Лікар загальної практики - сімейний лікар"," ",IF(B495="Лікар-педіатр","х",IF(B495="Лікар-терапевт"," ",0)))</f>
        <v>0</v>
      </c>
      <c r="X497" s="199">
        <f>IF(B495="Лікар загальної практики - сімейний лікар"," ",IF(B495="Лікар-педіатр","х",IF(B495="Лікар-терапевт"," ",0)))</f>
        <v>0</v>
      </c>
      <c r="Y497" s="199">
        <f>IF(B495="Лікар загальної практики - сімейний лікар"," ",IF(B495="Лікар-педіатр","х",IF(B495="Лікар-терапевт"," ",0)))</f>
        <v>0</v>
      </c>
      <c r="Z497" s="200">
        <f>SUM(U497:Y497)</f>
        <v>0</v>
      </c>
      <c r="AA497" s="930"/>
      <c r="AB497" s="199">
        <f>IF(B495="Лікар загальної практики - сімейний лікар"," ",IF(B495="Лікар-педіатр"," ",IF(B495="Лікар-терапевт","х",0)))</f>
        <v>0</v>
      </c>
      <c r="AC497" s="199">
        <f>IF(B495="Лікар загальної практики - сімейний лікар"," ",IF(B495="Лікар-педіатр"," ",IF(B495="Лікар-терапевт","х",0)))</f>
        <v>0</v>
      </c>
      <c r="AD497" s="199">
        <f>IF(B495="Лікар загальної практики - сімейний лікар"," ",IF(B495="Лікар-педіатр","х",IF(B495="Лікар-терапевт"," ",0)))</f>
        <v>0</v>
      </c>
      <c r="AE497" s="199">
        <f>IF(B495="Лікар загальної практики - сімейний лікар"," ",IF(B495="Лікар-педіатр","х",IF(B495="Лікар-терапевт"," ",0)))</f>
        <v>0</v>
      </c>
      <c r="AF497" s="199">
        <f>IF(B495="Лікар загальної практики - сімейний лікар"," ",IF(B495="Лікар-педіатр","х",IF(B495="Лікар-терапевт"," ",0)))</f>
        <v>0</v>
      </c>
      <c r="AG497" s="200">
        <f>SUM(AB497:AF497)</f>
        <v>0</v>
      </c>
      <c r="AH497" s="930"/>
      <c r="AI497" s="242"/>
      <c r="AJ497" s="933"/>
      <c r="AK497" s="927"/>
      <c r="AL497" s="927"/>
      <c r="AM497" s="902"/>
      <c r="AN497" s="924"/>
      <c r="AO497" s="924"/>
      <c r="AP497" s="924"/>
      <c r="AQ497" s="924"/>
      <c r="AR497" s="915"/>
    </row>
    <row r="498" spans="1:44" s="50" customFormat="1" ht="31.9" hidden="1" customHeight="1" thickBot="1">
      <c r="A498" s="197"/>
      <c r="B498" s="893"/>
      <c r="C498" s="896"/>
      <c r="D498" s="912"/>
      <c r="E498" s="909"/>
      <c r="F498" s="236" t="s">
        <v>349</v>
      </c>
      <c r="G498" s="203">
        <f>IF($B$495="Лікар-педіатр",G497/L497,IF($B$495="Лікар-терапевт","х",IF($B$495="Лікар загальної практики - сімейний лікар",G497/L497,0)))</f>
        <v>0</v>
      </c>
      <c r="H498" s="203">
        <f>IF($B$495="Лікар-педіатр",H497/L497,IF($B$495="Лікар-терапевт","х",IF($B$495="Лікар загальної практики - сімейний лікар",H497/L497,0)))</f>
        <v>0</v>
      </c>
      <c r="I498" s="203">
        <f>IF($B$495="Лікар-педіатр","x",IF($B$495="Лікар-терапевт",I497/L497,IF($B$495="Лікар загальної практики - сімейний лікар",I497/L497,0)))</f>
        <v>0</v>
      </c>
      <c r="J498" s="203">
        <f>IF($B$495="Лікар-педіатр","x",IF($B$495="Лікар-терапевт",J497/L497,IF($B$495="Лікар загальної практики - сімейний лікар",J497/L497,0)))</f>
        <v>0</v>
      </c>
      <c r="K498" s="203">
        <f>IF($B$495="Лікар-педіатр","x",IF($B$495="Лікар-терапевт",K497/L497,IF($B$495="Лікар загальної практики - сімейний лікар",K497/L497,0)))</f>
        <v>0</v>
      </c>
      <c r="L498" s="203">
        <f>SUM(G498:K498)</f>
        <v>0</v>
      </c>
      <c r="M498" s="930"/>
      <c r="N498" s="203">
        <f>IF($B$495="Лікар-педіатр",N497/S497,IF($B$495="Лікар-терапевт","х",IF($B$495="Лікар загальної практики - сімейний лікар",N497/S497,0)))</f>
        <v>0</v>
      </c>
      <c r="O498" s="203">
        <f>IF($B$495="Лікар-педіатр",O497/S497,IF($B$495="Лікар-терапевт","х",IF($B$495="Лікар загальної практики - сімейний лікар",O497/S497,0)))</f>
        <v>0</v>
      </c>
      <c r="P498" s="203">
        <f>IF($B$495="Лікар-педіатр","x",IF($B$495="Лікар-терапевт",P497/S497,IF($B$495="Лікар загальної практики - сімейний лікар",P497/S497,0)))</f>
        <v>0</v>
      </c>
      <c r="Q498" s="203">
        <f>IF($B$495="Лікар-педіатр","x",IF($B$495="Лікар-терапевт",Q497/S497,IF($B$495="Лікар загальної практики - сімейний лікар",Q497/S497,0)))</f>
        <v>0</v>
      </c>
      <c r="R498" s="203">
        <f>IF($B$495="Лікар-педіатр","x",IF($B$495="Лікар-терапевт",R497/S497,IF($B$495="Лікар загальної практики - сімейний лікар",R497/S497,0)))</f>
        <v>0</v>
      </c>
      <c r="S498" s="203">
        <f>SUM(N498:R498)</f>
        <v>0</v>
      </c>
      <c r="T498" s="930"/>
      <c r="U498" s="203">
        <f>IF($B$495="Лікар-педіатр",U497/Z497,IF($B$495="Лікар-терапевт","х",IF($B$495="Лікар загальної практики - сімейний лікар",U497/Z497,0)))</f>
        <v>0</v>
      </c>
      <c r="V498" s="203">
        <f>IF($B$495="Лікар-педіатр",V497/Z497,IF($B$495="Лікар-терапевт","х",IF($B$495="Лікар загальної практики - сімейний лікар",V497/Z497,0)))</f>
        <v>0</v>
      </c>
      <c r="W498" s="203">
        <f>IF($B$495="Лікар-педіатр","x",IF($B$495="Лікар-терапевт",W497/Z497,IF($B$495="Лікар загальної практики - сімейний лікар",W497/Z497,0)))</f>
        <v>0</v>
      </c>
      <c r="X498" s="203">
        <f>IF($B$495="Лікар-педіатр","x",IF($B$495="Лікар-терапевт",X497/Z497,IF($B$495="Лікар загальної практики - сімейний лікар",X497/Z497,0)))</f>
        <v>0</v>
      </c>
      <c r="Y498" s="203">
        <f>IF($B$495="Лікар-педіатр","x",IF($B$495="Лікар-терапевт",Y497/Z497,IF($B$495="Лікар загальної практики - сімейний лікар",Y497/Z497,0)))</f>
        <v>0</v>
      </c>
      <c r="Z498" s="203">
        <f>SUM(U498:Y498)</f>
        <v>0</v>
      </c>
      <c r="AA498" s="930"/>
      <c r="AB498" s="203">
        <f>IF($B$495="Лікар-педіатр",AB497/AG497,IF($B$495="Лікар-терапевт","х",IF($B$495="Лікар загальної практики - сімейний лікар",AB497/AG497,0)))</f>
        <v>0</v>
      </c>
      <c r="AC498" s="203">
        <f>IF($B$495="Лікар-педіатр",AC497/AG497,IF($B$495="Лікар-терапевт","х",IF($B$495="Лікар загальної практики - сімейний лікар",AC497/AG497,0)))</f>
        <v>0</v>
      </c>
      <c r="AD498" s="203">
        <f>IF($B$495="Лікар-педіатр","x",IF($B$495="Лікар-терапевт",AD497/AG497,IF($B$495="Лікар загальної практики - сімейний лікар",AD497/AG497,0)))</f>
        <v>0</v>
      </c>
      <c r="AE498" s="203">
        <f>IF($B$495="Лікар-педіатр","x",IF($B$495="Лікар-терапевт",AE497/AG497,IF($B$495="Лікар загальної практики - сімейний лікар",AE497/AG497,0)))</f>
        <v>0</v>
      </c>
      <c r="AF498" s="203">
        <f>IF($B$495="Лікар-педіатр","x",IF($B$495="Лікар-терапевт",AF497/AG497,IF($B$495="Лікар загальної практики - сімейний лікар",AF497/AG497,0)))</f>
        <v>0</v>
      </c>
      <c r="AG498" s="203">
        <f>SUM(AB498:AF498)</f>
        <v>0</v>
      </c>
      <c r="AH498" s="930"/>
      <c r="AI498" s="201"/>
      <c r="AJ498" s="933"/>
      <c r="AK498" s="927"/>
      <c r="AL498" s="927"/>
      <c r="AM498" s="902"/>
      <c r="AN498" s="924"/>
      <c r="AO498" s="924"/>
      <c r="AP498" s="924"/>
      <c r="AQ498" s="924"/>
      <c r="AR498" s="915"/>
    </row>
    <row r="499" spans="1:44" s="50" customFormat="1" ht="45" hidden="1" customHeight="1" thickBot="1">
      <c r="A499" s="197"/>
      <c r="B499" s="893"/>
      <c r="C499" s="896"/>
      <c r="D499" s="912"/>
      <c r="E499" s="909"/>
      <c r="F499" s="204" t="s">
        <v>585</v>
      </c>
      <c r="G499" s="205">
        <f>IF($B$495="Лікар загальної практики - сімейний лікар",AVERAGE(G495:G497),IF($B$495="Лікар-педіатр",AVERAGE(G495:G497),IF($B$495="Лікар-терапевт","х",0)))</f>
        <v>0</v>
      </c>
      <c r="H499" s="205">
        <f>IF($B$495="Лікар загальної практики - сімейний лікар",AVERAGE(H495:H497),IF($B$495="Лікар-педіатр",AVERAGE(H495:H497),IF($B$495="Лікар-терапевт","х",0)))</f>
        <v>0</v>
      </c>
      <c r="I499" s="205">
        <f>IF($B$495="Лікар загальної практики - сімейний лікар",AVERAGE(I495:I497),IF($B$495="Лікар-педіатр","x",IF($B$495="Лікар-терапевт",AVERAGE(I495:I497),0)))</f>
        <v>0</v>
      </c>
      <c r="J499" s="205">
        <f>IF($B$495="Лікар загальної практики - сімейний лікар",AVERAGE(J495:J497),IF($B$495="Лікар-педіатр","x",IF($B$495="Лікар-терапевт",AVERAGE(J495:J497),0)))</f>
        <v>0</v>
      </c>
      <c r="K499" s="205">
        <f>IF($B$495="Лікар загальної практики - сімейний лікар",AVERAGE(K495:K497),IF($B$495="Лікар-педіатр","x",IF($B$495="Лікар-терапевт",AVERAGE(K495:K497),0)))</f>
        <v>0</v>
      </c>
      <c r="L499" s="206">
        <f>SUM(G499:K499)</f>
        <v>0</v>
      </c>
      <c r="M499" s="930"/>
      <c r="N499" s="205">
        <f>IF($B$495="Лікар загальної практики - сімейний лікар",AVERAGE(N495:N497),IF($B$495="Лікар-педіатр",AVERAGE(N495:N497),IF($B$495="Лікар-терапевт","х",0)))</f>
        <v>0</v>
      </c>
      <c r="O499" s="205">
        <f>IF($B$495="Лікар загальної практики - сімейний лікар",AVERAGE(O495:O497),IF($B$495="Лікар-педіатр",AVERAGE(O495:O497),IF($B$495="Лікар-терапевт","х",0)))</f>
        <v>0</v>
      </c>
      <c r="P499" s="205">
        <f>IF($B$495="Лікар загальної практики - сімейний лікар",AVERAGE(P495:P497),IF($B$495="Лікар-педіатр","x",IF($B$495="Лікар-терапевт",AVERAGE(P495:P497),0)))</f>
        <v>0</v>
      </c>
      <c r="Q499" s="205">
        <f>IF($B$495="Лікар загальної практики - сімейний лікар",AVERAGE(Q495:Q497),IF($B$495="Лікар-педіатр","x",IF($B$495="Лікар-терапевт",AVERAGE(Q495:Q497),0)))</f>
        <v>0</v>
      </c>
      <c r="R499" s="205">
        <f>IF($B$495="Лікар загальної практики - сімейний лікар",AVERAGE(R495:R497),IF($B$495="Лікар-педіатр","x",IF($B$495="Лікар-терапевт",AVERAGE(R495:R497),0)))</f>
        <v>0</v>
      </c>
      <c r="S499" s="206">
        <f>SUM(N499:R499)</f>
        <v>0</v>
      </c>
      <c r="T499" s="930"/>
      <c r="U499" s="205">
        <f>IF($B$495="Лікар загальної практики - сімейний лікар",AVERAGE(U495:U497),IF($B$495="Лікар-педіатр",AVERAGE(U495:U497),IF($B$495="Лікар-терапевт","х",0)))</f>
        <v>0</v>
      </c>
      <c r="V499" s="205">
        <f>IF($B$495="Лікар загальної практики - сімейний лікар",AVERAGE(V495:V497),IF($B$495="Лікар-педіатр",AVERAGE(V495:V497),IF($B$495="Лікар-терапевт","х",0)))</f>
        <v>0</v>
      </c>
      <c r="W499" s="205">
        <f>IF($B$495="Лікар загальної практики - сімейний лікар",AVERAGE(W495:W497),IF($B$495="Лікар-педіатр","x",IF($B$495="Лікар-терапевт",AVERAGE(W495:W497),0)))</f>
        <v>0</v>
      </c>
      <c r="X499" s="205">
        <f>IF($B$495="Лікар загальної практики - сімейний лікар",AVERAGE(X495:X497),IF($B$495="Лікар-педіатр","x",IF($B$495="Лікар-терапевт",AVERAGE(X495:X497),0)))</f>
        <v>0</v>
      </c>
      <c r="Y499" s="205">
        <f>IF($B$495="Лікар загальної практики - сімейний лікар",AVERAGE(Y495:Y497),IF($B$495="Лікар-педіатр","x",IF($B$495="Лікар-терапевт",AVERAGE(Y495:Y497),0)))</f>
        <v>0</v>
      </c>
      <c r="Z499" s="206">
        <f>SUM(U499:Y499)</f>
        <v>0</v>
      </c>
      <c r="AA499" s="930"/>
      <c r="AB499" s="205">
        <f>IF($B$495="Лікар загальної практики - сімейний лікар",AVERAGE(AB495:AB497),IF($B$495="Лікар-педіатр",AVERAGE(AB495:AB497),IF($B$495="Лікар-терапевт","х",0)))</f>
        <v>0</v>
      </c>
      <c r="AC499" s="205">
        <f>IF($B$495="Лікар загальної практики - сімейний лікар",AVERAGE(AC495:AC497),IF($B$495="Лікар-педіатр",AVERAGE(AC495:AC497),IF($B$495="Лікар-терапевт","х",0)))</f>
        <v>0</v>
      </c>
      <c r="AD499" s="205">
        <f>IF($B$495="Лікар загальної практики - сімейний лікар",AVERAGE(AD495:AD497),IF($B$495="Лікар-педіатр","x",IF($B$495="Лікар-терапевт",AVERAGE(AD495:AD497),0)))</f>
        <v>0</v>
      </c>
      <c r="AE499" s="205">
        <f>IF($B$495="Лікар загальної практики - сімейний лікар",AVERAGE(AE495:AE497),IF($B$495="Лікар-педіатр","x",IF($B$495="Лікар-терапевт",AVERAGE(AE495:AE497),0)))</f>
        <v>0</v>
      </c>
      <c r="AF499" s="205">
        <f>IF($B$495="Лікар загальної практики - сімейний лікар",AVERAGE(AF495:AF497),IF($B$495="Лікар-педіатр","x",IF($B$495="Лікар-терапевт",AVERAGE(AF495:AF497),0)))</f>
        <v>0</v>
      </c>
      <c r="AG499" s="206">
        <f>SUM(AB499:AF499)</f>
        <v>0</v>
      </c>
      <c r="AH499" s="930"/>
      <c r="AI499" s="201"/>
      <c r="AJ499" s="933"/>
      <c r="AK499" s="927"/>
      <c r="AL499" s="927"/>
      <c r="AM499" s="903"/>
      <c r="AN499" s="925"/>
      <c r="AO499" s="925"/>
      <c r="AP499" s="925"/>
      <c r="AQ499" s="925"/>
      <c r="AR499" s="916"/>
    </row>
    <row r="500" spans="1:44" s="50" customFormat="1" ht="40.5" hidden="1">
      <c r="A500" s="197"/>
      <c r="B500" s="893"/>
      <c r="C500" s="896"/>
      <c r="D500" s="912"/>
      <c r="E500" s="909"/>
      <c r="F500" s="237" t="str">
        <f ca="1">IF(B495="Лікар-педіатр",Законод!$C$17,IF(B495="Лікар загальної практики - сімейний лікар",Законод!$C$21,IF(B495="Лікар-терапевт",Законод!$C$25,"х")))</f>
        <v>х</v>
      </c>
      <c r="G500" s="208">
        <f ca="1">IF($B$495="Лікар загальної практики - сімейний лікар",IF(L499&lt;=Законод!$C$22,G499,Законод!$C$22*'01_Доходи'!G498),IF($B$495="Лікар-педіатр",IF(L499&lt;=Законод!$C$18,G499,Законод!$C$18*'01_Доходи'!G498),IF($B$495="Лікар-терапевт","x",0)))</f>
        <v>0</v>
      </c>
      <c r="H500" s="208">
        <f ca="1">IF($B$495="Лікар загальної практики - сімейний лікар",IF(L499&lt;=Законод!$C$22,H499,Законод!$C$22*'01_Доходи'!H498),IF($B$495="Лікар-педіатр",IF(L499&lt;=Законод!$C$18,H499,Законод!$C$18*'01_Доходи'!H498),IF($B$495="Лікар-терапевт","x",0)))</f>
        <v>0</v>
      </c>
      <c r="I500" s="208">
        <f ca="1">IF($B$495="Лікар загальної практики - сімейний лікар",IF(L499&lt;=Законод!$C$22,I499,Законод!$C$22*'01_Доходи'!I498),IF($B$495="Лікар-педіатр","x",IF($B$495="Лікар-терапевт",IF(L499&lt;=Законод!$C$26,I499,Законод!$C$26*'01_Доходи'!I498),0)))</f>
        <v>0</v>
      </c>
      <c r="J500" s="208">
        <f ca="1">IF($B$495="Лікар загальної практики - сімейний лікар",IF(L499&lt;=Законод!$C$22,J499,Законод!$C$22*'01_Доходи'!J498),IF($B$495="Лікар-педіатр","x",IF($B$495="Лікар-терапевт",IF(L499&lt;=Законод!$C$26,J499,Законод!$C$26*'01_Доходи'!J498),0)))</f>
        <v>0</v>
      </c>
      <c r="K500" s="208">
        <f ca="1">IF($B$495="Лікар загальної практики - сімейний лікар",IF(L499&lt;=Законод!$C$22,K499,Законод!$C$22*'01_Доходи'!K498),IF($B$495="Лікар-педіатр","x",IF($B$495="Лікар-терапевт",IF(L499&lt;=Законод!$C$26,K499,Законод!$C$26*'01_Доходи'!K498),0)))</f>
        <v>0</v>
      </c>
      <c r="L500" s="209">
        <f ca="1">SUM(G500:K500)</f>
        <v>0</v>
      </c>
      <c r="M500" s="930"/>
      <c r="N500" s="208">
        <f ca="1">IF($B$495="Лікар загальної практики - сімейний лікар",IF(S499&lt;=Законод!$C$22,N499,Законод!$C$22*'01_Доходи'!N498),IF($B$495="Лікар-педіатр",IF(S499&lt;=Законод!$C$18,N499,Законод!$C$18*'01_Доходи'!N498),IF($B$495="Лікар-терапевт","x",0)))</f>
        <v>0</v>
      </c>
      <c r="O500" s="208">
        <f ca="1">IF($B$495="Лікар загальної практики - сімейний лікар",IF(S499&lt;=Законод!$C$22,O499,Законод!$C$22*'01_Доходи'!O498),IF($B$495="Лікар-педіатр",IF(S499&lt;=Законод!$C$18,O499,Законод!$C$18*'01_Доходи'!O498),IF($B$495="Лікар-терапевт","x",0)))</f>
        <v>0</v>
      </c>
      <c r="P500" s="208">
        <f ca="1">IF($B$495="Лікар загальної практики - сімейний лікар",IF(S499&lt;=Законод!$C$22,P499,Законод!$C$22*'01_Доходи'!P498),IF($B$495="Лікар-педіатр","x",IF($B$495="Лікар-терапевт",IF(S499&lt;=Законод!$C$26,P499,Законод!$C$26*'01_Доходи'!P498),0)))</f>
        <v>0</v>
      </c>
      <c r="Q500" s="208">
        <f ca="1">IF($B$495="Лікар загальної практики - сімейний лікар",IF(S499&lt;=Законод!$C$22,Q499,Законод!$C$22*'01_Доходи'!Q498),IF($B$495="Лікар-педіатр","x",IF($B$495="Лікар-терапевт",IF(S499&lt;=Законод!$C$26,Q499,Законод!$C$26*'01_Доходи'!Q498),0)))</f>
        <v>0</v>
      </c>
      <c r="R500" s="208">
        <f ca="1">IF($B$495="Лікар загальної практики - сімейний лікар",IF(S499&lt;=Законод!$C$22,R499,Законод!$C$22*'01_Доходи'!R498),IF($B$495="Лікар-педіатр","x",IF($B$495="Лікар-терапевт",IF(S499&lt;=Законод!$C$26,R499,Законод!$C$26*'01_Доходи'!R498),0)))</f>
        <v>0</v>
      </c>
      <c r="S500" s="209">
        <f ca="1">SUM(N500:R500)</f>
        <v>0</v>
      </c>
      <c r="T500" s="930"/>
      <c r="U500" s="208">
        <f ca="1">IF($B$495="Лікар загальної практики - сімейний лікар",IF(Z499&lt;=Законод!$C$22,U499,Законод!$C$22*'01_Доходи'!U498),IF($B$495="Лікар-педіатр",IF(Z499&lt;=Законод!$C$18,U499,Законод!$C$18*'01_Доходи'!U498),IF($B$495="Лікар-терапевт","x",0)))</f>
        <v>0</v>
      </c>
      <c r="V500" s="208">
        <f ca="1">IF($B$495="Лікар загальної практики - сімейний лікар",IF(Z499&lt;=Законод!$C$22,V499,Законод!$C$22*'01_Доходи'!V498),IF($B$495="Лікар-педіатр",IF(Z499&lt;=Законод!$C$18,V499,Законод!$C$18*'01_Доходи'!V498),IF($B$495="Лікар-терапевт","x",0)))</f>
        <v>0</v>
      </c>
      <c r="W500" s="208">
        <f ca="1">IF($B$495="Лікар загальної практики - сімейний лікар",IF(Z499&lt;=Законод!$C$22,W499,Законод!$C$22*'01_Доходи'!W498),IF($B$495="Лікар-педіатр","x",IF($B$495="Лікар-терапевт",IF(Z499&lt;=Законод!$C$26,W499,Законод!$C$26*'01_Доходи'!W498),0)))</f>
        <v>0</v>
      </c>
      <c r="X500" s="208">
        <f ca="1">IF($B$495="Лікар загальної практики - сімейний лікар",IF(Z499&lt;=Законод!$C$22,X499,Законод!$C$22*'01_Доходи'!X498),IF($B$495="Лікар-педіатр","x",IF($B$495="Лікар-терапевт",IF(Z499&lt;=Законод!$C$26,X499,Законод!$C$26*'01_Доходи'!X498),0)))</f>
        <v>0</v>
      </c>
      <c r="Y500" s="208">
        <f ca="1">IF($B$495="Лікар загальної практики - сімейний лікар",IF(Z499&lt;=Законод!$C$22,Y499,Законод!$C$22*'01_Доходи'!Y498),IF($B$495="Лікар-педіатр","x",IF($B$495="Лікар-терапевт",IF(Z499&lt;=Законод!$C$26,Y499,Законод!$C$26*'01_Доходи'!Y498),0)))</f>
        <v>0</v>
      </c>
      <c r="Z500" s="209">
        <f ca="1">SUM(U500:Y500)</f>
        <v>0</v>
      </c>
      <c r="AA500" s="930"/>
      <c r="AB500" s="208">
        <f ca="1">IF($B$495="Лікар загальної практики - сімейний лікар",IF(AG499&lt;=Законод!$C$22,AB499,Законод!$C$22*'01_Доходи'!AB498),IF($B$495="Лікар-педіатр",IF(AG499&lt;=Законод!$C$18,AB499,Законод!$C$18*'01_Доходи'!AB498),IF($B$495="Лікар-терапевт","x",0)))</f>
        <v>0</v>
      </c>
      <c r="AC500" s="208">
        <f ca="1">IF($B$495="Лікар загальної практики - сімейний лікар",IF(AG499&lt;=Законод!$C$22,AC499,Законод!$C$22*'01_Доходи'!AC498),IF($B$495="Лікар-педіатр",IF(AG499&lt;=Законод!$C$18,AC499,Законод!$C$18*'01_Доходи'!AC498),IF($B$495="Лікар-терапевт","x",0)))</f>
        <v>0</v>
      </c>
      <c r="AD500" s="208">
        <f ca="1">IF($B$495="Лікар загальної практики - сімейний лікар",IF(AG499&lt;=Законод!$C$22,AD499,Законод!$C$22*'01_Доходи'!AD498),IF($B$495="Лікар-педіатр","x",IF($B$495="Лікар-терапевт",IF(AG499&lt;=Законод!$C$26,AD499,Законод!$C$26*'01_Доходи'!AD498),0)))</f>
        <v>0</v>
      </c>
      <c r="AE500" s="208">
        <f ca="1">IF($B$495="Лікар загальної практики - сімейний лікар",IF(AG499&lt;=Законод!$C$22,AE499,Законод!$C$22*'01_Доходи'!AE498),IF($B$495="Лікар-педіатр","x",IF($B$495="Лікар-терапевт",IF(AG499&lt;=Законод!$C$26,AE499,Законод!$C$26*'01_Доходи'!AE498),0)))</f>
        <v>0</v>
      </c>
      <c r="AF500" s="208">
        <f ca="1">IF($B$495="Лікар загальної практики - сімейний лікар",IF(AG499&lt;=Законод!$C$22,AF499,Законод!$C$22*'01_Доходи'!AF498),IF($B$495="Лікар-педіатр","x",IF($B$495="Лікар-терапевт",IF(AG499&lt;=Законод!$C$26,AF499,Законод!$C$26*'01_Доходи'!AF498),0)))</f>
        <v>0</v>
      </c>
      <c r="AG500" s="209">
        <f ca="1">SUM(AB500:AF500)</f>
        <v>0</v>
      </c>
      <c r="AH500" s="930"/>
      <c r="AI500" s="201"/>
      <c r="AJ500" s="933"/>
      <c r="AK500" s="927"/>
      <c r="AL500" s="927"/>
      <c r="AM500" s="348" t="s">
        <v>374</v>
      </c>
      <c r="AN500" s="210">
        <f ca="1">IF(B495="Лікар загальної практики - сімейний лікар",G500*Законод!$C$11+'01_Доходи'!H500*Законод!$D$11+'01_Доходи'!I500*Законод!$E$11+'01_Доходи'!J500*Законод!$F$11+'01_Доходи'!K500*Законод!$G$11,IF(B495="Лікар-педіатр",G500*Законод!$C$11+'01_Доходи'!H500*Законод!$D$11,IF(B495="Лікар-терапевт",'01_Доходи'!I500*Законод!$E$11+'01_Доходи'!J500*Законод!$F$11+'01_Доходи'!K500*Законод!$G$11,0)))</f>
        <v>0</v>
      </c>
      <c r="AO500" s="210">
        <f ca="1">IF(B495="Лікар загальної практики - сімейний лікар",N500*Законод!$C$11+'01_Доходи'!O500*Законод!$D$11+'01_Доходи'!P500*Законод!$E$11+'01_Доходи'!Q500*Законод!$F$11+'01_Доходи'!R500*Законод!$G$11,IF(B495="Лікар-педіатр",N500*Законод!$C$11+'01_Доходи'!O500*Законод!$D$11,IF(B495="Лікар-терапевт",'01_Доходи'!P500*Законод!$E$11+'01_Доходи'!Q500*Законод!$F$11+'01_Доходи'!R500*Законод!$G$11,0)))</f>
        <v>0</v>
      </c>
      <c r="AP500" s="210">
        <f ca="1">IF(B495="Лікар загальної практики - сімейний лікар",U500*Законод!$C$11+'01_Доходи'!V500*Законод!$D$11+'01_Доходи'!W500*Законод!$E$11+'01_Доходи'!X500*Законод!$F$11+'01_Доходи'!Y500*Законод!$G$11,IF(B495="Лікар-педіатр",U500*Законод!$C$11+'01_Доходи'!V500*Законод!$D$11,IF(B495="Лікар-терапевт",'01_Доходи'!W500*Законод!$E$11+'01_Доходи'!X500*Законод!$F$11+'01_Доходи'!Y500*Законод!$G$11,0)))</f>
        <v>0</v>
      </c>
      <c r="AQ500" s="210">
        <f ca="1">IF(B495="Лікар загальної практики - сімейний лікар",AB500*Законод!$C$11+'01_Доходи'!AC500*Законод!$D$11+'01_Доходи'!AD500*Законод!$E$11+'01_Доходи'!AE500*Законод!$F$11+'01_Доходи'!AF500*Законод!$G$11,IF(B495="Лікар-педіатр",AB500*Законод!$C$11+'01_Доходи'!AC500*Законод!$D$11,IF(B495="Лікар-терапевт",'01_Доходи'!AD500*Законод!$E$11+'01_Доходи'!AE500*Законод!$F$11+'01_Доходи'!AF500*Законод!$G$11,0)))</f>
        <v>0</v>
      </c>
      <c r="AR500" s="211">
        <f t="shared" ref="AR500:AR506" si="65">SUM(AN500:AQ500)</f>
        <v>0</v>
      </c>
    </row>
    <row r="501" spans="1:44" s="50" customFormat="1" ht="31.9" hidden="1" customHeight="1">
      <c r="A501" s="197"/>
      <c r="B501" s="893"/>
      <c r="C501" s="896"/>
      <c r="D501" s="912"/>
      <c r="E501" s="909"/>
      <c r="F501" s="238" t="str">
        <f ca="1">IF(B495="Лікар-педіатр",Законод!$E$17,IF(B495="Лікар загальної практики - сімейний лікар",Законод!$E$21,IF(B495="Лікар-терапевт",Законод!$E$25,"х")))</f>
        <v>х</v>
      </c>
      <c r="G501" s="889" t="s">
        <v>346</v>
      </c>
      <c r="H501" s="890"/>
      <c r="I501" s="890"/>
      <c r="J501" s="890"/>
      <c r="K501" s="891"/>
      <c r="L501" s="196">
        <f ca="1">IF($B$495="Лікар загальної практики - сімейний лікар",IF(L499&lt;Законод!$C$22,0,(IF(AND(L499&gt;=Законод!$E$22,L499&lt;=Законод!$E$23),L499-Законод!$C$22,IF('01_Доходи'!L499&gt;=Законод!$F$22,Законод!$E$24,0)))),IF($B$495="Лікар-педіатр",IF(L499&lt;Законод!$C$18,0,(IF(AND(L499&gt;=Законод!$E$18,L499&lt;=Законод!$E$19),L499-Законод!$C$18,IF('01_Доходи'!L499&gt;=Законод!$F$18,Законод!$E$20,0)))),IF($B$495="Лікар-терапевт",IF(L499&lt;Законод!$C$26,0,(IF(AND(L499&gt;=Законод!$E$26,L499&lt;=Законод!$E$27),L499-Законод!$C$26,IF('01_Доходи'!L499&gt;=Законод!$F$26,Законод!$E$28,0)))),0)))</f>
        <v>0</v>
      </c>
      <c r="M501" s="930"/>
      <c r="N501" s="889" t="s">
        <v>346</v>
      </c>
      <c r="O501" s="890"/>
      <c r="P501" s="890"/>
      <c r="Q501" s="890"/>
      <c r="R501" s="891"/>
      <c r="S501" s="196">
        <f ca="1">IF($B$495="Лікар загальної практики - сімейний лікар",IF(S499&lt;Законод!$C$22,0,(IF(AND(S499&gt;=Законод!$E$22,S499&lt;=Законод!$E$23),S499-Законод!$C$22,IF('01_Доходи'!S499&gt;=Законод!$F$22,Законод!$E$24,0)))),IF($B$495="Лікар-педіатр",IF(S499&lt;Законод!$C$18,0,(IF(AND(S499&gt;=Законод!$E$18,S499&lt;=Законод!$E$19),S499-Законод!$C$18,IF('01_Доходи'!S499&gt;=Законод!$F$18,Законод!$E$20,0)))),IF($B$495="Лікар-терапевт",IF(S499&lt;Законод!$C$26,0,(IF(AND(S499&gt;=Законод!$E$26,S499&lt;=Законод!$E$27),S499-Законод!$C$26,IF('01_Доходи'!S499&gt;=Законод!$F$26,Законод!$E$28,0)))),0)))</f>
        <v>0</v>
      </c>
      <c r="T501" s="930"/>
      <c r="U501" s="889" t="s">
        <v>346</v>
      </c>
      <c r="V501" s="890"/>
      <c r="W501" s="890"/>
      <c r="X501" s="890"/>
      <c r="Y501" s="891"/>
      <c r="Z501" s="196">
        <f ca="1">IF($B$495="Лікар загальної практики - сімейний лікар",IF(Z499&lt;Законод!$C$22,0,(IF(AND(Z499&gt;=Законод!$E$22,Z499&lt;=Законод!$E$23),Z499-Законод!$C$22,IF('01_Доходи'!Z499&gt;=Законод!$F$22,Законод!$E$24,0)))),IF($B$495="Лікар-педіатр",IF(Z499&lt;Законод!$C$18,0,(IF(AND(Z499&gt;=Законод!$E$18,Z499&lt;=Законод!$E$19),Z499-Законод!$C$18,IF('01_Доходи'!Z499&gt;=Законод!$F$18,Законод!$E$20,0)))),IF($B$495="Лікар-терапевт",IF(Z499&lt;Законод!$C$26,0,(IF(AND(Z499&gt;=Законод!$E$26,Z499&lt;=Законод!$E$27),Z499-Законод!$C$26,IF('01_Доходи'!Z499&gt;=Законод!$F$26,Законод!$E$28,0)))),0)))</f>
        <v>0</v>
      </c>
      <c r="AA501" s="930"/>
      <c r="AB501" s="889" t="s">
        <v>346</v>
      </c>
      <c r="AC501" s="890"/>
      <c r="AD501" s="890"/>
      <c r="AE501" s="890"/>
      <c r="AF501" s="891"/>
      <c r="AG501" s="196">
        <f ca="1">IF($B$495="Лікар загальної практики - сімейний лікар",IF(AG499&lt;Законод!$C$22,0,(IF(AND(AG499&gt;=Законод!$E$22,AG499&lt;=Законод!$E$23),AG499-Законод!$C$22,IF('01_Доходи'!AG499&gt;=Законод!$F$22,Законод!$E$24,0)))),IF($B$495="Лікар-педіатр",IF(AG499&lt;Законод!$C$18,0,(IF(AND(AG499&gt;=Законод!$E$18,AG499&lt;=Законод!$E$19),AG499-Законод!$C$18,IF('01_Доходи'!AG499&gt;=Законод!$F$18,Законод!$E$20,0)))),IF($B$495="Лікар-терапевт",IF(AG499&lt;Законод!$C$26,0,(IF(AND(AG499&gt;=Законод!$E$26,AG499&lt;=Законод!$E$27),AG499-Законод!$C$26,IF('01_Доходи'!AG499&gt;=Законод!$F$26,Законод!$E$28,0)))),0)))</f>
        <v>0</v>
      </c>
      <c r="AH501" s="930"/>
      <c r="AI501" s="201"/>
      <c r="AJ501" s="933"/>
      <c r="AK501" s="927"/>
      <c r="AL501" s="927"/>
      <c r="AM501" s="898" t="s">
        <v>375</v>
      </c>
      <c r="AN501" s="210">
        <f ca="1">IF(B495="Лікар загальної практики - сімейний лікар",L501*Законод!$C$9/4*Законод!$E$16,IF(B495="Лікар-педіатр",L501*Законод!$C$9/4*Законод!$E$16,IF(B495="Лікар-терапевт",L501*Законод!$C$9/4*Законод!$E$16,0)))</f>
        <v>0</v>
      </c>
      <c r="AO501" s="210">
        <f ca="1">IF(B495="Лікар загальної практики - сімейний лікар",S501*Законод!$C$9/4*Законод!$E$16,IF(B495="Лікар-педіатр",S501*Законод!$C$9/4*Законод!$E$16,IF(B495="Лікар-терапевт",S501*Законод!$C$9/4*Законод!$E$16,0)))</f>
        <v>0</v>
      </c>
      <c r="AP501" s="210">
        <f ca="1">IF(B495="Лікар загальної практики - сімейний лікар",Z501*Законод!$C$9/4*Законод!$E$16,IF(B495="Лікар-педіатр",Z501*Законод!$C$9/4*Законод!$E$16,IF(B495="Лікар-терапевт",Z501*Законод!$C$9/4*Законод!$E$16,0)))</f>
        <v>0</v>
      </c>
      <c r="AQ501" s="210">
        <f ca="1">IF(B495="Лікар загальної практики - сімейний лікар",AG501*Законод!$C$9/4*Законод!$E$16,IF(B495="Лікар-педіатр",AG501*Законод!$C$9/4*Законод!$E$16,IF(B495="Лікар-терапевт",AG501*Законод!$C$9/4*Законод!$E$16,0)))</f>
        <v>0</v>
      </c>
      <c r="AR501" s="211">
        <f t="shared" si="65"/>
        <v>0</v>
      </c>
    </row>
    <row r="502" spans="1:44" s="50" customFormat="1" ht="31.9" hidden="1" customHeight="1">
      <c r="A502" s="197"/>
      <c r="B502" s="893"/>
      <c r="C502" s="896"/>
      <c r="D502" s="912"/>
      <c r="E502" s="909"/>
      <c r="F502" s="238" t="str">
        <f ca="1">IF(B495="Лікар-педіатр",Законод!$F$17,IF(B495="Лікар загальної практики - сімейний лікар",Законод!$F$21,IF(B495="Лікар-терапевт",Законод!$F$25,"х")))</f>
        <v>х</v>
      </c>
      <c r="G502" s="889" t="s">
        <v>346</v>
      </c>
      <c r="H502" s="890"/>
      <c r="I502" s="890"/>
      <c r="J502" s="890"/>
      <c r="K502" s="891"/>
      <c r="L502" s="196">
        <f ca="1">IF($B$495="Лікар загальної практики - сімейний лікар",IF(L499&lt;Законод!$C$22,0,(IF(AND(L499&gt;=Законод!$F$22,L499&lt;=Законод!$F$23),L499-Законод!$E$23,IF('01_Доходи'!L499&gt;=Законод!$G$22,Законод!$F$24,0)))),IF($B$495="Лікар-педіатр",IF(L499&lt;Законод!$C$18,0,(IF(AND(L499&gt;=Законод!$F$18,L499&lt;=Законод!$F$19),L499-Законод!$E$19,IF('01_Доходи'!L499&gt;=Законод!$G$18,Законод!$F$20,0)))),IF($B$495="Лікар-терапевт",IF(L499&lt;Законод!$C$26,0,(IF(AND(L499&gt;=Законод!$F$26,L499&lt;=Законод!$F$27),L499-Законод!$E$27,IF('01_Доходи'!L499&gt;=Законод!$G$26,Законод!$F$28,0)))),0)))</f>
        <v>0</v>
      </c>
      <c r="M502" s="930"/>
      <c r="N502" s="889" t="s">
        <v>346</v>
      </c>
      <c r="O502" s="890"/>
      <c r="P502" s="890"/>
      <c r="Q502" s="890"/>
      <c r="R502" s="891"/>
      <c r="S502" s="196">
        <f ca="1">IF($B$495="Лікар загальної практики - сімейний лікар",IF(S499&lt;Законод!$C$22,0,(IF(AND(S499&gt;=Законод!$F$22,S499&lt;=Законод!$F$23),S499-Законод!$E$23,IF('01_Доходи'!S499&gt;=Законод!$G$22,Законод!$F$24,0)))),IF($B$495="Лікар-педіатр",IF(S499&lt;Законод!$C$18,0,(IF(AND(S499&gt;=Законод!$F$18,S499&lt;=Законод!$F$19),S499-Законод!$E$19,IF('01_Доходи'!S499&gt;=Законод!$G$18,Законод!$F$20,0)))),IF($B$495="Лікар-терапевт",IF(S499&lt;Законод!$C$26,0,(IF(AND(S499&gt;=Законод!$F$26,S499&lt;=Законод!$F$27),S499-Законод!$E$27,IF('01_Доходи'!S499&gt;=Законод!$G$26,Законод!$F$28,0)))),0)))</f>
        <v>0</v>
      </c>
      <c r="T502" s="930"/>
      <c r="U502" s="889" t="s">
        <v>346</v>
      </c>
      <c r="V502" s="890"/>
      <c r="W502" s="890"/>
      <c r="X502" s="890"/>
      <c r="Y502" s="891"/>
      <c r="Z502" s="196">
        <f ca="1">IF($B$495="Лікар загальної практики - сімейний лікар",IF(Z499&lt;Законод!$C$22,0,(IF(AND(Z499&gt;=Законод!$F$22,Z499&lt;=Законод!$F$23),Z499-Законод!$E$23,IF('01_Доходи'!Z499&gt;=Законод!$G$22,Законод!$F$24,0)))),IF($B$495="Лікар-педіатр",IF(Z499&lt;Законод!$C$18,0,(IF(AND(Z499&gt;=Законод!$F$18,Z499&lt;=Законод!$F$19),Z499-Законод!$E$19,IF('01_Доходи'!Z499&gt;=Законод!$G$18,Законод!$F$20,0)))),IF($B$495="Лікар-терапевт",IF(Z499&lt;Законод!$C$26,0,(IF(AND(Z499&gt;=Законод!$F$26,Z499&lt;=Законод!$F$27),Z499-Законод!$E$27,IF('01_Доходи'!Z499&gt;=Законод!$G$26,Законод!$F$28,0)))),0)))</f>
        <v>0</v>
      </c>
      <c r="AA502" s="930"/>
      <c r="AB502" s="889" t="s">
        <v>346</v>
      </c>
      <c r="AC502" s="890"/>
      <c r="AD502" s="890"/>
      <c r="AE502" s="890"/>
      <c r="AF502" s="891"/>
      <c r="AG502" s="196">
        <f ca="1">IF($B$495="Лікар загальної практики - сімейний лікар",IF(AG499&lt;Законод!$C$22,0,(IF(AND(AG499&gt;=Законод!$F$22,AG499&lt;=Законод!$F$23),AG499-Законод!$E$23,IF('01_Доходи'!AG499&gt;=Законод!$G$22,Законод!$F$24,0)))),IF($B$495="Лікар-педіатр",IF(AG499&lt;Законод!$C$18,0,(IF(AND(AG499&gt;=Законод!$F$18,AG499&lt;=Законод!$F$19),AG499-Законод!$E$19,IF('01_Доходи'!AG499&gt;=Законод!$G$18,Законод!$F$20,0)))),IF($B$495="Лікар-терапевт",IF(AG499&lt;Законод!$C$26,0,(IF(AND(AG499&gt;=Законод!$F$26,AG499&lt;=Законод!$F$27),AG499-Законод!$E$27,IF('01_Доходи'!AG499&gt;=Законод!$G$26,Законод!$F$28,0)))),0)))</f>
        <v>0</v>
      </c>
      <c r="AH502" s="930"/>
      <c r="AI502" s="201"/>
      <c r="AJ502" s="933"/>
      <c r="AK502" s="927"/>
      <c r="AL502" s="927"/>
      <c r="AM502" s="899"/>
      <c r="AN502" s="210">
        <f ca="1">IF(B495="Лікар загальної практики - сімейний лікар",L502*Законод!$C$9/4*Законод!$F$16,IF(B495="Лікар-педіатр",L502*Законод!$C$9/4*Законод!$F$16,IF(B495="Лікар-терапевт",L502*Законод!$C$9/4*Законод!$F$16,0)))</f>
        <v>0</v>
      </c>
      <c r="AO502" s="210">
        <f ca="1">IF(B495="Лікар загальної практики - сімейний лікар",S502*Законод!$C$9/4*Законод!$F$16,IF(B495="Лікар-педіатр",S502*Законод!$C$9/4*Законод!$F$16,IF(B495="Лікар-терапевт",S502*Законод!$C$9/4*Законод!$F$16,0)))</f>
        <v>0</v>
      </c>
      <c r="AP502" s="210">
        <f ca="1">IF(B495="Лікар загальної практики - сімейний лікар",Z502*Законод!$C$9/4*Законод!$F$16,IF(B495="Лікар-педіатр",Z502*Законод!$C$9/4*Законод!$F$16,IF(B495="Лікар-терапевт",Z502*Законод!$C$9/4*Законод!$F$16,0)))</f>
        <v>0</v>
      </c>
      <c r="AQ502" s="210">
        <f ca="1">IF(B495="Лікар загальної практики - сімейний лікар",AG502*Законод!$C$9/4*Законод!$F$16,IF(B495="Лікар-педіатр",AG502*Законод!$C$9/4*Законод!$F$16,IF(B495="Лікар-терапевт",AG502*Законод!$C$9/4*Законод!$F$16,0)))</f>
        <v>0</v>
      </c>
      <c r="AR502" s="211">
        <f t="shared" si="65"/>
        <v>0</v>
      </c>
    </row>
    <row r="503" spans="1:44" s="50" customFormat="1" ht="31.9" hidden="1" customHeight="1">
      <c r="A503" s="197"/>
      <c r="B503" s="893"/>
      <c r="C503" s="896"/>
      <c r="D503" s="912"/>
      <c r="E503" s="909"/>
      <c r="F503" s="238" t="str">
        <f ca="1">IF(B495="Лікар-педіатр",Законод!$G$17,IF(B495="Лікар загальної практики - сімейний лікар",Законод!$G$21,IF(B495="Лікар-терапевт",Законод!$G$25,"х")))</f>
        <v>х</v>
      </c>
      <c r="G503" s="889" t="s">
        <v>346</v>
      </c>
      <c r="H503" s="890"/>
      <c r="I503" s="890"/>
      <c r="J503" s="890"/>
      <c r="K503" s="891"/>
      <c r="L503" s="196">
        <f ca="1">IF($B$495="Лікар загальної практики - сімейний лікар",IF(L499&lt;Законод!$C$22,0,(IF(AND(L499&gt;=Законод!$G$22,L499&lt;=Законод!$G$23),L499-Законод!$F$23,IF('01_Доходи'!L499&gt;=Законод!$H$22,Законод!$G$24,0)))),IF($B$495="Лікар-педіатр",IF(L499&lt;Законод!$C$18,0,(IF(AND(L499&gt;=Законод!$G$18,L499&lt;=Законод!$G$19),L499-Законод!$F$19,IF('01_Доходи'!L499&gt;=Законод!$H$18,Законод!$G$20,0)))),IF($B$495="Лікар-терапевт",IF(L499&lt;Законод!$C$26,0,(IF(AND(L499&gt;=Законод!$G$26,L499&lt;=Законод!$G$27),L499-Законод!$F$27,IF('01_Доходи'!L499&gt;=Законод!$H$26,Законод!$G$28,0)))),0)))</f>
        <v>0</v>
      </c>
      <c r="M503" s="930"/>
      <c r="N503" s="889" t="s">
        <v>346</v>
      </c>
      <c r="O503" s="890"/>
      <c r="P503" s="890"/>
      <c r="Q503" s="890"/>
      <c r="R503" s="891"/>
      <c r="S503" s="196">
        <f ca="1">IF($B$495="Лікар загальної практики - сімейний лікар",IF(S499&lt;Законод!$C$22,0,(IF(AND(S499&gt;=Законод!$G$22,S499&lt;=Законод!$G$23),S499-Законод!$F$23,IF('01_Доходи'!S499&gt;=Законод!$H$22,Законод!$G$24,0)))),IF($B$495="Лікар-педіатр",IF(S499&lt;Законод!$C$18,0,(IF(AND(S499&gt;=Законод!$G$18,S499&lt;=Законод!$G$19),S499-Законод!$F$19,IF('01_Доходи'!S499&gt;=Законод!$H$18,Законод!$G$20,0)))),IF($B$495="Лікар-терапевт",IF(S499&lt;Законод!$C$26,0,(IF(AND(S499&gt;=Законод!$G$26,S499&lt;=Законод!$G$27),S499-Законод!$F$27,IF('01_Доходи'!S499&gt;=Законод!$H$26,Законод!$G$28,0)))),0)))</f>
        <v>0</v>
      </c>
      <c r="T503" s="930"/>
      <c r="U503" s="889" t="s">
        <v>346</v>
      </c>
      <c r="V503" s="890"/>
      <c r="W503" s="890"/>
      <c r="X503" s="890"/>
      <c r="Y503" s="891"/>
      <c r="Z503" s="196">
        <f ca="1">IF($B$495="Лікар загальної практики - сімейний лікар",IF(Z499&lt;Законод!$C$22,0,(IF(AND(Z499&gt;=Законод!$G$22,Z499&lt;=Законод!$G$23),Z499-Законод!$F$23,IF('01_Доходи'!Z499&gt;=Законод!$H$22,Законод!$G$24,0)))),IF($B$495="Лікар-педіатр",IF(Z499&lt;Законод!$C$18,0,(IF(AND(Z499&gt;=Законод!$G$18,Z499&lt;=Законод!$G$19),Z499-Законод!$F$19,IF('01_Доходи'!Z499&gt;=Законод!$H$18,Законод!$G$20,0)))),IF($B$495="Лікар-терапевт",IF(Z499&lt;Законод!$C$26,0,(IF(AND(Z499&gt;=Законод!$G$26,Z499&lt;=Законод!$G$27),Z499-Законод!$F$27,IF('01_Доходи'!Z499&gt;=Законод!$H$26,Законод!$G$28,0)))),0)))</f>
        <v>0</v>
      </c>
      <c r="AA503" s="930"/>
      <c r="AB503" s="889" t="s">
        <v>346</v>
      </c>
      <c r="AC503" s="890"/>
      <c r="AD503" s="890"/>
      <c r="AE503" s="890"/>
      <c r="AF503" s="891"/>
      <c r="AG503" s="196">
        <f ca="1">IF($B$495="Лікар загальної практики - сімейний лікар",IF(AG499&lt;Законод!$C$22,0,(IF(AND(AG499&gt;=Законод!$G$22,AG499&lt;=Законод!$G$23),AG499-Законод!$F$23,IF('01_Доходи'!AG499&gt;=Законод!$H$22,Законод!$G$24,0)))),IF($B$495="Лікар-педіатр",IF(AG499&lt;Законод!$C$18,0,(IF(AND(AG499&gt;=Законод!$G$18,AG499&lt;=Законод!$G$19),AG499-Законод!$F$19,IF('01_Доходи'!AG499&gt;=Законод!$H$18,Законод!$G$20,0)))),IF($B$495="Лікар-терапевт",IF(AG499&lt;Законод!$C$26,0,(IF(AND(AG499&gt;=Законод!$G$26,AG499&lt;=Законод!$G$27),AG499-Законод!$F$27,IF('01_Доходи'!AG499&gt;=Законод!$H$26,Законод!$G$28,0)))),0)))</f>
        <v>0</v>
      </c>
      <c r="AH503" s="930"/>
      <c r="AI503" s="201"/>
      <c r="AJ503" s="933"/>
      <c r="AK503" s="927"/>
      <c r="AL503" s="927"/>
      <c r="AM503" s="899"/>
      <c r="AN503" s="210">
        <f ca="1">IF(B495="Лікар загальної практики - сімейний лікар",L503*Законод!$C$9/4*Законод!$G$16,IF(B495="Лікар-педіатр",L503*Законод!$C$9/4*Законод!$G$16,IF(B495="Лікар-терапевт",L503*Законод!$C$9/4*Законод!$G$16,0)))</f>
        <v>0</v>
      </c>
      <c r="AO503" s="210">
        <f ca="1">IF(B495="Лікар загальної практики - сімейний лікар",S503*Законод!$C$9/4*Законод!$G$16,IF(B495="Лікар-педіатр",S503*Законод!$C$9/4*Законод!$G$16,IF(B495="Лікар-терапевт",S503*Законод!$C$9/4*Законод!$G$16,0)))</f>
        <v>0</v>
      </c>
      <c r="AP503" s="210">
        <f ca="1">IF(B495="Лікар загальної практики - сімейний лікар",Z503*Законод!$C$9/4*Законод!$G$16,IF(B495="Лікар-педіатр",Z503*Законод!$C$9/4*Законод!$G$16,IF(B495="Лікар-терапевт",Z503*Законод!$C$9/4*Законод!$G$16,0)))</f>
        <v>0</v>
      </c>
      <c r="AQ503" s="210">
        <f ca="1">IF(B495="Лікар загальної практики - сімейний лікар",AG503*Законод!$C$9/4*Законод!$G$16,IF(B495="Лікар-педіатр",AG503*Законод!$C$9/4*Законод!$G$16,IF(B495="Лікар-терапевт",AG503*Законод!$C$9/4*Законод!$G$16,0)))</f>
        <v>0</v>
      </c>
      <c r="AR503" s="211">
        <f t="shared" si="65"/>
        <v>0</v>
      </c>
    </row>
    <row r="504" spans="1:44" s="50" customFormat="1" ht="31.9" hidden="1" customHeight="1">
      <c r="A504" s="197"/>
      <c r="B504" s="893"/>
      <c r="C504" s="896"/>
      <c r="D504" s="912"/>
      <c r="E504" s="909"/>
      <c r="F504" s="238" t="str">
        <f ca="1">IF(B495="Лікар-педіатр",Законод!$H$17,IF(B495="Лікар загальної практики - сімейний лікар",Законод!$H$21,IF(B495="Лікар-терапевт",Законод!$H$25,"х")))</f>
        <v>х</v>
      </c>
      <c r="G504" s="889" t="s">
        <v>346</v>
      </c>
      <c r="H504" s="890"/>
      <c r="I504" s="890"/>
      <c r="J504" s="890"/>
      <c r="K504" s="891"/>
      <c r="L504" s="196">
        <f ca="1">IF($B$495="Лікар загальної практики - сімейний лікар",IF(L499&lt;Законод!$C$22,0,(IF(AND(L499&gt;=Законод!$H$22,L499&lt;=Законод!$H$23),L499-Законод!$G$23,IF('01_Доходи'!L499&gt;=Законод!$I$22,Законод!$H$24,0)))),IF($B$495="Лікар-педіатр",IF(L499&lt;Законод!$C$18,0,(IF(AND(L499&gt;=Законод!$H$18,L499&lt;=Законод!$H$19),L499-Законод!$G$19,IF('01_Доходи'!L499&gt;=Законод!$I$18,Законод!$H$20,0)))),IF($B$495="Лікар-терапевт",IF(L499&lt;Законод!$C$26,0,(IF(AND(L499&gt;=Законод!$H$26,L499&lt;=Законод!$H$27),L499-Законод!$G$27,IF(L499&gt;=Законод!$I$26,Законод!$H$28,0)))),0)))</f>
        <v>0</v>
      </c>
      <c r="M504" s="930"/>
      <c r="N504" s="889" t="s">
        <v>346</v>
      </c>
      <c r="O504" s="890"/>
      <c r="P504" s="890"/>
      <c r="Q504" s="890"/>
      <c r="R504" s="891"/>
      <c r="S504" s="196">
        <f ca="1">IF($B$495="Лікар загальної практики - сімейний лікар",IF(S499&lt;Законод!$C$22,0,(IF(AND(S499&gt;=Законод!$H$22,S499&lt;=Законод!$H$23),S499-Законод!$G$23,IF('01_Доходи'!S499&gt;=Законод!$I$22,Законод!$H$24,0)))),IF($B$495="Лікар-педіатр",IF(S499&lt;Законод!$C$18,0,(IF(AND(S499&gt;=Законод!$H$18,S499&lt;=Законод!$H$19),S499-Законод!$G$19,IF('01_Доходи'!S499&gt;=Законод!$I$18,Законод!$H$20,0)))),IF($B$495="Лікар-терапевт",IF(S499&lt;Законод!$C$26,0,(IF(AND(S499&gt;=Законод!$H$26,S499&lt;=Законод!$H$27),S499-Законод!$G$27,IF(S499&gt;=Законод!$I$26,Законод!$H$28,0)))),0)))</f>
        <v>0</v>
      </c>
      <c r="T504" s="930"/>
      <c r="U504" s="889" t="s">
        <v>346</v>
      </c>
      <c r="V504" s="890"/>
      <c r="W504" s="890"/>
      <c r="X504" s="890"/>
      <c r="Y504" s="891"/>
      <c r="Z504" s="196">
        <f ca="1">IF($B$495="Лікар загальної практики - сімейний лікар",IF(Z499&lt;Законод!$C$22,0,(IF(AND(Z499&gt;=Законод!$H$22,Z499&lt;=Законод!$H$23),Z499-Законод!$G$23,IF('01_Доходи'!Z499&gt;=Законод!$I$22,Законод!$H$24,0)))),IF($B$495="Лікар-педіатр",IF(Z499&lt;Законод!$C$18,0,(IF(AND(Z499&gt;=Законод!$H$18,Z499&lt;=Законод!$H$19),Z499-Законод!$G$19,IF('01_Доходи'!Z499&gt;=Законод!$I$18,Законод!$H$20,0)))),IF($B$495="Лікар-терапевт",IF(Z499&lt;Законод!$C$26,0,(IF(AND(Z499&gt;=Законод!$H$26,Z499&lt;=Законод!$H$27),Z499-Законод!$G$27,IF(Z499&gt;=Законод!$I$26,Законод!$H$28,0)))),0)))</f>
        <v>0</v>
      </c>
      <c r="AA504" s="930"/>
      <c r="AB504" s="889" t="s">
        <v>346</v>
      </c>
      <c r="AC504" s="890"/>
      <c r="AD504" s="890"/>
      <c r="AE504" s="890"/>
      <c r="AF504" s="891"/>
      <c r="AG504" s="196">
        <f ca="1">IF($B$495="Лікар загальної практики - сімейний лікар",IF(AG499&lt;Законод!$C$22,0,(IF(AND(AG499&gt;=Законод!$H$22,AG499&lt;=Законод!$H$23),AG499-Законод!$G$23,IF('01_Доходи'!AG499&gt;=Законод!$I$22,Законод!$H$24,0)))),IF($B$495="Лікар-педіатр",IF(AG499&lt;Законод!$C$18,0,(IF(AND(AG499&gt;=Законод!$H$18,AG499&lt;=Законод!$H$19),AG499-Законод!$G$19,IF('01_Доходи'!AG499&gt;=Законод!$I$18,Законод!$H$20,0)))),IF($B$495="Лікар-терапевт",IF(AG499&lt;Законод!$C$26,0,(IF(AND(AG499&gt;=Законод!$H$26,AG499&lt;=Законод!$H$27),AG499-Законод!$G$27,IF(AG499&gt;=Законод!$I$26,Законод!$H$28,0)))),0)))</f>
        <v>0</v>
      </c>
      <c r="AH504" s="930"/>
      <c r="AI504" s="201"/>
      <c r="AJ504" s="933"/>
      <c r="AK504" s="927"/>
      <c r="AL504" s="927"/>
      <c r="AM504" s="899"/>
      <c r="AN504" s="210">
        <f ca="1">IF(B495="Лікар загальної практики - сімейний лікар",L504*Законод!$C$9/4*Законод!$H$16,IF(B495="Лікар-педіатр",L504*Законод!$C$9/4*Законод!$H$16,IF(B495="Лікар-терапевт",L504*Законод!$C$9/4*Законод!$H$16,0)))</f>
        <v>0</v>
      </c>
      <c r="AO504" s="210">
        <f ca="1">IF(B495="Лікар загальної практики - сімейний лікар",S504*Законод!$C$9/4*Законод!$H$16,IF(B495="Лікар-педіатр",S504*Законод!$C$9/4*Законод!$H$16,IF(B495="Лікар-терапевт",S504*Законод!$C$9/4*Законод!$H$16,0)))</f>
        <v>0</v>
      </c>
      <c r="AP504" s="210">
        <f ca="1">IF(B495="Лікар загальної практики - сімейний лікар",Z504*Законод!$C$9/4*Законод!$H$16,IF(B495="Лікар-педіатр",Z504*Законод!$C$9/4*Законод!$H$16,IF(B495="Лікар-терапевт",Z504*Законод!$C$9/4*Законод!$H$16,0)))</f>
        <v>0</v>
      </c>
      <c r="AQ504" s="210">
        <f ca="1">IF(B495="Лікар загальної практики - сімейний лікар",AG504*Законод!$C$9/4*Законод!$H$16,IF(B495="Лікар-педіатр",AG504*Законод!$C$9/4*Законод!$H$16,IF(B495="Лікар-терапевт",AG504*Законод!$C$9/4*Законод!$H$16,0)))</f>
        <v>0</v>
      </c>
      <c r="AR504" s="211">
        <f t="shared" si="65"/>
        <v>0</v>
      </c>
    </row>
    <row r="505" spans="1:44" s="50" customFormat="1" ht="31.9" hidden="1" customHeight="1">
      <c r="A505" s="197"/>
      <c r="B505" s="893"/>
      <c r="C505" s="896"/>
      <c r="D505" s="912"/>
      <c r="E505" s="909"/>
      <c r="F505" s="238" t="str">
        <f ca="1">IF(B495="Лікар-педіатр",Законод!$I$17,IF(B495="Лікар загальної практики - сімейний лікар",Законод!$I$21,IF(B495="Лікар-терапевт",Законод!$I$25,"х")))</f>
        <v>х</v>
      </c>
      <c r="G505" s="889" t="s">
        <v>346</v>
      </c>
      <c r="H505" s="890"/>
      <c r="I505" s="890"/>
      <c r="J505" s="890"/>
      <c r="K505" s="891"/>
      <c r="L505" s="196">
        <f ca="1">IF($B$495="Лікар загальної практики - сімейний лікар",IF(L499&lt;Законод!$C$22,0,(IF(AND(L499&gt;=Законод!$I$22,L499&lt;=Законод!$I$23),L499-Законод!$H$23,IF('01_Доходи'!L499&gt;=Законод!$I$22,Законод!$I$24,0)))),IF($B$495="Лікар-педіатр",IF(L499&lt;Законод!$C$18,0,(IF(AND(L499&gt;=Законод!$I$18,L499&lt;=Законод!$I$19),L499-Законод!$H$19,IF('01_Доходи'!L499&gt;=Законод!$I$18,Законод!$H$20,0)))),IF($B$495="Лікар-терапевт",IF(L499&lt;Законод!$C$26,0,(IF(AND(L499&gt;=Законод!$I$26,L499&lt;=Законод!$I$27),L499-Законод!$H$27,IF('01_Доходи'!L499&gt;=Законод!$I$26,Законод!$H$28,0)))),0)))</f>
        <v>0</v>
      </c>
      <c r="M505" s="930"/>
      <c r="N505" s="889" t="s">
        <v>346</v>
      </c>
      <c r="O505" s="890"/>
      <c r="P505" s="890"/>
      <c r="Q505" s="890"/>
      <c r="R505" s="891"/>
      <c r="S505" s="196">
        <f ca="1">IF($B$495="Лікар загальної практики - сімейний лікар",IF(S499&lt;Законод!$C$22,0,(IF(AND(S499&gt;=Законод!$I$22,S499&lt;=Законод!$I$23),S499-Законод!$H$23,IF('01_Доходи'!S499&gt;=Законод!$I$22,Законод!$I$24,0)))),IF($B$495="Лікар-педіатр",IF(S499&lt;Законод!$C$18,0,(IF(AND(S499&gt;=Законод!$I$18,S499&lt;=Законод!$I$19),S499-Законод!$H$19,IF('01_Доходи'!S499&gt;=Законод!$I$18,Законод!$H$20,0)))),IF($B$495="Лікар-терапевт",IF(S499&lt;Законод!$C$26,0,(IF(AND(S499&gt;=Законод!$I$26,S499&lt;=Законод!$I$27),S499-Законод!$H$27,IF('01_Доходи'!S499&gt;=Законод!$I$26,Законод!$H$28,0)))),0)))</f>
        <v>0</v>
      </c>
      <c r="T505" s="930"/>
      <c r="U505" s="889" t="s">
        <v>346</v>
      </c>
      <c r="V505" s="890"/>
      <c r="W505" s="890"/>
      <c r="X505" s="890"/>
      <c r="Y505" s="891"/>
      <c r="Z505" s="196">
        <f ca="1">IF($B$495="Лікар загальної практики - сімейний лікар",IF(Z499&lt;Законод!$C$22,0,(IF(AND(Z499&gt;=Законод!$I$22,Z499&lt;=Законод!$I$23),Z499-Законод!$H$23,IF('01_Доходи'!Z499&gt;=Законод!$I$22,Законод!$I$24,0)))),IF($B$495="Лікар-педіатр",IF(Z499&lt;Законод!$C$18,0,(IF(AND(Z499&gt;=Законод!$I$18,Z499&lt;=Законод!$I$19),Z499-Законод!$H$19,IF('01_Доходи'!Z499&gt;=Законод!$I$18,Законод!$H$20,0)))),IF($B$495="Лікар-терапевт",IF(Z499&lt;Законод!$C$26,0,(IF(AND(Z499&gt;=Законод!$I$26,Z499&lt;=Законод!$I$27),Z499-Законод!$H$27,IF('01_Доходи'!Z499&gt;=Законод!$I$26,Законод!$H$28,0)))),0)))</f>
        <v>0</v>
      </c>
      <c r="AA505" s="930"/>
      <c r="AB505" s="889" t="s">
        <v>346</v>
      </c>
      <c r="AC505" s="890"/>
      <c r="AD505" s="890"/>
      <c r="AE505" s="890"/>
      <c r="AF505" s="891"/>
      <c r="AG505" s="196">
        <f ca="1">IF($B$495="Лікар загальної практики - сімейний лікар",IF(AG499&lt;Законод!$C$22,0,(IF(AND(AG499&gt;=Законод!$I$22,AG499&lt;=Законод!$I$23),AG499-Законод!$H$23,IF('01_Доходи'!AG499&gt;=Законод!$I$22,Законод!$I$24,0)))),IF($B$495="Лікар-педіатр",IF(AG499&lt;Законод!$C$18,0,(IF(AND(AG499&gt;=Законод!$I$18,AG499&lt;=Законод!$I$19),AG499-Законод!$H$19,IF('01_Доходи'!AG499&gt;=Законод!$I$18,Законод!$H$20,0)))),IF($B$495="Лікар-терапевт",IF(AG499&lt;Законод!$C$26,0,(IF(AND(AG499&gt;=Законод!$I$26,AG499&lt;=Законод!$I$27),AG499-Законод!$H$27,IF('01_Доходи'!AG499&gt;=Законод!$I$26,Законод!$H$28,0)))),0)))</f>
        <v>0</v>
      </c>
      <c r="AH505" s="930"/>
      <c r="AI505" s="201"/>
      <c r="AJ505" s="933"/>
      <c r="AK505" s="927"/>
      <c r="AL505" s="927"/>
      <c r="AM505" s="899"/>
      <c r="AN505" s="210">
        <f ca="1">IF(B495="Лікар загальної практики - сімейний лікар",L505*Законод!$C$9/4*Законод!$I$16,IF(B495="Лікар-педіатр",L505*Законод!$C$9/4*Законод!$I$16,IF(B495="Лікар-терапевт",L505*Законод!$C$9/4*Законод!$I$16,0)))</f>
        <v>0</v>
      </c>
      <c r="AO505" s="210">
        <f ca="1">IF(B495="Лікар загальної практики - сімейний лікар",S505*Законод!$C$9/4*Законод!$I$16,IF(B495="Лікар-педіатр",S505*Законод!$C$9/4*Законод!$I$16,IF(B495="Лікар-терапевт",S505*Законод!$C$9/4*Законод!$I$16,0)))</f>
        <v>0</v>
      </c>
      <c r="AP505" s="210">
        <f ca="1">IF(B495="Лікар загальної практики - сімейний лікар",Z505*Законод!$C$9/4*Законод!$I$16,IF(B495="Лікар-педіатр",Z505*Законод!$C$9/4*Законод!$I$16,IF(B495="Лікар-терапевт",Z505*Законод!$C$9/4*Законод!$I$16,0)))</f>
        <v>0</v>
      </c>
      <c r="AQ505" s="210">
        <f ca="1">IF(B495="Лікар загальної практики - сімейний лікар",AG505*Законод!$C$9/4*Законод!$I$16,IF(B495="Лікар-педіатр",AG505*Законод!$C$9/4*Законод!$I$16,IF(B495="Лікар-терапевт",AG505*Законод!$C$9/4*Законод!$I$16,0)))</f>
        <v>0</v>
      </c>
      <c r="AR505" s="211">
        <f t="shared" si="65"/>
        <v>0</v>
      </c>
    </row>
    <row r="506" spans="1:44" s="218" customFormat="1" ht="31.9" hidden="1" customHeight="1" thickBot="1">
      <c r="A506" s="213"/>
      <c r="B506" s="894"/>
      <c r="C506" s="897"/>
      <c r="D506" s="913"/>
      <c r="E506" s="910"/>
      <c r="F506" s="239" t="str">
        <f ca="1">IF(B495="Лікар-педіатр",Законод!$J$17,IF(B495="Лікар загальної практики - сімейний лікар",Законод!$J$21,IF(B495="Лікар-терапевт",Законод!$J$25,"х")))</f>
        <v>х</v>
      </c>
      <c r="G506" s="935" t="s">
        <v>346</v>
      </c>
      <c r="H506" s="936"/>
      <c r="I506" s="936"/>
      <c r="J506" s="936"/>
      <c r="K506" s="937"/>
      <c r="L506" s="196">
        <f ca="1">IF($B$495="Лікар загальної практики - сімейний лікар",IF(L499&gt;=Законод!$J$22,'01_Доходи'!L499-('01_Доходи'!L500+'01_Доходи'!L501+'01_Доходи'!L502+'01_Доходи'!L503+'01_Доходи'!L504+'01_Доходи'!L505),0),IF($B$495="Лікар-педіатр",IF(L499&gt;=Законод!$J$18,'01_Доходи'!L499-('01_Доходи'!L500+'01_Доходи'!L501+'01_Доходи'!L502+'01_Доходи'!L503+'01_Доходи'!L504+'01_Доходи'!L505),0),IF($B$495="Лікар-терапевт",IF('01_Доходи'!L499&gt;=Законод!$J$26,L499-Законод!$I$27,0),0)))</f>
        <v>0</v>
      </c>
      <c r="M506" s="931"/>
      <c r="N506" s="935" t="s">
        <v>346</v>
      </c>
      <c r="O506" s="936"/>
      <c r="P506" s="936"/>
      <c r="Q506" s="936"/>
      <c r="R506" s="937"/>
      <c r="S506" s="196">
        <f ca="1">IF($B$495="Лікар загальної практики - сімейний лікар",IF(S499&gt;=Законод!$J$22,'01_Доходи'!S499-('01_Доходи'!S500+'01_Доходи'!S501+'01_Доходи'!S502+'01_Доходи'!S503+'01_Доходи'!S504+'01_Доходи'!S505),0),IF($B$495="Лікар-педіатр",IF(S499&gt;=Законод!$J$18,'01_Доходи'!S499-('01_Доходи'!S500+'01_Доходи'!S501+'01_Доходи'!S502+'01_Доходи'!S503+'01_Доходи'!S504+'01_Доходи'!S505),0),IF($B$495="Лікар-терапевт",IF('01_Доходи'!S499&gt;=Законод!$J$26,S499-Законод!$I$27,0),0)))</f>
        <v>0</v>
      </c>
      <c r="T506" s="931"/>
      <c r="U506" s="935" t="s">
        <v>346</v>
      </c>
      <c r="V506" s="936"/>
      <c r="W506" s="936"/>
      <c r="X506" s="936"/>
      <c r="Y506" s="937"/>
      <c r="Z506" s="196">
        <f ca="1">IF($B$495="Лікар загальної практики - сімейний лікар",IF(Z499&gt;=Законод!$J$22,'01_Доходи'!Z499-('01_Доходи'!Z500+'01_Доходи'!Z501+'01_Доходи'!Z502+'01_Доходи'!Z503+'01_Доходи'!Z504+'01_Доходи'!Z505),0),IF($B$495="Лікар-педіатр",IF(Z499&gt;=Законод!$J$18,'01_Доходи'!Z499-('01_Доходи'!Z500+'01_Доходи'!Z501+'01_Доходи'!Z502+'01_Доходи'!Z503+'01_Доходи'!Z504+'01_Доходи'!Z505),0),IF($B$495="Лікар-терапевт",IF('01_Доходи'!Z499&gt;=Законод!$J$26,Z499-Законод!$I$27,0),0)))</f>
        <v>0</v>
      </c>
      <c r="AA506" s="931"/>
      <c r="AB506" s="935" t="s">
        <v>346</v>
      </c>
      <c r="AC506" s="936"/>
      <c r="AD506" s="936"/>
      <c r="AE506" s="936"/>
      <c r="AF506" s="937"/>
      <c r="AG506" s="196">
        <f ca="1">IF($B$495="Лікар загальної практики - сімейний лікар",IF(AG499&gt;=Законод!$J$22,'01_Доходи'!AG499-('01_Доходи'!AG500+'01_Доходи'!AG501+'01_Доходи'!AG502+'01_Доходи'!AG503+'01_Доходи'!AG504+'01_Доходи'!AG505),0),IF($B$495="Лікар-педіатр",IF(AG499&gt;=Законод!$J$18,'01_Доходи'!AG499-('01_Доходи'!AG500+'01_Доходи'!AG501+'01_Доходи'!AG502+'01_Доходи'!AG503+'01_Доходи'!AG504+'01_Доходи'!AG505),0),IF($B$495="Лікар-терапевт",IF('01_Доходи'!AG499&gt;=Законод!$J$26,AG499-Законод!$I$27,0),0)))</f>
        <v>0</v>
      </c>
      <c r="AH506" s="931"/>
      <c r="AI506" s="215"/>
      <c r="AJ506" s="934"/>
      <c r="AK506" s="928"/>
      <c r="AL506" s="928"/>
      <c r="AM506" s="900"/>
      <c r="AN506" s="216">
        <f ca="1">IF(B495="Лікар загальної практики - сімейний лікар",L506*Законод!$C$9/4*Законод!$J$16,IF(B495="Лікар-педіатр",L506*Законод!$C$9/4*Законод!$J$16,IF(B495="Лікар-терапевт",L506*Законод!$C$9/4*Законод!$J$16,0)))</f>
        <v>0</v>
      </c>
      <c r="AO506" s="216">
        <f ca="1">IF(B495="Лікар загальної практики - сімейний лікар",S506*Законод!$C$9/4*Законод!$J$16,IF(B495="Лікар-педіатр",S506*Законод!$C$9/4*Законод!$J$16,IF(B495="Лікар-терапевт",S506*Законод!$C$9/4*Законод!$J$16,0)))</f>
        <v>0</v>
      </c>
      <c r="AP506" s="216">
        <f ca="1">IF(B495="Лікар загальної практики - сімейний лікар",S506*Законод!$C$9/4*Законод!$J$16,IF(B495="Лікар-педіатр",S506*Законод!$C$9/4*Законод!$J$16,IF(B495="Лікар-терапевт",S506*Законод!$C$9/4*Законод!$J$16,0)))</f>
        <v>0</v>
      </c>
      <c r="AQ506" s="216">
        <f ca="1">IF(B495="Лікар загальної практики - сімейний лікар",AG506*Законод!$C$9/4*Законод!$J$16,IF(B495="Лікар-педіатр",AG506*Законод!$C$9/4*Законод!$J$16,IF(B495="Лікар-терапевт",AG506*Законод!$C$9/4*Законод!$J$16,0)))</f>
        <v>0</v>
      </c>
      <c r="AR506" s="217">
        <f t="shared" si="65"/>
        <v>0</v>
      </c>
    </row>
    <row r="507" spans="1:44" s="247" customFormat="1" ht="23.45" hidden="1" customHeight="1" thickBot="1">
      <c r="A507" s="243"/>
      <c r="B507" s="244"/>
      <c r="C507" s="244"/>
      <c r="D507" s="244"/>
      <c r="E507" s="244"/>
      <c r="F507" s="245"/>
      <c r="G507" s="246"/>
      <c r="H507" s="246"/>
      <c r="L507" s="248"/>
      <c r="S507" s="248"/>
      <c r="Z507" s="248"/>
      <c r="AG507" s="248"/>
      <c r="AM507" s="249"/>
      <c r="AR507" s="250"/>
    </row>
    <row r="508" spans="1:44" s="191" customFormat="1" ht="24.6" hidden="1" customHeight="1">
      <c r="A508" s="194">
        <f>A495+1</f>
        <v>37</v>
      </c>
      <c r="B508" s="892"/>
      <c r="C508" s="895"/>
      <c r="D508" s="911"/>
      <c r="E508" s="908"/>
      <c r="F508" s="234" t="s">
        <v>582</v>
      </c>
      <c r="G508" s="196">
        <f>IF($B$508="Лікар-педіатр",G511*L508,IF($B$508="Лікар-терапевт","х",IF($B$508="Лікар загальної практики - сімейний лікар",G511*L508,0)))</f>
        <v>0</v>
      </c>
      <c r="H508" s="196">
        <f>IF($B$508="Лікар-педіатр",H511*L508,IF($B$508="Лікар-терапевт","х",IF($B$508="Лікар загальної практики - сімейний лікар",H511*L508,0)))</f>
        <v>0</v>
      </c>
      <c r="I508" s="196">
        <f>IF($B$508="Лікар-педіатр","x",IF($B$508="Лікар-терапевт",I511*L508,IF($B$508="Лікар загальної практики - сімейний лікар",I511*L508,0)))</f>
        <v>0</v>
      </c>
      <c r="J508" s="196">
        <f>IF($B$508="Лікар-педіатр","x",IF($B$508="Лікар-терапевт",J511*L508,IF($B$508="Лікар загальної практики - сімейний лікар",J511*L508,0)))</f>
        <v>0</v>
      </c>
      <c r="K508" s="196">
        <f>IF($B$508="Лікар-педіатр","x",IF($B$508="Лікар-терапевт",K511*L508,IF($B$508="Лікар загальної практики - сімейний лікар",K511*L508,0)))</f>
        <v>0</v>
      </c>
      <c r="L508" s="558"/>
      <c r="M508" s="929"/>
      <c r="N508" s="196">
        <f>IF($B$508="Лікар-педіатр",N511*S508,IF($B$508="Лікар-терапевт","х",IF($B$508="Лікар загальної практики - сімейний лікар",N511*S508,0)))</f>
        <v>0</v>
      </c>
      <c r="O508" s="196">
        <f>IF($B$508="Лікар-педіатр",O511*S508,IF($B$508="Лікар-терапевт","х",IF($B$508="Лікар загальної практики - сімейний лікар",O511*S508,0)))</f>
        <v>0</v>
      </c>
      <c r="P508" s="196">
        <f>IF($B$508="Лікар-педіатр","x",IF($B$508="Лікар-терапевт",P511*S508,IF($B$508="Лікар загальної практики - сімейний лікар",P511*S508,0)))</f>
        <v>0</v>
      </c>
      <c r="Q508" s="196">
        <f>IF($B$508="Лікар-педіатр","x",IF($B$508="Лікар-терапевт",Q511*S508,IF($B$508="Лікар загальної практики - сімейний лікар",Q511*S508,0)))</f>
        <v>0</v>
      </c>
      <c r="R508" s="196">
        <f>IF($B$508="Лікар-педіатр","x",IF($B$508="Лікар-терапевт",R511*S508,IF($B$508="Лікар загальної практики - сімейний лікар",R511*S508,0)))</f>
        <v>0</v>
      </c>
      <c r="S508" s="558"/>
      <c r="T508" s="929"/>
      <c r="U508" s="196">
        <f>IF($B$508="Лікар-педіатр",U511*Z508,IF($B$508="Лікар-терапевт","х",IF($B$508="Лікар загальної практики - сімейний лікар",U511*Z508,0)))</f>
        <v>0</v>
      </c>
      <c r="V508" s="196">
        <f>IF($B$508="Лікар-педіатр",V511*Z508,IF($B$508="Лікар-терапевт","х",IF($B$508="Лікар загальної практики - сімейний лікар",V511*Z508,0)))</f>
        <v>0</v>
      </c>
      <c r="W508" s="196">
        <f>IF($B$508="Лікар-педіатр","x",IF($B$508="Лікар-терапевт",W511*Z508,IF($B$508="Лікар загальної практики - сімейний лікар",W511*Z508,0)))</f>
        <v>0</v>
      </c>
      <c r="X508" s="196">
        <f>IF($B$508="Лікар-педіатр","x",IF($B$508="Лікар-терапевт",X511*Z508,IF($B$508="Лікар загальної практики - сімейний лікар",X511*Z508,0)))</f>
        <v>0</v>
      </c>
      <c r="Y508" s="196">
        <f>IF($B$508="Лікар-педіатр","x",IF($B$508="Лікар-терапевт",Y511*Z508,IF($B$508="Лікар загальної практики - сімейний лікар",Y511*Z508,0)))</f>
        <v>0</v>
      </c>
      <c r="Z508" s="558"/>
      <c r="AA508" s="929"/>
      <c r="AB508" s="196">
        <f>IF($B$508="Лікар-педіатр",AB511*AG508,IF($B$508="Лікар-терапевт","х",IF($B$508="Лікар загальної практики - сімейний лікар",AB511*AG508,0)))</f>
        <v>0</v>
      </c>
      <c r="AC508" s="196">
        <f>IF($B$508="Лікар-педіатр",AC511*AG508,IF($B$508="Лікар-терапевт","х",IF($B$508="Лікар загальної практики - сімейний лікар",AC511*AG508,0)))</f>
        <v>0</v>
      </c>
      <c r="AD508" s="196">
        <f>IF($B$508="Лікар-педіатр","x",IF($B$508="Лікар-терапевт",AD511*AG508,IF($B$508="Лікар загальної практики - сімейний лікар",AD511*AG508,0)))</f>
        <v>0</v>
      </c>
      <c r="AE508" s="196">
        <f>IF($B$508="Лікар-педіатр","x",IF($B$508="Лікар-терапевт",AE511*AG508,IF($B$508="Лікар загальної практики - сімейний лікар",AE511*AG508,0)))</f>
        <v>0</v>
      </c>
      <c r="AF508" s="196">
        <f>IF($B$508="Лікар-педіатр","x",IF($B$508="Лікар-терапевт",AF511*AG508,IF($B$508="Лікар загальної практики - сімейний лікар",AF511*AG508,0)))</f>
        <v>0</v>
      </c>
      <c r="AG508" s="558"/>
      <c r="AH508" s="929"/>
      <c r="AI508" s="541">
        <f>A508</f>
        <v>37</v>
      </c>
      <c r="AJ508" s="932">
        <f>B508</f>
        <v>0</v>
      </c>
      <c r="AK508" s="926">
        <f>C508</f>
        <v>0</v>
      </c>
      <c r="AL508" s="926">
        <f>D508</f>
        <v>0</v>
      </c>
      <c r="AM508" s="901" t="s">
        <v>785</v>
      </c>
      <c r="AN508" s="923">
        <f>SUM(AN513:AN519)</f>
        <v>0</v>
      </c>
      <c r="AO508" s="923">
        <f>SUM(AO513:AO519)</f>
        <v>0</v>
      </c>
      <c r="AP508" s="923">
        <f>SUM(AP513:AP519)</f>
        <v>0</v>
      </c>
      <c r="AQ508" s="923">
        <f>SUM(AQ513:AQ519)</f>
        <v>0</v>
      </c>
      <c r="AR508" s="914">
        <f>SUM(AN508:AQ512)</f>
        <v>0</v>
      </c>
    </row>
    <row r="509" spans="1:44" s="50" customFormat="1" ht="28.15" hidden="1" customHeight="1">
      <c r="A509" s="197"/>
      <c r="B509" s="893"/>
      <c r="C509" s="896"/>
      <c r="D509" s="912"/>
      <c r="E509" s="909"/>
      <c r="F509" s="234" t="s">
        <v>583</v>
      </c>
      <c r="G509" s="196">
        <f>IF($B$508="Лікар-педіатр",G511*L509,IF($B$508="Лікар-терапевт","х",IF($B$508="Лікар загальної практики - сімейний лікар",G511*L509,0)))</f>
        <v>0</v>
      </c>
      <c r="H509" s="196">
        <f>IF($B$508="Лікар-педіатр",H511*L509,IF($B$508="Лікар-терапевт","х",IF($B$508="Лікар загальної практики - сімейний лікар",H511*L509,0)))</f>
        <v>0</v>
      </c>
      <c r="I509" s="196">
        <f>IF($B$508="Лікар-педіатр","x",IF($B$508="Лікар-терапевт",I511*L509,IF($B$508="Лікар загальної практики - сімейний лікар",I511*L509,0)))</f>
        <v>0</v>
      </c>
      <c r="J509" s="196">
        <f>IF($B$508="Лікар-педіатр","x",IF($B$508="Лікар-терапевт",J511*L509,IF($B$508="Лікар загальної практики - сімейний лікар",J511*L509,0)))</f>
        <v>0</v>
      </c>
      <c r="K509" s="196">
        <f>IF($B$508="Лікар-педіатр","x",IF($B$508="Лікар-терапевт",K511*L509,IF($B$508="Лікар загальної практики - сімейний лікар",K511*L509,0)))</f>
        <v>0</v>
      </c>
      <c r="L509" s="558"/>
      <c r="M509" s="930"/>
      <c r="N509" s="196">
        <f>IF($B$508="Лікар-педіатр",N511*S509,IF($B$508="Лікар-терапевт","х",IF($B$508="Лікар загальної практики - сімейний лікар",N511*S509,0)))</f>
        <v>0</v>
      </c>
      <c r="O509" s="196">
        <f>IF($B$508="Лікар-педіатр",O511*S509,IF($B$508="Лікар-терапевт","х",IF($B$508="Лікар загальної практики - сімейний лікар",O511*S509,0)))</f>
        <v>0</v>
      </c>
      <c r="P509" s="196">
        <f>IF($B$508="Лікар-педіатр","x",IF($B$508="Лікар-терапевт",P511*S509,IF($B$508="Лікар загальної практики - сімейний лікар",P511*S509,0)))</f>
        <v>0</v>
      </c>
      <c r="Q509" s="196">
        <f>IF($B$508="Лікар-педіатр","x",IF($B$508="Лікар-терапевт",Q511*S509,IF($B$508="Лікар загальної практики - сімейний лікар",Q511*S509,0)))</f>
        <v>0</v>
      </c>
      <c r="R509" s="196">
        <f>IF($B$508="Лікар-педіатр","x",IF($B$508="Лікар-терапевт",R511*S509,IF($B$508="Лікар загальної практики - сімейний лікар",R511*S509,0)))</f>
        <v>0</v>
      </c>
      <c r="S509" s="558"/>
      <c r="T509" s="930"/>
      <c r="U509" s="196">
        <f>IF($B$508="Лікар-педіатр",U511*Z509,IF($B$508="Лікар-терапевт","х",IF($B$508="Лікар загальної практики - сімейний лікар",U511*Z509,0)))</f>
        <v>0</v>
      </c>
      <c r="V509" s="196">
        <f>IF($B$508="Лікар-педіатр",V511*Z509,IF($B$508="Лікар-терапевт","х",IF($B$508="Лікар загальної практики - сімейний лікар",V511*Z509,0)))</f>
        <v>0</v>
      </c>
      <c r="W509" s="196">
        <f>IF($B$508="Лікар-педіатр","x",IF($B$508="Лікар-терапевт",W511*Z509,IF($B$508="Лікар загальної практики - сімейний лікар",W511*Z509,0)))</f>
        <v>0</v>
      </c>
      <c r="X509" s="196">
        <f>IF($B$508="Лікар-педіатр","x",IF($B$508="Лікар-терапевт",X511*Z509,IF($B$508="Лікар загальної практики - сімейний лікар",X511*Z509,0)))</f>
        <v>0</v>
      </c>
      <c r="Y509" s="196">
        <f>IF($B$508="Лікар-педіатр","x",IF($B$508="Лікар-терапевт",Y511*Z509,IF($B$508="Лікар загальної практики - сімейний лікар",Y511*Z509,0)))</f>
        <v>0</v>
      </c>
      <c r="Z509" s="558"/>
      <c r="AA509" s="930"/>
      <c r="AB509" s="196">
        <f>IF($B$508="Лікар-педіатр",AB511*AG509,IF($B$508="Лікар-терапевт","х",IF($B$508="Лікар загальної практики - сімейний лікар",AB511*AG509,0)))</f>
        <v>0</v>
      </c>
      <c r="AC509" s="196">
        <f>IF($B$508="Лікар-педіатр",AC511*AG509,IF($B$508="Лікар-терапевт","х",IF($B$508="Лікар загальної практики - сімейний лікар",AC511*AG509,0)))</f>
        <v>0</v>
      </c>
      <c r="AD509" s="196">
        <f>IF($B$508="Лікар-педіатр","x",IF($B$508="Лікар-терапевт",AD511*AG509,IF($B$508="Лікар загальної практики - сімейний лікар",AD511*AG509,0)))</f>
        <v>0</v>
      </c>
      <c r="AE509" s="196">
        <f>IF($B$508="Лікар-педіатр","x",IF($B$508="Лікар-терапевт",AE511*AG509,IF($B$508="Лікар загальної практики - сімейний лікар",AE511*AG509,0)))</f>
        <v>0</v>
      </c>
      <c r="AF509" s="196">
        <f>IF($B$508="Лікар-педіатр","x",IF($B$508="Лікар-терапевт",AF511*AG509,IF($B$508="Лікар загальної практики - сімейний лікар",AF511*AG509,0)))</f>
        <v>0</v>
      </c>
      <c r="AG509" s="558"/>
      <c r="AH509" s="930"/>
      <c r="AI509" s="198"/>
      <c r="AJ509" s="933"/>
      <c r="AK509" s="927"/>
      <c r="AL509" s="927"/>
      <c r="AM509" s="902"/>
      <c r="AN509" s="924"/>
      <c r="AO509" s="924"/>
      <c r="AP509" s="924"/>
      <c r="AQ509" s="924"/>
      <c r="AR509" s="915"/>
    </row>
    <row r="510" spans="1:44" s="90" customFormat="1" ht="31.15" hidden="1" customHeight="1">
      <c r="A510" s="240"/>
      <c r="B510" s="893"/>
      <c r="C510" s="896"/>
      <c r="D510" s="912"/>
      <c r="E510" s="909"/>
      <c r="F510" s="241" t="s">
        <v>584</v>
      </c>
      <c r="G510" s="199">
        <f>IF(B508="Лікар загальної практики - сімейний лікар"," ",IF(B508="Лікар-педіатр"," ",IF(B508="Лікар-терапевт","х",0)))</f>
        <v>0</v>
      </c>
      <c r="H510" s="199">
        <f>IF(B508="Лікар загальної практики - сімейний лікар"," ",IF(B508="Лікар-педіатр"," ",IF(B508="Лікар-терапевт","х",0)))</f>
        <v>0</v>
      </c>
      <c r="I510" s="199">
        <f>IF(B508="Лікар загальної практики - сімейний лікар"," ",IF(B508="Лікар-педіатр","х",IF(B508="Лікар-терапевт"," ",0)))</f>
        <v>0</v>
      </c>
      <c r="J510" s="199">
        <f>IF(B508="Лікар загальної практики - сімейний лікар"," ",IF(B508="Лікар-педіатр","х",IF(B508="Лікар-терапевт"," ",0)))</f>
        <v>0</v>
      </c>
      <c r="K510" s="199">
        <f>IF(B508="Лікар загальної практики - сімейний лікар"," ",IF(B508="Лікар-педіатр","х",IF(B508="Лікар-терапевт"," ",0)))</f>
        <v>0</v>
      </c>
      <c r="L510" s="200">
        <f>SUM(G510:K510)</f>
        <v>0</v>
      </c>
      <c r="M510" s="930"/>
      <c r="N510" s="199">
        <f>IF(B508="Лікар загальної практики - сімейний лікар"," ",IF(B508="Лікар-педіатр"," ",IF(B508="Лікар-терапевт","х",0)))</f>
        <v>0</v>
      </c>
      <c r="O510" s="199">
        <f>IF(B508="Лікар загальної практики - сімейний лікар"," ",IF(B508="Лікар-педіатр"," ",IF(B508="Лікар-терапевт","х",0)))</f>
        <v>0</v>
      </c>
      <c r="P510" s="199">
        <f>IF(B508="Лікар загальної практики - сімейний лікар"," ",IF(B508="Лікар-педіатр","х",IF(B508="Лікар-терапевт"," ",0)))</f>
        <v>0</v>
      </c>
      <c r="Q510" s="199">
        <f>IF(B508="Лікар загальної практики - сімейний лікар"," ",IF(B508="Лікар-педіатр","х",IF(B508="Лікар-терапевт"," ",0)))</f>
        <v>0</v>
      </c>
      <c r="R510" s="199">
        <f>IF(B508="Лікар загальної практики - сімейний лікар"," ",IF(B508="Лікар-педіатр","х",IF(B508="Лікар-терапевт"," ",0)))</f>
        <v>0</v>
      </c>
      <c r="S510" s="200">
        <f>SUM(N510:R510)</f>
        <v>0</v>
      </c>
      <c r="T510" s="930"/>
      <c r="U510" s="199">
        <f>IF(B508="Лікар загальної практики - сімейний лікар"," ",IF(B508="Лікар-педіатр"," ",IF(B508="Лікар-терапевт","х",0)))</f>
        <v>0</v>
      </c>
      <c r="V510" s="199">
        <f>IF(B508="Лікар загальної практики - сімейний лікар"," ",IF(B508="Лікар-педіатр"," ",IF(B508="Лікар-терапевт","х",0)))</f>
        <v>0</v>
      </c>
      <c r="W510" s="199">
        <f>IF(B508="Лікар загальної практики - сімейний лікар"," ",IF(B508="Лікар-педіатр","х",IF(B508="Лікар-терапевт"," ",0)))</f>
        <v>0</v>
      </c>
      <c r="X510" s="199">
        <f>IF(B508="Лікар загальної практики - сімейний лікар"," ",IF(B508="Лікар-педіатр","х",IF(B508="Лікар-терапевт"," ",0)))</f>
        <v>0</v>
      </c>
      <c r="Y510" s="199">
        <f>IF(B508="Лікар загальної практики - сімейний лікар"," ",IF(B508="Лікар-педіатр","х",IF(B508="Лікар-терапевт"," ",0)))</f>
        <v>0</v>
      </c>
      <c r="Z510" s="200">
        <f>SUM(U510:Y510)</f>
        <v>0</v>
      </c>
      <c r="AA510" s="930"/>
      <c r="AB510" s="199">
        <f>IF(B508="Лікар загальної практики - сімейний лікар"," ",IF(B508="Лікар-педіатр"," ",IF(B508="Лікар-терапевт","х",0)))</f>
        <v>0</v>
      </c>
      <c r="AC510" s="199">
        <f>IF(B508="Лікар загальної практики - сімейний лікар"," ",IF(B508="Лікар-педіатр"," ",IF(B508="Лікар-терапевт","х",0)))</f>
        <v>0</v>
      </c>
      <c r="AD510" s="199">
        <f>IF(B508="Лікар загальної практики - сімейний лікар"," ",IF(B508="Лікар-педіатр","х",IF(B508="Лікар-терапевт"," ",0)))</f>
        <v>0</v>
      </c>
      <c r="AE510" s="199">
        <f>IF(B508="Лікар загальної практики - сімейний лікар"," ",IF(B508="Лікар-педіатр","х",IF(B508="Лікар-терапевт"," ",0)))</f>
        <v>0</v>
      </c>
      <c r="AF510" s="199">
        <f>IF(B508="Лікар загальної практики - сімейний лікар"," ",IF(B508="Лікар-педіатр","х",IF(B508="Лікар-терапевт"," ",0)))</f>
        <v>0</v>
      </c>
      <c r="AG510" s="200">
        <f>SUM(AB510:AF510)</f>
        <v>0</v>
      </c>
      <c r="AH510" s="930"/>
      <c r="AI510" s="242"/>
      <c r="AJ510" s="933"/>
      <c r="AK510" s="927"/>
      <c r="AL510" s="927"/>
      <c r="AM510" s="902"/>
      <c r="AN510" s="924"/>
      <c r="AO510" s="924"/>
      <c r="AP510" s="924"/>
      <c r="AQ510" s="924"/>
      <c r="AR510" s="915"/>
    </row>
    <row r="511" spans="1:44" s="50" customFormat="1" ht="31.9" hidden="1" customHeight="1" thickBot="1">
      <c r="A511" s="197"/>
      <c r="B511" s="893"/>
      <c r="C511" s="896"/>
      <c r="D511" s="912"/>
      <c r="E511" s="909"/>
      <c r="F511" s="236" t="s">
        <v>349</v>
      </c>
      <c r="G511" s="203">
        <f>IF($B$508="Лікар-педіатр",G510/L510,IF($B$508="Лікар-терапевт","х",IF($B$508="Лікар загальної практики - сімейний лікар",G510/L510,0)))</f>
        <v>0</v>
      </c>
      <c r="H511" s="203">
        <f>IF($B$508="Лікар-педіатр",H510/L510,IF($B$508="Лікар-терапевт","х",IF($B$508="Лікар загальної практики - сімейний лікар",H510/L510,0)))</f>
        <v>0</v>
      </c>
      <c r="I511" s="203">
        <f>IF($B$508="Лікар-педіатр","x",IF($B$508="Лікар-терапевт",I510/L510,IF($B$508="Лікар загальної практики - сімейний лікар",I510/L510,0)))</f>
        <v>0</v>
      </c>
      <c r="J511" s="203">
        <f>IF($B$508="Лікар-педіатр","x",IF($B$508="Лікар-терапевт",J510/L510,IF($B$508="Лікар загальної практики - сімейний лікар",J510/L510,0)))</f>
        <v>0</v>
      </c>
      <c r="K511" s="203">
        <f>IF($B$508="Лікар-педіатр","x",IF($B$508="Лікар-терапевт",K510/L510,IF($B$508="Лікар загальної практики - сімейний лікар",K510/L510,0)))</f>
        <v>0</v>
      </c>
      <c r="L511" s="203">
        <f>SUM(G511:K511)</f>
        <v>0</v>
      </c>
      <c r="M511" s="930"/>
      <c r="N511" s="203">
        <f>IF($B$508="Лікар-педіатр",N510/S510,IF($B$508="Лікар-терапевт","х",IF($B$508="Лікар загальної практики - сімейний лікар",N510/S510,0)))</f>
        <v>0</v>
      </c>
      <c r="O511" s="203">
        <f>IF($B$508="Лікар-педіатр",O510/S510,IF($B$508="Лікар-терапевт","х",IF($B$508="Лікар загальної практики - сімейний лікар",O510/S510,0)))</f>
        <v>0</v>
      </c>
      <c r="P511" s="203">
        <f>IF($B$508="Лікар-педіатр","x",IF($B$508="Лікар-терапевт",P510/S510,IF($B$508="Лікар загальної практики - сімейний лікар",P510/S510,0)))</f>
        <v>0</v>
      </c>
      <c r="Q511" s="203">
        <f>IF($B$508="Лікар-педіатр","x",IF($B$508="Лікар-терапевт",Q510/S510,IF($B$508="Лікар загальної практики - сімейний лікар",Q510/S510,0)))</f>
        <v>0</v>
      </c>
      <c r="R511" s="203">
        <f>IF($B$508="Лікар-педіатр","x",IF($B$508="Лікар-терапевт",R510/S510,IF($B$508="Лікар загальної практики - сімейний лікар",R510/S510,0)))</f>
        <v>0</v>
      </c>
      <c r="S511" s="203">
        <f>SUM(N511:R511)</f>
        <v>0</v>
      </c>
      <c r="T511" s="930"/>
      <c r="U511" s="203">
        <f>IF($B$508="Лікар-педіатр",U510/Z510,IF($B$508="Лікар-терапевт","х",IF($B$508="Лікар загальної практики - сімейний лікар",U510/Z510,0)))</f>
        <v>0</v>
      </c>
      <c r="V511" s="203">
        <f>IF($B$508="Лікар-педіатр",V510/Z510,IF($B$508="Лікар-терапевт","х",IF($B$508="Лікар загальної практики - сімейний лікар",V510/Z510,0)))</f>
        <v>0</v>
      </c>
      <c r="W511" s="203">
        <f>IF($B$508="Лікар-педіатр","x",IF($B$508="Лікар-терапевт",W510/Z510,IF($B$508="Лікар загальної практики - сімейний лікар",W510/Z510,0)))</f>
        <v>0</v>
      </c>
      <c r="X511" s="203">
        <f>IF($B$508="Лікар-педіатр","x",IF($B$508="Лікар-терапевт",X510/Z510,IF($B$508="Лікар загальної практики - сімейний лікар",X510/Z510,0)))</f>
        <v>0</v>
      </c>
      <c r="Y511" s="203">
        <f>IF($B$508="Лікар-педіатр","x",IF($B$508="Лікар-терапевт",Y510/Z510,IF($B$508="Лікар загальної практики - сімейний лікар",Y510/Z510,0)))</f>
        <v>0</v>
      </c>
      <c r="Z511" s="203">
        <f>SUM(U511:Y511)</f>
        <v>0</v>
      </c>
      <c r="AA511" s="930"/>
      <c r="AB511" s="203">
        <f>IF($B$508="Лікар-педіатр",AB510/AG510,IF($B$508="Лікар-терапевт","х",IF($B$508="Лікар загальної практики - сімейний лікар",AB510/AG510,0)))</f>
        <v>0</v>
      </c>
      <c r="AC511" s="203">
        <f>IF($B$508="Лікар-педіатр",AC510/AG510,IF($B$508="Лікар-терапевт","х",IF($B$508="Лікар загальної практики - сімейний лікар",AC510/AG510,0)))</f>
        <v>0</v>
      </c>
      <c r="AD511" s="203">
        <f>IF($B$508="Лікар-педіатр","x",IF($B$508="Лікар-терапевт",AD510/AG510,IF($B$508="Лікар загальної практики - сімейний лікар",AD510/AG510,0)))</f>
        <v>0</v>
      </c>
      <c r="AE511" s="203">
        <f>IF($B$508="Лікар-педіатр","x",IF($B$508="Лікар-терапевт",AE510/AG510,IF($B$508="Лікар загальної практики - сімейний лікар",AE510/AG510,0)))</f>
        <v>0</v>
      </c>
      <c r="AF511" s="203">
        <f>IF($B$508="Лікар-педіатр","x",IF($B$508="Лікар-терапевт",AF510/AG510,IF($B$508="Лікар загальної практики - сімейний лікар",AF510/AG510,0)))</f>
        <v>0</v>
      </c>
      <c r="AG511" s="203">
        <f>SUM(AB511:AF511)</f>
        <v>0</v>
      </c>
      <c r="AH511" s="930"/>
      <c r="AI511" s="201"/>
      <c r="AJ511" s="933"/>
      <c r="AK511" s="927"/>
      <c r="AL511" s="927"/>
      <c r="AM511" s="902"/>
      <c r="AN511" s="924"/>
      <c r="AO511" s="924"/>
      <c r="AP511" s="924"/>
      <c r="AQ511" s="924"/>
      <c r="AR511" s="915"/>
    </row>
    <row r="512" spans="1:44" s="50" customFormat="1" ht="45" hidden="1" customHeight="1" thickBot="1">
      <c r="A512" s="197"/>
      <c r="B512" s="893"/>
      <c r="C512" s="896"/>
      <c r="D512" s="912"/>
      <c r="E512" s="909"/>
      <c r="F512" s="204" t="s">
        <v>585</v>
      </c>
      <c r="G512" s="205">
        <f>IF($B$508="Лікар загальної практики - сімейний лікар",AVERAGE(G508:G510),IF($B$508="Лікар-педіатр",AVERAGE(G508:G510),IF($B$508="Лікар-терапевт","х",0)))</f>
        <v>0</v>
      </c>
      <c r="H512" s="205">
        <f>IF($B$508="Лікар загальної практики - сімейний лікар",AVERAGE(H508:H510),IF($B$508="Лікар-педіатр",AVERAGE(H508:H510),IF($B$508="Лікар-терапевт","х",0)))</f>
        <v>0</v>
      </c>
      <c r="I512" s="205">
        <f>IF($B$508="Лікар загальної практики - сімейний лікар",AVERAGE(I508:I510),IF($B$508="Лікар-педіатр","x",IF($B$508="Лікар-терапевт",AVERAGE(I508:I510),0)))</f>
        <v>0</v>
      </c>
      <c r="J512" s="205">
        <f>IF($B$508="Лікар загальної практики - сімейний лікар",AVERAGE(J508:J510),IF($B$508="Лікар-педіатр","x",IF($B$508="Лікар-терапевт",AVERAGE(J508:J510),0)))</f>
        <v>0</v>
      </c>
      <c r="K512" s="205">
        <f>IF($B$508="Лікар загальної практики - сімейний лікар",AVERAGE(K508:K510),IF($B$508="Лікар-педіатр","x",IF($B$508="Лікар-терапевт",AVERAGE(K508:K510),0)))</f>
        <v>0</v>
      </c>
      <c r="L512" s="206">
        <f>SUM(G512:K512)</f>
        <v>0</v>
      </c>
      <c r="M512" s="930"/>
      <c r="N512" s="205">
        <f>IF($B$508="Лікар загальної практики - сімейний лікар",AVERAGE(N508:N510),IF($B$508="Лікар-педіатр",AVERAGE(N508:N510),IF($B$508="Лікар-терапевт","х",0)))</f>
        <v>0</v>
      </c>
      <c r="O512" s="205">
        <f>IF($B$508="Лікар загальної практики - сімейний лікар",AVERAGE(O508:O510),IF($B$508="Лікар-педіатр",AVERAGE(O508:O510),IF($B$508="Лікар-терапевт","х",0)))</f>
        <v>0</v>
      </c>
      <c r="P512" s="205">
        <f>IF($B$508="Лікар загальної практики - сімейний лікар",AVERAGE(P508:P510),IF($B$508="Лікар-педіатр","x",IF($B$508="Лікар-терапевт",AVERAGE(P508:P510),0)))</f>
        <v>0</v>
      </c>
      <c r="Q512" s="205">
        <f>IF($B$508="Лікар загальної практики - сімейний лікар",AVERAGE(Q508:Q510),IF($B$508="Лікар-педіатр","x",IF($B$508="Лікар-терапевт",AVERAGE(Q508:Q510),0)))</f>
        <v>0</v>
      </c>
      <c r="R512" s="205">
        <f>IF($B$508="Лікар загальної практики - сімейний лікар",AVERAGE(R508:R510),IF($B$508="Лікар-педіатр","x",IF($B$508="Лікар-терапевт",AVERAGE(R508:R510),0)))</f>
        <v>0</v>
      </c>
      <c r="S512" s="206">
        <f>SUM(N512:R512)</f>
        <v>0</v>
      </c>
      <c r="T512" s="930"/>
      <c r="U512" s="205">
        <f>IF($B$508="Лікар загальної практики - сімейний лікар",AVERAGE(U508:U510),IF($B$508="Лікар-педіатр",AVERAGE(U508:U510),IF($B$508="Лікар-терапевт","х",0)))</f>
        <v>0</v>
      </c>
      <c r="V512" s="205">
        <f>IF($B$508="Лікар загальної практики - сімейний лікар",AVERAGE(V508:V510),IF($B$508="Лікар-педіатр",AVERAGE(V508:V510),IF($B$508="Лікар-терапевт","х",0)))</f>
        <v>0</v>
      </c>
      <c r="W512" s="205">
        <f>IF($B$508="Лікар загальної практики - сімейний лікар",AVERAGE(W508:W510),IF($B$508="Лікар-педіатр","x",IF($B$508="Лікар-терапевт",AVERAGE(W508:W510),0)))</f>
        <v>0</v>
      </c>
      <c r="X512" s="205">
        <f>IF($B$508="Лікар загальної практики - сімейний лікар",AVERAGE(X508:X510),IF($B$508="Лікар-педіатр","x",IF($B$508="Лікар-терапевт",AVERAGE(X508:X510),0)))</f>
        <v>0</v>
      </c>
      <c r="Y512" s="205">
        <f>IF($B$508="Лікар загальної практики - сімейний лікар",AVERAGE(Y508:Y510),IF($B$508="Лікар-педіатр","x",IF($B$508="Лікар-терапевт",AVERAGE(Y508:Y510),0)))</f>
        <v>0</v>
      </c>
      <c r="Z512" s="206">
        <f>SUM(U512:Y512)</f>
        <v>0</v>
      </c>
      <c r="AA512" s="930"/>
      <c r="AB512" s="205">
        <f>IF($B$508="Лікар загальної практики - сімейний лікар",AVERAGE(AB508:AB510),IF($B$508="Лікар-педіатр",AVERAGE(AB508:AB510),IF($B$508="Лікар-терапевт","х",0)))</f>
        <v>0</v>
      </c>
      <c r="AC512" s="205">
        <f>IF($B$508="Лікар загальної практики - сімейний лікар",AVERAGE(AC508:AC510),IF($B$508="Лікар-педіатр",AVERAGE(AC508:AC510),IF($B$508="Лікар-терапевт","х",0)))</f>
        <v>0</v>
      </c>
      <c r="AD512" s="205">
        <f>IF($B$508="Лікар загальної практики - сімейний лікар",AVERAGE(AD508:AD510),IF($B$508="Лікар-педіатр","x",IF($B$508="Лікар-терапевт",AVERAGE(AD508:AD510),0)))</f>
        <v>0</v>
      </c>
      <c r="AE512" s="205">
        <f>IF($B$508="Лікар загальної практики - сімейний лікар",AVERAGE(AE508:AE510),IF($B$508="Лікар-педіатр","x",IF($B$508="Лікар-терапевт",AVERAGE(AE508:AE510),0)))</f>
        <v>0</v>
      </c>
      <c r="AF512" s="205">
        <f>IF($B$508="Лікар загальної практики - сімейний лікар",AVERAGE(AF508:AF510),IF($B$508="Лікар-педіатр","x",IF($B$508="Лікар-терапевт",AVERAGE(AF508:AF510),0)))</f>
        <v>0</v>
      </c>
      <c r="AG512" s="206">
        <f>SUM(AB512:AF512)</f>
        <v>0</v>
      </c>
      <c r="AH512" s="930"/>
      <c r="AI512" s="201"/>
      <c r="AJ512" s="933"/>
      <c r="AK512" s="927"/>
      <c r="AL512" s="927"/>
      <c r="AM512" s="903"/>
      <c r="AN512" s="925"/>
      <c r="AO512" s="925"/>
      <c r="AP512" s="925"/>
      <c r="AQ512" s="925"/>
      <c r="AR512" s="916"/>
    </row>
    <row r="513" spans="1:44" s="50" customFormat="1" ht="40.5" hidden="1">
      <c r="A513" s="197"/>
      <c r="B513" s="893"/>
      <c r="C513" s="896"/>
      <c r="D513" s="912"/>
      <c r="E513" s="909"/>
      <c r="F513" s="237" t="str">
        <f ca="1">IF(B508="Лікар-педіатр",Законод!$C$17,IF(B508="Лікар загальної практики - сімейний лікар",Законод!$C$21,IF(B508="Лікар-терапевт",Законод!$C$25,"х")))</f>
        <v>х</v>
      </c>
      <c r="G513" s="208">
        <f ca="1">IF($B$508="Лікар загальної практики - сімейний лікар",IF(L512&lt;=Законод!$C$22,G512,Законод!$C$22*'01_Доходи'!G511),IF($B$508="Лікар-педіатр",IF(L512&lt;=Законод!$C$18,G512,Законод!$C$18*'01_Доходи'!G511),IF($B$508="Лікар-терапевт","x",0)))</f>
        <v>0</v>
      </c>
      <c r="H513" s="208">
        <f ca="1">IF($B$508="Лікар загальної практики - сімейний лікар",IF(L512&lt;=Законод!$C$22,H512,Законод!$C$22*'01_Доходи'!H511),IF($B$508="Лікар-педіатр",IF(L512&lt;=Законод!$C$18,H512,Законод!$C$18*'01_Доходи'!H511),IF($B$508="Лікар-терапевт","x",0)))</f>
        <v>0</v>
      </c>
      <c r="I513" s="208">
        <f ca="1">IF($B$508="Лікар загальної практики - сімейний лікар",IF(L512&lt;=Законод!$C$22,I512,Законод!$C$22*'01_Доходи'!I511),IF($B$508="Лікар-педіатр","x",IF($B$508="Лікар-терапевт",IF(L512&lt;=Законод!$C$26,I512,Законод!$C$26*'01_Доходи'!I511),0)))</f>
        <v>0</v>
      </c>
      <c r="J513" s="208">
        <f ca="1">IF($B$508="Лікар загальної практики - сімейний лікар",IF(L512&lt;=Законод!$C$22,J512,Законод!$C$22*'01_Доходи'!J511),IF($B$508="Лікар-педіатр","x",IF($B$508="Лікар-терапевт",IF(L512&lt;=Законод!$C$26,J512,Законод!$C$26*'01_Доходи'!J511),0)))</f>
        <v>0</v>
      </c>
      <c r="K513" s="208">
        <f ca="1">IF($B$508="Лікар загальної практики - сімейний лікар",IF(L512&lt;=Законод!$C$22,K512,Законод!$C$22*'01_Доходи'!K511),IF($B$508="Лікар-педіатр","x",IF($B$508="Лікар-терапевт",IF(L512&lt;=Законод!$C$26,K512,Законод!$C$26*'01_Доходи'!K511),0)))</f>
        <v>0</v>
      </c>
      <c r="L513" s="209">
        <f ca="1">SUM(G513:K513)</f>
        <v>0</v>
      </c>
      <c r="M513" s="930"/>
      <c r="N513" s="208">
        <f ca="1">IF($B$508="Лікар загальної практики - сімейний лікар",IF(S512&lt;=Законод!$C$22,N512,Законод!$C$22*'01_Доходи'!N511),IF($B$508="Лікар-педіатр",IF(S512&lt;=Законод!$C$18,N512,Законод!$C$18*'01_Доходи'!N511),IF($B$508="Лікар-терапевт","x",0)))</f>
        <v>0</v>
      </c>
      <c r="O513" s="208">
        <f ca="1">IF($B$508="Лікар загальної практики - сімейний лікар",IF(S512&lt;=Законод!$C$22,O512,Законод!$C$22*'01_Доходи'!O511),IF($B$508="Лікар-педіатр",IF(S512&lt;=Законод!$C$18,O512,Законод!$C$18*'01_Доходи'!O511),IF($B$508="Лікар-терапевт","x",0)))</f>
        <v>0</v>
      </c>
      <c r="P513" s="208">
        <f ca="1">IF($B$508="Лікар загальної практики - сімейний лікар",IF(S512&lt;=Законод!$C$22,P512,Законод!$C$22*'01_Доходи'!P511),IF($B$508="Лікар-педіатр","x",IF($B$508="Лікар-терапевт",IF(S512&lt;=Законод!$C$26,P512,Законод!$C$26*'01_Доходи'!P511),0)))</f>
        <v>0</v>
      </c>
      <c r="Q513" s="208">
        <f ca="1">IF($B$508="Лікар загальної практики - сімейний лікар",IF(S512&lt;=Законод!$C$22,Q512,Законод!$C$22*'01_Доходи'!Q511),IF($B$508="Лікар-педіатр","x",IF($B$508="Лікар-терапевт",IF(S512&lt;=Законод!$C$26,Q512,Законод!$C$26*'01_Доходи'!Q511),0)))</f>
        <v>0</v>
      </c>
      <c r="R513" s="208">
        <f ca="1">IF($B$508="Лікар загальної практики - сімейний лікар",IF(S512&lt;=Законод!$C$22,R512,Законод!$C$22*'01_Доходи'!R511),IF($B$508="Лікар-педіатр","x",IF($B$508="Лікар-терапевт",IF(S512&lt;=Законод!$C$26,R512,Законод!$C$26*'01_Доходи'!R511),0)))</f>
        <v>0</v>
      </c>
      <c r="S513" s="209">
        <f ca="1">SUM(N513:R513)</f>
        <v>0</v>
      </c>
      <c r="T513" s="930"/>
      <c r="U513" s="208">
        <f ca="1">IF($B$508="Лікар загальної практики - сімейний лікар",IF(Z512&lt;=Законод!$C$22,U512,Законод!$C$22*'01_Доходи'!U511),IF($B$508="Лікар-педіатр",IF(Z512&lt;=Законод!$C$18,U512,Законод!$C$18*'01_Доходи'!U511),IF($B$508="Лікар-терапевт","x",0)))</f>
        <v>0</v>
      </c>
      <c r="V513" s="208">
        <f ca="1">IF($B$508="Лікар загальної практики - сімейний лікар",IF(Z512&lt;=Законод!$C$22,V512,Законод!$C$22*'01_Доходи'!V511),IF($B$508="Лікар-педіатр",IF(Z512&lt;=Законод!$C$18,V512,Законод!$C$18*'01_Доходи'!V511),IF($B$508="Лікар-терапевт","x",0)))</f>
        <v>0</v>
      </c>
      <c r="W513" s="208">
        <f ca="1">IF($B$508="Лікар загальної практики - сімейний лікар",IF(Z512&lt;=Законод!$C$22,W512,Законод!$C$22*'01_Доходи'!W511),IF($B$508="Лікар-педіатр","x",IF($B$508="Лікар-терапевт",IF(Z512&lt;=Законод!$C$26,W512,Законод!$C$26*'01_Доходи'!W511),0)))</f>
        <v>0</v>
      </c>
      <c r="X513" s="208">
        <f ca="1">IF($B$508="Лікар загальної практики - сімейний лікар",IF(Z512&lt;=Законод!$C$22,X512,Законод!$C$22*'01_Доходи'!X511),IF($B$508="Лікар-педіатр","x",IF($B$508="Лікар-терапевт",IF(Z512&lt;=Законод!$C$26,X512,Законод!$C$26*'01_Доходи'!X511),0)))</f>
        <v>0</v>
      </c>
      <c r="Y513" s="208">
        <f ca="1">IF($B$508="Лікар загальної практики - сімейний лікар",IF(Z512&lt;=Законод!$C$22,Y512,Законод!$C$22*'01_Доходи'!Y511),IF($B$508="Лікар-педіатр","x",IF($B$508="Лікар-терапевт",IF(Z512&lt;=Законод!$C$26,Y512,Законод!$C$26*'01_Доходи'!Y511),0)))</f>
        <v>0</v>
      </c>
      <c r="Z513" s="209">
        <f ca="1">SUM(U513:Y513)</f>
        <v>0</v>
      </c>
      <c r="AA513" s="930"/>
      <c r="AB513" s="208">
        <f ca="1">IF($B$508="Лікар загальної практики - сімейний лікар",IF(AG512&lt;=Законод!$C$22,AB512,Законод!$C$22*'01_Доходи'!AB511),IF($B$508="Лікар-педіатр",IF(AG512&lt;=Законод!$C$18,AB512,Законод!$C$18*'01_Доходи'!AB511),IF($B$508="Лікар-терапевт","x",0)))</f>
        <v>0</v>
      </c>
      <c r="AC513" s="208">
        <f ca="1">IF($B$508="Лікар загальної практики - сімейний лікар",IF(AG512&lt;=Законод!$C$22,AC512,Законод!$C$22*'01_Доходи'!AC511),IF($B$508="Лікар-педіатр",IF(AG512&lt;=Законод!$C$18,AC512,Законод!$C$18*'01_Доходи'!AC511),IF($B$508="Лікар-терапевт","x",0)))</f>
        <v>0</v>
      </c>
      <c r="AD513" s="208">
        <f ca="1">IF($B$508="Лікар загальної практики - сімейний лікар",IF(AG512&lt;=Законод!$C$22,AD512,Законод!$C$22*'01_Доходи'!AD511),IF($B$508="Лікар-педіатр","x",IF($B$508="Лікар-терапевт",IF(AG512&lt;=Законод!$C$26,AD512,Законод!$C$26*'01_Доходи'!AD511),0)))</f>
        <v>0</v>
      </c>
      <c r="AE513" s="208">
        <f ca="1">IF($B$508="Лікар загальної практики - сімейний лікар",IF(AG512&lt;=Законод!$C$22,AE512,Законод!$C$22*'01_Доходи'!AE511),IF($B$508="Лікар-педіатр","x",IF($B$508="Лікар-терапевт",IF(AG512&lt;=Законод!$C$26,AE512,Законод!$C$26*'01_Доходи'!AE511),0)))</f>
        <v>0</v>
      </c>
      <c r="AF513" s="208">
        <f ca="1">IF($B$508="Лікар загальної практики - сімейний лікар",IF(AG512&lt;=Законод!$C$22,AF512,Законод!$C$22*'01_Доходи'!AF511),IF($B$508="Лікар-педіатр","x",IF($B$508="Лікар-терапевт",IF(AG512&lt;=Законод!$C$26,AF512,Законод!$C$26*'01_Доходи'!AF511),0)))</f>
        <v>0</v>
      </c>
      <c r="AG513" s="209">
        <f ca="1">SUM(AB513:AF513)</f>
        <v>0</v>
      </c>
      <c r="AH513" s="930"/>
      <c r="AI513" s="201"/>
      <c r="AJ513" s="933"/>
      <c r="AK513" s="927"/>
      <c r="AL513" s="927"/>
      <c r="AM513" s="348" t="s">
        <v>374</v>
      </c>
      <c r="AN513" s="210">
        <f ca="1">IF(B508="Лікар загальної практики - сімейний лікар",G513*Законод!$C$11+'01_Доходи'!H513*Законод!$D$11+'01_Доходи'!I513*Законод!$E$11+'01_Доходи'!J513*Законод!$F$11+'01_Доходи'!K513*Законод!$G$11,IF(B508="Лікар-педіатр",G513*Законод!$C$11+'01_Доходи'!H513*Законод!$D$11,IF(B508="Лікар-терапевт",'01_Доходи'!I513*Законод!$E$11+'01_Доходи'!J513*Законод!$F$11+'01_Доходи'!K513*Законод!$G$11,0)))</f>
        <v>0</v>
      </c>
      <c r="AO513" s="210">
        <f ca="1">IF(B508="Лікар загальної практики - сімейний лікар",N513*Законод!$C$11+'01_Доходи'!O513*Законод!$D$11+'01_Доходи'!P513*Законод!$E$11+'01_Доходи'!Q513*Законод!$F$11+'01_Доходи'!R513*Законод!$G$11,IF(B508="Лікар-педіатр",N513*Законод!$C$11+'01_Доходи'!O513*Законод!$D$11,IF(B508="Лікар-терапевт",'01_Доходи'!P513*Законод!$E$11+'01_Доходи'!Q513*Законод!$F$11+'01_Доходи'!R513*Законод!$G$11,0)))</f>
        <v>0</v>
      </c>
      <c r="AP513" s="210">
        <f ca="1">IF(B508="Лікар загальної практики - сімейний лікар",U513*Законод!$C$11+'01_Доходи'!V513*Законод!$D$11+'01_Доходи'!W513*Законод!$E$11+'01_Доходи'!X513*Законод!$F$11+'01_Доходи'!Y513*Законод!$G$11,IF(B508="Лікар-педіатр",U513*Законод!$C$11+'01_Доходи'!V513*Законод!$D$11,IF(B508="Лікар-терапевт",'01_Доходи'!W513*Законод!$E$11+'01_Доходи'!X513*Законод!$F$11+'01_Доходи'!Y513*Законод!$G$11,0)))</f>
        <v>0</v>
      </c>
      <c r="AQ513" s="210">
        <f ca="1">IF(B508="Лікар загальної практики - сімейний лікар",AB513*Законод!$C$11+'01_Доходи'!AC513*Законод!$D$11+'01_Доходи'!AD513*Законод!$E$11+'01_Доходи'!AE513*Законод!$F$11+'01_Доходи'!AF513*Законод!$G$11,IF(B508="Лікар-педіатр",AB513*Законод!$C$11+'01_Доходи'!AC513*Законод!$D$11,IF(B508="Лікар-терапевт",'01_Доходи'!AD513*Законод!$E$11+'01_Доходи'!AE513*Законод!$F$11+'01_Доходи'!AF513*Законод!$G$11,0)))</f>
        <v>0</v>
      </c>
      <c r="AR513" s="211">
        <f t="shared" ref="AR513:AR519" si="66">SUM(AN513:AQ513)</f>
        <v>0</v>
      </c>
    </row>
    <row r="514" spans="1:44" s="50" customFormat="1" ht="31.9" hidden="1" customHeight="1">
      <c r="A514" s="197"/>
      <c r="B514" s="893"/>
      <c r="C514" s="896"/>
      <c r="D514" s="912"/>
      <c r="E514" s="909"/>
      <c r="F514" s="238" t="str">
        <f ca="1">IF(B508="Лікар-педіатр",Законод!$E$17,IF(B508="Лікар загальної практики - сімейний лікар",Законод!$E$21,IF(B508="Лікар-терапевт",Законод!$E$25,"х")))</f>
        <v>х</v>
      </c>
      <c r="G514" s="889" t="s">
        <v>346</v>
      </c>
      <c r="H514" s="890"/>
      <c r="I514" s="890"/>
      <c r="J514" s="890"/>
      <c r="K514" s="891"/>
      <c r="L514" s="196">
        <f ca="1">IF($B$508="Лікар загальної практики - сімейний лікар",IF(L512&lt;Законод!$C$22,0,(IF(AND(L512&gt;=Законод!$E$22,L512&lt;=Законод!$E$23),L512-Законод!$C$22,IF('01_Доходи'!L512&gt;=Законод!$F$22,Законод!$E$24,0)))),IF($B$508="Лікар-педіатр",IF(L512&lt;Законод!$C$18,0,(IF(AND(L512&gt;=Законод!$E$18,L512&lt;=Законод!$E$19),L512-Законод!$C$18,IF('01_Доходи'!L512&gt;=Законод!$F$18,Законод!$E$20,0)))),IF($B$508="Лікар-терапевт",IF(L512&lt;Законод!$C$26,0,(IF(AND(L512&gt;=Законод!$E$26,L512&lt;=Законод!$E$27),L512-Законод!$C$26,IF('01_Доходи'!L512&gt;=Законод!$F$26,Законод!$E$28,0)))),0)))</f>
        <v>0</v>
      </c>
      <c r="M514" s="930"/>
      <c r="N514" s="889" t="s">
        <v>346</v>
      </c>
      <c r="O514" s="890"/>
      <c r="P514" s="890"/>
      <c r="Q514" s="890"/>
      <c r="R514" s="891"/>
      <c r="S514" s="196">
        <f ca="1">IF($B$508="Лікар загальної практики - сімейний лікар",IF(S512&lt;Законод!$C$22,0,(IF(AND(S512&gt;=Законод!$E$22,S512&lt;=Законод!$E$23),S512-Законод!$C$22,IF('01_Доходи'!S512&gt;=Законод!$F$22,Законод!$E$24,0)))),IF($B$508="Лікар-педіатр",IF(S512&lt;Законод!$C$18,0,(IF(AND(S512&gt;=Законод!$E$18,S512&lt;=Законод!$E$19),S512-Законод!$C$18,IF('01_Доходи'!S512&gt;=Законод!$F$18,Законод!$E$20,0)))),IF($B$508="Лікар-терапевт",IF(S512&lt;Законод!$C$26,0,(IF(AND(S512&gt;=Законод!$E$26,S512&lt;=Законод!$E$27),S512-Законод!$C$26,IF('01_Доходи'!S512&gt;=Законод!$F$26,Законод!$E$28,0)))),0)))</f>
        <v>0</v>
      </c>
      <c r="T514" s="930"/>
      <c r="U514" s="889" t="s">
        <v>346</v>
      </c>
      <c r="V514" s="890"/>
      <c r="W514" s="890"/>
      <c r="X514" s="890"/>
      <c r="Y514" s="891"/>
      <c r="Z514" s="196">
        <f ca="1">IF($B$508="Лікар загальної практики - сімейний лікар",IF(Z512&lt;Законод!$C$22,0,(IF(AND(Z512&gt;=Законод!$E$22,Z512&lt;=Законод!$E$23),Z512-Законод!$C$22,IF('01_Доходи'!Z512&gt;=Законод!$F$22,Законод!$E$24,0)))),IF($B$508="Лікар-педіатр",IF(Z512&lt;Законод!$C$18,0,(IF(AND(Z512&gt;=Законод!$E$18,Z512&lt;=Законод!$E$19),Z512-Законод!$C$18,IF('01_Доходи'!Z512&gt;=Законод!$F$18,Законод!$E$20,0)))),IF($B$508="Лікар-терапевт",IF(Z512&lt;Законод!$C$26,0,(IF(AND(Z512&gt;=Законод!$E$26,Z512&lt;=Законод!$E$27),Z512-Законод!$C$26,IF('01_Доходи'!Z512&gt;=Законод!$F$26,Законод!$E$28,0)))),0)))</f>
        <v>0</v>
      </c>
      <c r="AA514" s="930"/>
      <c r="AB514" s="889" t="s">
        <v>346</v>
      </c>
      <c r="AC514" s="890"/>
      <c r="AD514" s="890"/>
      <c r="AE514" s="890"/>
      <c r="AF514" s="891"/>
      <c r="AG514" s="196">
        <f ca="1">IF($B$508="Лікар загальної практики - сімейний лікар",IF(AG512&lt;Законод!$C$22,0,(IF(AND(AG512&gt;=Законод!$E$22,AG512&lt;=Законод!$E$23),AG512-Законод!$C$22,IF('01_Доходи'!AG512&gt;=Законод!$F$22,Законод!$E$24,0)))),IF($B$508="Лікар-педіатр",IF(AG512&lt;Законод!$C$18,0,(IF(AND(AG512&gt;=Законод!$E$18,AG512&lt;=Законод!$E$19),AG512-Законод!$C$18,IF('01_Доходи'!AG512&gt;=Законод!$F$18,Законод!$E$20,0)))),IF($B$508="Лікар-терапевт",IF(AG512&lt;Законод!$C$26,0,(IF(AND(AG512&gt;=Законод!$E$26,AG512&lt;=Законод!$E$27),AG512-Законод!$C$26,IF('01_Доходи'!AG512&gt;=Законод!$F$26,Законод!$E$28,0)))),0)))</f>
        <v>0</v>
      </c>
      <c r="AH514" s="930"/>
      <c r="AI514" s="201"/>
      <c r="AJ514" s="933"/>
      <c r="AK514" s="927"/>
      <c r="AL514" s="927"/>
      <c r="AM514" s="898" t="s">
        <v>375</v>
      </c>
      <c r="AN514" s="210">
        <f ca="1">IF(B508="Лікар загальної практики - сімейний лікар",L514*Законод!$C$9/4*Законод!$E$16,IF(B508="Лікар-педіатр",L514*Законод!$C$9/4*Законод!$E$16,IF(B508="Лікар-терапевт",L514*Законод!$C$9/4*Законод!$E$16,0)))</f>
        <v>0</v>
      </c>
      <c r="AO514" s="210">
        <f ca="1">IF(B508="Лікар загальної практики - сімейний лікар",S514*Законод!$C$9/4*Законод!$E$16,IF(B508="Лікар-педіатр",S514*Законод!$C$9/4*Законод!$E$16,IF(B508="Лікар-терапевт",S514*Законод!$C$9/4*Законод!$E$16,0)))</f>
        <v>0</v>
      </c>
      <c r="AP514" s="210">
        <f ca="1">IF(B508="Лікар загальної практики - сімейний лікар",Z514*Законод!$C$9/4*Законод!$E$16,IF(B508="Лікар-педіатр",Z514*Законод!$C$9/4*Законод!$E$16,IF(B508="Лікар-терапевт",Z514*Законод!$C$9/4*Законод!$E$16,0)))</f>
        <v>0</v>
      </c>
      <c r="AQ514" s="210">
        <f ca="1">IF(B508="Лікар загальної практики - сімейний лікар",AG514*Законод!$C$9/4*Законод!$E$16,IF(B508="Лікар-педіатр",AG514*Законод!$C$9/4*Законод!$E$16,IF(B508="Лікар-терапевт",AG514*Законод!$C$9/4*Законод!$E$16,0)))</f>
        <v>0</v>
      </c>
      <c r="AR514" s="211">
        <f t="shared" si="66"/>
        <v>0</v>
      </c>
    </row>
    <row r="515" spans="1:44" s="50" customFormat="1" ht="31.9" hidden="1" customHeight="1">
      <c r="A515" s="197"/>
      <c r="B515" s="893"/>
      <c r="C515" s="896"/>
      <c r="D515" s="912"/>
      <c r="E515" s="909"/>
      <c r="F515" s="238" t="str">
        <f ca="1">IF(B508="Лікар-педіатр",Законод!$F$17,IF(B508="Лікар загальної практики - сімейний лікар",Законод!$F$21,IF(B508="Лікар-терапевт",Законод!$F$25,"х")))</f>
        <v>х</v>
      </c>
      <c r="G515" s="889" t="s">
        <v>346</v>
      </c>
      <c r="H515" s="890"/>
      <c r="I515" s="890"/>
      <c r="J515" s="890"/>
      <c r="K515" s="891"/>
      <c r="L515" s="196">
        <f ca="1">IF($B$508="Лікар загальної практики - сімейний лікар",IF(L512&lt;Законод!$C$22,0,(IF(AND(L512&gt;=Законод!$F$22,L512&lt;=Законод!$F$23),L512-Законод!$E$23,IF('01_Доходи'!L512&gt;=Законод!$G$22,Законод!$F$24,0)))),IF($B$508="Лікар-педіатр",IF(L512&lt;Законод!$C$18,0,(IF(AND(L512&gt;=Законод!$F$18,L512&lt;=Законод!$F$19),L512-Законод!$E$19,IF('01_Доходи'!L512&gt;=Законод!$G$18,Законод!$F$20,0)))),IF($B$508="Лікар-терапевт",IF(L512&lt;Законод!$C$26,0,(IF(AND(L512&gt;=Законод!$F$26,L512&lt;=Законод!$F$27),L512-Законод!$E$27,IF('01_Доходи'!L512&gt;=Законод!$G$26,Законод!$F$28,0)))),0)))</f>
        <v>0</v>
      </c>
      <c r="M515" s="930"/>
      <c r="N515" s="889" t="s">
        <v>346</v>
      </c>
      <c r="O515" s="890"/>
      <c r="P515" s="890"/>
      <c r="Q515" s="890"/>
      <c r="R515" s="891"/>
      <c r="S515" s="196">
        <f ca="1">IF($B$508="Лікар загальної практики - сімейний лікар",IF(S512&lt;Законод!$C$22,0,(IF(AND(S512&gt;=Законод!$F$22,S512&lt;=Законод!$F$23),S512-Законод!$E$23,IF('01_Доходи'!S512&gt;=Законод!$G$22,Законод!$F$24,0)))),IF($B$508="Лікар-педіатр",IF(S512&lt;Законод!$C$18,0,(IF(AND(S512&gt;=Законод!$F$18,S512&lt;=Законод!$F$19),S512-Законод!$E$19,IF('01_Доходи'!S512&gt;=Законод!$G$18,Законод!$F$20,0)))),IF($B$508="Лікар-терапевт",IF(S512&lt;Законод!$C$26,0,(IF(AND(S512&gt;=Законод!$F$26,S512&lt;=Законод!$F$27),S512-Законод!$E$27,IF('01_Доходи'!S512&gt;=Законод!$G$26,Законод!$F$28,0)))),0)))</f>
        <v>0</v>
      </c>
      <c r="T515" s="930"/>
      <c r="U515" s="889" t="s">
        <v>346</v>
      </c>
      <c r="V515" s="890"/>
      <c r="W515" s="890"/>
      <c r="X515" s="890"/>
      <c r="Y515" s="891"/>
      <c r="Z515" s="196">
        <f ca="1">IF($B$508="Лікар загальної практики - сімейний лікар",IF(Z512&lt;Законод!$C$22,0,(IF(AND(Z512&gt;=Законод!$F$22,Z512&lt;=Законод!$F$23),Z512-Законод!$E$23,IF('01_Доходи'!Z512&gt;=Законод!$G$22,Законод!$F$24,0)))),IF($B$508="Лікар-педіатр",IF(Z512&lt;Законод!$C$18,0,(IF(AND(Z512&gt;=Законод!$F$18,Z512&lt;=Законод!$F$19),Z512-Законод!$E$19,IF('01_Доходи'!Z512&gt;=Законод!$G$18,Законод!$F$20,0)))),IF($B$508="Лікар-терапевт",IF(Z512&lt;Законод!$C$26,0,(IF(AND(Z512&gt;=Законод!$F$26,Z512&lt;=Законод!$F$27),Z512-Законод!$E$27,IF('01_Доходи'!Z512&gt;=Законод!$G$26,Законод!$F$28,0)))),0)))</f>
        <v>0</v>
      </c>
      <c r="AA515" s="930"/>
      <c r="AB515" s="889" t="s">
        <v>346</v>
      </c>
      <c r="AC515" s="890"/>
      <c r="AD515" s="890"/>
      <c r="AE515" s="890"/>
      <c r="AF515" s="891"/>
      <c r="AG515" s="196">
        <f ca="1">IF($B$508="Лікар загальної практики - сімейний лікар",IF(AG512&lt;Законод!$C$22,0,(IF(AND(AG512&gt;=Законод!$F$22,AG512&lt;=Законод!$F$23),AG512-Законод!$E$23,IF('01_Доходи'!AG512&gt;=Законод!$G$22,Законод!$F$24,0)))),IF($B$508="Лікар-педіатр",IF(AG512&lt;Законод!$C$18,0,(IF(AND(AG512&gt;=Законод!$F$18,AG512&lt;=Законод!$F$19),AG512-Законод!$E$19,IF('01_Доходи'!AG512&gt;=Законод!$G$18,Законод!$F$20,0)))),IF($B$508="Лікар-терапевт",IF(AG512&lt;Законод!$C$26,0,(IF(AND(AG512&gt;=Законод!$F$26,AG512&lt;=Законод!$F$27),AG512-Законод!$E$27,IF('01_Доходи'!AG512&gt;=Законод!$G$26,Законод!$F$28,0)))),0)))</f>
        <v>0</v>
      </c>
      <c r="AH515" s="930"/>
      <c r="AI515" s="201"/>
      <c r="AJ515" s="933"/>
      <c r="AK515" s="927"/>
      <c r="AL515" s="927"/>
      <c r="AM515" s="899"/>
      <c r="AN515" s="210">
        <f ca="1">IF(B508="Лікар загальної практики - сімейний лікар",L515*Законод!$C$9/4*Законод!$F$16,IF(B508="Лікар-педіатр",L515*Законод!$C$9/4*Законод!$F$16,IF(B508="Лікар-терапевт",L515*Законод!$C$9/4*Законод!$F$16,0)))</f>
        <v>0</v>
      </c>
      <c r="AO515" s="210">
        <f ca="1">IF(B508="Лікар загальної практики - сімейний лікар",S515*Законод!$C$9/4*Законод!$F$16,IF(B508="Лікар-педіатр",S515*Законод!$C$9/4*Законод!$F$16,IF(B508="Лікар-терапевт",S515*Законод!$C$9/4*Законод!$F$16,0)))</f>
        <v>0</v>
      </c>
      <c r="AP515" s="210">
        <f ca="1">IF(B508="Лікар загальної практики - сімейний лікар",Z515*Законод!$C$9/4*Законод!$F$16,IF(B508="Лікар-педіатр",Z515*Законод!$C$9/4*Законод!$F$16,IF(B508="Лікар-терапевт",Z515*Законод!$C$9/4*Законод!$F$16,0)))</f>
        <v>0</v>
      </c>
      <c r="AQ515" s="210">
        <f ca="1">IF(B508="Лікар загальної практики - сімейний лікар",AG515*Законод!$C$9/4*Законод!$F$16,IF(B508="Лікар-педіатр",AG515*Законод!$C$9/4*Законод!$F$16,IF(B508="Лікар-терапевт",AG515*Законод!$C$9/4*Законод!$F$16,0)))</f>
        <v>0</v>
      </c>
      <c r="AR515" s="211">
        <f t="shared" si="66"/>
        <v>0</v>
      </c>
    </row>
    <row r="516" spans="1:44" s="50" customFormat="1" ht="31.9" hidden="1" customHeight="1">
      <c r="A516" s="197"/>
      <c r="B516" s="893"/>
      <c r="C516" s="896"/>
      <c r="D516" s="912"/>
      <c r="E516" s="909"/>
      <c r="F516" s="238" t="str">
        <f ca="1">IF(B508="Лікар-педіатр",Законод!$G$17,IF(B508="Лікар загальної практики - сімейний лікар",Законод!$G$21,IF(B508="Лікар-терапевт",Законод!$G$25,"х")))</f>
        <v>х</v>
      </c>
      <c r="G516" s="889" t="s">
        <v>346</v>
      </c>
      <c r="H516" s="890"/>
      <c r="I516" s="890"/>
      <c r="J516" s="890"/>
      <c r="K516" s="891"/>
      <c r="L516" s="196">
        <f ca="1">IF($B$508="Лікар загальної практики - сімейний лікар",IF(L512&lt;Законод!$C$22,0,(IF(AND(L512&gt;=Законод!$G$22,L512&lt;=Законод!$G$23),L512-Законод!$F$23,IF('01_Доходи'!L512&gt;=Законод!$H$22,Законод!$G$24,0)))),IF($B$508="Лікар-педіатр",IF(L512&lt;Законод!$C$18,0,(IF(AND(L512&gt;=Законод!$G$18,L512&lt;=Законод!$G$19),L512-Законод!$F$19,IF('01_Доходи'!L512&gt;=Законод!$H$18,Законод!$G$20,0)))),IF($B$508="Лікар-терапевт",IF(L512&lt;Законод!$C$26,0,(IF(AND(L512&gt;=Законод!$G$26,L512&lt;=Законод!$G$27),L512-Законод!$F$27,IF('01_Доходи'!L512&gt;=Законод!$H$26,Законод!$G$28,0)))),0)))</f>
        <v>0</v>
      </c>
      <c r="M516" s="930"/>
      <c r="N516" s="889" t="s">
        <v>346</v>
      </c>
      <c r="O516" s="890"/>
      <c r="P516" s="890"/>
      <c r="Q516" s="890"/>
      <c r="R516" s="891"/>
      <c r="S516" s="196">
        <f ca="1">IF($B$508="Лікар загальної практики - сімейний лікар",IF(S512&lt;Законод!$C$22,0,(IF(AND(S512&gt;=Законод!$G$22,S512&lt;=Законод!$G$23),S512-Законод!$F$23,IF('01_Доходи'!S512&gt;=Законод!$H$22,Законод!$G$24,0)))),IF($B$508="Лікар-педіатр",IF(S512&lt;Законод!$C$18,0,(IF(AND(S512&gt;=Законод!$G$18,S512&lt;=Законод!$G$19),S512-Законод!$F$19,IF('01_Доходи'!S512&gt;=Законод!$H$18,Законод!$G$20,0)))),IF($B$508="Лікар-терапевт",IF(S512&lt;Законод!$C$26,0,(IF(AND(S512&gt;=Законод!$G$26,S512&lt;=Законод!$G$27),S512-Законод!$F$27,IF('01_Доходи'!S512&gt;=Законод!$H$26,Законод!$G$28,0)))),0)))</f>
        <v>0</v>
      </c>
      <c r="T516" s="930"/>
      <c r="U516" s="889" t="s">
        <v>346</v>
      </c>
      <c r="V516" s="890"/>
      <c r="W516" s="890"/>
      <c r="X516" s="890"/>
      <c r="Y516" s="891"/>
      <c r="Z516" s="196">
        <f ca="1">IF($B$508="Лікар загальної практики - сімейний лікар",IF(Z512&lt;Законод!$C$22,0,(IF(AND(Z512&gt;=Законод!$G$22,Z512&lt;=Законод!$G$23),Z512-Законод!$F$23,IF('01_Доходи'!Z512&gt;=Законод!$H$22,Законод!$G$24,0)))),IF($B$508="Лікар-педіатр",IF(Z512&lt;Законод!$C$18,0,(IF(AND(Z512&gt;=Законод!$G$18,Z512&lt;=Законод!$G$19),Z512-Законод!$F$19,IF('01_Доходи'!Z512&gt;=Законод!$H$18,Законод!$G$20,0)))),IF($B$508="Лікар-терапевт",IF(Z512&lt;Законод!$C$26,0,(IF(AND(Z512&gt;=Законод!$G$26,Z512&lt;=Законод!$G$27),Z512-Законод!$F$27,IF('01_Доходи'!Z512&gt;=Законод!$H$26,Законод!$G$28,0)))),0)))</f>
        <v>0</v>
      </c>
      <c r="AA516" s="930"/>
      <c r="AB516" s="889" t="s">
        <v>346</v>
      </c>
      <c r="AC516" s="890"/>
      <c r="AD516" s="890"/>
      <c r="AE516" s="890"/>
      <c r="AF516" s="891"/>
      <c r="AG516" s="196">
        <f ca="1">IF($B$508="Лікар загальної практики - сімейний лікар",IF(AG512&lt;Законод!$C$22,0,(IF(AND(AG512&gt;=Законод!$G$22,AG512&lt;=Законод!$G$23),AG512-Законод!$F$23,IF('01_Доходи'!AG512&gt;=Законод!$H$22,Законод!$G$24,0)))),IF($B$508="Лікар-педіатр",IF(AG512&lt;Законод!$C$18,0,(IF(AND(AG512&gt;=Законод!$G$18,AG512&lt;=Законод!$G$19),AG512-Законод!$F$19,IF('01_Доходи'!AG512&gt;=Законод!$H$18,Законод!$G$20,0)))),IF($B$508="Лікар-терапевт",IF(AG512&lt;Законод!$C$26,0,(IF(AND(AG512&gt;=Законод!$G$26,AG512&lt;=Законод!$G$27),AG512-Законод!$F$27,IF('01_Доходи'!AG512&gt;=Законод!$H$26,Законод!$G$28,0)))),0)))</f>
        <v>0</v>
      </c>
      <c r="AH516" s="930"/>
      <c r="AI516" s="201"/>
      <c r="AJ516" s="933"/>
      <c r="AK516" s="927"/>
      <c r="AL516" s="927"/>
      <c r="AM516" s="899"/>
      <c r="AN516" s="210">
        <f ca="1">IF(B508="Лікар загальної практики - сімейний лікар",L516*Законод!$C$9/4*Законод!$G$16,IF(B508="Лікар-педіатр",L516*Законод!$C$9/4*Законод!$G$16,IF(B508="Лікар-терапевт",L516*Законод!$C$9/4*Законод!$G$16,0)))</f>
        <v>0</v>
      </c>
      <c r="AO516" s="210">
        <f ca="1">IF(B508="Лікар загальної практики - сімейний лікар",S516*Законод!$C$9/4*Законод!$G$16,IF(B508="Лікар-педіатр",S516*Законод!$C$9/4*Законод!$G$16,IF(B508="Лікар-терапевт",S516*Законод!$C$9/4*Законод!$G$16,0)))</f>
        <v>0</v>
      </c>
      <c r="AP516" s="210">
        <f ca="1">IF(B508="Лікар загальної практики - сімейний лікар",Z516*Законод!$C$9/4*Законод!$G$16,IF(B508="Лікар-педіатр",Z516*Законод!$C$9/4*Законод!$G$16,IF(B508="Лікар-терапевт",Z516*Законод!$C$9/4*Законод!$G$16,0)))</f>
        <v>0</v>
      </c>
      <c r="AQ516" s="210">
        <f ca="1">IF(B508="Лікар загальної практики - сімейний лікар",AG516*Законод!$C$9/4*Законод!$G$16,IF(B508="Лікар-педіатр",AG516*Законод!$C$9/4*Законод!$G$16,IF(B508="Лікар-терапевт",AG516*Законод!$C$9/4*Законод!$G$16,0)))</f>
        <v>0</v>
      </c>
      <c r="AR516" s="211">
        <f t="shared" si="66"/>
        <v>0</v>
      </c>
    </row>
    <row r="517" spans="1:44" s="50" customFormat="1" ht="31.9" hidden="1" customHeight="1">
      <c r="A517" s="197"/>
      <c r="B517" s="893"/>
      <c r="C517" s="896"/>
      <c r="D517" s="912"/>
      <c r="E517" s="909"/>
      <c r="F517" s="238" t="str">
        <f ca="1">IF(B508="Лікар-педіатр",Законод!$H$17,IF(B508="Лікар загальної практики - сімейний лікар",Законод!$H$21,IF(B508="Лікар-терапевт",Законод!$H$25,"х")))</f>
        <v>х</v>
      </c>
      <c r="G517" s="889" t="s">
        <v>346</v>
      </c>
      <c r="H517" s="890"/>
      <c r="I517" s="890"/>
      <c r="J517" s="890"/>
      <c r="K517" s="891"/>
      <c r="L517" s="196">
        <f ca="1">IF($B$508="Лікар загальної практики - сімейний лікар",IF(L512&lt;Законод!$C$22,0,(IF(AND(L512&gt;=Законод!$H$22,L512&lt;=Законод!$H$23),L512-Законод!$G$23,IF('01_Доходи'!L512&gt;=Законод!$I$22,Законод!$H$24,0)))),IF($B$508="Лікар-педіатр",IF(L512&lt;Законод!$C$18,0,(IF(AND(L512&gt;=Законод!$H$18,L512&lt;=Законод!$H$19),L512-Законод!$G$19,IF('01_Доходи'!L512&gt;=Законод!$I$18,Законод!$H$20,0)))),IF($B$508="Лікар-терапевт",IF(L512&lt;Законод!$C$26,0,(IF(AND(L512&gt;=Законод!$H$26,L512&lt;=Законод!$H$27),L512-Законод!$G$27,IF(L512&gt;=Законод!$I$26,Законод!$H$28,0)))),0)))</f>
        <v>0</v>
      </c>
      <c r="M517" s="930"/>
      <c r="N517" s="889" t="s">
        <v>346</v>
      </c>
      <c r="O517" s="890"/>
      <c r="P517" s="890"/>
      <c r="Q517" s="890"/>
      <c r="R517" s="891"/>
      <c r="S517" s="196">
        <f ca="1">IF($B$508="Лікар загальної практики - сімейний лікар",IF(S512&lt;Законод!$C$22,0,(IF(AND(S512&gt;=Законод!$H$22,S512&lt;=Законод!$H$23),S512-Законод!$G$23,IF('01_Доходи'!S512&gt;=Законод!$I$22,Законод!$H$24,0)))),IF($B$508="Лікар-педіатр",IF(S512&lt;Законод!$C$18,0,(IF(AND(S512&gt;=Законод!$H$18,S512&lt;=Законод!$H$19),S512-Законод!$G$19,IF('01_Доходи'!S512&gt;=Законод!$I$18,Законод!$H$20,0)))),IF($B$508="Лікар-терапевт",IF(S512&lt;Законод!$C$26,0,(IF(AND(S512&gt;=Законод!$H$26,S512&lt;=Законод!$H$27),S512-Законод!$G$27,IF(S512&gt;=Законод!$I$26,Законод!$H$28,0)))),0)))</f>
        <v>0</v>
      </c>
      <c r="T517" s="930"/>
      <c r="U517" s="889" t="s">
        <v>346</v>
      </c>
      <c r="V517" s="890"/>
      <c r="W517" s="890"/>
      <c r="X517" s="890"/>
      <c r="Y517" s="891"/>
      <c r="Z517" s="196">
        <f ca="1">IF($B$508="Лікар загальної практики - сімейний лікар",IF(Z512&lt;Законод!$C$22,0,(IF(AND(Z512&gt;=Законод!$H$22,Z512&lt;=Законод!$H$23),Z512-Законод!$G$23,IF('01_Доходи'!Z512&gt;=Законод!$I$22,Законод!$H$24,0)))),IF($B$508="Лікар-педіатр",IF(Z512&lt;Законод!$C$18,0,(IF(AND(Z512&gt;=Законод!$H$18,Z512&lt;=Законод!$H$19),Z512-Законод!$G$19,IF('01_Доходи'!Z512&gt;=Законод!$I$18,Законод!$H$20,0)))),IF($B$508="Лікар-терапевт",IF(Z512&lt;Законод!$C$26,0,(IF(AND(Z512&gt;=Законод!$H$26,Z512&lt;=Законод!$H$27),Z512-Законод!$G$27,IF(Z512&gt;=Законод!$I$26,Законод!$H$28,0)))),0)))</f>
        <v>0</v>
      </c>
      <c r="AA517" s="930"/>
      <c r="AB517" s="889" t="s">
        <v>346</v>
      </c>
      <c r="AC517" s="890"/>
      <c r="AD517" s="890"/>
      <c r="AE517" s="890"/>
      <c r="AF517" s="891"/>
      <c r="AG517" s="196">
        <f ca="1">IF($B$508="Лікар загальної практики - сімейний лікар",IF(AG512&lt;Законод!$C$22,0,(IF(AND(AG512&gt;=Законод!$H$22,AG512&lt;=Законод!$H$23),AG512-Законод!$G$23,IF('01_Доходи'!AG512&gt;=Законод!$I$22,Законод!$H$24,0)))),IF($B$508="Лікар-педіатр",IF(AG512&lt;Законод!$C$18,0,(IF(AND(AG512&gt;=Законод!$H$18,AG512&lt;=Законод!$H$19),AG512-Законод!$G$19,IF('01_Доходи'!AG512&gt;=Законод!$I$18,Законод!$H$20,0)))),IF($B$508="Лікар-терапевт",IF(AG512&lt;Законод!$C$26,0,(IF(AND(AG512&gt;=Законод!$H$26,AG512&lt;=Законод!$H$27),AG512-Законод!$G$27,IF(AG512&gt;=Законод!$I$26,Законод!$H$28,0)))),0)))</f>
        <v>0</v>
      </c>
      <c r="AH517" s="930"/>
      <c r="AI517" s="201"/>
      <c r="AJ517" s="933"/>
      <c r="AK517" s="927"/>
      <c r="AL517" s="927"/>
      <c r="AM517" s="899"/>
      <c r="AN517" s="210">
        <f ca="1">IF(B508="Лікар загальної практики - сімейний лікар",L517*Законод!$C$9/4*Законод!$H$16,IF(B508="Лікар-педіатр",L517*Законод!$C$9/4*Законод!$H$16,IF(B508="Лікар-терапевт",L517*Законод!$C$9/4*Законод!$H$16,0)))</f>
        <v>0</v>
      </c>
      <c r="AO517" s="210">
        <f ca="1">IF(B508="Лікар загальної практики - сімейний лікар",S517*Законод!$C$9/4*Законод!$H$16,IF(B508="Лікар-педіатр",S517*Законод!$C$9/4*Законод!$H$16,IF(B508="Лікар-терапевт",S517*Законод!$C$9/4*Законод!$H$16,0)))</f>
        <v>0</v>
      </c>
      <c r="AP517" s="210">
        <f ca="1">IF(B508="Лікар загальної практики - сімейний лікар",Z517*Законод!$C$9/4*Законод!$H$16,IF(B508="Лікар-педіатр",Z517*Законод!$C$9/4*Законод!$H$16,IF(B508="Лікар-терапевт",Z517*Законод!$C$9/4*Законод!$H$16,0)))</f>
        <v>0</v>
      </c>
      <c r="AQ517" s="210">
        <f ca="1">IF(B508="Лікар загальної практики - сімейний лікар",AG517*Законод!$C$9/4*Законод!$H$16,IF(B508="Лікар-педіатр",AG517*Законод!$C$9/4*Законод!$H$16,IF(B508="Лікар-терапевт",AG517*Законод!$C$9/4*Законод!$H$16,0)))</f>
        <v>0</v>
      </c>
      <c r="AR517" s="211">
        <f t="shared" si="66"/>
        <v>0</v>
      </c>
    </row>
    <row r="518" spans="1:44" s="50" customFormat="1" ht="31.9" hidden="1" customHeight="1">
      <c r="A518" s="197"/>
      <c r="B518" s="893"/>
      <c r="C518" s="896"/>
      <c r="D518" s="912"/>
      <c r="E518" s="909"/>
      <c r="F518" s="238" t="str">
        <f ca="1">IF(B508="Лікар-педіатр",Законод!$I$17,IF(B508="Лікар загальної практики - сімейний лікар",Законод!$I$21,IF(B508="Лікар-терапевт",Законод!$I$25,"х")))</f>
        <v>х</v>
      </c>
      <c r="G518" s="889" t="s">
        <v>346</v>
      </c>
      <c r="H518" s="890"/>
      <c r="I518" s="890"/>
      <c r="J518" s="890"/>
      <c r="K518" s="891"/>
      <c r="L518" s="196">
        <f ca="1">IF($B$508="Лікар загальної практики - сімейний лікар",IF(L512&lt;Законод!$C$22,0,(IF(AND(L512&gt;=Законод!$I$22,L512&lt;=Законод!$I$23),L512-Законод!$H$23,IF('01_Доходи'!L512&gt;=Законод!$I$22,Законод!$I$24,0)))),IF($B$508="Лікар-педіатр",IF(L512&lt;Законод!$C$18,0,(IF(AND(L512&gt;=Законод!$I$18,L512&lt;=Законод!$I$19),L512-Законод!$H$19,IF('01_Доходи'!L512&gt;=Законод!$I$18,Законод!$H$20,0)))),IF($B$508="Лікар-терапевт",IF(L512&lt;Законод!$C$26,0,(IF(AND(L512&gt;=Законод!$I$26,L512&lt;=Законод!$I$27),L512-Законод!$H$27,IF('01_Доходи'!L512&gt;=Законод!$I$26,Законод!$H$28,0)))),0)))</f>
        <v>0</v>
      </c>
      <c r="M518" s="930"/>
      <c r="N518" s="889" t="s">
        <v>346</v>
      </c>
      <c r="O518" s="890"/>
      <c r="P518" s="890"/>
      <c r="Q518" s="890"/>
      <c r="R518" s="891"/>
      <c r="S518" s="196">
        <f ca="1">IF($B$508="Лікар загальної практики - сімейний лікар",IF(S512&lt;Законод!$C$22,0,(IF(AND(S512&gt;=Законод!$I$22,S512&lt;=Законод!$I$23),S512-Законод!$H$23,IF('01_Доходи'!S512&gt;=Законод!$I$22,Законод!$I$24,0)))),IF($B$508="Лікар-педіатр",IF(S512&lt;Законод!$C$18,0,(IF(AND(S512&gt;=Законод!$I$18,S512&lt;=Законод!$I$19),S512-Законод!$H$19,IF('01_Доходи'!S512&gt;=Законод!$I$18,Законод!$H$20,0)))),IF($B$508="Лікар-терапевт",IF(S512&lt;Законод!$C$26,0,(IF(AND(S512&gt;=Законод!$I$26,S512&lt;=Законод!$I$27),S512-Законод!$H$27,IF('01_Доходи'!S512&gt;=Законод!$I$26,Законод!$H$28,0)))),0)))</f>
        <v>0</v>
      </c>
      <c r="T518" s="930"/>
      <c r="U518" s="889" t="s">
        <v>346</v>
      </c>
      <c r="V518" s="890"/>
      <c r="W518" s="890"/>
      <c r="X518" s="890"/>
      <c r="Y518" s="891"/>
      <c r="Z518" s="196">
        <f ca="1">IF($B$508="Лікар загальної практики - сімейний лікар",IF(Z512&lt;Законод!$C$22,0,(IF(AND(Z512&gt;=Законод!$I$22,Z512&lt;=Законод!$I$23),Z512-Законод!$H$23,IF('01_Доходи'!Z512&gt;=Законод!$I$22,Законод!$I$24,0)))),IF($B$508="Лікар-педіатр",IF(Z512&lt;Законод!$C$18,0,(IF(AND(Z512&gt;=Законод!$I$18,Z512&lt;=Законод!$I$19),Z512-Законод!$H$19,IF('01_Доходи'!Z512&gt;=Законод!$I$18,Законод!$H$20,0)))),IF($B$508="Лікар-терапевт",IF(Z512&lt;Законод!$C$26,0,(IF(AND(Z512&gt;=Законод!$I$26,Z512&lt;=Законод!$I$27),Z512-Законод!$H$27,IF('01_Доходи'!Z512&gt;=Законод!$I$26,Законод!$H$28,0)))),0)))</f>
        <v>0</v>
      </c>
      <c r="AA518" s="930"/>
      <c r="AB518" s="889" t="s">
        <v>346</v>
      </c>
      <c r="AC518" s="890"/>
      <c r="AD518" s="890"/>
      <c r="AE518" s="890"/>
      <c r="AF518" s="891"/>
      <c r="AG518" s="196">
        <f ca="1">IF($B$508="Лікар загальної практики - сімейний лікар",IF(AG512&lt;Законод!$C$22,0,(IF(AND(AG512&gt;=Законод!$I$22,AG512&lt;=Законод!$I$23),AG512-Законод!$H$23,IF('01_Доходи'!AG512&gt;=Законод!$I$22,Законод!$I$24,0)))),IF($B$508="Лікар-педіатр",IF(AG512&lt;Законод!$C$18,0,(IF(AND(AG512&gt;=Законод!$I$18,AG512&lt;=Законод!$I$19),AG512-Законод!$H$19,IF('01_Доходи'!AG512&gt;=Законод!$I$18,Законод!$H$20,0)))),IF($B$508="Лікар-терапевт",IF(AG512&lt;Законод!$C$26,0,(IF(AND(AG512&gt;=Законод!$I$26,AG512&lt;=Законод!$I$27),AG512-Законод!$H$27,IF('01_Доходи'!AG512&gt;=Законод!$I$26,Законод!$H$28,0)))),0)))</f>
        <v>0</v>
      </c>
      <c r="AH518" s="930"/>
      <c r="AI518" s="201"/>
      <c r="AJ518" s="933"/>
      <c r="AK518" s="927"/>
      <c r="AL518" s="927"/>
      <c r="AM518" s="899"/>
      <c r="AN518" s="210">
        <f ca="1">IF(B508="Лікар загальної практики - сімейний лікар",L518*Законод!$C$9/4*Законод!$I$16,IF(B508="Лікар-педіатр",L518*Законод!$C$9/4*Законод!$I$16,IF(B508="Лікар-терапевт",L518*Законод!$C$9/4*Законод!$I$16,0)))</f>
        <v>0</v>
      </c>
      <c r="AO518" s="210">
        <f ca="1">IF(B508="Лікар загальної практики - сімейний лікар",S518*Законод!$C$9/4*Законод!$I$16,IF(B508="Лікар-педіатр",S518*Законод!$C$9/4*Законод!$I$16,IF(B508="Лікар-терапевт",S518*Законод!$C$9/4*Законод!$I$16,0)))</f>
        <v>0</v>
      </c>
      <c r="AP518" s="210">
        <f ca="1">IF(B508="Лікар загальної практики - сімейний лікар",Z518*Законод!$C$9/4*Законод!$I$16,IF(B508="Лікар-педіатр",Z518*Законод!$C$9/4*Законод!$I$16,IF(B508="Лікар-терапевт",Z518*Законод!$C$9/4*Законод!$I$16,0)))</f>
        <v>0</v>
      </c>
      <c r="AQ518" s="210">
        <f ca="1">IF(B508="Лікар загальної практики - сімейний лікар",AG518*Законод!$C$9/4*Законод!$I$16,IF(B508="Лікар-педіатр",AG518*Законод!$C$9/4*Законод!$I$16,IF(B508="Лікар-терапевт",AG518*Законод!$C$9/4*Законод!$I$16,0)))</f>
        <v>0</v>
      </c>
      <c r="AR518" s="211">
        <f t="shared" si="66"/>
        <v>0</v>
      </c>
    </row>
    <row r="519" spans="1:44" s="218" customFormat="1" ht="31.9" hidden="1" customHeight="1" thickBot="1">
      <c r="A519" s="213"/>
      <c r="B519" s="894"/>
      <c r="C519" s="897"/>
      <c r="D519" s="913"/>
      <c r="E519" s="910"/>
      <c r="F519" s="239" t="str">
        <f ca="1">IF(B508="Лікар-педіатр",Законод!$J$17,IF(B508="Лікар загальної практики - сімейний лікар",Законод!$J$21,IF(B508="Лікар-терапевт",Законод!$J$25,"х")))</f>
        <v>х</v>
      </c>
      <c r="G519" s="935" t="s">
        <v>346</v>
      </c>
      <c r="H519" s="936"/>
      <c r="I519" s="936"/>
      <c r="J519" s="936"/>
      <c r="K519" s="937"/>
      <c r="L519" s="196">
        <f ca="1">IF($B$508="Лікар загальної практики - сімейний лікар",IF(L512&gt;=Законод!$J$22,'01_Доходи'!L512-('01_Доходи'!L513+'01_Доходи'!L514+'01_Доходи'!L515+'01_Доходи'!L516+'01_Доходи'!L517+'01_Доходи'!L518),0),IF($B$508="Лікар-педіатр",IF(L512&gt;=Законод!$J$18,'01_Доходи'!L512-('01_Доходи'!L513+'01_Доходи'!L514+'01_Доходи'!L515+'01_Доходи'!L516+'01_Доходи'!L517+'01_Доходи'!L518),0),IF($B$508="Лікар-терапевт",IF('01_Доходи'!L512&gt;=Законод!$J$26,L512-Законод!$I$27,0),0)))</f>
        <v>0</v>
      </c>
      <c r="M519" s="931"/>
      <c r="N519" s="935" t="s">
        <v>346</v>
      </c>
      <c r="O519" s="936"/>
      <c r="P519" s="936"/>
      <c r="Q519" s="936"/>
      <c r="R519" s="937"/>
      <c r="S519" s="196">
        <f ca="1">IF($B$508="Лікар загальної практики - сімейний лікар",IF(S512&gt;=Законод!$J$22,'01_Доходи'!S512-('01_Доходи'!S513+'01_Доходи'!S514+'01_Доходи'!S515+'01_Доходи'!S516+'01_Доходи'!S517+'01_Доходи'!S518),0),IF($B$508="Лікар-педіатр",IF(S512&gt;=Законод!$J$18,'01_Доходи'!S512-('01_Доходи'!S513+'01_Доходи'!S514+'01_Доходи'!S515+'01_Доходи'!S516+'01_Доходи'!S517+'01_Доходи'!S518),0),IF($B$508="Лікар-терапевт",IF('01_Доходи'!S512&gt;=Законод!$J$26,S512-Законод!$I$27,0),0)))</f>
        <v>0</v>
      </c>
      <c r="T519" s="931"/>
      <c r="U519" s="935" t="s">
        <v>346</v>
      </c>
      <c r="V519" s="936"/>
      <c r="W519" s="936"/>
      <c r="X519" s="936"/>
      <c r="Y519" s="937"/>
      <c r="Z519" s="196">
        <f ca="1">IF($B$508="Лікар загальної практики - сімейний лікар",IF(Z512&gt;=Законод!$J$22,'01_Доходи'!Z512-('01_Доходи'!Z513+'01_Доходи'!Z514+'01_Доходи'!Z515+'01_Доходи'!Z516+'01_Доходи'!Z517+'01_Доходи'!Z518),0),IF($B$508="Лікар-педіатр",IF(Z512&gt;=Законод!$J$18,'01_Доходи'!Z512-('01_Доходи'!Z513+'01_Доходи'!Z514+'01_Доходи'!Z515+'01_Доходи'!Z516+'01_Доходи'!Z517+'01_Доходи'!Z518),0),IF($B$508="Лікар-терапевт",IF('01_Доходи'!Z512&gt;=Законод!$J$26,Z512-Законод!$I$27,0),0)))</f>
        <v>0</v>
      </c>
      <c r="AA519" s="931"/>
      <c r="AB519" s="935" t="s">
        <v>346</v>
      </c>
      <c r="AC519" s="936"/>
      <c r="AD519" s="936"/>
      <c r="AE519" s="936"/>
      <c r="AF519" s="937"/>
      <c r="AG519" s="196">
        <f ca="1">IF($B$508="Лікар загальної практики - сімейний лікар",IF(AG512&gt;=Законод!$J$22,'01_Доходи'!AG512-('01_Доходи'!AG513+'01_Доходи'!AG514+'01_Доходи'!AG515+'01_Доходи'!AG516+'01_Доходи'!AG517+'01_Доходи'!AG518),0),IF($B$508="Лікар-педіатр",IF(AG512&gt;=Законод!$J$18,'01_Доходи'!AG512-('01_Доходи'!AG513+'01_Доходи'!AG514+'01_Доходи'!AG515+'01_Доходи'!AG516+'01_Доходи'!AG517+'01_Доходи'!AG518),0),IF($B$508="Лікар-терапевт",IF('01_Доходи'!AG512&gt;=Законод!$J$26,AG512-Законод!$I$27,0),0)))</f>
        <v>0</v>
      </c>
      <c r="AH519" s="931"/>
      <c r="AI519" s="215"/>
      <c r="AJ519" s="934"/>
      <c r="AK519" s="928"/>
      <c r="AL519" s="928"/>
      <c r="AM519" s="900"/>
      <c r="AN519" s="216">
        <f ca="1">IF(B508="Лікар загальної практики - сімейний лікар",L519*Законод!$C$9/4*Законод!$J$16,IF(B508="Лікар-педіатр",L519*Законод!$C$9/4*Законод!$J$16,IF(B508="Лікар-терапевт",L519*Законод!$C$9/4*Законод!$J$16,0)))</f>
        <v>0</v>
      </c>
      <c r="AO519" s="216">
        <f ca="1">IF(B508="Лікар загальної практики - сімейний лікар",S519*Законод!$C$9/4*Законод!$J$16,IF(B508="Лікар-педіатр",S519*Законод!$C$9/4*Законод!$J$16,IF(B508="Лікар-терапевт",S519*Законод!$C$9/4*Законод!$J$16,0)))</f>
        <v>0</v>
      </c>
      <c r="AP519" s="216">
        <f ca="1">IF(B508="Лікар загальної практики - сімейний лікар",S519*Законод!$C$9/4*Законод!$J$16,IF(B508="Лікар-педіатр",S519*Законод!$C$9/4*Законод!$J$16,IF(B508="Лікар-терапевт",S519*Законод!$C$9/4*Законод!$J$16,0)))</f>
        <v>0</v>
      </c>
      <c r="AQ519" s="216">
        <f ca="1">IF(B508="Лікар загальної практики - сімейний лікар",AG519*Законод!$C$9/4*Законод!$J$16,IF(B508="Лікар-педіатр",AG519*Законод!$C$9/4*Законод!$J$16,IF(B508="Лікар-терапевт",AG519*Законод!$C$9/4*Законод!$J$16,0)))</f>
        <v>0</v>
      </c>
      <c r="AR519" s="217">
        <f t="shared" si="66"/>
        <v>0</v>
      </c>
    </row>
    <row r="520" spans="1:44" s="247" customFormat="1" ht="23.45" hidden="1" customHeight="1" thickBot="1">
      <c r="A520" s="243"/>
      <c r="B520" s="244"/>
      <c r="C520" s="244"/>
      <c r="D520" s="244"/>
      <c r="E520" s="244"/>
      <c r="F520" s="245"/>
      <c r="G520" s="246"/>
      <c r="H520" s="246"/>
      <c r="L520" s="248"/>
      <c r="S520" s="248"/>
      <c r="Z520" s="248"/>
      <c r="AG520" s="248"/>
      <c r="AM520" s="249"/>
      <c r="AR520" s="250"/>
    </row>
    <row r="521" spans="1:44" s="191" customFormat="1" ht="24.6" hidden="1" customHeight="1">
      <c r="A521" s="194">
        <f>A508+1</f>
        <v>38</v>
      </c>
      <c r="B521" s="892"/>
      <c r="C521" s="895"/>
      <c r="D521" s="911"/>
      <c r="E521" s="908"/>
      <c r="F521" s="234" t="s">
        <v>582</v>
      </c>
      <c r="G521" s="196">
        <f>IF($B$521="Лікар-педіатр",G524*L521,IF($B$521="Лікар-терапевт","х",IF($B$521="Лікар загальної практики - сімейний лікар",G524*L521,0)))</f>
        <v>0</v>
      </c>
      <c r="H521" s="196">
        <f>IF($B$521="Лікар-педіатр",H524*L521,IF($B$521="Лікар-терапевт","х",IF($B$521="Лікар загальної практики - сімейний лікар",H524*L521,0)))</f>
        <v>0</v>
      </c>
      <c r="I521" s="196">
        <f>IF($B$521="Лікар-педіатр","x",IF($B$521="Лікар-терапевт",I524*L521,IF($B$521="Лікар загальної практики - сімейний лікар",I524*L521,0)))</f>
        <v>0</v>
      </c>
      <c r="J521" s="196">
        <f>IF($B$521="Лікар-педіатр","x",IF($B$521="Лікар-терапевт",J524*L521,IF($B$521="Лікар загальної практики - сімейний лікар",J524*L521,0)))</f>
        <v>0</v>
      </c>
      <c r="K521" s="196">
        <f>IF($B$521="Лікар-педіатр","x",IF($B$521="Лікар-терапевт",K524*L521,IF($B$521="Лікар загальної практики - сімейний лікар",K524*L521,0)))</f>
        <v>0</v>
      </c>
      <c r="L521" s="558"/>
      <c r="M521" s="929"/>
      <c r="N521" s="196">
        <f>IF($B$521="Лікар-педіатр",N524*S521,IF($B$521="Лікар-терапевт","х",IF($B$521="Лікар загальної практики - сімейний лікар",N524*S521,0)))</f>
        <v>0</v>
      </c>
      <c r="O521" s="196">
        <f>IF($B$521="Лікар-педіатр",O524*S521,IF($B$521="Лікар-терапевт","х",IF($B$521="Лікар загальної практики - сімейний лікар",O524*S521,0)))</f>
        <v>0</v>
      </c>
      <c r="P521" s="196">
        <f>IF($B$521="Лікар-педіатр","x",IF($B$521="Лікар-терапевт",P524*S521,IF($B$521="Лікар загальної практики - сімейний лікар",P524*S521,0)))</f>
        <v>0</v>
      </c>
      <c r="Q521" s="196">
        <f>IF($B$521="Лікар-педіатр","x",IF($B$521="Лікар-терапевт",Q524*S521,IF($B$521="Лікар загальної практики - сімейний лікар",Q524*S521,0)))</f>
        <v>0</v>
      </c>
      <c r="R521" s="196">
        <f>IF($B$521="Лікар-педіатр","x",IF($B$521="Лікар-терапевт",R524*S521,IF($B$521="Лікар загальної практики - сімейний лікар",R524*S521,0)))</f>
        <v>0</v>
      </c>
      <c r="S521" s="558"/>
      <c r="T521" s="929"/>
      <c r="U521" s="196">
        <f>IF($B$521="Лікар-педіатр",U524*Z521,IF($B$521="Лікар-терапевт","х",IF($B$521="Лікар загальної практики - сімейний лікар",U524*Z521,0)))</f>
        <v>0</v>
      </c>
      <c r="V521" s="196">
        <f>IF($B$521="Лікар-педіатр",V524*Z521,IF($B$521="Лікар-терапевт","х",IF($B$521="Лікар загальної практики - сімейний лікар",V524*Z521,0)))</f>
        <v>0</v>
      </c>
      <c r="W521" s="196">
        <f>IF($B$521="Лікар-педіатр","x",IF($B$521="Лікар-терапевт",W524*Z521,IF($B$521="Лікар загальної практики - сімейний лікар",W524*Z521,0)))</f>
        <v>0</v>
      </c>
      <c r="X521" s="196">
        <f>IF($B$521="Лікар-педіатр","x",IF($B$521="Лікар-терапевт",X524*Z521,IF($B$521="Лікар загальної практики - сімейний лікар",X524*Z521,0)))</f>
        <v>0</v>
      </c>
      <c r="Y521" s="196">
        <f>IF($B$521="Лікар-педіатр","x",IF($B$521="Лікар-терапевт",Y524*Z521,IF($B$521="Лікар загальної практики - сімейний лікар",Y524*Z521,0)))</f>
        <v>0</v>
      </c>
      <c r="Z521" s="558"/>
      <c r="AA521" s="929"/>
      <c r="AB521" s="196">
        <f>IF($B$521="Лікар-педіатр",AB524*AG521,IF($B$521="Лікар-терапевт","х",IF($B$521="Лікар загальної практики - сімейний лікар",AB524*AG521,0)))</f>
        <v>0</v>
      </c>
      <c r="AC521" s="196">
        <f>IF($B$521="Лікар-педіатр",AC524*AG521,IF($B$521="Лікар-терапевт","х",IF($B$521="Лікар загальної практики - сімейний лікар",AC524*AG521,0)))</f>
        <v>0</v>
      </c>
      <c r="AD521" s="196">
        <f>IF($B$521="Лікар-педіатр","x",IF($B$521="Лікар-терапевт",AD524*AG521,IF($B$521="Лікар загальної практики - сімейний лікар",AD524*AG521,0)))</f>
        <v>0</v>
      </c>
      <c r="AE521" s="196">
        <f>IF($B$521="Лікар-педіатр","x",IF($B$521="Лікар-терапевт",AE524*AG521,IF($B$521="Лікар загальної практики - сімейний лікар",AE524*AG521,0)))</f>
        <v>0</v>
      </c>
      <c r="AF521" s="196">
        <f>IF($B$521="Лікар-педіатр","x",IF($B$521="Лікар-терапевт",AF524*AG521,IF($B$521="Лікар загальної практики - сімейний лікар",AF524*AG521,0)))</f>
        <v>0</v>
      </c>
      <c r="AG521" s="558"/>
      <c r="AH521" s="929"/>
      <c r="AI521" s="541">
        <f>A521</f>
        <v>38</v>
      </c>
      <c r="AJ521" s="932">
        <f>B521</f>
        <v>0</v>
      </c>
      <c r="AK521" s="926">
        <f>C521</f>
        <v>0</v>
      </c>
      <c r="AL521" s="926">
        <f>D521</f>
        <v>0</v>
      </c>
      <c r="AM521" s="901" t="s">
        <v>785</v>
      </c>
      <c r="AN521" s="923">
        <f>SUM(AN526:AN532)</f>
        <v>0</v>
      </c>
      <c r="AO521" s="923">
        <f>SUM(AO526:AO532)</f>
        <v>0</v>
      </c>
      <c r="AP521" s="923">
        <f>SUM(AP526:AP532)</f>
        <v>0</v>
      </c>
      <c r="AQ521" s="923">
        <f>SUM(AQ526:AQ532)</f>
        <v>0</v>
      </c>
      <c r="AR521" s="914">
        <f>SUM(AN521:AQ525)</f>
        <v>0</v>
      </c>
    </row>
    <row r="522" spans="1:44" s="50" customFormat="1" ht="28.15" hidden="1" customHeight="1">
      <c r="A522" s="197"/>
      <c r="B522" s="893"/>
      <c r="C522" s="896"/>
      <c r="D522" s="912"/>
      <c r="E522" s="909"/>
      <c r="F522" s="234" t="s">
        <v>583</v>
      </c>
      <c r="G522" s="196">
        <f>IF($B$521="Лікар-педіатр",G524*L522,IF($B$521="Лікар-терапевт","х",IF($B$521="Лікар загальної практики - сімейний лікар",G524*L522,0)))</f>
        <v>0</v>
      </c>
      <c r="H522" s="196">
        <f>IF($B$521="Лікар-педіатр",H524*L522,IF($B$521="Лікар-терапевт","х",IF($B$521="Лікар загальної практики - сімейний лікар",H524*L522,0)))</f>
        <v>0</v>
      </c>
      <c r="I522" s="196">
        <f>IF($B$521="Лікар-педіатр","x",IF($B$521="Лікар-терапевт",I524*L522,IF($B$521="Лікар загальної практики - сімейний лікар",I524*L522,0)))</f>
        <v>0</v>
      </c>
      <c r="J522" s="196">
        <f>IF($B$521="Лікар-педіатр","x",IF($B$521="Лікар-терапевт",J524*L522,IF($B$521="Лікар загальної практики - сімейний лікар",J524*L522,0)))</f>
        <v>0</v>
      </c>
      <c r="K522" s="196">
        <f>IF($B$521="Лікар-педіатр","x",IF($B$521="Лікар-терапевт",K524*L522,IF($B$521="Лікар загальної практики - сімейний лікар",K524*L522,0)))</f>
        <v>0</v>
      </c>
      <c r="L522" s="558"/>
      <c r="M522" s="930"/>
      <c r="N522" s="196">
        <f>IF($B$521="Лікар-педіатр",N524*S522,IF($B$521="Лікар-терапевт","х",IF($B$521="Лікар загальної практики - сімейний лікар",N524*S522,0)))</f>
        <v>0</v>
      </c>
      <c r="O522" s="196">
        <f>IF($B$521="Лікар-педіатр",O524*S522,IF($B$521="Лікар-терапевт","х",IF($B$521="Лікар загальної практики - сімейний лікар",O524*S522,0)))</f>
        <v>0</v>
      </c>
      <c r="P522" s="196">
        <f>IF($B$521="Лікар-педіатр","x",IF($B$521="Лікар-терапевт",P524*S522,IF($B$521="Лікар загальної практики - сімейний лікар",P524*S522,0)))</f>
        <v>0</v>
      </c>
      <c r="Q522" s="196">
        <f>IF($B$521="Лікар-педіатр","x",IF($B$521="Лікар-терапевт",Q524*S522,IF($B$521="Лікар загальної практики - сімейний лікар",Q524*S522,0)))</f>
        <v>0</v>
      </c>
      <c r="R522" s="196">
        <f>IF($B$521="Лікар-педіатр","x",IF($B$521="Лікар-терапевт",R524*S522,IF($B$521="Лікар загальної практики - сімейний лікар",R524*S522,0)))</f>
        <v>0</v>
      </c>
      <c r="S522" s="558"/>
      <c r="T522" s="930"/>
      <c r="U522" s="196">
        <f>IF($B$521="Лікар-педіатр",U524*Z522,IF($B$521="Лікар-терапевт","х",IF($B$521="Лікар загальної практики - сімейний лікар",U524*Z522,0)))</f>
        <v>0</v>
      </c>
      <c r="V522" s="196">
        <f>IF($B$521="Лікар-педіатр",V524*Z522,IF($B$521="Лікар-терапевт","х",IF($B$521="Лікар загальної практики - сімейний лікар",V524*Z522,0)))</f>
        <v>0</v>
      </c>
      <c r="W522" s="196">
        <f>IF($B$521="Лікар-педіатр","x",IF($B$521="Лікар-терапевт",W524*Z522,IF($B$521="Лікар загальної практики - сімейний лікар",W524*Z522,0)))</f>
        <v>0</v>
      </c>
      <c r="X522" s="196">
        <f>IF($B$521="Лікар-педіатр","x",IF($B$521="Лікар-терапевт",X524*Z522,IF($B$521="Лікар загальної практики - сімейний лікар",X524*Z522,0)))</f>
        <v>0</v>
      </c>
      <c r="Y522" s="196">
        <f>IF($B$521="Лікар-педіатр","x",IF($B$521="Лікар-терапевт",Y524*Z522,IF($B$521="Лікар загальної практики - сімейний лікар",Y524*Z522,0)))</f>
        <v>0</v>
      </c>
      <c r="Z522" s="558"/>
      <c r="AA522" s="930"/>
      <c r="AB522" s="196">
        <f>IF($B$521="Лікар-педіатр",AB524*AG522,IF($B$521="Лікар-терапевт","х",IF($B$521="Лікар загальної практики - сімейний лікар",AB524*AG522,0)))</f>
        <v>0</v>
      </c>
      <c r="AC522" s="196">
        <f>IF($B$521="Лікар-педіатр",AC524*AG522,IF($B$521="Лікар-терапевт","х",IF($B$521="Лікар загальної практики - сімейний лікар",AC524*AG522,0)))</f>
        <v>0</v>
      </c>
      <c r="AD522" s="196">
        <f>IF($B$521="Лікар-педіатр","x",IF($B$521="Лікар-терапевт",AD524*AG522,IF($B$521="Лікар загальної практики - сімейний лікар",AD524*AG522,0)))</f>
        <v>0</v>
      </c>
      <c r="AE522" s="196">
        <f>IF($B$521="Лікар-педіатр","x",IF($B$521="Лікар-терапевт",AE524*AG522,IF($B$521="Лікар загальної практики - сімейний лікар",AE524*AG522,0)))</f>
        <v>0</v>
      </c>
      <c r="AF522" s="196">
        <f>IF($B$521="Лікар-педіатр","x",IF($B$521="Лікар-терапевт",AF524*AG522,IF($B$521="Лікар загальної практики - сімейний лікар",AF524*AG522,0)))</f>
        <v>0</v>
      </c>
      <c r="AG522" s="558"/>
      <c r="AH522" s="930"/>
      <c r="AI522" s="198"/>
      <c r="AJ522" s="933"/>
      <c r="AK522" s="927"/>
      <c r="AL522" s="927"/>
      <c r="AM522" s="902"/>
      <c r="AN522" s="924"/>
      <c r="AO522" s="924"/>
      <c r="AP522" s="924"/>
      <c r="AQ522" s="924"/>
      <c r="AR522" s="915"/>
    </row>
    <row r="523" spans="1:44" s="90" customFormat="1" ht="31.15" hidden="1" customHeight="1">
      <c r="A523" s="240"/>
      <c r="B523" s="893"/>
      <c r="C523" s="896"/>
      <c r="D523" s="912"/>
      <c r="E523" s="909"/>
      <c r="F523" s="241" t="s">
        <v>584</v>
      </c>
      <c r="G523" s="199">
        <f>IF(B521="Лікар загальної практики - сімейний лікар"," ",IF(B521="Лікар-педіатр"," ",IF(B521="Лікар-терапевт","х",0)))</f>
        <v>0</v>
      </c>
      <c r="H523" s="199">
        <f>IF(B521="Лікар загальної практики - сімейний лікар"," ",IF(B521="Лікар-педіатр"," ",IF(B521="Лікар-терапевт","х",0)))</f>
        <v>0</v>
      </c>
      <c r="I523" s="199">
        <f>IF(B521="Лікар загальної практики - сімейний лікар"," ",IF(B521="Лікар-педіатр","х",IF(B521="Лікар-терапевт"," ",0)))</f>
        <v>0</v>
      </c>
      <c r="J523" s="199">
        <f>IF(B521="Лікар загальної практики - сімейний лікар"," ",IF(B521="Лікар-педіатр","х",IF(B521="Лікар-терапевт"," ",0)))</f>
        <v>0</v>
      </c>
      <c r="K523" s="199">
        <f>IF(B521="Лікар загальної практики - сімейний лікар"," ",IF(B521="Лікар-педіатр","х",IF(B521="Лікар-терапевт"," ",0)))</f>
        <v>0</v>
      </c>
      <c r="L523" s="200">
        <f>SUM(G523:K523)</f>
        <v>0</v>
      </c>
      <c r="M523" s="930"/>
      <c r="N523" s="199">
        <f>IF(B521="Лікар загальної практики - сімейний лікар"," ",IF(B521="Лікар-педіатр"," ",IF(B521="Лікар-терапевт","х",0)))</f>
        <v>0</v>
      </c>
      <c r="O523" s="199">
        <f>IF(B521="Лікар загальної практики - сімейний лікар"," ",IF(B521="Лікар-педіатр"," ",IF(B521="Лікар-терапевт","х",0)))</f>
        <v>0</v>
      </c>
      <c r="P523" s="199">
        <f>IF(B521="Лікар загальної практики - сімейний лікар"," ",IF(B521="Лікар-педіатр","х",IF(B521="Лікар-терапевт"," ",0)))</f>
        <v>0</v>
      </c>
      <c r="Q523" s="199">
        <f>IF(B521="Лікар загальної практики - сімейний лікар"," ",IF(B521="Лікар-педіатр","х",IF(B521="Лікар-терапевт"," ",0)))</f>
        <v>0</v>
      </c>
      <c r="R523" s="199">
        <f>IF(B521="Лікар загальної практики - сімейний лікар"," ",IF(B521="Лікар-педіатр","х",IF(B521="Лікар-терапевт"," ",0)))</f>
        <v>0</v>
      </c>
      <c r="S523" s="200">
        <f>SUM(N523:R523)</f>
        <v>0</v>
      </c>
      <c r="T523" s="930"/>
      <c r="U523" s="199">
        <f>IF(B521="Лікар загальної практики - сімейний лікар"," ",IF(B521="Лікар-педіатр"," ",IF(B521="Лікар-терапевт","х",0)))</f>
        <v>0</v>
      </c>
      <c r="V523" s="199">
        <f>IF(B521="Лікар загальної практики - сімейний лікар"," ",IF(B521="Лікар-педіатр"," ",IF(B521="Лікар-терапевт","х",0)))</f>
        <v>0</v>
      </c>
      <c r="W523" s="199">
        <f>IF(B521="Лікар загальної практики - сімейний лікар"," ",IF(B521="Лікар-педіатр","х",IF(B521="Лікар-терапевт"," ",0)))</f>
        <v>0</v>
      </c>
      <c r="X523" s="199">
        <f>IF(B521="Лікар загальної практики - сімейний лікар"," ",IF(B521="Лікар-педіатр","х",IF(B521="Лікар-терапевт"," ",0)))</f>
        <v>0</v>
      </c>
      <c r="Y523" s="199">
        <f>IF(B521="Лікар загальної практики - сімейний лікар"," ",IF(B521="Лікар-педіатр","х",IF(B521="Лікар-терапевт"," ",0)))</f>
        <v>0</v>
      </c>
      <c r="Z523" s="200">
        <f>SUM(U523:Y523)</f>
        <v>0</v>
      </c>
      <c r="AA523" s="930"/>
      <c r="AB523" s="199">
        <f>IF(B521="Лікар загальної практики - сімейний лікар"," ",IF(B521="Лікар-педіатр"," ",IF(B521="Лікар-терапевт","х",0)))</f>
        <v>0</v>
      </c>
      <c r="AC523" s="199">
        <f>IF(B521="Лікар загальної практики - сімейний лікар"," ",IF(B521="Лікар-педіатр"," ",IF(B521="Лікар-терапевт","х",0)))</f>
        <v>0</v>
      </c>
      <c r="AD523" s="199">
        <f>IF(B521="Лікар загальної практики - сімейний лікар"," ",IF(B521="Лікар-педіатр","х",IF(B521="Лікар-терапевт"," ",0)))</f>
        <v>0</v>
      </c>
      <c r="AE523" s="199">
        <f>IF(B521="Лікар загальної практики - сімейний лікар"," ",IF(B521="Лікар-педіатр","х",IF(B521="Лікар-терапевт"," ",0)))</f>
        <v>0</v>
      </c>
      <c r="AF523" s="199">
        <f>IF(B521="Лікар загальної практики - сімейний лікар"," ",IF(B521="Лікар-педіатр","х",IF(B521="Лікар-терапевт"," ",0)))</f>
        <v>0</v>
      </c>
      <c r="AG523" s="200">
        <f>SUM(AB523:AF523)</f>
        <v>0</v>
      </c>
      <c r="AH523" s="930"/>
      <c r="AI523" s="242"/>
      <c r="AJ523" s="933"/>
      <c r="AK523" s="927"/>
      <c r="AL523" s="927"/>
      <c r="AM523" s="902"/>
      <c r="AN523" s="924"/>
      <c r="AO523" s="924"/>
      <c r="AP523" s="924"/>
      <c r="AQ523" s="924"/>
      <c r="AR523" s="915"/>
    </row>
    <row r="524" spans="1:44" s="50" customFormat="1" ht="31.9" hidden="1" customHeight="1" thickBot="1">
      <c r="A524" s="197"/>
      <c r="B524" s="893"/>
      <c r="C524" s="896"/>
      <c r="D524" s="912"/>
      <c r="E524" s="909"/>
      <c r="F524" s="236" t="s">
        <v>349</v>
      </c>
      <c r="G524" s="203">
        <f>IF($B$521="Лікар-педіатр",G523/L523,IF($B$521="Лікар-терапевт","х",IF($B$521="Лікар загальної практики - сімейний лікар",G523/L523,0)))</f>
        <v>0</v>
      </c>
      <c r="H524" s="203">
        <f>IF($B$521="Лікар-педіатр",H523/L523,IF($B$521="Лікар-терапевт","х",IF($B$521="Лікар загальної практики - сімейний лікар",H523/L523,0)))</f>
        <v>0</v>
      </c>
      <c r="I524" s="203">
        <f>IF($B$521="Лікар-педіатр","x",IF($B$521="Лікар-терапевт",I523/L523,IF($B$521="Лікар загальної практики - сімейний лікар",I523/L523,0)))</f>
        <v>0</v>
      </c>
      <c r="J524" s="203">
        <f>IF($B$521="Лікар-педіатр","x",IF($B$521="Лікар-терапевт",J523/L523,IF($B$521="Лікар загальної практики - сімейний лікар",J523/L523,0)))</f>
        <v>0</v>
      </c>
      <c r="K524" s="203">
        <f>IF($B$521="Лікар-педіатр","x",IF($B$521="Лікар-терапевт",K523/L523,IF($B$521="Лікар загальної практики - сімейний лікар",K523/L523,0)))</f>
        <v>0</v>
      </c>
      <c r="L524" s="203">
        <f>SUM(G524:K524)</f>
        <v>0</v>
      </c>
      <c r="M524" s="930"/>
      <c r="N524" s="203">
        <f>IF($B$521="Лікар-педіатр",N523/S523,IF($B$521="Лікар-терапевт","х",IF($B$521="Лікар загальної практики - сімейний лікар",N523/S523,0)))</f>
        <v>0</v>
      </c>
      <c r="O524" s="203">
        <f>IF($B$521="Лікар-педіатр",O523/S523,IF($B$521="Лікар-терапевт","х",IF($B$521="Лікар загальної практики - сімейний лікар",O523/S523,0)))</f>
        <v>0</v>
      </c>
      <c r="P524" s="203">
        <f>IF($B$521="Лікар-педіатр","x",IF($B$521="Лікар-терапевт",P523/S523,IF($B$521="Лікар загальної практики - сімейний лікар",P523/S523,0)))</f>
        <v>0</v>
      </c>
      <c r="Q524" s="203">
        <f>IF($B$521="Лікар-педіатр","x",IF($B$521="Лікар-терапевт",Q523/S523,IF($B$521="Лікар загальної практики - сімейний лікар",Q523/S523,0)))</f>
        <v>0</v>
      </c>
      <c r="R524" s="203">
        <f>IF($B$521="Лікар-педіатр","x",IF($B$521="Лікар-терапевт",R523/S523,IF($B$521="Лікар загальної практики - сімейний лікар",R523/S523,0)))</f>
        <v>0</v>
      </c>
      <c r="S524" s="203">
        <f>SUM(N524:R524)</f>
        <v>0</v>
      </c>
      <c r="T524" s="930"/>
      <c r="U524" s="203">
        <f>IF($B$521="Лікар-педіатр",U523/Z523,IF($B$521="Лікар-терапевт","х",IF($B$521="Лікар загальної практики - сімейний лікар",U523/Z523,0)))</f>
        <v>0</v>
      </c>
      <c r="V524" s="203">
        <f>IF($B$521="Лікар-педіатр",V523/Z523,IF($B$521="Лікар-терапевт","х",IF($B$521="Лікар загальної практики - сімейний лікар",V523/Z523,0)))</f>
        <v>0</v>
      </c>
      <c r="W524" s="203">
        <f>IF($B$521="Лікар-педіатр","x",IF($B$521="Лікар-терапевт",W523/Z523,IF($B$521="Лікар загальної практики - сімейний лікар",W523/Z523,0)))</f>
        <v>0</v>
      </c>
      <c r="X524" s="203">
        <f>IF($B$521="Лікар-педіатр","x",IF($B$521="Лікар-терапевт",X523/Z523,IF($B$521="Лікар загальної практики - сімейний лікар",X523/Z523,0)))</f>
        <v>0</v>
      </c>
      <c r="Y524" s="203">
        <f>IF($B$521="Лікар-педіатр","x",IF($B$521="Лікар-терапевт",Y523/Z523,IF($B$521="Лікар загальної практики - сімейний лікар",Y523/Z523,0)))</f>
        <v>0</v>
      </c>
      <c r="Z524" s="203">
        <f>SUM(U524:Y524)</f>
        <v>0</v>
      </c>
      <c r="AA524" s="930"/>
      <c r="AB524" s="203">
        <f>IF($B$521="Лікар-педіатр",AB523/AG523,IF($B$521="Лікар-терапевт","х",IF($B$521="Лікар загальної практики - сімейний лікар",AB523/AG523,0)))</f>
        <v>0</v>
      </c>
      <c r="AC524" s="203">
        <f>IF($B$521="Лікар-педіатр",AC523/AG523,IF($B$521="Лікар-терапевт","х",IF($B$521="Лікар загальної практики - сімейний лікар",AC523/AG523,0)))</f>
        <v>0</v>
      </c>
      <c r="AD524" s="203">
        <f>IF($B$521="Лікар-педіатр","x",IF($B$521="Лікар-терапевт",AD523/AG523,IF($B$521="Лікар загальної практики - сімейний лікар",AD523/AG523,0)))</f>
        <v>0</v>
      </c>
      <c r="AE524" s="203">
        <f>IF($B$521="Лікар-педіатр","x",IF($B$521="Лікар-терапевт",AE523/AG523,IF($B$521="Лікар загальної практики - сімейний лікар",AE523/AG523,0)))</f>
        <v>0</v>
      </c>
      <c r="AF524" s="203">
        <f>IF($B$521="Лікар-педіатр","x",IF($B$521="Лікар-терапевт",AF523/AG523,IF($B$521="Лікар загальної практики - сімейний лікар",AF523/AG523,0)))</f>
        <v>0</v>
      </c>
      <c r="AG524" s="203">
        <f>SUM(AB524:AF524)</f>
        <v>0</v>
      </c>
      <c r="AH524" s="930"/>
      <c r="AI524" s="201"/>
      <c r="AJ524" s="933"/>
      <c r="AK524" s="927"/>
      <c r="AL524" s="927"/>
      <c r="AM524" s="902"/>
      <c r="AN524" s="924"/>
      <c r="AO524" s="924"/>
      <c r="AP524" s="924"/>
      <c r="AQ524" s="924"/>
      <c r="AR524" s="915"/>
    </row>
    <row r="525" spans="1:44" s="50" customFormat="1" ht="45" hidden="1" customHeight="1" thickBot="1">
      <c r="A525" s="197"/>
      <c r="B525" s="893"/>
      <c r="C525" s="896"/>
      <c r="D525" s="912"/>
      <c r="E525" s="909"/>
      <c r="F525" s="204" t="s">
        <v>585</v>
      </c>
      <c r="G525" s="205">
        <f>IF($B$521="Лікар загальної практики - сімейний лікар",AVERAGE(G521:G523),IF($B$521="Лікар-педіатр",AVERAGE(G521:G523),IF($B$521="Лікар-терапевт","х",0)))</f>
        <v>0</v>
      </c>
      <c r="H525" s="205">
        <f>IF($B$521="Лікар загальної практики - сімейний лікар",AVERAGE(H521:H523),IF($B$521="Лікар-педіатр",AVERAGE(H521:H523),IF($B$521="Лікар-терапевт","х",0)))</f>
        <v>0</v>
      </c>
      <c r="I525" s="205">
        <f>IF($B$521="Лікар загальної практики - сімейний лікар",AVERAGE(I521:I523),IF($B$521="Лікар-педіатр","x",IF($B$521="Лікар-терапевт",AVERAGE(I521:I523),0)))</f>
        <v>0</v>
      </c>
      <c r="J525" s="205">
        <f>IF($B$521="Лікар загальної практики - сімейний лікар",AVERAGE(J521:J523),IF($B$521="Лікар-педіатр","x",IF($B$521="Лікар-терапевт",AVERAGE(J521:J523),0)))</f>
        <v>0</v>
      </c>
      <c r="K525" s="205">
        <f>IF($B$521="Лікар загальної практики - сімейний лікар",AVERAGE(K521:K523),IF($B$521="Лікар-педіатр","x",IF($B$521="Лікар-терапевт",AVERAGE(K521:K523),0)))</f>
        <v>0</v>
      </c>
      <c r="L525" s="206">
        <f>SUM(G525:K525)</f>
        <v>0</v>
      </c>
      <c r="M525" s="930"/>
      <c r="N525" s="205">
        <f>IF($B$521="Лікар загальної практики - сімейний лікар",AVERAGE(N521:N523),IF($B$521="Лікар-педіатр",AVERAGE(N521:N523),IF($B$521="Лікар-терапевт","х",0)))</f>
        <v>0</v>
      </c>
      <c r="O525" s="205">
        <f>IF($B$521="Лікар загальної практики - сімейний лікар",AVERAGE(O521:O523),IF($B$521="Лікар-педіатр",AVERAGE(O521:O523),IF($B$521="Лікар-терапевт","х",0)))</f>
        <v>0</v>
      </c>
      <c r="P525" s="205">
        <f>IF($B$521="Лікар загальної практики - сімейний лікар",AVERAGE(P521:P523),IF($B$521="Лікар-педіатр","x",IF($B$521="Лікар-терапевт",AVERAGE(P521:P523),0)))</f>
        <v>0</v>
      </c>
      <c r="Q525" s="205">
        <f>IF($B$521="Лікар загальної практики - сімейний лікар",AVERAGE(Q521:Q523),IF($B$521="Лікар-педіатр","x",IF($B$521="Лікар-терапевт",AVERAGE(Q521:Q523),0)))</f>
        <v>0</v>
      </c>
      <c r="R525" s="205">
        <f>IF($B$521="Лікар загальної практики - сімейний лікар",AVERAGE(R521:R523),IF($B$521="Лікар-педіатр","x",IF($B$521="Лікар-терапевт",AVERAGE(R521:R523),0)))</f>
        <v>0</v>
      </c>
      <c r="S525" s="206">
        <f>SUM(N525:R525)</f>
        <v>0</v>
      </c>
      <c r="T525" s="930"/>
      <c r="U525" s="205">
        <f>IF($B$521="Лікар загальної практики - сімейний лікар",AVERAGE(U521:U523),IF($B$521="Лікар-педіатр",AVERAGE(U521:U523),IF($B$521="Лікар-терапевт","х",0)))</f>
        <v>0</v>
      </c>
      <c r="V525" s="205">
        <f>IF($B$521="Лікар загальної практики - сімейний лікар",AVERAGE(V521:V523),IF($B$521="Лікар-педіатр",AVERAGE(V521:V523),IF($B$521="Лікар-терапевт","х",0)))</f>
        <v>0</v>
      </c>
      <c r="W525" s="205">
        <f>IF($B$521="Лікар загальної практики - сімейний лікар",AVERAGE(W521:W523),IF($B$521="Лікар-педіатр","x",IF($B$521="Лікар-терапевт",AVERAGE(W521:W523),0)))</f>
        <v>0</v>
      </c>
      <c r="X525" s="205">
        <f>IF($B$521="Лікар загальної практики - сімейний лікар",AVERAGE(X521:X523),IF($B$521="Лікар-педіатр","x",IF($B$521="Лікар-терапевт",AVERAGE(X521:X523),0)))</f>
        <v>0</v>
      </c>
      <c r="Y525" s="205">
        <f>IF($B$521="Лікар загальної практики - сімейний лікар",AVERAGE(Y521:Y523),IF($B$521="Лікар-педіатр","x",IF($B$521="Лікар-терапевт",AVERAGE(Y521:Y523),0)))</f>
        <v>0</v>
      </c>
      <c r="Z525" s="206">
        <f>SUM(U525:Y525)</f>
        <v>0</v>
      </c>
      <c r="AA525" s="930"/>
      <c r="AB525" s="205">
        <f>IF($B$521="Лікар загальної практики - сімейний лікар",AVERAGE(AB521:AB523),IF($B$521="Лікар-педіатр",AVERAGE(AB521:AB523),IF($B$521="Лікар-терапевт","х",0)))</f>
        <v>0</v>
      </c>
      <c r="AC525" s="205">
        <f>IF($B$521="Лікар загальної практики - сімейний лікар",AVERAGE(AC521:AC523),IF($B$521="Лікар-педіатр",AVERAGE(AC521:AC523),IF($B$521="Лікар-терапевт","х",0)))</f>
        <v>0</v>
      </c>
      <c r="AD525" s="205">
        <f>IF($B$521="Лікар загальної практики - сімейний лікар",AVERAGE(AD521:AD523),IF($B$521="Лікар-педіатр","x",IF($B$521="Лікар-терапевт",AVERAGE(AD521:AD523),0)))</f>
        <v>0</v>
      </c>
      <c r="AE525" s="205">
        <f>IF($B$521="Лікар загальної практики - сімейний лікар",AVERAGE(AE521:AE523),IF($B$521="Лікар-педіатр","x",IF($B$521="Лікар-терапевт",AVERAGE(AE521:AE523),0)))</f>
        <v>0</v>
      </c>
      <c r="AF525" s="205">
        <f>IF($B$521="Лікар загальної практики - сімейний лікар",AVERAGE(AF521:AF523),IF($B$521="Лікар-педіатр","x",IF($B$521="Лікар-терапевт",AVERAGE(AF521:AF523),0)))</f>
        <v>0</v>
      </c>
      <c r="AG525" s="206">
        <f>SUM(AB525:AF525)</f>
        <v>0</v>
      </c>
      <c r="AH525" s="930"/>
      <c r="AI525" s="201"/>
      <c r="AJ525" s="933"/>
      <c r="AK525" s="927"/>
      <c r="AL525" s="927"/>
      <c r="AM525" s="903"/>
      <c r="AN525" s="925"/>
      <c r="AO525" s="925"/>
      <c r="AP525" s="925"/>
      <c r="AQ525" s="925"/>
      <c r="AR525" s="916"/>
    </row>
    <row r="526" spans="1:44" s="50" customFormat="1" ht="40.5" hidden="1">
      <c r="A526" s="197"/>
      <c r="B526" s="893"/>
      <c r="C526" s="896"/>
      <c r="D526" s="912"/>
      <c r="E526" s="909"/>
      <c r="F526" s="237" t="str">
        <f ca="1">IF(B521="Лікар-педіатр",Законод!$C$17,IF(B521="Лікар загальної практики - сімейний лікар",Законод!$C$21,IF(B521="Лікар-терапевт",Законод!$C$25,"х")))</f>
        <v>х</v>
      </c>
      <c r="G526" s="208">
        <f ca="1">IF($B$521="Лікар загальної практики - сімейний лікар",IF(L525&lt;=Законод!$C$22,G525,Законод!$C$22*'01_Доходи'!G524),IF($B$521="Лікар-педіатр",IF(L525&lt;=Законод!$C$18,G525,Законод!$C$18*'01_Доходи'!G524),IF($B$521="Лікар-терапевт","x",0)))</f>
        <v>0</v>
      </c>
      <c r="H526" s="208">
        <f ca="1">IF($B$521="Лікар загальної практики - сімейний лікар",IF(L525&lt;=Законод!$C$22,H525,Законод!$C$22*'01_Доходи'!H524),IF($B$521="Лікар-педіатр",IF(L525&lt;=Законод!$C$18,H525,Законод!$C$18*'01_Доходи'!H524),IF($B$521="Лікар-терапевт","x",0)))</f>
        <v>0</v>
      </c>
      <c r="I526" s="208">
        <f ca="1">IF($B$521="Лікар загальної практики - сімейний лікар",IF(L525&lt;=Законод!$C$22,I525,Законод!$C$22*'01_Доходи'!I524),IF($B$521="Лікар-педіатр","x",IF($B$521="Лікар-терапевт",IF(L525&lt;=Законод!$C$26,I525,Законод!$C$26*'01_Доходи'!I524),0)))</f>
        <v>0</v>
      </c>
      <c r="J526" s="208">
        <f ca="1">IF($B$521="Лікар загальної практики - сімейний лікар",IF(L525&lt;=Законод!$C$22,J525,Законод!$C$22*'01_Доходи'!J524),IF($B$521="Лікар-педіатр","x",IF($B$521="Лікар-терапевт",IF(L525&lt;=Законод!$C$26,J525,Законод!$C$26*'01_Доходи'!J524),0)))</f>
        <v>0</v>
      </c>
      <c r="K526" s="208">
        <f ca="1">IF($B$521="Лікар загальної практики - сімейний лікар",IF(L525&lt;=Законод!$C$22,K525,Законод!$C$22*'01_Доходи'!K524),IF($B$521="Лікар-педіатр","x",IF($B$521="Лікар-терапевт",IF(L525&lt;=Законод!$C$26,K525,Законод!$C$26*'01_Доходи'!K524),0)))</f>
        <v>0</v>
      </c>
      <c r="L526" s="209">
        <f ca="1">SUM(G526:K526)</f>
        <v>0</v>
      </c>
      <c r="M526" s="930"/>
      <c r="N526" s="208">
        <f ca="1">IF($B$521="Лікар загальної практики - сімейний лікар",IF(S525&lt;=Законод!$C$22,N525,Законод!$C$22*'01_Доходи'!N524),IF($B$521="Лікар-педіатр",IF(S525&lt;=Законод!$C$18,N525,Законод!$C$18*'01_Доходи'!N524),IF($B$521="Лікар-терапевт","x",0)))</f>
        <v>0</v>
      </c>
      <c r="O526" s="208">
        <f ca="1">IF($B$521="Лікар загальної практики - сімейний лікар",IF(S525&lt;=Законод!$C$22,O525,Законод!$C$22*'01_Доходи'!O524),IF($B$521="Лікар-педіатр",IF(S525&lt;=Законод!$C$18,O525,Законод!$C$18*'01_Доходи'!O524),IF($B$521="Лікар-терапевт","x",0)))</f>
        <v>0</v>
      </c>
      <c r="P526" s="208">
        <f ca="1">IF($B$521="Лікар загальної практики - сімейний лікар",IF(S525&lt;=Законод!$C$22,P525,Законод!$C$22*'01_Доходи'!P524),IF($B$521="Лікар-педіатр","x",IF($B$521="Лікар-терапевт",IF(S525&lt;=Законод!$C$26,P525,Законод!$C$26*'01_Доходи'!P524),0)))</f>
        <v>0</v>
      </c>
      <c r="Q526" s="208">
        <f ca="1">IF($B$521="Лікар загальної практики - сімейний лікар",IF(S525&lt;=Законод!$C$22,Q525,Законод!$C$22*'01_Доходи'!Q524),IF($B$521="Лікар-педіатр","x",IF($B$521="Лікар-терапевт",IF(S525&lt;=Законод!$C$26,Q525,Законод!$C$26*'01_Доходи'!Q524),0)))</f>
        <v>0</v>
      </c>
      <c r="R526" s="208">
        <f ca="1">IF($B$521="Лікар загальної практики - сімейний лікар",IF(S525&lt;=Законод!$C$22,R525,Законод!$C$22*'01_Доходи'!R524),IF($B$521="Лікар-педіатр","x",IF($B$521="Лікар-терапевт",IF(S525&lt;=Законод!$C$26,R525,Законод!$C$26*'01_Доходи'!R524),0)))</f>
        <v>0</v>
      </c>
      <c r="S526" s="209">
        <f ca="1">SUM(N526:R526)</f>
        <v>0</v>
      </c>
      <c r="T526" s="930"/>
      <c r="U526" s="208">
        <f ca="1">IF($B$521="Лікар загальної практики - сімейний лікар",IF(Z525&lt;=Законод!$C$22,U525,Законод!$C$22*'01_Доходи'!U524),IF($B$521="Лікар-педіатр",IF(Z525&lt;=Законод!$C$18,U525,Законод!$C$18*'01_Доходи'!U524),IF($B$521="Лікар-терапевт","x",0)))</f>
        <v>0</v>
      </c>
      <c r="V526" s="208">
        <f ca="1">IF($B$521="Лікар загальної практики - сімейний лікар",IF(Z525&lt;=Законод!$C$22,V525,Законод!$C$22*'01_Доходи'!V524),IF($B$521="Лікар-педіатр",IF(Z525&lt;=Законод!$C$18,V525,Законод!$C$18*'01_Доходи'!V524),IF($B$521="Лікар-терапевт","x",0)))</f>
        <v>0</v>
      </c>
      <c r="W526" s="208">
        <f ca="1">IF($B$521="Лікар загальної практики - сімейний лікар",IF(Z525&lt;=Законод!$C$22,W525,Законод!$C$22*'01_Доходи'!W524),IF($B$521="Лікар-педіатр","x",IF($B$521="Лікар-терапевт",IF(Z525&lt;=Законод!$C$26,W525,Законод!$C$26*'01_Доходи'!W524),0)))</f>
        <v>0</v>
      </c>
      <c r="X526" s="208">
        <f ca="1">IF($B$521="Лікар загальної практики - сімейний лікар",IF(Z525&lt;=Законод!$C$22,X525,Законод!$C$22*'01_Доходи'!X524),IF($B$521="Лікар-педіатр","x",IF($B$521="Лікар-терапевт",IF(Z525&lt;=Законод!$C$26,X525,Законод!$C$26*'01_Доходи'!X524),0)))</f>
        <v>0</v>
      </c>
      <c r="Y526" s="208">
        <f ca="1">IF($B$521="Лікар загальної практики - сімейний лікар",IF(Z525&lt;=Законод!$C$22,Y525,Законод!$C$22*'01_Доходи'!Y524),IF($B$521="Лікар-педіатр","x",IF($B$521="Лікар-терапевт",IF(Z525&lt;=Законод!$C$26,Y525,Законод!$C$26*'01_Доходи'!Y524),0)))</f>
        <v>0</v>
      </c>
      <c r="Z526" s="209">
        <f ca="1">SUM(U526:Y526)</f>
        <v>0</v>
      </c>
      <c r="AA526" s="930"/>
      <c r="AB526" s="208">
        <f ca="1">IF($B$521="Лікар загальної практики - сімейний лікар",IF(AG525&lt;=Законод!$C$22,AB525,Законод!$C$22*'01_Доходи'!AB524),IF($B$521="Лікар-педіатр",IF(AG525&lt;=Законод!$C$18,AB525,Законод!$C$18*'01_Доходи'!AB524),IF($B$521="Лікар-терапевт","x",0)))</f>
        <v>0</v>
      </c>
      <c r="AC526" s="208">
        <f ca="1">IF($B$521="Лікар загальної практики - сімейний лікар",IF(AG525&lt;=Законод!$C$22,AC525,Законод!$C$22*'01_Доходи'!AC524),IF($B$521="Лікар-педіатр",IF(AG525&lt;=Законод!$C$18,AC525,Законод!$C$18*'01_Доходи'!AC524),IF($B$521="Лікар-терапевт","x",0)))</f>
        <v>0</v>
      </c>
      <c r="AD526" s="208">
        <f ca="1">IF($B$521="Лікар загальної практики - сімейний лікар",IF(AG525&lt;=Законод!$C$22,AD525,Законод!$C$22*'01_Доходи'!AD524),IF($B$521="Лікар-педіатр","x",IF($B$521="Лікар-терапевт",IF(AG525&lt;=Законод!$C$26,AD525,Законод!$C$26*'01_Доходи'!AD524),0)))</f>
        <v>0</v>
      </c>
      <c r="AE526" s="208">
        <f ca="1">IF($B$521="Лікар загальної практики - сімейний лікар",IF(AG525&lt;=Законод!$C$22,AE525,Законод!$C$22*'01_Доходи'!AE524),IF($B$521="Лікар-педіатр","x",IF($B$521="Лікар-терапевт",IF(AG525&lt;=Законод!$C$26,AE525,Законод!$C$26*'01_Доходи'!AE524),0)))</f>
        <v>0</v>
      </c>
      <c r="AF526" s="208">
        <f ca="1">IF($B$521="Лікар загальної практики - сімейний лікар",IF(AG525&lt;=Законод!$C$22,AF525,Законод!$C$22*'01_Доходи'!AF524),IF($B$521="Лікар-педіатр","x",IF($B$521="Лікар-терапевт",IF(AG525&lt;=Законод!$C$26,AF525,Законод!$C$26*'01_Доходи'!AF524),0)))</f>
        <v>0</v>
      </c>
      <c r="AG526" s="209">
        <f ca="1">SUM(AB526:AF526)</f>
        <v>0</v>
      </c>
      <c r="AH526" s="930"/>
      <c r="AI526" s="201"/>
      <c r="AJ526" s="933"/>
      <c r="AK526" s="927"/>
      <c r="AL526" s="927"/>
      <c r="AM526" s="348" t="s">
        <v>374</v>
      </c>
      <c r="AN526" s="210">
        <f ca="1">IF(B521="Лікар загальної практики - сімейний лікар",G526*Законод!$C$11+'01_Доходи'!H526*Законод!$D$11+'01_Доходи'!I526*Законод!$E$11+'01_Доходи'!J526*Законод!$F$11+'01_Доходи'!K526*Законод!$G$11,IF(B521="Лікар-педіатр",G526*Законод!$C$11+'01_Доходи'!H526*Законод!$D$11,IF(B521="Лікар-терапевт",'01_Доходи'!I526*Законод!$E$11+'01_Доходи'!J526*Законод!$F$11+'01_Доходи'!K526*Законод!$G$11,0)))</f>
        <v>0</v>
      </c>
      <c r="AO526" s="210">
        <f ca="1">IF(B521="Лікар загальної практики - сімейний лікар",N526*Законод!$C$11+'01_Доходи'!O526*Законод!$D$11+'01_Доходи'!P526*Законод!$E$11+'01_Доходи'!Q526*Законод!$F$11+'01_Доходи'!R526*Законод!$G$11,IF(B521="Лікар-педіатр",N526*Законод!$C$11+'01_Доходи'!O526*Законод!$D$11,IF(B521="Лікар-терапевт",'01_Доходи'!P526*Законод!$E$11+'01_Доходи'!Q526*Законод!$F$11+'01_Доходи'!R526*Законод!$G$11,0)))</f>
        <v>0</v>
      </c>
      <c r="AP526" s="210">
        <f ca="1">IF(B521="Лікар загальної практики - сімейний лікар",U526*Законод!$C$11+'01_Доходи'!V526*Законод!$D$11+'01_Доходи'!W526*Законод!$E$11+'01_Доходи'!X526*Законод!$F$11+'01_Доходи'!Y526*Законод!$G$11,IF(B521="Лікар-педіатр",U526*Законод!$C$11+'01_Доходи'!V526*Законод!$D$11,IF(B521="Лікар-терапевт",'01_Доходи'!W526*Законод!$E$11+'01_Доходи'!X526*Законод!$F$11+'01_Доходи'!Y526*Законод!$G$11,0)))</f>
        <v>0</v>
      </c>
      <c r="AQ526" s="210">
        <f ca="1">IF(B521="Лікар загальної практики - сімейний лікар",AB526*Законод!$C$11+'01_Доходи'!AC526*Законод!$D$11+'01_Доходи'!AD526*Законод!$E$11+'01_Доходи'!AE526*Законод!$F$11+'01_Доходи'!AF526*Законод!$G$11,IF(B521="Лікар-педіатр",AB526*Законод!$C$11+'01_Доходи'!AC526*Законод!$D$11,IF(B521="Лікар-терапевт",'01_Доходи'!AD526*Законод!$E$11+'01_Доходи'!AE526*Законод!$F$11+'01_Доходи'!AF526*Законод!$G$11,0)))</f>
        <v>0</v>
      </c>
      <c r="AR526" s="211">
        <f t="shared" ref="AR526:AR532" si="67">SUM(AN526:AQ526)</f>
        <v>0</v>
      </c>
    </row>
    <row r="527" spans="1:44" s="50" customFormat="1" ht="31.9" hidden="1" customHeight="1">
      <c r="A527" s="197"/>
      <c r="B527" s="893"/>
      <c r="C527" s="896"/>
      <c r="D527" s="912"/>
      <c r="E527" s="909"/>
      <c r="F527" s="238" t="str">
        <f ca="1">IF(B521="Лікар-педіатр",Законод!$E$17,IF(B521="Лікар загальної практики - сімейний лікар",Законод!$E$21,IF(B521="Лікар-терапевт",Законод!$E$25,"х")))</f>
        <v>х</v>
      </c>
      <c r="G527" s="889" t="s">
        <v>346</v>
      </c>
      <c r="H527" s="890"/>
      <c r="I527" s="890"/>
      <c r="J527" s="890"/>
      <c r="K527" s="891"/>
      <c r="L527" s="196">
        <f ca="1">IF($B$521="Лікар загальної практики - сімейний лікар",IF(L525&lt;Законод!$C$22,0,(IF(AND(L525&gt;=Законод!$E$22,L525&lt;=Законод!$E$23),L525-Законод!$C$22,IF('01_Доходи'!L525&gt;=Законод!$F$22,Законод!$E$24,0)))),IF($B$521="Лікар-педіатр",IF(L525&lt;Законод!$C$18,0,(IF(AND(L525&gt;=Законод!$E$18,L525&lt;=Законод!$E$19),L525-Законод!$C$18,IF('01_Доходи'!L525&gt;=Законод!$F$18,Законод!$E$20,0)))),IF($B$521="Лікар-терапевт",IF(L525&lt;Законод!$C$26,0,(IF(AND(L525&gt;=Законод!$E$26,L525&lt;=Законод!$E$27),L525-Законод!$C$26,IF('01_Доходи'!L525&gt;=Законод!$F$26,Законод!$E$28,0)))),0)))</f>
        <v>0</v>
      </c>
      <c r="M527" s="930"/>
      <c r="N527" s="889" t="s">
        <v>346</v>
      </c>
      <c r="O527" s="890"/>
      <c r="P527" s="890"/>
      <c r="Q527" s="890"/>
      <c r="R527" s="891"/>
      <c r="S527" s="196">
        <f ca="1">IF($B$521="Лікар загальної практики - сімейний лікар",IF(S525&lt;Законод!$C$22,0,(IF(AND(S525&gt;=Законод!$E$22,S525&lt;=Законод!$E$23),S525-Законод!$C$22,IF('01_Доходи'!S525&gt;=Законод!$F$22,Законод!$E$24,0)))),IF($B$521="Лікар-педіатр",IF(S525&lt;Законод!$C$18,0,(IF(AND(S525&gt;=Законод!$E$18,S525&lt;=Законод!$E$19),S525-Законод!$C$18,IF('01_Доходи'!S525&gt;=Законод!$F$18,Законод!$E$20,0)))),IF($B$521="Лікар-терапевт",IF(S525&lt;Законод!$C$26,0,(IF(AND(S525&gt;=Законод!$E$26,S525&lt;=Законод!$E$27),S525-Законод!$C$26,IF('01_Доходи'!S525&gt;=Законод!$F$26,Законод!$E$28,0)))),0)))</f>
        <v>0</v>
      </c>
      <c r="T527" s="930"/>
      <c r="U527" s="889" t="s">
        <v>346</v>
      </c>
      <c r="V527" s="890"/>
      <c r="W527" s="890"/>
      <c r="X527" s="890"/>
      <c r="Y527" s="891"/>
      <c r="Z527" s="196">
        <f ca="1">IF($B$521="Лікар загальної практики - сімейний лікар",IF(Z525&lt;Законод!$C$22,0,(IF(AND(Z525&gt;=Законод!$E$22,Z525&lt;=Законод!$E$23),Z525-Законод!$C$22,IF('01_Доходи'!Z525&gt;=Законод!$F$22,Законод!$E$24,0)))),IF($B$521="Лікар-педіатр",IF(Z525&lt;Законод!$C$18,0,(IF(AND(Z525&gt;=Законод!$E$18,Z525&lt;=Законод!$E$19),Z525-Законод!$C$18,IF('01_Доходи'!Z525&gt;=Законод!$F$18,Законод!$E$20,0)))),IF($B$521="Лікар-терапевт",IF(Z525&lt;Законод!$C$26,0,(IF(AND(Z525&gt;=Законод!$E$26,Z525&lt;=Законод!$E$27),Z525-Законод!$C$26,IF('01_Доходи'!Z525&gt;=Законод!$F$26,Законод!$E$28,0)))),0)))</f>
        <v>0</v>
      </c>
      <c r="AA527" s="930"/>
      <c r="AB527" s="889" t="s">
        <v>346</v>
      </c>
      <c r="AC527" s="890"/>
      <c r="AD527" s="890"/>
      <c r="AE527" s="890"/>
      <c r="AF527" s="891"/>
      <c r="AG527" s="196">
        <f ca="1">IF($B$521="Лікар загальної практики - сімейний лікар",IF(AG525&lt;Законод!$C$22,0,(IF(AND(AG525&gt;=Законод!$E$22,AG525&lt;=Законод!$E$23),AG525-Законод!$C$22,IF('01_Доходи'!AG525&gt;=Законод!$F$22,Законод!$E$24,0)))),IF($B$521="Лікар-педіатр",IF(AG525&lt;Законод!$C$18,0,(IF(AND(AG525&gt;=Законод!$E$18,AG525&lt;=Законод!$E$19),AG525-Законод!$C$18,IF('01_Доходи'!AG525&gt;=Законод!$F$18,Законод!$E$20,0)))),IF($B$521="Лікар-терапевт",IF(AG525&lt;Законод!$C$26,0,(IF(AND(AG525&gt;=Законод!$E$26,AG525&lt;=Законод!$E$27),AG525-Законод!$C$26,IF('01_Доходи'!AG525&gt;=Законод!$F$26,Законод!$E$28,0)))),0)))</f>
        <v>0</v>
      </c>
      <c r="AH527" s="930"/>
      <c r="AI527" s="201"/>
      <c r="AJ527" s="933"/>
      <c r="AK527" s="927"/>
      <c r="AL527" s="927"/>
      <c r="AM527" s="898" t="s">
        <v>375</v>
      </c>
      <c r="AN527" s="210">
        <f ca="1">IF(B521="Лікар загальної практики - сімейний лікар",L527*Законод!$C$9/4*Законод!$E$16,IF(B521="Лікар-педіатр",L527*Законод!$C$9/4*Законод!$E$16,IF(B521="Лікар-терапевт",L527*Законод!$C$9/4*Законод!$E$16,0)))</f>
        <v>0</v>
      </c>
      <c r="AO527" s="210">
        <f ca="1">IF(B521="Лікар загальної практики - сімейний лікар",S527*Законод!$C$9/4*Законод!$E$16,IF(B521="Лікар-педіатр",S527*Законод!$C$9/4*Законод!$E$16,IF(B521="Лікар-терапевт",S527*Законод!$C$9/4*Законод!$E$16,0)))</f>
        <v>0</v>
      </c>
      <c r="AP527" s="210">
        <f ca="1">IF(B521="Лікар загальної практики - сімейний лікар",Z527*Законод!$C$9/4*Законод!$E$16,IF(B521="Лікар-педіатр",Z527*Законод!$C$9/4*Законод!$E$16,IF(B521="Лікар-терапевт",Z527*Законод!$C$9/4*Законод!$E$16,0)))</f>
        <v>0</v>
      </c>
      <c r="AQ527" s="210">
        <f ca="1">IF(B521="Лікар загальної практики - сімейний лікар",AG527*Законод!$C$9/4*Законод!$E$16,IF(B521="Лікар-педіатр",AG527*Законод!$C$9/4*Законод!$E$16,IF(B521="Лікар-терапевт",AG527*Законод!$C$9/4*Законод!$E$16,0)))</f>
        <v>0</v>
      </c>
      <c r="AR527" s="211">
        <f t="shared" si="67"/>
        <v>0</v>
      </c>
    </row>
    <row r="528" spans="1:44" s="50" customFormat="1" ht="31.9" hidden="1" customHeight="1">
      <c r="A528" s="197"/>
      <c r="B528" s="893"/>
      <c r="C528" s="896"/>
      <c r="D528" s="912"/>
      <c r="E528" s="909"/>
      <c r="F528" s="238" t="str">
        <f ca="1">IF(B521="Лікар-педіатр",Законод!$F$17,IF(B521="Лікар загальної практики - сімейний лікар",Законод!$F$21,IF(B521="Лікар-терапевт",Законод!$F$25,"х")))</f>
        <v>х</v>
      </c>
      <c r="G528" s="889" t="s">
        <v>346</v>
      </c>
      <c r="H528" s="890"/>
      <c r="I528" s="890"/>
      <c r="J528" s="890"/>
      <c r="K528" s="891"/>
      <c r="L528" s="196">
        <f ca="1">IF($B$521="Лікар загальної практики - сімейний лікар",IF(L525&lt;Законод!$C$22,0,(IF(AND(L525&gt;=Законод!$F$22,L525&lt;=Законод!$F$23),L525-Законод!$E$23,IF('01_Доходи'!L525&gt;=Законод!$G$22,Законод!$F$24,0)))),IF($B$521="Лікар-педіатр",IF(L525&lt;Законод!$C$18,0,(IF(AND(L525&gt;=Законод!$F$18,L525&lt;=Законод!$F$19),L525-Законод!$E$19,IF('01_Доходи'!L525&gt;=Законод!$G$18,Законод!$F$20,0)))),IF($B$521="Лікар-терапевт",IF(L525&lt;Законод!$C$26,0,(IF(AND(L525&gt;=Законод!$F$26,L525&lt;=Законод!$F$27),L525-Законод!$E$27,IF('01_Доходи'!L525&gt;=Законод!$G$26,Законод!$F$28,0)))),0)))</f>
        <v>0</v>
      </c>
      <c r="M528" s="930"/>
      <c r="N528" s="889" t="s">
        <v>346</v>
      </c>
      <c r="O528" s="890"/>
      <c r="P528" s="890"/>
      <c r="Q528" s="890"/>
      <c r="R528" s="891"/>
      <c r="S528" s="196">
        <f ca="1">IF($B$521="Лікар загальної практики - сімейний лікар",IF(S525&lt;Законод!$C$22,0,(IF(AND(S525&gt;=Законод!$F$22,S525&lt;=Законод!$F$23),S525-Законод!$E$23,IF('01_Доходи'!S525&gt;=Законод!$G$22,Законод!$F$24,0)))),IF($B$521="Лікар-педіатр",IF(S525&lt;Законод!$C$18,0,(IF(AND(S525&gt;=Законод!$F$18,S525&lt;=Законод!$F$19),S525-Законод!$E$19,IF('01_Доходи'!S525&gt;=Законод!$G$18,Законод!$F$20,0)))),IF($B$521="Лікар-терапевт",IF(S525&lt;Законод!$C$26,0,(IF(AND(S525&gt;=Законод!$F$26,S525&lt;=Законод!$F$27),S525-Законод!$E$27,IF('01_Доходи'!S525&gt;=Законод!$G$26,Законод!$F$28,0)))),0)))</f>
        <v>0</v>
      </c>
      <c r="T528" s="930"/>
      <c r="U528" s="889" t="s">
        <v>346</v>
      </c>
      <c r="V528" s="890"/>
      <c r="W528" s="890"/>
      <c r="X528" s="890"/>
      <c r="Y528" s="891"/>
      <c r="Z528" s="196">
        <f ca="1">IF($B$521="Лікар загальної практики - сімейний лікар",IF(Z525&lt;Законод!$C$22,0,(IF(AND(Z525&gt;=Законод!$F$22,Z525&lt;=Законод!$F$23),Z525-Законод!$E$23,IF('01_Доходи'!Z525&gt;=Законод!$G$22,Законод!$F$24,0)))),IF($B$521="Лікар-педіатр",IF(Z525&lt;Законод!$C$18,0,(IF(AND(Z525&gt;=Законод!$F$18,Z525&lt;=Законод!$F$19),Z525-Законод!$E$19,IF('01_Доходи'!Z525&gt;=Законод!$G$18,Законод!$F$20,0)))),IF($B$521="Лікар-терапевт",IF(Z525&lt;Законод!$C$26,0,(IF(AND(Z525&gt;=Законод!$F$26,Z525&lt;=Законод!$F$27),Z525-Законод!$E$27,IF('01_Доходи'!Z525&gt;=Законод!$G$26,Законод!$F$28,0)))),0)))</f>
        <v>0</v>
      </c>
      <c r="AA528" s="930"/>
      <c r="AB528" s="889" t="s">
        <v>346</v>
      </c>
      <c r="AC528" s="890"/>
      <c r="AD528" s="890"/>
      <c r="AE528" s="890"/>
      <c r="AF528" s="891"/>
      <c r="AG528" s="196">
        <f ca="1">IF($B$521="Лікар загальної практики - сімейний лікар",IF(AG525&lt;Законод!$C$22,0,(IF(AND(AG525&gt;=Законод!$F$22,AG525&lt;=Законод!$F$23),AG525-Законод!$E$23,IF('01_Доходи'!AG525&gt;=Законод!$G$22,Законод!$F$24,0)))),IF($B$521="Лікар-педіатр",IF(AG525&lt;Законод!$C$18,0,(IF(AND(AG525&gt;=Законод!$F$18,AG525&lt;=Законод!$F$19),AG525-Законод!$E$19,IF('01_Доходи'!AG525&gt;=Законод!$G$18,Законод!$F$20,0)))),IF($B$521="Лікар-терапевт",IF(AG525&lt;Законод!$C$26,0,(IF(AND(AG525&gt;=Законод!$F$26,AG525&lt;=Законод!$F$27),AG525-Законод!$E$27,IF('01_Доходи'!AG525&gt;=Законод!$G$26,Законод!$F$28,0)))),0)))</f>
        <v>0</v>
      </c>
      <c r="AH528" s="930"/>
      <c r="AI528" s="201"/>
      <c r="AJ528" s="933"/>
      <c r="AK528" s="927"/>
      <c r="AL528" s="927"/>
      <c r="AM528" s="899"/>
      <c r="AN528" s="210">
        <f ca="1">IF(B521="Лікар загальної практики - сімейний лікар",L528*Законод!$C$9/4*Законод!$F$16,IF(B521="Лікар-педіатр",L528*Законод!$C$9/4*Законод!$F$16,IF(B521="Лікар-терапевт",L528*Законод!$C$9/4*Законод!$F$16,0)))</f>
        <v>0</v>
      </c>
      <c r="AO528" s="210">
        <f ca="1">IF(B521="Лікар загальної практики - сімейний лікар",S528*Законод!$C$9/4*Законод!$F$16,IF(B521="Лікар-педіатр",S528*Законод!$C$9/4*Законод!$F$16,IF(B521="Лікар-терапевт",S528*Законод!$C$9/4*Законод!$F$16,0)))</f>
        <v>0</v>
      </c>
      <c r="AP528" s="210">
        <f ca="1">IF(B521="Лікар загальної практики - сімейний лікар",Z528*Законод!$C$9/4*Законод!$F$16,IF(B521="Лікар-педіатр",Z528*Законод!$C$9/4*Законод!$F$16,IF(B521="Лікар-терапевт",Z528*Законод!$C$9/4*Законод!$F$16,0)))</f>
        <v>0</v>
      </c>
      <c r="AQ528" s="210">
        <f ca="1">IF(B521="Лікар загальної практики - сімейний лікар",AG528*Законод!$C$9/4*Законод!$F$16,IF(B521="Лікар-педіатр",AG528*Законод!$C$9/4*Законод!$F$16,IF(B521="Лікар-терапевт",AG528*Законод!$C$9/4*Законод!$F$16,0)))</f>
        <v>0</v>
      </c>
      <c r="AR528" s="211">
        <f t="shared" si="67"/>
        <v>0</v>
      </c>
    </row>
    <row r="529" spans="1:44" s="50" customFormat="1" ht="31.9" hidden="1" customHeight="1">
      <c r="A529" s="197"/>
      <c r="B529" s="893"/>
      <c r="C529" s="896"/>
      <c r="D529" s="912"/>
      <c r="E529" s="909"/>
      <c r="F529" s="238" t="str">
        <f ca="1">IF(B521="Лікар-педіатр",Законод!$G$17,IF(B521="Лікар загальної практики - сімейний лікар",Законод!$G$21,IF(B521="Лікар-терапевт",Законод!$G$25,"х")))</f>
        <v>х</v>
      </c>
      <c r="G529" s="889" t="s">
        <v>346</v>
      </c>
      <c r="H529" s="890"/>
      <c r="I529" s="890"/>
      <c r="J529" s="890"/>
      <c r="K529" s="891"/>
      <c r="L529" s="196">
        <f ca="1">IF($B$521="Лікар загальної практики - сімейний лікар",IF(L525&lt;Законод!$C$22,0,(IF(AND(L525&gt;=Законод!$G$22,L525&lt;=Законод!$G$23),L525-Законод!$F$23,IF('01_Доходи'!L525&gt;=Законод!$H$22,Законод!$G$24,0)))),IF($B$521="Лікар-педіатр",IF(L525&lt;Законод!$C$18,0,(IF(AND(L525&gt;=Законод!$G$18,L525&lt;=Законод!$G$19),L525-Законод!$F$19,IF('01_Доходи'!L525&gt;=Законод!$H$18,Законод!$G$20,0)))),IF($B$521="Лікар-терапевт",IF(L525&lt;Законод!$C$26,0,(IF(AND(L525&gt;=Законод!$G$26,L525&lt;=Законод!$G$27),L525-Законод!$F$27,IF('01_Доходи'!L525&gt;=Законод!$H$26,Законод!$G$28,0)))),0)))</f>
        <v>0</v>
      </c>
      <c r="M529" s="930"/>
      <c r="N529" s="889" t="s">
        <v>346</v>
      </c>
      <c r="O529" s="890"/>
      <c r="P529" s="890"/>
      <c r="Q529" s="890"/>
      <c r="R529" s="891"/>
      <c r="S529" s="196">
        <f ca="1">IF($B$521="Лікар загальної практики - сімейний лікар",IF(S525&lt;Законод!$C$22,0,(IF(AND(S525&gt;=Законод!$G$22,S525&lt;=Законод!$G$23),S525-Законод!$F$23,IF('01_Доходи'!S525&gt;=Законод!$H$22,Законод!$G$24,0)))),IF($B$521="Лікар-педіатр",IF(S525&lt;Законод!$C$18,0,(IF(AND(S525&gt;=Законод!$G$18,S525&lt;=Законод!$G$19),S525-Законод!$F$19,IF('01_Доходи'!S525&gt;=Законод!$H$18,Законод!$G$20,0)))),IF($B$521="Лікар-терапевт",IF(S525&lt;Законод!$C$26,0,(IF(AND(S525&gt;=Законод!$G$26,S525&lt;=Законод!$G$27),S525-Законод!$F$27,IF('01_Доходи'!S525&gt;=Законод!$H$26,Законод!$G$28,0)))),0)))</f>
        <v>0</v>
      </c>
      <c r="T529" s="930"/>
      <c r="U529" s="889" t="s">
        <v>346</v>
      </c>
      <c r="V529" s="890"/>
      <c r="W529" s="890"/>
      <c r="X529" s="890"/>
      <c r="Y529" s="891"/>
      <c r="Z529" s="196">
        <f ca="1">IF($B$521="Лікар загальної практики - сімейний лікар",IF(Z525&lt;Законод!$C$22,0,(IF(AND(Z525&gt;=Законод!$G$22,Z525&lt;=Законод!$G$23),Z525-Законод!$F$23,IF('01_Доходи'!Z525&gt;=Законод!$H$22,Законод!$G$24,0)))),IF($B$521="Лікар-педіатр",IF(Z525&lt;Законод!$C$18,0,(IF(AND(Z525&gt;=Законод!$G$18,Z525&lt;=Законод!$G$19),Z525-Законод!$F$19,IF('01_Доходи'!Z525&gt;=Законод!$H$18,Законод!$G$20,0)))),IF($B$521="Лікар-терапевт",IF(Z525&lt;Законод!$C$26,0,(IF(AND(Z525&gt;=Законод!$G$26,Z525&lt;=Законод!$G$27),Z525-Законод!$F$27,IF('01_Доходи'!Z525&gt;=Законод!$H$26,Законод!$G$28,0)))),0)))</f>
        <v>0</v>
      </c>
      <c r="AA529" s="930"/>
      <c r="AB529" s="889" t="s">
        <v>346</v>
      </c>
      <c r="AC529" s="890"/>
      <c r="AD529" s="890"/>
      <c r="AE529" s="890"/>
      <c r="AF529" s="891"/>
      <c r="AG529" s="196">
        <f ca="1">IF($B$521="Лікар загальної практики - сімейний лікар",IF(AG525&lt;Законод!$C$22,0,(IF(AND(AG525&gt;=Законод!$G$22,AG525&lt;=Законод!$G$23),AG525-Законод!$F$23,IF('01_Доходи'!AG525&gt;=Законод!$H$22,Законод!$G$24,0)))),IF($B$521="Лікар-педіатр",IF(AG525&lt;Законод!$C$18,0,(IF(AND(AG525&gt;=Законод!$G$18,AG525&lt;=Законод!$G$19),AG525-Законод!$F$19,IF('01_Доходи'!AG525&gt;=Законод!$H$18,Законод!$G$20,0)))),IF($B$521="Лікар-терапевт",IF(AG525&lt;Законод!$C$26,0,(IF(AND(AG525&gt;=Законод!$G$26,AG525&lt;=Законод!$G$27),AG525-Законод!$F$27,IF('01_Доходи'!AG525&gt;=Законод!$H$26,Законод!$G$28,0)))),0)))</f>
        <v>0</v>
      </c>
      <c r="AH529" s="930"/>
      <c r="AI529" s="201"/>
      <c r="AJ529" s="933"/>
      <c r="AK529" s="927"/>
      <c r="AL529" s="927"/>
      <c r="AM529" s="899"/>
      <c r="AN529" s="210">
        <f ca="1">IF(B521="Лікар загальної практики - сімейний лікар",L529*Законод!$C$9/4*Законод!$G$16,IF(B521="Лікар-педіатр",L529*Законод!$C$9/4*Законод!$G$16,IF(B521="Лікар-терапевт",L529*Законод!$C$9/4*Законод!$G$16,0)))</f>
        <v>0</v>
      </c>
      <c r="AO529" s="210">
        <f ca="1">IF(B521="Лікар загальної практики - сімейний лікар",S529*Законод!$C$9/4*Законод!$G$16,IF(B521="Лікар-педіатр",S529*Законод!$C$9/4*Законод!$G$16,IF(B521="Лікар-терапевт",S529*Законод!$C$9/4*Законод!$G$16,0)))</f>
        <v>0</v>
      </c>
      <c r="AP529" s="210">
        <f ca="1">IF(B521="Лікар загальної практики - сімейний лікар",Z529*Законод!$C$9/4*Законод!$G$16,IF(B521="Лікар-педіатр",Z529*Законод!$C$9/4*Законод!$G$16,IF(B521="Лікар-терапевт",Z529*Законод!$C$9/4*Законод!$G$16,0)))</f>
        <v>0</v>
      </c>
      <c r="AQ529" s="210">
        <f ca="1">IF(B521="Лікар загальної практики - сімейний лікар",AG529*Законод!$C$9/4*Законод!$G$16,IF(B521="Лікар-педіатр",AG529*Законод!$C$9/4*Законод!$G$16,IF(B521="Лікар-терапевт",AG529*Законод!$C$9/4*Законод!$G$16,0)))</f>
        <v>0</v>
      </c>
      <c r="AR529" s="211">
        <f t="shared" si="67"/>
        <v>0</v>
      </c>
    </row>
    <row r="530" spans="1:44" s="50" customFormat="1" ht="31.9" hidden="1" customHeight="1">
      <c r="A530" s="197"/>
      <c r="B530" s="893"/>
      <c r="C530" s="896"/>
      <c r="D530" s="912"/>
      <c r="E530" s="909"/>
      <c r="F530" s="238" t="str">
        <f ca="1">IF(B521="Лікар-педіатр",Законод!$H$17,IF(B521="Лікар загальної практики - сімейний лікар",Законод!$H$21,IF(B521="Лікар-терапевт",Законод!$H$25,"х")))</f>
        <v>х</v>
      </c>
      <c r="G530" s="889" t="s">
        <v>346</v>
      </c>
      <c r="H530" s="890"/>
      <c r="I530" s="890"/>
      <c r="J530" s="890"/>
      <c r="K530" s="891"/>
      <c r="L530" s="196">
        <f ca="1">IF($B$521="Лікар загальної практики - сімейний лікар",IF(L525&lt;Законод!$C$22,0,(IF(AND(L525&gt;=Законод!$H$22,L525&lt;=Законод!$H$23),L525-Законод!$G$23,IF('01_Доходи'!L525&gt;=Законод!$I$22,Законод!$H$24,0)))),IF($B$521="Лікар-педіатр",IF(L525&lt;Законод!$C$18,0,(IF(AND(L525&gt;=Законод!$H$18,L525&lt;=Законод!$H$19),L525-Законод!$G$19,IF('01_Доходи'!L525&gt;=Законод!$I$18,Законод!$H$20,0)))),IF($B$521="Лікар-терапевт",IF(L525&lt;Законод!$C$26,0,(IF(AND(L525&gt;=Законод!$H$26,L525&lt;=Законод!$H$27),L525-Законод!$G$27,IF(L525&gt;=Законод!$I$26,Законод!$H$28,0)))),0)))</f>
        <v>0</v>
      </c>
      <c r="M530" s="930"/>
      <c r="N530" s="889" t="s">
        <v>346</v>
      </c>
      <c r="O530" s="890"/>
      <c r="P530" s="890"/>
      <c r="Q530" s="890"/>
      <c r="R530" s="891"/>
      <c r="S530" s="196">
        <f ca="1">IF($B$521="Лікар загальної практики - сімейний лікар",IF(S525&lt;Законод!$C$22,0,(IF(AND(S525&gt;=Законод!$H$22,S525&lt;=Законод!$H$23),S525-Законод!$G$23,IF('01_Доходи'!S525&gt;=Законод!$I$22,Законод!$H$24,0)))),IF($B$521="Лікар-педіатр",IF(S525&lt;Законод!$C$18,0,(IF(AND(S525&gt;=Законод!$H$18,S525&lt;=Законод!$H$19),S525-Законод!$G$19,IF('01_Доходи'!S525&gt;=Законод!$I$18,Законод!$H$20,0)))),IF($B$521="Лікар-терапевт",IF(S525&lt;Законод!$C$26,0,(IF(AND(S525&gt;=Законод!$H$26,S525&lt;=Законод!$H$27),S525-Законод!$G$27,IF(S525&gt;=Законод!$I$26,Законод!$H$28,0)))),0)))</f>
        <v>0</v>
      </c>
      <c r="T530" s="930"/>
      <c r="U530" s="889" t="s">
        <v>346</v>
      </c>
      <c r="V530" s="890"/>
      <c r="W530" s="890"/>
      <c r="X530" s="890"/>
      <c r="Y530" s="891"/>
      <c r="Z530" s="196">
        <f ca="1">IF($B$521="Лікар загальної практики - сімейний лікар",IF(Z525&lt;Законод!$C$22,0,(IF(AND(Z525&gt;=Законод!$H$22,Z525&lt;=Законод!$H$23),Z525-Законод!$G$23,IF('01_Доходи'!Z525&gt;=Законод!$I$22,Законод!$H$24,0)))),IF($B$521="Лікар-педіатр",IF(Z525&lt;Законод!$C$18,0,(IF(AND(Z525&gt;=Законод!$H$18,Z525&lt;=Законод!$H$19),Z525-Законод!$G$19,IF('01_Доходи'!Z525&gt;=Законод!$I$18,Законод!$H$20,0)))),IF($B$521="Лікар-терапевт",IF(Z525&lt;Законод!$C$26,0,(IF(AND(Z525&gt;=Законод!$H$26,Z525&lt;=Законод!$H$27),Z525-Законод!$G$27,IF(Z525&gt;=Законод!$I$26,Законод!$H$28,0)))),0)))</f>
        <v>0</v>
      </c>
      <c r="AA530" s="930"/>
      <c r="AB530" s="889" t="s">
        <v>346</v>
      </c>
      <c r="AC530" s="890"/>
      <c r="AD530" s="890"/>
      <c r="AE530" s="890"/>
      <c r="AF530" s="891"/>
      <c r="AG530" s="196">
        <f ca="1">IF($B$521="Лікар загальної практики - сімейний лікар",IF(AG525&lt;Законод!$C$22,0,(IF(AND(AG525&gt;=Законод!$H$22,AG525&lt;=Законод!$H$23),AG525-Законод!$G$23,IF('01_Доходи'!AG525&gt;=Законод!$I$22,Законод!$H$24,0)))),IF($B$521="Лікар-педіатр",IF(AG525&lt;Законод!$C$18,0,(IF(AND(AG525&gt;=Законод!$H$18,AG525&lt;=Законод!$H$19),AG525-Законод!$G$19,IF('01_Доходи'!AG525&gt;=Законод!$I$18,Законод!$H$20,0)))),IF($B$521="Лікар-терапевт",IF(AG525&lt;Законод!$C$26,0,(IF(AND(AG525&gt;=Законод!$H$26,AG525&lt;=Законод!$H$27),AG525-Законод!$G$27,IF(AG525&gt;=Законод!$I$26,Законод!$H$28,0)))),0)))</f>
        <v>0</v>
      </c>
      <c r="AH530" s="930"/>
      <c r="AI530" s="201"/>
      <c r="AJ530" s="933"/>
      <c r="AK530" s="927"/>
      <c r="AL530" s="927"/>
      <c r="AM530" s="899"/>
      <c r="AN530" s="210">
        <f ca="1">IF(B521="Лікар загальної практики - сімейний лікар",L530*Законод!$C$9/4*Законод!$H$16,IF(B521="Лікар-педіатр",L530*Законод!$C$9/4*Законод!$H$16,IF(B521="Лікар-терапевт",L530*Законод!$C$9/4*Законод!$H$16,0)))</f>
        <v>0</v>
      </c>
      <c r="AO530" s="210">
        <f ca="1">IF(B521="Лікар загальної практики - сімейний лікар",S530*Законод!$C$9/4*Законод!$H$16,IF(B521="Лікар-педіатр",S530*Законод!$C$9/4*Законод!$H$16,IF(B521="Лікар-терапевт",S530*Законод!$C$9/4*Законод!$H$16,0)))</f>
        <v>0</v>
      </c>
      <c r="AP530" s="210">
        <f ca="1">IF(B521="Лікар загальної практики - сімейний лікар",Z530*Законод!$C$9/4*Законод!$H$16,IF(B521="Лікар-педіатр",Z530*Законод!$C$9/4*Законод!$H$16,IF(B521="Лікар-терапевт",Z530*Законод!$C$9/4*Законод!$H$16,0)))</f>
        <v>0</v>
      </c>
      <c r="AQ530" s="210">
        <f ca="1">IF(B521="Лікар загальної практики - сімейний лікар",AG530*Законод!$C$9/4*Законод!$H$16,IF(B521="Лікар-педіатр",AG530*Законод!$C$9/4*Законод!$H$16,IF(B521="Лікар-терапевт",AG530*Законод!$C$9/4*Законод!$H$16,0)))</f>
        <v>0</v>
      </c>
      <c r="AR530" s="211">
        <f t="shared" si="67"/>
        <v>0</v>
      </c>
    </row>
    <row r="531" spans="1:44" s="50" customFormat="1" ht="31.9" hidden="1" customHeight="1">
      <c r="A531" s="197"/>
      <c r="B531" s="893"/>
      <c r="C531" s="896"/>
      <c r="D531" s="912"/>
      <c r="E531" s="909"/>
      <c r="F531" s="238" t="str">
        <f ca="1">IF(B521="Лікар-педіатр",Законод!$I$17,IF(B521="Лікар загальної практики - сімейний лікар",Законод!$I$21,IF(B521="Лікар-терапевт",Законод!$I$25,"х")))</f>
        <v>х</v>
      </c>
      <c r="G531" s="889" t="s">
        <v>346</v>
      </c>
      <c r="H531" s="890"/>
      <c r="I531" s="890"/>
      <c r="J531" s="890"/>
      <c r="K531" s="891"/>
      <c r="L531" s="196">
        <f ca="1">IF($B$521="Лікар загальної практики - сімейний лікар",IF(L525&lt;Законод!$C$22,0,(IF(AND(L525&gt;=Законод!$I$22,L525&lt;=Законод!$I$23),L525-Законод!$H$23,IF('01_Доходи'!L525&gt;=Законод!$I$22,Законод!$I$24,0)))),IF($B$521="Лікар-педіатр",IF(L525&lt;Законод!$C$18,0,(IF(AND(L525&gt;=Законод!$I$18,L525&lt;=Законод!$I$19),L525-Законод!$H$19,IF('01_Доходи'!L525&gt;=Законод!$I$18,Законод!$H$20,0)))),IF($B$521="Лікар-терапевт",IF(L525&lt;Законод!$C$26,0,(IF(AND(L525&gt;=Законод!$I$26,L525&lt;=Законод!$I$27),L525-Законод!$H$27,IF('01_Доходи'!L525&gt;=Законод!$I$26,Законод!$H$28,0)))),0)))</f>
        <v>0</v>
      </c>
      <c r="M531" s="930"/>
      <c r="N531" s="889" t="s">
        <v>346</v>
      </c>
      <c r="O531" s="890"/>
      <c r="P531" s="890"/>
      <c r="Q531" s="890"/>
      <c r="R531" s="891"/>
      <c r="S531" s="196">
        <f ca="1">IF($B$521="Лікар загальної практики - сімейний лікар",IF(S525&lt;Законод!$C$22,0,(IF(AND(S525&gt;=Законод!$I$22,S525&lt;=Законод!$I$23),S525-Законод!$H$23,IF('01_Доходи'!S525&gt;=Законод!$I$22,Законод!$I$24,0)))),IF($B$521="Лікар-педіатр",IF(S525&lt;Законод!$C$18,0,(IF(AND(S525&gt;=Законод!$I$18,S525&lt;=Законод!$I$19),S525-Законод!$H$19,IF('01_Доходи'!S525&gt;=Законод!$I$18,Законод!$H$20,0)))),IF($B$521="Лікар-терапевт",IF(S525&lt;Законод!$C$26,0,(IF(AND(S525&gt;=Законод!$I$26,S525&lt;=Законод!$I$27),S525-Законод!$H$27,IF('01_Доходи'!S525&gt;=Законод!$I$26,Законод!$H$28,0)))),0)))</f>
        <v>0</v>
      </c>
      <c r="T531" s="930"/>
      <c r="U531" s="889" t="s">
        <v>346</v>
      </c>
      <c r="V531" s="890"/>
      <c r="W531" s="890"/>
      <c r="X531" s="890"/>
      <c r="Y531" s="891"/>
      <c r="Z531" s="196">
        <f ca="1">IF($B$521="Лікар загальної практики - сімейний лікар",IF(Z525&lt;Законод!$C$22,0,(IF(AND(Z525&gt;=Законод!$I$22,Z525&lt;=Законод!$I$23),Z525-Законод!$H$23,IF('01_Доходи'!Z525&gt;=Законод!$I$22,Законод!$I$24,0)))),IF($B$521="Лікар-педіатр",IF(Z525&lt;Законод!$C$18,0,(IF(AND(Z525&gt;=Законод!$I$18,Z525&lt;=Законод!$I$19),Z525-Законод!$H$19,IF('01_Доходи'!Z525&gt;=Законод!$I$18,Законод!$H$20,0)))),IF($B$521="Лікар-терапевт",IF(Z525&lt;Законод!$C$26,0,(IF(AND(Z525&gt;=Законод!$I$26,Z525&lt;=Законод!$I$27),Z525-Законод!$H$27,IF('01_Доходи'!Z525&gt;=Законод!$I$26,Законод!$H$28,0)))),0)))</f>
        <v>0</v>
      </c>
      <c r="AA531" s="930"/>
      <c r="AB531" s="889" t="s">
        <v>346</v>
      </c>
      <c r="AC531" s="890"/>
      <c r="AD531" s="890"/>
      <c r="AE531" s="890"/>
      <c r="AF531" s="891"/>
      <c r="AG531" s="196">
        <f ca="1">IF($B$521="Лікар загальної практики - сімейний лікар",IF(AG525&lt;Законод!$C$22,0,(IF(AND(AG525&gt;=Законод!$I$22,AG525&lt;=Законод!$I$23),AG525-Законод!$H$23,IF('01_Доходи'!AG525&gt;=Законод!$I$22,Законод!$I$24,0)))),IF($B$521="Лікар-педіатр",IF(AG525&lt;Законод!$C$18,0,(IF(AND(AG525&gt;=Законод!$I$18,AG525&lt;=Законод!$I$19),AG525-Законод!$H$19,IF('01_Доходи'!AG525&gt;=Законод!$I$18,Законод!$H$20,0)))),IF($B$521="Лікар-терапевт",IF(AG525&lt;Законод!$C$26,0,(IF(AND(AG525&gt;=Законод!$I$26,AG525&lt;=Законод!$I$27),AG525-Законод!$H$27,IF('01_Доходи'!AG525&gt;=Законод!$I$26,Законод!$H$28,0)))),0)))</f>
        <v>0</v>
      </c>
      <c r="AH531" s="930"/>
      <c r="AI531" s="201"/>
      <c r="AJ531" s="933"/>
      <c r="AK531" s="927"/>
      <c r="AL531" s="927"/>
      <c r="AM531" s="899"/>
      <c r="AN531" s="210">
        <f ca="1">IF(B521="Лікар загальної практики - сімейний лікар",L531*Законод!$C$9/4*Законод!$I$16,IF(B521="Лікар-педіатр",L531*Законод!$C$9/4*Законод!$I$16,IF(B521="Лікар-терапевт",L531*Законод!$C$9/4*Законод!$I$16,0)))</f>
        <v>0</v>
      </c>
      <c r="AO531" s="210">
        <f ca="1">IF(B521="Лікар загальної практики - сімейний лікар",S531*Законод!$C$9/4*Законод!$I$16,IF(B521="Лікар-педіатр",S531*Законод!$C$9/4*Законод!$I$16,IF(B521="Лікар-терапевт",S531*Законод!$C$9/4*Законод!$I$16,0)))</f>
        <v>0</v>
      </c>
      <c r="AP531" s="210">
        <f ca="1">IF(B521="Лікар загальної практики - сімейний лікар",Z531*Законод!$C$9/4*Законод!$I$16,IF(B521="Лікар-педіатр",Z531*Законод!$C$9/4*Законод!$I$16,IF(B521="Лікар-терапевт",Z531*Законод!$C$9/4*Законод!$I$16,0)))</f>
        <v>0</v>
      </c>
      <c r="AQ531" s="210">
        <f ca="1">IF(B521="Лікар загальної практики - сімейний лікар",AG531*Законод!$C$9/4*Законод!$I$16,IF(B521="Лікар-педіатр",AG531*Законод!$C$9/4*Законод!$I$16,IF(B521="Лікар-терапевт",AG531*Законод!$C$9/4*Законод!$I$16,0)))</f>
        <v>0</v>
      </c>
      <c r="AR531" s="211">
        <f t="shared" si="67"/>
        <v>0</v>
      </c>
    </row>
    <row r="532" spans="1:44" s="218" customFormat="1" ht="31.9" hidden="1" customHeight="1" thickBot="1">
      <c r="A532" s="213"/>
      <c r="B532" s="894"/>
      <c r="C532" s="897"/>
      <c r="D532" s="913"/>
      <c r="E532" s="910"/>
      <c r="F532" s="239" t="str">
        <f ca="1">IF(B521="Лікар-педіатр",Законод!$J$17,IF(B521="Лікар загальної практики - сімейний лікар",Законод!$J$21,IF(B521="Лікар-терапевт",Законод!$J$25,"х")))</f>
        <v>х</v>
      </c>
      <c r="G532" s="935" t="s">
        <v>346</v>
      </c>
      <c r="H532" s="936"/>
      <c r="I532" s="936"/>
      <c r="J532" s="936"/>
      <c r="K532" s="937"/>
      <c r="L532" s="196">
        <f ca="1">IF($B$521="Лікар загальної практики - сімейний лікар",IF(L525&gt;=Законод!$J$22,'01_Доходи'!L525-('01_Доходи'!L526+'01_Доходи'!L527+'01_Доходи'!L528+'01_Доходи'!L529+'01_Доходи'!L530+'01_Доходи'!L531),0),IF($B$521="Лікар-педіатр",IF(L525&gt;=Законод!$J$18,'01_Доходи'!L525-('01_Доходи'!L526+'01_Доходи'!L527+'01_Доходи'!L528+'01_Доходи'!L529+'01_Доходи'!L530+'01_Доходи'!L531),0),IF($B$521="Лікар-терапевт",IF('01_Доходи'!L525&gt;=Законод!$J$26,L525-Законод!$I$27,0),0)))</f>
        <v>0</v>
      </c>
      <c r="M532" s="931"/>
      <c r="N532" s="935" t="s">
        <v>346</v>
      </c>
      <c r="O532" s="936"/>
      <c r="P532" s="936"/>
      <c r="Q532" s="936"/>
      <c r="R532" s="937"/>
      <c r="S532" s="196">
        <f ca="1">IF($B$521="Лікар загальної практики - сімейний лікар",IF(S525&gt;=Законод!$J$22,'01_Доходи'!S525-('01_Доходи'!S526+'01_Доходи'!S527+'01_Доходи'!S528+'01_Доходи'!S529+'01_Доходи'!S530+'01_Доходи'!S531),0),IF($B$521="Лікар-педіатр",IF(S525&gt;=Законод!$J$18,'01_Доходи'!S525-('01_Доходи'!S526+'01_Доходи'!S527+'01_Доходи'!S528+'01_Доходи'!S529+'01_Доходи'!S530+'01_Доходи'!S531),0),IF($B$521="Лікар-терапевт",IF('01_Доходи'!S525&gt;=Законод!$J$26,S525-Законод!$I$27,0),0)))</f>
        <v>0</v>
      </c>
      <c r="T532" s="931"/>
      <c r="U532" s="935" t="s">
        <v>346</v>
      </c>
      <c r="V532" s="936"/>
      <c r="W532" s="936"/>
      <c r="X532" s="936"/>
      <c r="Y532" s="937"/>
      <c r="Z532" s="196">
        <f ca="1">IF($B$521="Лікар загальної практики - сімейний лікар",IF(Z525&gt;=Законод!$J$22,'01_Доходи'!Z525-('01_Доходи'!Z526+'01_Доходи'!Z527+'01_Доходи'!Z528+'01_Доходи'!Z529+'01_Доходи'!Z530+'01_Доходи'!Z531),0),IF($B$521="Лікар-педіатр",IF(Z525&gt;=Законод!$J$18,'01_Доходи'!Z525-('01_Доходи'!Z526+'01_Доходи'!Z527+'01_Доходи'!Z528+'01_Доходи'!Z529+'01_Доходи'!Z530+'01_Доходи'!Z531),0),IF($B$521="Лікар-терапевт",IF('01_Доходи'!Z525&gt;=Законод!$J$26,Z525-Законод!$I$27,0),0)))</f>
        <v>0</v>
      </c>
      <c r="AA532" s="931"/>
      <c r="AB532" s="935" t="s">
        <v>346</v>
      </c>
      <c r="AC532" s="936"/>
      <c r="AD532" s="936"/>
      <c r="AE532" s="936"/>
      <c r="AF532" s="937"/>
      <c r="AG532" s="196">
        <f ca="1">IF($B$521="Лікар загальної практики - сімейний лікар",IF(AG525&gt;=Законод!$J$22,'01_Доходи'!AG525-('01_Доходи'!AG526+'01_Доходи'!AG527+'01_Доходи'!AG528+'01_Доходи'!AG529+'01_Доходи'!AG530+'01_Доходи'!AG531),0),IF($B$521="Лікар-педіатр",IF(AG525&gt;=Законод!$J$18,'01_Доходи'!AG525-('01_Доходи'!AG526+'01_Доходи'!AG527+'01_Доходи'!AG528+'01_Доходи'!AG529+'01_Доходи'!AG530+'01_Доходи'!AG531),0),IF($B$521="Лікар-терапевт",IF('01_Доходи'!AG525&gt;=Законод!$J$26,AG525-Законод!$I$27,0),0)))</f>
        <v>0</v>
      </c>
      <c r="AH532" s="931"/>
      <c r="AI532" s="215"/>
      <c r="AJ532" s="934"/>
      <c r="AK532" s="928"/>
      <c r="AL532" s="928"/>
      <c r="AM532" s="900"/>
      <c r="AN532" s="216">
        <f ca="1">IF(B521="Лікар загальної практики - сімейний лікар",L532*Законод!$C$9/4*Законод!$J$16,IF(B521="Лікар-педіатр",L532*Законод!$C$9/4*Законод!$J$16,IF(B521="Лікар-терапевт",L532*Законод!$C$9/4*Законод!$J$16,0)))</f>
        <v>0</v>
      </c>
      <c r="AO532" s="216">
        <f ca="1">IF(B521="Лікар загальної практики - сімейний лікар",S532*Законод!$C$9/4*Законод!$J$16,IF(B521="Лікар-педіатр",S532*Законод!$C$9/4*Законод!$J$16,IF(B521="Лікар-терапевт",S532*Законод!$C$9/4*Законод!$J$16,0)))</f>
        <v>0</v>
      </c>
      <c r="AP532" s="216">
        <f ca="1">IF(B521="Лікар загальної практики - сімейний лікар",S532*Законод!$C$9/4*Законод!$J$16,IF(B521="Лікар-педіатр",S532*Законод!$C$9/4*Законод!$J$16,IF(B521="Лікар-терапевт",S532*Законод!$C$9/4*Законод!$J$16,0)))</f>
        <v>0</v>
      </c>
      <c r="AQ532" s="216">
        <f ca="1">IF(B521="Лікар загальної практики - сімейний лікар",AG532*Законод!$C$9/4*Законод!$J$16,IF(B521="Лікар-педіатр",AG532*Законод!$C$9/4*Законод!$J$16,IF(B521="Лікар-терапевт",AG532*Законод!$C$9/4*Законод!$J$16,0)))</f>
        <v>0</v>
      </c>
      <c r="AR532" s="217">
        <f t="shared" si="67"/>
        <v>0</v>
      </c>
    </row>
    <row r="533" spans="1:44" s="247" customFormat="1" ht="23.45" hidden="1" customHeight="1" thickBot="1">
      <c r="A533" s="243"/>
      <c r="B533" s="244"/>
      <c r="C533" s="244"/>
      <c r="D533" s="244"/>
      <c r="E533" s="244"/>
      <c r="F533" s="245"/>
      <c r="G533" s="246"/>
      <c r="H533" s="246"/>
      <c r="L533" s="248"/>
      <c r="S533" s="248"/>
      <c r="Z533" s="248"/>
      <c r="AG533" s="248"/>
      <c r="AM533" s="249"/>
      <c r="AR533" s="250"/>
    </row>
    <row r="534" spans="1:44" s="191" customFormat="1" ht="24.6" hidden="1" customHeight="1">
      <c r="A534" s="194">
        <f>A521+1</f>
        <v>39</v>
      </c>
      <c r="B534" s="892"/>
      <c r="C534" s="895"/>
      <c r="D534" s="911"/>
      <c r="E534" s="908"/>
      <c r="F534" s="234" t="s">
        <v>582</v>
      </c>
      <c r="G534" s="196">
        <f>IF($B$534="Лікар-педіатр",G537*L534,IF($B$534="Лікар-терапевт","х",IF($B$534="Лікар загальної практики - сімейний лікар",G537*L534,0)))</f>
        <v>0</v>
      </c>
      <c r="H534" s="196">
        <f>IF($B$534="Лікар-педіатр",H537*L534,IF($B$534="Лікар-терапевт","х",IF($B$534="Лікар загальної практики - сімейний лікар",H537*L534,0)))</f>
        <v>0</v>
      </c>
      <c r="I534" s="196">
        <f>IF($B$534="Лікар-педіатр","x",IF($B$534="Лікар-терапевт",I537*L534,IF($B$534="Лікар загальної практики - сімейний лікар",I537*L534,0)))</f>
        <v>0</v>
      </c>
      <c r="J534" s="196">
        <f>IF($B$534="Лікар-педіатр","x",IF($B$534="Лікар-терапевт",J537*L534,IF($B$534="Лікар загальної практики - сімейний лікар",J537*L534,0)))</f>
        <v>0</v>
      </c>
      <c r="K534" s="196">
        <f>IF($B$534="Лікар-педіатр","x",IF($B$534="Лікар-терапевт",K537*L534,IF($B$534="Лікар загальної практики - сімейний лікар",K537*L534,0)))</f>
        <v>0</v>
      </c>
      <c r="L534" s="558"/>
      <c r="M534" s="929"/>
      <c r="N534" s="196">
        <f>IF($B$534="Лікар-педіатр",N537*S534,IF($B$534="Лікар-терапевт","х",IF($B$534="Лікар загальної практики - сімейний лікар",N537*S534,0)))</f>
        <v>0</v>
      </c>
      <c r="O534" s="196">
        <f>IF($B$534="Лікар-педіатр",O537*S534,IF($B$534="Лікар-терапевт","х",IF($B$534="Лікар загальної практики - сімейний лікар",O537*S534,0)))</f>
        <v>0</v>
      </c>
      <c r="P534" s="196">
        <f>IF($B$534="Лікар-педіатр","x",IF($B$534="Лікар-терапевт",P537*S534,IF($B$534="Лікар загальної практики - сімейний лікар",P537*S534,0)))</f>
        <v>0</v>
      </c>
      <c r="Q534" s="196">
        <f>IF($B$534="Лікар-педіатр","x",IF($B$534="Лікар-терапевт",Q537*S534,IF($B$534="Лікар загальної практики - сімейний лікар",Q537*S534,0)))</f>
        <v>0</v>
      </c>
      <c r="R534" s="196">
        <f>IF($B$534="Лікар-педіатр","x",IF($B$534="Лікар-терапевт",R537*S534,IF($B$534="Лікар загальної практики - сімейний лікар",R537*S534,0)))</f>
        <v>0</v>
      </c>
      <c r="S534" s="558"/>
      <c r="T534" s="929"/>
      <c r="U534" s="196">
        <f>IF($B$534="Лікар-педіатр",U537*Z534,IF($B$534="Лікар-терапевт","х",IF($B$534="Лікар загальної практики - сімейний лікар",U537*Z534,0)))</f>
        <v>0</v>
      </c>
      <c r="V534" s="196">
        <f>IF($B$534="Лікар-педіатр",V537*Z534,IF($B$534="Лікар-терапевт","х",IF($B$534="Лікар загальної практики - сімейний лікар",V537*Z534,0)))</f>
        <v>0</v>
      </c>
      <c r="W534" s="196">
        <f>IF($B$534="Лікар-педіатр","x",IF($B$534="Лікар-терапевт",W537*Z534,IF($B$534="Лікар загальної практики - сімейний лікар",W537*Z534,0)))</f>
        <v>0</v>
      </c>
      <c r="X534" s="196">
        <f>IF($B$534="Лікар-педіатр","x",IF($B$534="Лікар-терапевт",X537*Z534,IF($B$534="Лікар загальної практики - сімейний лікар",X537*Z534,0)))</f>
        <v>0</v>
      </c>
      <c r="Y534" s="196">
        <f>IF($B$534="Лікар-педіатр","x",IF($B$534="Лікар-терапевт",Y537*Z534,IF($B$534="Лікар загальної практики - сімейний лікар",Y537*Z534,0)))</f>
        <v>0</v>
      </c>
      <c r="Z534" s="558"/>
      <c r="AA534" s="929"/>
      <c r="AB534" s="196">
        <f>IF($B$534="Лікар-педіатр",AB537*AG534,IF($B$534="Лікар-терапевт","х",IF($B$534="Лікар загальної практики - сімейний лікар",AB537*AG534,0)))</f>
        <v>0</v>
      </c>
      <c r="AC534" s="196">
        <f>IF($B$534="Лікар-педіатр",AC537*AG534,IF($B$534="Лікар-терапевт","х",IF($B$534="Лікар загальної практики - сімейний лікар",AC537*AG534,0)))</f>
        <v>0</v>
      </c>
      <c r="AD534" s="196">
        <f>IF($B$534="Лікар-педіатр","x",IF($B$534="Лікар-терапевт",AD537*AG534,IF($B$534="Лікар загальної практики - сімейний лікар",AD537*AG534,0)))</f>
        <v>0</v>
      </c>
      <c r="AE534" s="196">
        <f>IF($B$534="Лікар-педіатр","x",IF($B$534="Лікар-терапевт",AE537*AG534,IF($B$534="Лікар загальної практики - сімейний лікар",AE537*AG534,0)))</f>
        <v>0</v>
      </c>
      <c r="AF534" s="196">
        <f>IF($B$534="Лікар-педіатр","x",IF($B$534="Лікар-терапевт",AF537*AG534,IF($B$534="Лікар загальної практики - сімейний лікар",AF537*AG534,0)))</f>
        <v>0</v>
      </c>
      <c r="AG534" s="558"/>
      <c r="AH534" s="929"/>
      <c r="AI534" s="541">
        <f>A534</f>
        <v>39</v>
      </c>
      <c r="AJ534" s="932">
        <f>B534</f>
        <v>0</v>
      </c>
      <c r="AK534" s="926">
        <f>C534</f>
        <v>0</v>
      </c>
      <c r="AL534" s="926">
        <f>D534</f>
        <v>0</v>
      </c>
      <c r="AM534" s="901" t="s">
        <v>785</v>
      </c>
      <c r="AN534" s="923">
        <f>SUM(AN539:AN545)</f>
        <v>0</v>
      </c>
      <c r="AO534" s="923">
        <f>SUM(AO539:AO545)</f>
        <v>0</v>
      </c>
      <c r="AP534" s="923">
        <f>SUM(AP539:AP545)</f>
        <v>0</v>
      </c>
      <c r="AQ534" s="923">
        <f>SUM(AQ539:AQ545)</f>
        <v>0</v>
      </c>
      <c r="AR534" s="914">
        <f>SUM(AN534:AQ538)</f>
        <v>0</v>
      </c>
    </row>
    <row r="535" spans="1:44" s="50" customFormat="1" ht="28.15" hidden="1" customHeight="1">
      <c r="A535" s="197"/>
      <c r="B535" s="893"/>
      <c r="C535" s="896"/>
      <c r="D535" s="912"/>
      <c r="E535" s="909"/>
      <c r="F535" s="234" t="s">
        <v>583</v>
      </c>
      <c r="G535" s="196">
        <f>IF($B$534="Лікар-педіатр",G537*L535,IF($B$534="Лікар-терапевт","х",IF($B$534="Лікар загальної практики - сімейний лікар",G537*L535,0)))</f>
        <v>0</v>
      </c>
      <c r="H535" s="196">
        <f>IF($B$534="Лікар-педіатр",H537*L535,IF($B$534="Лікар-терапевт","х",IF($B$534="Лікар загальної практики - сімейний лікар",H537*L535,0)))</f>
        <v>0</v>
      </c>
      <c r="I535" s="196">
        <f>IF($B$534="Лікар-педіатр","x",IF($B$534="Лікар-терапевт",I537*L535,IF($B$534="Лікар загальної практики - сімейний лікар",I537*L535,0)))</f>
        <v>0</v>
      </c>
      <c r="J535" s="196">
        <f>IF($B$534="Лікар-педіатр","x",IF($B$534="Лікар-терапевт",J537*L535,IF($B$534="Лікар загальної практики - сімейний лікар",J537*L535,0)))</f>
        <v>0</v>
      </c>
      <c r="K535" s="196">
        <f>IF($B$534="Лікар-педіатр","x",IF($B$534="Лікар-терапевт",K537*L535,IF($B$534="Лікар загальної практики - сімейний лікар",K537*L535,0)))</f>
        <v>0</v>
      </c>
      <c r="L535" s="558"/>
      <c r="M535" s="930"/>
      <c r="N535" s="196">
        <f>IF($B$534="Лікар-педіатр",N537*S535,IF($B$534="Лікар-терапевт","х",IF($B$534="Лікар загальної практики - сімейний лікар",N537*S535,0)))</f>
        <v>0</v>
      </c>
      <c r="O535" s="196">
        <f>IF($B$534="Лікар-педіатр",O537*S535,IF($B$534="Лікар-терапевт","х",IF($B$534="Лікар загальної практики - сімейний лікар",O537*S535,0)))</f>
        <v>0</v>
      </c>
      <c r="P535" s="196">
        <f>IF($B$534="Лікар-педіатр","x",IF($B$534="Лікар-терапевт",P537*S535,IF($B$534="Лікар загальної практики - сімейний лікар",P537*S535,0)))</f>
        <v>0</v>
      </c>
      <c r="Q535" s="196">
        <f>IF($B$534="Лікар-педіатр","x",IF($B$534="Лікар-терапевт",Q537*S535,IF($B$534="Лікар загальної практики - сімейний лікар",Q537*S535,0)))</f>
        <v>0</v>
      </c>
      <c r="R535" s="196">
        <f>IF($B$534="Лікар-педіатр","x",IF($B$534="Лікар-терапевт",R537*S535,IF($B$534="Лікар загальної практики - сімейний лікар",R537*S535,0)))</f>
        <v>0</v>
      </c>
      <c r="S535" s="558"/>
      <c r="T535" s="930"/>
      <c r="U535" s="196">
        <f>IF($B$534="Лікар-педіатр",U537*Z535,IF($B$534="Лікар-терапевт","х",IF($B$534="Лікар загальної практики - сімейний лікар",U537*Z535,0)))</f>
        <v>0</v>
      </c>
      <c r="V535" s="196">
        <f>IF($B$534="Лікар-педіатр",V537*Z535,IF($B$534="Лікар-терапевт","х",IF($B$534="Лікар загальної практики - сімейний лікар",V537*Z535,0)))</f>
        <v>0</v>
      </c>
      <c r="W535" s="196">
        <f>IF($B$534="Лікар-педіатр","x",IF($B$534="Лікар-терапевт",W537*Z535,IF($B$534="Лікар загальної практики - сімейний лікар",W537*Z535,0)))</f>
        <v>0</v>
      </c>
      <c r="X535" s="196">
        <f>IF($B$534="Лікар-педіатр","x",IF($B$534="Лікар-терапевт",X537*Z535,IF($B$534="Лікар загальної практики - сімейний лікар",X537*Z535,0)))</f>
        <v>0</v>
      </c>
      <c r="Y535" s="196">
        <f>IF($B$534="Лікар-педіатр","x",IF($B$534="Лікар-терапевт",Y537*Z535,IF($B$534="Лікар загальної практики - сімейний лікар",Y537*Z535,0)))</f>
        <v>0</v>
      </c>
      <c r="Z535" s="558"/>
      <c r="AA535" s="930"/>
      <c r="AB535" s="196">
        <f>IF($B$534="Лікар-педіатр",AB537*AG535,IF($B$534="Лікар-терапевт","х",IF($B$534="Лікар загальної практики - сімейний лікар",AB537*AG535,0)))</f>
        <v>0</v>
      </c>
      <c r="AC535" s="196">
        <f>IF($B$534="Лікар-педіатр",AC537*AG535,IF($B$534="Лікар-терапевт","х",IF($B$534="Лікар загальної практики - сімейний лікар",AC537*AG535,0)))</f>
        <v>0</v>
      </c>
      <c r="AD535" s="196">
        <f>IF($B$534="Лікар-педіатр","x",IF($B$534="Лікар-терапевт",AD537*AG535,IF($B$534="Лікар загальної практики - сімейний лікар",AD537*AG535,0)))</f>
        <v>0</v>
      </c>
      <c r="AE535" s="196">
        <f>IF($B$534="Лікар-педіатр","x",IF($B$534="Лікар-терапевт",AE537*AG535,IF($B$534="Лікар загальної практики - сімейний лікар",AE537*AG535,0)))</f>
        <v>0</v>
      </c>
      <c r="AF535" s="196">
        <f>IF($B$534="Лікар-педіатр","x",IF($B$534="Лікар-терапевт",AF537*AG535,IF($B$534="Лікар загальної практики - сімейний лікар",AF537*AG535,0)))</f>
        <v>0</v>
      </c>
      <c r="AG535" s="558"/>
      <c r="AH535" s="930"/>
      <c r="AI535" s="198"/>
      <c r="AJ535" s="933"/>
      <c r="AK535" s="927"/>
      <c r="AL535" s="927"/>
      <c r="AM535" s="902"/>
      <c r="AN535" s="924"/>
      <c r="AO535" s="924"/>
      <c r="AP535" s="924"/>
      <c r="AQ535" s="924"/>
      <c r="AR535" s="915"/>
    </row>
    <row r="536" spans="1:44" s="90" customFormat="1" ht="31.15" hidden="1" customHeight="1">
      <c r="A536" s="240"/>
      <c r="B536" s="893"/>
      <c r="C536" s="896"/>
      <c r="D536" s="912"/>
      <c r="E536" s="909"/>
      <c r="F536" s="241" t="s">
        <v>584</v>
      </c>
      <c r="G536" s="199">
        <f>IF(B534="Лікар загальної практики - сімейний лікар"," ",IF(B534="Лікар-педіатр"," ",IF(B534="Лікар-терапевт","х",0)))</f>
        <v>0</v>
      </c>
      <c r="H536" s="199">
        <f>IF(B534="Лікар загальної практики - сімейний лікар"," ",IF(B534="Лікар-педіатр"," ",IF(B534="Лікар-терапевт","х",0)))</f>
        <v>0</v>
      </c>
      <c r="I536" s="199">
        <f>IF(B534="Лікар загальної практики - сімейний лікар"," ",IF(B534="Лікар-педіатр","х",IF(B534="Лікар-терапевт"," ",0)))</f>
        <v>0</v>
      </c>
      <c r="J536" s="199">
        <f>IF(B534="Лікар загальної практики - сімейний лікар"," ",IF(B534="Лікар-педіатр","х",IF(B534="Лікар-терапевт"," ",0)))</f>
        <v>0</v>
      </c>
      <c r="K536" s="199">
        <f>IF(B534="Лікар загальної практики - сімейний лікар"," ",IF(B534="Лікар-педіатр","х",IF(B534="Лікар-терапевт"," ",0)))</f>
        <v>0</v>
      </c>
      <c r="L536" s="200">
        <f>SUM(G536:K536)</f>
        <v>0</v>
      </c>
      <c r="M536" s="930"/>
      <c r="N536" s="199">
        <f>IF(B534="Лікар загальної практики - сімейний лікар"," ",IF(B534="Лікар-педіатр"," ",IF(B534="Лікар-терапевт","х",0)))</f>
        <v>0</v>
      </c>
      <c r="O536" s="199">
        <f>IF(B534="Лікар загальної практики - сімейний лікар"," ",IF(B534="Лікар-педіатр"," ",IF(B534="Лікар-терапевт","х",0)))</f>
        <v>0</v>
      </c>
      <c r="P536" s="199">
        <f>IF(B534="Лікар загальної практики - сімейний лікар"," ",IF(B534="Лікар-педіатр","х",IF(B534="Лікар-терапевт"," ",0)))</f>
        <v>0</v>
      </c>
      <c r="Q536" s="199">
        <f>IF(B534="Лікар загальної практики - сімейний лікар"," ",IF(B534="Лікар-педіатр","х",IF(B534="Лікар-терапевт"," ",0)))</f>
        <v>0</v>
      </c>
      <c r="R536" s="199">
        <f>IF(B534="Лікар загальної практики - сімейний лікар"," ",IF(B534="Лікар-педіатр","х",IF(B534="Лікар-терапевт"," ",0)))</f>
        <v>0</v>
      </c>
      <c r="S536" s="200">
        <f>SUM(N536:R536)</f>
        <v>0</v>
      </c>
      <c r="T536" s="930"/>
      <c r="U536" s="199">
        <f>IF(B534="Лікар загальної практики - сімейний лікар"," ",IF(B534="Лікар-педіатр"," ",IF(B534="Лікар-терапевт","х",0)))</f>
        <v>0</v>
      </c>
      <c r="V536" s="199">
        <f>IF(B534="Лікар загальної практики - сімейний лікар"," ",IF(B534="Лікар-педіатр"," ",IF(B534="Лікар-терапевт","х",0)))</f>
        <v>0</v>
      </c>
      <c r="W536" s="199">
        <f>IF(B534="Лікар загальної практики - сімейний лікар"," ",IF(B534="Лікар-педіатр","х",IF(B534="Лікар-терапевт"," ",0)))</f>
        <v>0</v>
      </c>
      <c r="X536" s="199">
        <f>IF(B534="Лікар загальної практики - сімейний лікар"," ",IF(B534="Лікар-педіатр","х",IF(B534="Лікар-терапевт"," ",0)))</f>
        <v>0</v>
      </c>
      <c r="Y536" s="199">
        <f>IF(B534="Лікар загальної практики - сімейний лікар"," ",IF(B534="Лікар-педіатр","х",IF(B534="Лікар-терапевт"," ",0)))</f>
        <v>0</v>
      </c>
      <c r="Z536" s="200">
        <f>SUM(U536:Y536)</f>
        <v>0</v>
      </c>
      <c r="AA536" s="930"/>
      <c r="AB536" s="199">
        <f>IF(B534="Лікар загальної практики - сімейний лікар"," ",IF(B534="Лікар-педіатр"," ",IF(B534="Лікар-терапевт","х",0)))</f>
        <v>0</v>
      </c>
      <c r="AC536" s="199">
        <f>IF(B534="Лікар загальної практики - сімейний лікар"," ",IF(B534="Лікар-педіатр"," ",IF(B534="Лікар-терапевт","х",0)))</f>
        <v>0</v>
      </c>
      <c r="AD536" s="199">
        <f>IF(B534="Лікар загальної практики - сімейний лікар"," ",IF(B534="Лікар-педіатр","х",IF(B534="Лікар-терапевт"," ",0)))</f>
        <v>0</v>
      </c>
      <c r="AE536" s="199">
        <f>IF(B534="Лікар загальної практики - сімейний лікар"," ",IF(B534="Лікар-педіатр","х",IF(B534="Лікар-терапевт"," ",0)))</f>
        <v>0</v>
      </c>
      <c r="AF536" s="199">
        <f>IF(B534="Лікар загальної практики - сімейний лікар"," ",IF(B534="Лікар-педіатр","х",IF(B534="Лікар-терапевт"," ",0)))</f>
        <v>0</v>
      </c>
      <c r="AG536" s="200">
        <f>SUM(AB536:AF536)</f>
        <v>0</v>
      </c>
      <c r="AH536" s="930"/>
      <c r="AI536" s="242"/>
      <c r="AJ536" s="933"/>
      <c r="AK536" s="927"/>
      <c r="AL536" s="927"/>
      <c r="AM536" s="902"/>
      <c r="AN536" s="924"/>
      <c r="AO536" s="924"/>
      <c r="AP536" s="924"/>
      <c r="AQ536" s="924"/>
      <c r="AR536" s="915"/>
    </row>
    <row r="537" spans="1:44" s="50" customFormat="1" ht="31.9" hidden="1" customHeight="1" thickBot="1">
      <c r="A537" s="197"/>
      <c r="B537" s="893"/>
      <c r="C537" s="896"/>
      <c r="D537" s="912"/>
      <c r="E537" s="909"/>
      <c r="F537" s="236" t="s">
        <v>349</v>
      </c>
      <c r="G537" s="203">
        <f>IF($B$534="Лікар-педіатр",G536/L536,IF($B$534="Лікар-терапевт","х",IF($B$534="Лікар загальної практики - сімейний лікар",G536/L536,0)))</f>
        <v>0</v>
      </c>
      <c r="H537" s="203">
        <f>IF($B$534="Лікар-педіатр",H536/L536,IF($B$534="Лікар-терапевт","х",IF($B$534="Лікар загальної практики - сімейний лікар",H536/L536,0)))</f>
        <v>0</v>
      </c>
      <c r="I537" s="203">
        <f>IF($B$534="Лікар-педіатр","x",IF($B$534="Лікар-терапевт",I536/L536,IF($B$534="Лікар загальної практики - сімейний лікар",I536/L536,0)))</f>
        <v>0</v>
      </c>
      <c r="J537" s="203">
        <f>IF($B$534="Лікар-педіатр","x",IF($B$534="Лікар-терапевт",J536/L536,IF($B$534="Лікар загальної практики - сімейний лікар",J536/L536,0)))</f>
        <v>0</v>
      </c>
      <c r="K537" s="203">
        <f>IF($B$534="Лікар-педіатр","x",IF($B$534="Лікар-терапевт",K536/L536,IF($B$534="Лікар загальної практики - сімейний лікар",K536/L536,0)))</f>
        <v>0</v>
      </c>
      <c r="L537" s="203">
        <f>SUM(G537:K537)</f>
        <v>0</v>
      </c>
      <c r="M537" s="930"/>
      <c r="N537" s="203">
        <f>IF($B$534="Лікар-педіатр",N536/S536,IF($B$534="Лікар-терапевт","х",IF($B$534="Лікар загальної практики - сімейний лікар",N536/S536,0)))</f>
        <v>0</v>
      </c>
      <c r="O537" s="203">
        <f>IF($B$534="Лікар-педіатр",O536/S536,IF($B$534="Лікар-терапевт","х",IF($B$534="Лікар загальної практики - сімейний лікар",O536/S536,0)))</f>
        <v>0</v>
      </c>
      <c r="P537" s="203">
        <f>IF($B$534="Лікар-педіатр","x",IF($B$534="Лікар-терапевт",P536/S536,IF($B$534="Лікар загальної практики - сімейний лікар",P536/S536,0)))</f>
        <v>0</v>
      </c>
      <c r="Q537" s="203">
        <f>IF($B$534="Лікар-педіатр","x",IF($B$534="Лікар-терапевт",Q536/S536,IF($B$534="Лікар загальної практики - сімейний лікар",Q536/S536,0)))</f>
        <v>0</v>
      </c>
      <c r="R537" s="203">
        <f>IF($B$534="Лікар-педіатр","x",IF($B$534="Лікар-терапевт",R536/S536,IF($B$534="Лікар загальної практики - сімейний лікар",R536/S536,0)))</f>
        <v>0</v>
      </c>
      <c r="S537" s="203">
        <f>SUM(N537:R537)</f>
        <v>0</v>
      </c>
      <c r="T537" s="930"/>
      <c r="U537" s="203">
        <f>IF($B$534="Лікар-педіатр",U536/Z536,IF($B$534="Лікар-терапевт","х",IF($B$534="Лікар загальної практики - сімейний лікар",U536/Z536,0)))</f>
        <v>0</v>
      </c>
      <c r="V537" s="203">
        <f>IF($B$534="Лікар-педіатр",V536/Z536,IF($B$534="Лікар-терапевт","х",IF($B$534="Лікар загальної практики - сімейний лікар",V536/Z536,0)))</f>
        <v>0</v>
      </c>
      <c r="W537" s="203">
        <f>IF($B$534="Лікар-педіатр","x",IF($B$534="Лікар-терапевт",W536/Z536,IF($B$534="Лікар загальної практики - сімейний лікар",W536/Z536,0)))</f>
        <v>0</v>
      </c>
      <c r="X537" s="203">
        <f>IF($B$534="Лікар-педіатр","x",IF($B$534="Лікар-терапевт",X536/Z536,IF($B$534="Лікар загальної практики - сімейний лікар",X536/Z536,0)))</f>
        <v>0</v>
      </c>
      <c r="Y537" s="203">
        <f>IF($B$534="Лікар-педіатр","x",IF($B$534="Лікар-терапевт",Y536/Z536,IF($B$534="Лікар загальної практики - сімейний лікар",Y536/Z536,0)))</f>
        <v>0</v>
      </c>
      <c r="Z537" s="203">
        <f>SUM(U537:Y537)</f>
        <v>0</v>
      </c>
      <c r="AA537" s="930"/>
      <c r="AB537" s="203">
        <f>IF($B$534="Лікар-педіатр",AB536/AG536,IF($B$534="Лікар-терапевт","х",IF($B$534="Лікар загальної практики - сімейний лікар",AB536/AG536,0)))</f>
        <v>0</v>
      </c>
      <c r="AC537" s="203">
        <f>IF($B$534="Лікар-педіатр",AC536/AG536,IF($B$534="Лікар-терапевт","х",IF($B$534="Лікар загальної практики - сімейний лікар",AC536/AG536,0)))</f>
        <v>0</v>
      </c>
      <c r="AD537" s="203">
        <f>IF($B$534="Лікар-педіатр","x",IF($B$534="Лікар-терапевт",AD536/AG536,IF($B$534="Лікар загальної практики - сімейний лікар",AD536/AG536,0)))</f>
        <v>0</v>
      </c>
      <c r="AE537" s="203">
        <f>IF($B$534="Лікар-педіатр","x",IF($B$534="Лікар-терапевт",AE536/AG536,IF($B$534="Лікар загальної практики - сімейний лікар",AE536/AG536,0)))</f>
        <v>0</v>
      </c>
      <c r="AF537" s="203">
        <f>IF($B$534="Лікар-педіатр","x",IF($B$534="Лікар-терапевт",AF536/AG536,IF($B$534="Лікар загальної практики - сімейний лікар",AF536/AG536,0)))</f>
        <v>0</v>
      </c>
      <c r="AG537" s="203">
        <f>SUM(AB537:AF537)</f>
        <v>0</v>
      </c>
      <c r="AH537" s="930"/>
      <c r="AI537" s="201"/>
      <c r="AJ537" s="933"/>
      <c r="AK537" s="927"/>
      <c r="AL537" s="927"/>
      <c r="AM537" s="902"/>
      <c r="AN537" s="924"/>
      <c r="AO537" s="924"/>
      <c r="AP537" s="924"/>
      <c r="AQ537" s="924"/>
      <c r="AR537" s="915"/>
    </row>
    <row r="538" spans="1:44" s="50" customFormat="1" ht="45" hidden="1" customHeight="1" thickBot="1">
      <c r="A538" s="197"/>
      <c r="B538" s="893"/>
      <c r="C538" s="896"/>
      <c r="D538" s="912"/>
      <c r="E538" s="909"/>
      <c r="F538" s="204" t="s">
        <v>585</v>
      </c>
      <c r="G538" s="205">
        <f>IF($B$534="Лікар загальної практики - сімейний лікар",AVERAGE(G534:G536),IF($B$534="Лікар-педіатр",AVERAGE(G534:G536),IF($B$534="Лікар-терапевт","х",0)))</f>
        <v>0</v>
      </c>
      <c r="H538" s="205">
        <f>IF($B$534="Лікар загальної практики - сімейний лікар",AVERAGE(H534:H536),IF($B$534="Лікар-педіатр",AVERAGE(H534:H536),IF($B$534="Лікар-терапевт","х",0)))</f>
        <v>0</v>
      </c>
      <c r="I538" s="205">
        <f>IF($B$534="Лікар загальної практики - сімейний лікар",AVERAGE(I534:I536),IF($B$534="Лікар-педіатр","x",IF($B$534="Лікар-терапевт",AVERAGE(I534:I536),0)))</f>
        <v>0</v>
      </c>
      <c r="J538" s="205">
        <f>IF($B$534="Лікар загальної практики - сімейний лікар",AVERAGE(J534:J536),IF($B$534="Лікар-педіатр","x",IF($B$534="Лікар-терапевт",AVERAGE(J534:J536),0)))</f>
        <v>0</v>
      </c>
      <c r="K538" s="205">
        <f>IF($B$534="Лікар загальної практики - сімейний лікар",AVERAGE(K534:K536),IF($B$534="Лікар-педіатр","x",IF($B$534="Лікар-терапевт",AVERAGE(K534:K536),0)))</f>
        <v>0</v>
      </c>
      <c r="L538" s="206">
        <f>SUM(G538:K538)</f>
        <v>0</v>
      </c>
      <c r="M538" s="930"/>
      <c r="N538" s="205">
        <f>IF($B$534="Лікар загальної практики - сімейний лікар",AVERAGE(N534:N536),IF($B$534="Лікар-педіатр",AVERAGE(N534:N536),IF($B$534="Лікар-терапевт","х",0)))</f>
        <v>0</v>
      </c>
      <c r="O538" s="205">
        <f>IF($B$534="Лікар загальної практики - сімейний лікар",AVERAGE(O534:O536),IF($B$534="Лікар-педіатр",AVERAGE(O534:O536),IF($B$534="Лікар-терапевт","х",0)))</f>
        <v>0</v>
      </c>
      <c r="P538" s="205">
        <f>IF($B$534="Лікар загальної практики - сімейний лікар",AVERAGE(P534:P536),IF($B$534="Лікар-педіатр","x",IF($B$534="Лікар-терапевт",AVERAGE(P534:P536),0)))</f>
        <v>0</v>
      </c>
      <c r="Q538" s="205">
        <f>IF($B$534="Лікар загальної практики - сімейний лікар",AVERAGE(Q534:Q536),IF($B$534="Лікар-педіатр","x",IF($B$534="Лікар-терапевт",AVERAGE(Q534:Q536),0)))</f>
        <v>0</v>
      </c>
      <c r="R538" s="205">
        <f>IF($B$534="Лікар загальної практики - сімейний лікар",AVERAGE(R534:R536),IF($B$534="Лікар-педіатр","x",IF($B$534="Лікар-терапевт",AVERAGE(R534:R536),0)))</f>
        <v>0</v>
      </c>
      <c r="S538" s="206">
        <f>SUM(N538:R538)</f>
        <v>0</v>
      </c>
      <c r="T538" s="930"/>
      <c r="U538" s="205">
        <f>IF($B$534="Лікар загальної практики - сімейний лікар",AVERAGE(U534:U536),IF($B$534="Лікар-педіатр",AVERAGE(U534:U536),IF($B$534="Лікар-терапевт","х",0)))</f>
        <v>0</v>
      </c>
      <c r="V538" s="205">
        <f>IF($B$534="Лікар загальної практики - сімейний лікар",AVERAGE(V534:V536),IF($B$534="Лікар-педіатр",AVERAGE(V534:V536),IF($B$534="Лікар-терапевт","х",0)))</f>
        <v>0</v>
      </c>
      <c r="W538" s="205">
        <f>IF($B$534="Лікар загальної практики - сімейний лікар",AVERAGE(W534:W536),IF($B$534="Лікар-педіатр","x",IF($B$534="Лікар-терапевт",AVERAGE(W534:W536),0)))</f>
        <v>0</v>
      </c>
      <c r="X538" s="205">
        <f>IF($B$534="Лікар загальної практики - сімейний лікар",AVERAGE(X534:X536),IF($B$534="Лікар-педіатр","x",IF($B$534="Лікар-терапевт",AVERAGE(X534:X536),0)))</f>
        <v>0</v>
      </c>
      <c r="Y538" s="205">
        <f>IF($B$534="Лікар загальної практики - сімейний лікар",AVERAGE(Y534:Y536),IF($B$534="Лікар-педіатр","x",IF($B$534="Лікар-терапевт",AVERAGE(Y534:Y536),0)))</f>
        <v>0</v>
      </c>
      <c r="Z538" s="206">
        <f>SUM(U538:Y538)</f>
        <v>0</v>
      </c>
      <c r="AA538" s="930"/>
      <c r="AB538" s="205">
        <f>IF($B$534="Лікар загальної практики - сімейний лікар",AVERAGE(AB534:AB536),IF($B$534="Лікар-педіатр",AVERAGE(AB534:AB536),IF($B$534="Лікар-терапевт","х",0)))</f>
        <v>0</v>
      </c>
      <c r="AC538" s="205">
        <f>IF($B$534="Лікар загальної практики - сімейний лікар",AVERAGE(AC534:AC536),IF($B$534="Лікар-педіатр",AVERAGE(AC534:AC536),IF($B$534="Лікар-терапевт","х",0)))</f>
        <v>0</v>
      </c>
      <c r="AD538" s="205">
        <f>IF($B$534="Лікар загальної практики - сімейний лікар",AVERAGE(AD534:AD536),IF($B$534="Лікар-педіатр","x",IF($B$534="Лікар-терапевт",AVERAGE(AD534:AD536),0)))</f>
        <v>0</v>
      </c>
      <c r="AE538" s="205">
        <f>IF($B$534="Лікар загальної практики - сімейний лікар",AVERAGE(AE534:AE536),IF($B$534="Лікар-педіатр","x",IF($B$534="Лікар-терапевт",AVERAGE(AE534:AE536),0)))</f>
        <v>0</v>
      </c>
      <c r="AF538" s="205">
        <f>IF($B$534="Лікар загальної практики - сімейний лікар",AVERAGE(AF534:AF536),IF($B$534="Лікар-педіатр","x",IF($B$534="Лікар-терапевт",AVERAGE(AF534:AF536),0)))</f>
        <v>0</v>
      </c>
      <c r="AG538" s="206">
        <f>SUM(AB538:AF538)</f>
        <v>0</v>
      </c>
      <c r="AH538" s="930"/>
      <c r="AI538" s="201"/>
      <c r="AJ538" s="933"/>
      <c r="AK538" s="927"/>
      <c r="AL538" s="927"/>
      <c r="AM538" s="903"/>
      <c r="AN538" s="925"/>
      <c r="AO538" s="925"/>
      <c r="AP538" s="925"/>
      <c r="AQ538" s="925"/>
      <c r="AR538" s="916"/>
    </row>
    <row r="539" spans="1:44" s="50" customFormat="1" ht="40.5" hidden="1">
      <c r="A539" s="197"/>
      <c r="B539" s="893"/>
      <c r="C539" s="896"/>
      <c r="D539" s="912"/>
      <c r="E539" s="909"/>
      <c r="F539" s="237" t="str">
        <f ca="1">IF(B534="Лікар-педіатр",Законод!$C$17,IF(B534="Лікар загальної практики - сімейний лікар",Законод!$C$21,IF(B534="Лікар-терапевт",Законод!$C$25,"х")))</f>
        <v>х</v>
      </c>
      <c r="G539" s="208">
        <f ca="1">IF($B$534="Лікар загальної практики - сімейний лікар",IF(L538&lt;=Законод!$C$22,G538,Законод!$C$22*'01_Доходи'!G537),IF($B$534="Лікар-педіатр",IF(L538&lt;=Законод!$C$18,G538,Законод!$C$18*'01_Доходи'!G537),IF($B$534="Лікар-терапевт","x",0)))</f>
        <v>0</v>
      </c>
      <c r="H539" s="208">
        <f ca="1">IF($B$534="Лікар загальної практики - сімейний лікар",IF(L538&lt;=Законод!$C$22,H538,Законод!$C$22*'01_Доходи'!H537),IF($B$534="Лікар-педіатр",IF(L538&lt;=Законод!$C$18,H538,Законод!$C$18*'01_Доходи'!H537),IF($B$534="Лікар-терапевт","x",0)))</f>
        <v>0</v>
      </c>
      <c r="I539" s="208">
        <f ca="1">IF($B$534="Лікар загальної практики - сімейний лікар",IF(L538&lt;=Законод!$C$22,I538,Законод!$C$22*'01_Доходи'!I537),IF($B$534="Лікар-педіатр","x",IF($B$534="Лікар-терапевт",IF(L538&lt;=Законод!$C$26,I538,Законод!$C$26*'01_Доходи'!I537),0)))</f>
        <v>0</v>
      </c>
      <c r="J539" s="208">
        <f ca="1">IF($B$534="Лікар загальної практики - сімейний лікар",IF(L538&lt;=Законод!$C$22,J538,Законод!$C$22*'01_Доходи'!J537),IF($B$534="Лікар-педіатр","x",IF($B$534="Лікар-терапевт",IF(L538&lt;=Законод!$C$26,J538,Законод!$C$26*'01_Доходи'!J537),0)))</f>
        <v>0</v>
      </c>
      <c r="K539" s="208">
        <f ca="1">IF($B$534="Лікар загальної практики - сімейний лікар",IF(L538&lt;=Законод!$C$22,K538,Законод!$C$22*'01_Доходи'!K537),IF($B$534="Лікар-педіатр","x",IF($B$534="Лікар-терапевт",IF(L538&lt;=Законод!$C$26,K538,Законод!$C$26*'01_Доходи'!K537),0)))</f>
        <v>0</v>
      </c>
      <c r="L539" s="209">
        <f ca="1">SUM(G539:K539)</f>
        <v>0</v>
      </c>
      <c r="M539" s="930"/>
      <c r="N539" s="208">
        <f ca="1">IF($B$534="Лікар загальної практики - сімейний лікар",IF(S538&lt;=Законод!$C$22,N538,Законод!$C$22*'01_Доходи'!N537),IF($B$534="Лікар-педіатр",IF(S538&lt;=Законод!$C$18,N538,Законод!$C$18*'01_Доходи'!N537),IF($B$534="Лікар-терапевт","x",0)))</f>
        <v>0</v>
      </c>
      <c r="O539" s="208">
        <f ca="1">IF($B$534="Лікар загальної практики - сімейний лікар",IF(S538&lt;=Законод!$C$22,O538,Законод!$C$22*'01_Доходи'!O537),IF($B$534="Лікар-педіатр",IF(S538&lt;=Законод!$C$18,O538,Законод!$C$18*'01_Доходи'!O537),IF($B$534="Лікар-терапевт","x",0)))</f>
        <v>0</v>
      </c>
      <c r="P539" s="208">
        <f ca="1">IF($B$534="Лікар загальної практики - сімейний лікар",IF(S538&lt;=Законод!$C$22,P538,Законод!$C$22*'01_Доходи'!P537),IF($B$534="Лікар-педіатр","x",IF($B$534="Лікар-терапевт",IF(S538&lt;=Законод!$C$26,P538,Законод!$C$26*'01_Доходи'!P537),0)))</f>
        <v>0</v>
      </c>
      <c r="Q539" s="208">
        <f ca="1">IF($B$534="Лікар загальної практики - сімейний лікар",IF(S538&lt;=Законод!$C$22,Q538,Законод!$C$22*'01_Доходи'!Q537),IF($B$534="Лікар-педіатр","x",IF($B$534="Лікар-терапевт",IF(S538&lt;=Законод!$C$26,Q538,Законод!$C$26*'01_Доходи'!Q537),0)))</f>
        <v>0</v>
      </c>
      <c r="R539" s="208">
        <f ca="1">IF($B$534="Лікар загальної практики - сімейний лікар",IF(S538&lt;=Законод!$C$22,R538,Законод!$C$22*'01_Доходи'!R537),IF($B$534="Лікар-педіатр","x",IF($B$534="Лікар-терапевт",IF(S538&lt;=Законод!$C$26,R538,Законод!$C$26*'01_Доходи'!R537),0)))</f>
        <v>0</v>
      </c>
      <c r="S539" s="209">
        <f ca="1">SUM(N539:R539)</f>
        <v>0</v>
      </c>
      <c r="T539" s="930"/>
      <c r="U539" s="208">
        <f ca="1">IF($B$534="Лікар загальної практики - сімейний лікар",IF(Z538&lt;=Законод!$C$22,U538,Законод!$C$22*'01_Доходи'!U537),IF($B$534="Лікар-педіатр",IF(Z538&lt;=Законод!$C$18,U538,Законод!$C$18*'01_Доходи'!U537),IF($B$534="Лікар-терапевт","x",0)))</f>
        <v>0</v>
      </c>
      <c r="V539" s="208">
        <f ca="1">IF($B$534="Лікар загальної практики - сімейний лікар",IF(Z538&lt;=Законод!$C$22,V538,Законод!$C$22*'01_Доходи'!V537),IF($B$534="Лікар-педіатр",IF(Z538&lt;=Законод!$C$18,V538,Законод!$C$18*'01_Доходи'!V537),IF($B$534="Лікар-терапевт","x",0)))</f>
        <v>0</v>
      </c>
      <c r="W539" s="208">
        <f ca="1">IF($B$534="Лікар загальної практики - сімейний лікар",IF(Z538&lt;=Законод!$C$22,W538,Законод!$C$22*'01_Доходи'!W537),IF($B$534="Лікар-педіатр","x",IF($B$534="Лікар-терапевт",IF(Z538&lt;=Законод!$C$26,W538,Законод!$C$26*'01_Доходи'!W537),0)))</f>
        <v>0</v>
      </c>
      <c r="X539" s="208">
        <f ca="1">IF($B$534="Лікар загальної практики - сімейний лікар",IF(Z538&lt;=Законод!$C$22,X538,Законод!$C$22*'01_Доходи'!X537),IF($B$534="Лікар-педіатр","x",IF($B$534="Лікар-терапевт",IF(Z538&lt;=Законод!$C$26,X538,Законод!$C$26*'01_Доходи'!X537),0)))</f>
        <v>0</v>
      </c>
      <c r="Y539" s="208">
        <f ca="1">IF($B$534="Лікар загальної практики - сімейний лікар",IF(Z538&lt;=Законод!$C$22,Y538,Законод!$C$22*'01_Доходи'!Y537),IF($B$534="Лікар-педіатр","x",IF($B$534="Лікар-терапевт",IF(Z538&lt;=Законод!$C$26,Y538,Законод!$C$26*'01_Доходи'!Y537),0)))</f>
        <v>0</v>
      </c>
      <c r="Z539" s="209">
        <f ca="1">SUM(U539:Y539)</f>
        <v>0</v>
      </c>
      <c r="AA539" s="930"/>
      <c r="AB539" s="208">
        <f ca="1">IF($B$534="Лікар загальної практики - сімейний лікар",IF(AG538&lt;=Законод!$C$22,AB538,Законод!$C$22*'01_Доходи'!AB537),IF($B$534="Лікар-педіатр",IF(AG538&lt;=Законод!$C$18,AB538,Законод!$C$18*'01_Доходи'!AB537),IF($B$534="Лікар-терапевт","x",0)))</f>
        <v>0</v>
      </c>
      <c r="AC539" s="208">
        <f ca="1">IF($B$534="Лікар загальної практики - сімейний лікар",IF(AG538&lt;=Законод!$C$22,AC538,Законод!$C$22*'01_Доходи'!AC537),IF($B$534="Лікар-педіатр",IF(AG538&lt;=Законод!$C$18,AC538,Законод!$C$18*'01_Доходи'!AC537),IF($B$534="Лікар-терапевт","x",0)))</f>
        <v>0</v>
      </c>
      <c r="AD539" s="208">
        <f ca="1">IF($B$534="Лікар загальної практики - сімейний лікар",IF(AG538&lt;=Законод!$C$22,AD538,Законод!$C$22*'01_Доходи'!AD537),IF($B$534="Лікар-педіатр","x",IF($B$534="Лікар-терапевт",IF(AG538&lt;=Законод!$C$26,AD538,Законод!$C$26*'01_Доходи'!AD537),0)))</f>
        <v>0</v>
      </c>
      <c r="AE539" s="208">
        <f ca="1">IF($B$534="Лікар загальної практики - сімейний лікар",IF(AG538&lt;=Законод!$C$22,AE538,Законод!$C$22*'01_Доходи'!AE537),IF($B$534="Лікар-педіатр","x",IF($B$534="Лікар-терапевт",IF(AG538&lt;=Законод!$C$26,AE538,Законод!$C$26*'01_Доходи'!AE537),0)))</f>
        <v>0</v>
      </c>
      <c r="AF539" s="208">
        <f ca="1">IF($B$534="Лікар загальної практики - сімейний лікар",IF(AG538&lt;=Законод!$C$22,AF538,Законод!$C$22*'01_Доходи'!AF537),IF($B$534="Лікар-педіатр","x",IF($B$534="Лікар-терапевт",IF(AG538&lt;=Законод!$C$26,AF538,Законод!$C$26*'01_Доходи'!AF537),0)))</f>
        <v>0</v>
      </c>
      <c r="AG539" s="209">
        <f ca="1">SUM(AB539:AF539)</f>
        <v>0</v>
      </c>
      <c r="AH539" s="930"/>
      <c r="AI539" s="201"/>
      <c r="AJ539" s="933"/>
      <c r="AK539" s="927"/>
      <c r="AL539" s="927"/>
      <c r="AM539" s="348" t="s">
        <v>374</v>
      </c>
      <c r="AN539" s="210">
        <f ca="1">IF(B534="Лікар загальної практики - сімейний лікар",G539*Законод!$C$11+'01_Доходи'!H539*Законод!$D$11+'01_Доходи'!I539*Законод!$E$11+'01_Доходи'!J539*Законод!$F$11+'01_Доходи'!K539*Законод!$G$11,IF(B534="Лікар-педіатр",G539*Законод!$C$11+'01_Доходи'!H539*Законод!$D$11,IF(B534="Лікар-терапевт",'01_Доходи'!I539*Законод!$E$11+'01_Доходи'!J539*Законод!$F$11+'01_Доходи'!K539*Законод!$G$11,0)))</f>
        <v>0</v>
      </c>
      <c r="AO539" s="210">
        <f ca="1">IF(B534="Лікар загальної практики - сімейний лікар",N539*Законод!$C$11+'01_Доходи'!O539*Законод!$D$11+'01_Доходи'!P539*Законод!$E$11+'01_Доходи'!Q539*Законод!$F$11+'01_Доходи'!R539*Законод!$G$11,IF(B534="Лікар-педіатр",N539*Законод!$C$11+'01_Доходи'!O539*Законод!$D$11,IF(B534="Лікар-терапевт",'01_Доходи'!P539*Законод!$E$11+'01_Доходи'!Q539*Законод!$F$11+'01_Доходи'!R539*Законод!$G$11,0)))</f>
        <v>0</v>
      </c>
      <c r="AP539" s="210">
        <f ca="1">IF(B534="Лікар загальної практики - сімейний лікар",U539*Законод!$C$11+'01_Доходи'!V539*Законод!$D$11+'01_Доходи'!W539*Законод!$E$11+'01_Доходи'!X539*Законод!$F$11+'01_Доходи'!Y539*Законод!$G$11,IF(B534="Лікар-педіатр",U539*Законод!$C$11+'01_Доходи'!V539*Законод!$D$11,IF(B534="Лікар-терапевт",'01_Доходи'!W539*Законод!$E$11+'01_Доходи'!X539*Законод!$F$11+'01_Доходи'!Y539*Законод!$G$11,0)))</f>
        <v>0</v>
      </c>
      <c r="AQ539" s="210">
        <f ca="1">IF(B534="Лікар загальної практики - сімейний лікар",AB539*Законод!$C$11+'01_Доходи'!AC539*Законод!$D$11+'01_Доходи'!AD539*Законод!$E$11+'01_Доходи'!AE539*Законод!$F$11+'01_Доходи'!AF539*Законод!$G$11,IF(B534="Лікар-педіатр",AB539*Законод!$C$11+'01_Доходи'!AC539*Законод!$D$11,IF(B534="Лікар-терапевт",'01_Доходи'!AD539*Законод!$E$11+'01_Доходи'!AE539*Законод!$F$11+'01_Доходи'!AF539*Законод!$G$11,0)))</f>
        <v>0</v>
      </c>
      <c r="AR539" s="211">
        <f t="shared" ref="AR539:AR545" si="68">SUM(AN539:AQ539)</f>
        <v>0</v>
      </c>
    </row>
    <row r="540" spans="1:44" s="50" customFormat="1" ht="31.9" hidden="1" customHeight="1">
      <c r="A540" s="197"/>
      <c r="B540" s="893"/>
      <c r="C540" s="896"/>
      <c r="D540" s="912"/>
      <c r="E540" s="909"/>
      <c r="F540" s="238" t="str">
        <f ca="1">IF(B534="Лікар-педіатр",Законод!$E$17,IF(B534="Лікар загальної практики - сімейний лікар",Законод!$E$21,IF(B534="Лікар-терапевт",Законод!$E$25,"х")))</f>
        <v>х</v>
      </c>
      <c r="G540" s="889" t="s">
        <v>346</v>
      </c>
      <c r="H540" s="890"/>
      <c r="I540" s="890"/>
      <c r="J540" s="890"/>
      <c r="K540" s="891"/>
      <c r="L540" s="196">
        <f ca="1">IF($B$534="Лікар загальної практики - сімейний лікар",IF(L538&lt;Законод!$C$22,0,(IF(AND(L538&gt;=Законод!$E$22,L538&lt;=Законод!$E$23),L538-Законод!$C$22,IF('01_Доходи'!L538&gt;=Законод!$F$22,Законод!$E$24,0)))),IF($B$534="Лікар-педіатр",IF(L538&lt;Законод!$C$18,0,(IF(AND(L538&gt;=Законод!$E$18,L538&lt;=Законод!$E$19),L538-Законод!$C$18,IF('01_Доходи'!L538&gt;=Законод!$F$18,Законод!$E$20,0)))),IF($B$534="Лікар-терапевт",IF(L538&lt;Законод!$C$26,0,(IF(AND(L538&gt;=Законод!$E$26,L538&lt;=Законод!$E$27),L538-Законод!$C$26,IF('01_Доходи'!L538&gt;=Законод!$F$26,Законод!$E$28,0)))),0)))</f>
        <v>0</v>
      </c>
      <c r="M540" s="930"/>
      <c r="N540" s="889" t="s">
        <v>346</v>
      </c>
      <c r="O540" s="890"/>
      <c r="P540" s="890"/>
      <c r="Q540" s="890"/>
      <c r="R540" s="891"/>
      <c r="S540" s="196">
        <f ca="1">IF($B$534="Лікар загальної практики - сімейний лікар",IF(S538&lt;Законод!$C$22,0,(IF(AND(S538&gt;=Законод!$E$22,S538&lt;=Законод!$E$23),S538-Законод!$C$22,IF('01_Доходи'!S538&gt;=Законод!$F$22,Законод!$E$24,0)))),IF($B$534="Лікар-педіатр",IF(S538&lt;Законод!$C$18,0,(IF(AND(S538&gt;=Законод!$E$18,S538&lt;=Законод!$E$19),S538-Законод!$C$18,IF('01_Доходи'!S538&gt;=Законод!$F$18,Законод!$E$20,0)))),IF($B$534="Лікар-терапевт",IF(S538&lt;Законод!$C$26,0,(IF(AND(S538&gt;=Законод!$E$26,S538&lt;=Законод!$E$27),S538-Законод!$C$26,IF('01_Доходи'!S538&gt;=Законод!$F$26,Законод!$E$28,0)))),0)))</f>
        <v>0</v>
      </c>
      <c r="T540" s="930"/>
      <c r="U540" s="889" t="s">
        <v>346</v>
      </c>
      <c r="V540" s="890"/>
      <c r="W540" s="890"/>
      <c r="X540" s="890"/>
      <c r="Y540" s="891"/>
      <c r="Z540" s="196">
        <f ca="1">IF($B$534="Лікар загальної практики - сімейний лікар",IF(Z538&lt;Законод!$C$22,0,(IF(AND(Z538&gt;=Законод!$E$22,Z538&lt;=Законод!$E$23),Z538-Законод!$C$22,IF('01_Доходи'!Z538&gt;=Законод!$F$22,Законод!$E$24,0)))),IF($B$534="Лікар-педіатр",IF(Z538&lt;Законод!$C$18,0,(IF(AND(Z538&gt;=Законод!$E$18,Z538&lt;=Законод!$E$19),Z538-Законод!$C$18,IF('01_Доходи'!Z538&gt;=Законод!$F$18,Законод!$E$20,0)))),IF($B$534="Лікар-терапевт",IF(Z538&lt;Законод!$C$26,0,(IF(AND(Z538&gt;=Законод!$E$26,Z538&lt;=Законод!$E$27),Z538-Законод!$C$26,IF('01_Доходи'!Z538&gt;=Законод!$F$26,Законод!$E$28,0)))),0)))</f>
        <v>0</v>
      </c>
      <c r="AA540" s="930"/>
      <c r="AB540" s="889" t="s">
        <v>346</v>
      </c>
      <c r="AC540" s="890"/>
      <c r="AD540" s="890"/>
      <c r="AE540" s="890"/>
      <c r="AF540" s="891"/>
      <c r="AG540" s="196">
        <f ca="1">IF($B$534="Лікар загальної практики - сімейний лікар",IF(AG538&lt;Законод!$C$22,0,(IF(AND(AG538&gt;=Законод!$E$22,AG538&lt;=Законод!$E$23),AG538-Законод!$C$22,IF('01_Доходи'!AG538&gt;=Законод!$F$22,Законод!$E$24,0)))),IF($B$534="Лікар-педіатр",IF(AG538&lt;Законод!$C$18,0,(IF(AND(AG538&gt;=Законод!$E$18,AG538&lt;=Законод!$E$19),AG538-Законод!$C$18,IF('01_Доходи'!AG538&gt;=Законод!$F$18,Законод!$E$20,0)))),IF($B$534="Лікар-терапевт",IF(AG538&lt;Законод!$C$26,0,(IF(AND(AG538&gt;=Законод!$E$26,AG538&lt;=Законод!$E$27),AG538-Законод!$C$26,IF('01_Доходи'!AG538&gt;=Законод!$F$26,Законод!$E$28,0)))),0)))</f>
        <v>0</v>
      </c>
      <c r="AH540" s="930"/>
      <c r="AI540" s="201"/>
      <c r="AJ540" s="933"/>
      <c r="AK540" s="927"/>
      <c r="AL540" s="927"/>
      <c r="AM540" s="898" t="s">
        <v>375</v>
      </c>
      <c r="AN540" s="210">
        <f ca="1">IF(B534="Лікар загальної практики - сімейний лікар",L540*Законод!$C$9/4*Законод!$E$16,IF(B534="Лікар-педіатр",L540*Законод!$C$9/4*Законод!$E$16,IF(B534="Лікар-терапевт",L540*Законод!$C$9/4*Законод!$E$16,0)))</f>
        <v>0</v>
      </c>
      <c r="AO540" s="210">
        <f ca="1">IF(B534="Лікар загальної практики - сімейний лікар",S540*Законод!$C$9/4*Законод!$E$16,IF(B534="Лікар-педіатр",S540*Законод!$C$9/4*Законод!$E$16,IF(B534="Лікар-терапевт",S540*Законод!$C$9/4*Законод!$E$16,0)))</f>
        <v>0</v>
      </c>
      <c r="AP540" s="210">
        <f ca="1">IF(B534="Лікар загальної практики - сімейний лікар",Z540*Законод!$C$9/4*Законод!$E$16,IF(B534="Лікар-педіатр",Z540*Законод!$C$9/4*Законод!$E$16,IF(B534="Лікар-терапевт",Z540*Законод!$C$9/4*Законод!$E$16,0)))</f>
        <v>0</v>
      </c>
      <c r="AQ540" s="210">
        <f ca="1">IF(B534="Лікар загальної практики - сімейний лікар",AG540*Законод!$C$9/4*Законод!$E$16,IF(B534="Лікар-педіатр",AG540*Законод!$C$9/4*Законод!$E$16,IF(B534="Лікар-терапевт",AG540*Законод!$C$9/4*Законод!$E$16,0)))</f>
        <v>0</v>
      </c>
      <c r="AR540" s="211">
        <f t="shared" si="68"/>
        <v>0</v>
      </c>
    </row>
    <row r="541" spans="1:44" s="50" customFormat="1" ht="31.9" hidden="1" customHeight="1">
      <c r="A541" s="197"/>
      <c r="B541" s="893"/>
      <c r="C541" s="896"/>
      <c r="D541" s="912"/>
      <c r="E541" s="909"/>
      <c r="F541" s="238" t="str">
        <f ca="1">IF(B534="Лікар-педіатр",Законод!$F$17,IF(B534="Лікар загальної практики - сімейний лікар",Законод!$F$21,IF(B534="Лікар-терапевт",Законод!$F$25,"х")))</f>
        <v>х</v>
      </c>
      <c r="G541" s="889" t="s">
        <v>346</v>
      </c>
      <c r="H541" s="890"/>
      <c r="I541" s="890"/>
      <c r="J541" s="890"/>
      <c r="K541" s="891"/>
      <c r="L541" s="196">
        <f ca="1">IF($B$534="Лікар загальної практики - сімейний лікар",IF(L538&lt;Законод!$C$22,0,(IF(AND(L538&gt;=Законод!$F$22,L538&lt;=Законод!$F$23),L538-Законод!$E$23,IF('01_Доходи'!L538&gt;=Законод!$G$22,Законод!$F$24,0)))),IF($B$534="Лікар-педіатр",IF(L538&lt;Законод!$C$18,0,(IF(AND(L538&gt;=Законод!$F$18,L538&lt;=Законод!$F$19),L538-Законод!$E$19,IF('01_Доходи'!L538&gt;=Законод!$G$18,Законод!$F$20,0)))),IF($B$534="Лікар-терапевт",IF(L538&lt;Законод!$C$26,0,(IF(AND(L538&gt;=Законод!$F$26,L538&lt;=Законод!$F$27),L538-Законод!$E$27,IF('01_Доходи'!L538&gt;=Законод!$G$26,Законод!$F$28,0)))),0)))</f>
        <v>0</v>
      </c>
      <c r="M541" s="930"/>
      <c r="N541" s="889" t="s">
        <v>346</v>
      </c>
      <c r="O541" s="890"/>
      <c r="P541" s="890"/>
      <c r="Q541" s="890"/>
      <c r="R541" s="891"/>
      <c r="S541" s="196">
        <f ca="1">IF($B$534="Лікар загальної практики - сімейний лікар",IF(S538&lt;Законод!$C$22,0,(IF(AND(S538&gt;=Законод!$F$22,S538&lt;=Законод!$F$23),S538-Законод!$E$23,IF('01_Доходи'!S538&gt;=Законод!$G$22,Законод!$F$24,0)))),IF($B$534="Лікар-педіатр",IF(S538&lt;Законод!$C$18,0,(IF(AND(S538&gt;=Законод!$F$18,S538&lt;=Законод!$F$19),S538-Законод!$E$19,IF('01_Доходи'!S538&gt;=Законод!$G$18,Законод!$F$20,0)))),IF($B$534="Лікар-терапевт",IF(S538&lt;Законод!$C$26,0,(IF(AND(S538&gt;=Законод!$F$26,S538&lt;=Законод!$F$27),S538-Законод!$E$27,IF('01_Доходи'!S538&gt;=Законод!$G$26,Законод!$F$28,0)))),0)))</f>
        <v>0</v>
      </c>
      <c r="T541" s="930"/>
      <c r="U541" s="889" t="s">
        <v>346</v>
      </c>
      <c r="V541" s="890"/>
      <c r="W541" s="890"/>
      <c r="X541" s="890"/>
      <c r="Y541" s="891"/>
      <c r="Z541" s="196">
        <f ca="1">IF($B$534="Лікар загальної практики - сімейний лікар",IF(Z538&lt;Законод!$C$22,0,(IF(AND(Z538&gt;=Законод!$F$22,Z538&lt;=Законод!$F$23),Z538-Законод!$E$23,IF('01_Доходи'!Z538&gt;=Законод!$G$22,Законод!$F$24,0)))),IF($B$534="Лікар-педіатр",IF(Z538&lt;Законод!$C$18,0,(IF(AND(Z538&gt;=Законод!$F$18,Z538&lt;=Законод!$F$19),Z538-Законод!$E$19,IF('01_Доходи'!Z538&gt;=Законод!$G$18,Законод!$F$20,0)))),IF($B$534="Лікар-терапевт",IF(Z538&lt;Законод!$C$26,0,(IF(AND(Z538&gt;=Законод!$F$26,Z538&lt;=Законод!$F$27),Z538-Законод!$E$27,IF('01_Доходи'!Z538&gt;=Законод!$G$26,Законод!$F$28,0)))),0)))</f>
        <v>0</v>
      </c>
      <c r="AA541" s="930"/>
      <c r="AB541" s="889" t="s">
        <v>346</v>
      </c>
      <c r="AC541" s="890"/>
      <c r="AD541" s="890"/>
      <c r="AE541" s="890"/>
      <c r="AF541" s="891"/>
      <c r="AG541" s="196">
        <f ca="1">IF($B$534="Лікар загальної практики - сімейний лікар",IF(AG538&lt;Законод!$C$22,0,(IF(AND(AG538&gt;=Законод!$F$22,AG538&lt;=Законод!$F$23),AG538-Законод!$E$23,IF('01_Доходи'!AG538&gt;=Законод!$G$22,Законод!$F$24,0)))),IF($B$534="Лікар-педіатр",IF(AG538&lt;Законод!$C$18,0,(IF(AND(AG538&gt;=Законод!$F$18,AG538&lt;=Законод!$F$19),AG538-Законод!$E$19,IF('01_Доходи'!AG538&gt;=Законод!$G$18,Законод!$F$20,0)))),IF($B$534="Лікар-терапевт",IF(AG538&lt;Законод!$C$26,0,(IF(AND(AG538&gt;=Законод!$F$26,AG538&lt;=Законод!$F$27),AG538-Законод!$E$27,IF('01_Доходи'!AG538&gt;=Законод!$G$26,Законод!$F$28,0)))),0)))</f>
        <v>0</v>
      </c>
      <c r="AH541" s="930"/>
      <c r="AI541" s="201"/>
      <c r="AJ541" s="933"/>
      <c r="AK541" s="927"/>
      <c r="AL541" s="927"/>
      <c r="AM541" s="899"/>
      <c r="AN541" s="210">
        <f ca="1">IF(B534="Лікар загальної практики - сімейний лікар",L541*Законод!$C$9/4*Законод!$F$16,IF(B534="Лікар-педіатр",L541*Законод!$C$9/4*Законод!$F$16,IF(B534="Лікар-терапевт",L541*Законод!$C$9/4*Законод!$F$16,0)))</f>
        <v>0</v>
      </c>
      <c r="AO541" s="210">
        <f ca="1">IF(B534="Лікар загальної практики - сімейний лікар",S541*Законод!$C$9/4*Законод!$F$16,IF(B534="Лікар-педіатр",S541*Законод!$C$9/4*Законод!$F$16,IF(B534="Лікар-терапевт",S541*Законод!$C$9/4*Законод!$F$16,0)))</f>
        <v>0</v>
      </c>
      <c r="AP541" s="210">
        <f ca="1">IF(B534="Лікар загальної практики - сімейний лікар",Z541*Законод!$C$9/4*Законод!$F$16,IF(B534="Лікар-педіатр",Z541*Законод!$C$9/4*Законод!$F$16,IF(B534="Лікар-терапевт",Z541*Законод!$C$9/4*Законод!$F$16,0)))</f>
        <v>0</v>
      </c>
      <c r="AQ541" s="210">
        <f ca="1">IF(B534="Лікар загальної практики - сімейний лікар",AG541*Законод!$C$9/4*Законод!$F$16,IF(B534="Лікар-педіатр",AG541*Законод!$C$9/4*Законод!$F$16,IF(B534="Лікар-терапевт",AG541*Законод!$C$9/4*Законод!$F$16,0)))</f>
        <v>0</v>
      </c>
      <c r="AR541" s="211">
        <f t="shared" si="68"/>
        <v>0</v>
      </c>
    </row>
    <row r="542" spans="1:44" s="50" customFormat="1" ht="31.9" hidden="1" customHeight="1">
      <c r="A542" s="197"/>
      <c r="B542" s="893"/>
      <c r="C542" s="896"/>
      <c r="D542" s="912"/>
      <c r="E542" s="909"/>
      <c r="F542" s="238" t="str">
        <f ca="1">IF(B534="Лікар-педіатр",Законод!$G$17,IF(B534="Лікар загальної практики - сімейний лікар",Законод!$G$21,IF(B534="Лікар-терапевт",Законод!$G$25,"х")))</f>
        <v>х</v>
      </c>
      <c r="G542" s="889" t="s">
        <v>346</v>
      </c>
      <c r="H542" s="890"/>
      <c r="I542" s="890"/>
      <c r="J542" s="890"/>
      <c r="K542" s="891"/>
      <c r="L542" s="196">
        <f ca="1">IF($B$534="Лікар загальної практики - сімейний лікар",IF(L538&lt;Законод!$C$22,0,(IF(AND(L538&gt;=Законод!$G$22,L538&lt;=Законод!$G$23),L538-Законод!$F$23,IF('01_Доходи'!L538&gt;=Законод!$H$22,Законод!$G$24,0)))),IF($B$534="Лікар-педіатр",IF(L538&lt;Законод!$C$18,0,(IF(AND(L538&gt;=Законод!$G$18,L538&lt;=Законод!$G$19),L538-Законод!$F$19,IF('01_Доходи'!L538&gt;=Законод!$H$18,Законод!$G$20,0)))),IF($B$534="Лікар-терапевт",IF(L538&lt;Законод!$C$26,0,(IF(AND(L538&gt;=Законод!$G$26,L538&lt;=Законод!$G$27),L538-Законод!$F$27,IF('01_Доходи'!L538&gt;=Законод!$H$26,Законод!$G$28,0)))),0)))</f>
        <v>0</v>
      </c>
      <c r="M542" s="930"/>
      <c r="N542" s="889" t="s">
        <v>346</v>
      </c>
      <c r="O542" s="890"/>
      <c r="P542" s="890"/>
      <c r="Q542" s="890"/>
      <c r="R542" s="891"/>
      <c r="S542" s="196">
        <f ca="1">IF($B$534="Лікар загальної практики - сімейний лікар",IF(S538&lt;Законод!$C$22,0,(IF(AND(S538&gt;=Законод!$G$22,S538&lt;=Законод!$G$23),S538-Законод!$F$23,IF('01_Доходи'!S538&gt;=Законод!$H$22,Законод!$G$24,0)))),IF($B$534="Лікар-педіатр",IF(S538&lt;Законод!$C$18,0,(IF(AND(S538&gt;=Законод!$G$18,S538&lt;=Законод!$G$19),S538-Законод!$F$19,IF('01_Доходи'!S538&gt;=Законод!$H$18,Законод!$G$20,0)))),IF($B$534="Лікар-терапевт",IF(S538&lt;Законод!$C$26,0,(IF(AND(S538&gt;=Законод!$G$26,S538&lt;=Законод!$G$27),S538-Законод!$F$27,IF('01_Доходи'!S538&gt;=Законод!$H$26,Законод!$G$28,0)))),0)))</f>
        <v>0</v>
      </c>
      <c r="T542" s="930"/>
      <c r="U542" s="889" t="s">
        <v>346</v>
      </c>
      <c r="V542" s="890"/>
      <c r="W542" s="890"/>
      <c r="X542" s="890"/>
      <c r="Y542" s="891"/>
      <c r="Z542" s="196">
        <f ca="1">IF($B$534="Лікар загальної практики - сімейний лікар",IF(Z538&lt;Законод!$C$22,0,(IF(AND(Z538&gt;=Законод!$G$22,Z538&lt;=Законод!$G$23),Z538-Законод!$F$23,IF('01_Доходи'!Z538&gt;=Законод!$H$22,Законод!$G$24,0)))),IF($B$534="Лікар-педіатр",IF(Z538&lt;Законод!$C$18,0,(IF(AND(Z538&gt;=Законод!$G$18,Z538&lt;=Законод!$G$19),Z538-Законод!$F$19,IF('01_Доходи'!Z538&gt;=Законод!$H$18,Законод!$G$20,0)))),IF($B$534="Лікар-терапевт",IF(Z538&lt;Законод!$C$26,0,(IF(AND(Z538&gt;=Законод!$G$26,Z538&lt;=Законод!$G$27),Z538-Законод!$F$27,IF('01_Доходи'!Z538&gt;=Законод!$H$26,Законод!$G$28,0)))),0)))</f>
        <v>0</v>
      </c>
      <c r="AA542" s="930"/>
      <c r="AB542" s="889" t="s">
        <v>346</v>
      </c>
      <c r="AC542" s="890"/>
      <c r="AD542" s="890"/>
      <c r="AE542" s="890"/>
      <c r="AF542" s="891"/>
      <c r="AG542" s="196">
        <f ca="1">IF($B$534="Лікар загальної практики - сімейний лікар",IF(AG538&lt;Законод!$C$22,0,(IF(AND(AG538&gt;=Законод!$G$22,AG538&lt;=Законод!$G$23),AG538-Законод!$F$23,IF('01_Доходи'!AG538&gt;=Законод!$H$22,Законод!$G$24,0)))),IF($B$534="Лікар-педіатр",IF(AG538&lt;Законод!$C$18,0,(IF(AND(AG538&gt;=Законод!$G$18,AG538&lt;=Законод!$G$19),AG538-Законод!$F$19,IF('01_Доходи'!AG538&gt;=Законод!$H$18,Законод!$G$20,0)))),IF($B$534="Лікар-терапевт",IF(AG538&lt;Законод!$C$26,0,(IF(AND(AG538&gt;=Законод!$G$26,AG538&lt;=Законод!$G$27),AG538-Законод!$F$27,IF('01_Доходи'!AG538&gt;=Законод!$H$26,Законод!$G$28,0)))),0)))</f>
        <v>0</v>
      </c>
      <c r="AH542" s="930"/>
      <c r="AI542" s="201"/>
      <c r="AJ542" s="933"/>
      <c r="AK542" s="927"/>
      <c r="AL542" s="927"/>
      <c r="AM542" s="899"/>
      <c r="AN542" s="210">
        <f ca="1">IF(B534="Лікар загальної практики - сімейний лікар",L542*Законод!$C$9/4*Законод!$G$16,IF(B534="Лікар-педіатр",L542*Законод!$C$9/4*Законод!$G$16,IF(B534="Лікар-терапевт",L542*Законод!$C$9/4*Законод!$G$16,0)))</f>
        <v>0</v>
      </c>
      <c r="AO542" s="210">
        <f ca="1">IF(B534="Лікар загальної практики - сімейний лікар",S542*Законод!$C$9/4*Законод!$G$16,IF(B534="Лікар-педіатр",S542*Законод!$C$9/4*Законод!$G$16,IF(B534="Лікар-терапевт",S542*Законод!$C$9/4*Законод!$G$16,0)))</f>
        <v>0</v>
      </c>
      <c r="AP542" s="210">
        <f ca="1">IF(B534="Лікар загальної практики - сімейний лікар",Z542*Законод!$C$9/4*Законод!$G$16,IF(B534="Лікар-педіатр",Z542*Законод!$C$9/4*Законод!$G$16,IF(B534="Лікар-терапевт",Z542*Законод!$C$9/4*Законод!$G$16,0)))</f>
        <v>0</v>
      </c>
      <c r="AQ542" s="210">
        <f ca="1">IF(B534="Лікар загальної практики - сімейний лікар",AG542*Законод!$C$9/4*Законод!$G$16,IF(B534="Лікар-педіатр",AG542*Законод!$C$9/4*Законод!$G$16,IF(B534="Лікар-терапевт",AG542*Законод!$C$9/4*Законод!$G$16,0)))</f>
        <v>0</v>
      </c>
      <c r="AR542" s="211">
        <f t="shared" si="68"/>
        <v>0</v>
      </c>
    </row>
    <row r="543" spans="1:44" s="50" customFormat="1" ht="31.9" hidden="1" customHeight="1">
      <c r="A543" s="197"/>
      <c r="B543" s="893"/>
      <c r="C543" s="896"/>
      <c r="D543" s="912"/>
      <c r="E543" s="909"/>
      <c r="F543" s="238" t="str">
        <f ca="1">IF(B534="Лікар-педіатр",Законод!$H$17,IF(B534="Лікар загальної практики - сімейний лікар",Законод!$H$21,IF(B534="Лікар-терапевт",Законод!$H$25,"х")))</f>
        <v>х</v>
      </c>
      <c r="G543" s="889" t="s">
        <v>346</v>
      </c>
      <c r="H543" s="890"/>
      <c r="I543" s="890"/>
      <c r="J543" s="890"/>
      <c r="K543" s="891"/>
      <c r="L543" s="196">
        <f ca="1">IF($B$534="Лікар загальної практики - сімейний лікар",IF(L538&lt;Законод!$C$22,0,(IF(AND(L538&gt;=Законод!$H$22,L538&lt;=Законод!$H$23),L538-Законод!$G$23,IF('01_Доходи'!L538&gt;=Законод!$I$22,Законод!$H$24,0)))),IF($B$534="Лікар-педіатр",IF(L538&lt;Законод!$C$18,0,(IF(AND(L538&gt;=Законод!$H$18,L538&lt;=Законод!$H$19),L538-Законод!$G$19,IF('01_Доходи'!L538&gt;=Законод!$I$18,Законод!$H$20,0)))),IF($B$534="Лікар-терапевт",IF(L538&lt;Законод!$C$26,0,(IF(AND(L538&gt;=Законод!$H$26,L538&lt;=Законод!$H$27),L538-Законод!$G$27,IF(L538&gt;=Законод!$I$26,Законод!$H$28,0)))),0)))</f>
        <v>0</v>
      </c>
      <c r="M543" s="930"/>
      <c r="N543" s="889" t="s">
        <v>346</v>
      </c>
      <c r="O543" s="890"/>
      <c r="P543" s="890"/>
      <c r="Q543" s="890"/>
      <c r="R543" s="891"/>
      <c r="S543" s="196">
        <f ca="1">IF($B$534="Лікар загальної практики - сімейний лікар",IF(S538&lt;Законод!$C$22,0,(IF(AND(S538&gt;=Законод!$H$22,S538&lt;=Законод!$H$23),S538-Законод!$G$23,IF('01_Доходи'!S538&gt;=Законод!$I$22,Законод!$H$24,0)))),IF($B$534="Лікар-педіатр",IF(S538&lt;Законод!$C$18,0,(IF(AND(S538&gt;=Законод!$H$18,S538&lt;=Законод!$H$19),S538-Законод!$G$19,IF('01_Доходи'!S538&gt;=Законод!$I$18,Законод!$H$20,0)))),IF($B$534="Лікар-терапевт",IF(S538&lt;Законод!$C$26,0,(IF(AND(S538&gt;=Законод!$H$26,S538&lt;=Законод!$H$27),S538-Законод!$G$27,IF(S538&gt;=Законод!$I$26,Законод!$H$28,0)))),0)))</f>
        <v>0</v>
      </c>
      <c r="T543" s="930"/>
      <c r="U543" s="889" t="s">
        <v>346</v>
      </c>
      <c r="V543" s="890"/>
      <c r="W543" s="890"/>
      <c r="X543" s="890"/>
      <c r="Y543" s="891"/>
      <c r="Z543" s="196">
        <f ca="1">IF($B$534="Лікар загальної практики - сімейний лікар",IF(Z538&lt;Законод!$C$22,0,(IF(AND(Z538&gt;=Законод!$H$22,Z538&lt;=Законод!$H$23),Z538-Законод!$G$23,IF('01_Доходи'!Z538&gt;=Законод!$I$22,Законод!$H$24,0)))),IF($B$534="Лікар-педіатр",IF(Z538&lt;Законод!$C$18,0,(IF(AND(Z538&gt;=Законод!$H$18,Z538&lt;=Законод!$H$19),Z538-Законод!$G$19,IF('01_Доходи'!Z538&gt;=Законод!$I$18,Законод!$H$20,0)))),IF($B$534="Лікар-терапевт",IF(Z538&lt;Законод!$C$26,0,(IF(AND(Z538&gt;=Законод!$H$26,Z538&lt;=Законод!$H$27),Z538-Законод!$G$27,IF(Z538&gt;=Законод!$I$26,Законод!$H$28,0)))),0)))</f>
        <v>0</v>
      </c>
      <c r="AA543" s="930"/>
      <c r="AB543" s="889" t="s">
        <v>346</v>
      </c>
      <c r="AC543" s="890"/>
      <c r="AD543" s="890"/>
      <c r="AE543" s="890"/>
      <c r="AF543" s="891"/>
      <c r="AG543" s="196">
        <f ca="1">IF($B$534="Лікар загальної практики - сімейний лікар",IF(AG538&lt;Законод!$C$22,0,(IF(AND(AG538&gt;=Законод!$H$22,AG538&lt;=Законод!$H$23),AG538-Законод!$G$23,IF('01_Доходи'!AG538&gt;=Законод!$I$22,Законод!$H$24,0)))),IF($B$534="Лікар-педіатр",IF(AG538&lt;Законод!$C$18,0,(IF(AND(AG538&gt;=Законод!$H$18,AG538&lt;=Законод!$H$19),AG538-Законод!$G$19,IF('01_Доходи'!AG538&gt;=Законод!$I$18,Законод!$H$20,0)))),IF($B$534="Лікар-терапевт",IF(AG538&lt;Законод!$C$26,0,(IF(AND(AG538&gt;=Законод!$H$26,AG538&lt;=Законод!$H$27),AG538-Законод!$G$27,IF(AG538&gt;=Законод!$I$26,Законод!$H$28,0)))),0)))</f>
        <v>0</v>
      </c>
      <c r="AH543" s="930"/>
      <c r="AI543" s="201"/>
      <c r="AJ543" s="933"/>
      <c r="AK543" s="927"/>
      <c r="AL543" s="927"/>
      <c r="AM543" s="899"/>
      <c r="AN543" s="210">
        <f ca="1">IF(B534="Лікар загальної практики - сімейний лікар",L543*Законод!$C$9/4*Законод!$H$16,IF(B534="Лікар-педіатр",L543*Законод!$C$9/4*Законод!$H$16,IF(B534="Лікар-терапевт",L543*Законод!$C$9/4*Законод!$H$16,0)))</f>
        <v>0</v>
      </c>
      <c r="AO543" s="210">
        <f ca="1">IF(B534="Лікар загальної практики - сімейний лікар",S543*Законод!$C$9/4*Законод!$H$16,IF(B534="Лікар-педіатр",S543*Законод!$C$9/4*Законод!$H$16,IF(B534="Лікар-терапевт",S543*Законод!$C$9/4*Законод!$H$16,0)))</f>
        <v>0</v>
      </c>
      <c r="AP543" s="210">
        <f ca="1">IF(B534="Лікар загальної практики - сімейний лікар",Z543*Законод!$C$9/4*Законод!$H$16,IF(B534="Лікар-педіатр",Z543*Законод!$C$9/4*Законод!$H$16,IF(B534="Лікар-терапевт",Z543*Законод!$C$9/4*Законод!$H$16,0)))</f>
        <v>0</v>
      </c>
      <c r="AQ543" s="210">
        <f ca="1">IF(B534="Лікар загальної практики - сімейний лікар",AG543*Законод!$C$9/4*Законод!$H$16,IF(B534="Лікар-педіатр",AG543*Законод!$C$9/4*Законод!$H$16,IF(B534="Лікар-терапевт",AG543*Законод!$C$9/4*Законод!$H$16,0)))</f>
        <v>0</v>
      </c>
      <c r="AR543" s="211">
        <f t="shared" si="68"/>
        <v>0</v>
      </c>
    </row>
    <row r="544" spans="1:44" s="50" customFormat="1" ht="31.9" hidden="1" customHeight="1">
      <c r="A544" s="197"/>
      <c r="B544" s="893"/>
      <c r="C544" s="896"/>
      <c r="D544" s="912"/>
      <c r="E544" s="909"/>
      <c r="F544" s="238" t="str">
        <f ca="1">IF(B534="Лікар-педіатр",Законод!$I$17,IF(B534="Лікар загальної практики - сімейний лікар",Законод!$I$21,IF(B534="Лікар-терапевт",Законод!$I$25,"х")))</f>
        <v>х</v>
      </c>
      <c r="G544" s="889" t="s">
        <v>346</v>
      </c>
      <c r="H544" s="890"/>
      <c r="I544" s="890"/>
      <c r="J544" s="890"/>
      <c r="K544" s="891"/>
      <c r="L544" s="196">
        <f ca="1">IF($B$534="Лікар загальної практики - сімейний лікар",IF(L538&lt;Законод!$C$22,0,(IF(AND(L538&gt;=Законод!$I$22,L538&lt;=Законод!$I$23),L538-Законод!$H$23,IF('01_Доходи'!L538&gt;=Законод!$I$22,Законод!$I$24,0)))),IF($B$534="Лікар-педіатр",IF(L538&lt;Законод!$C$18,0,(IF(AND(L538&gt;=Законод!$I$18,L538&lt;=Законод!$I$19),L538-Законод!$H$19,IF('01_Доходи'!L538&gt;=Законод!$I$18,Законод!$H$20,0)))),IF($B$534="Лікар-терапевт",IF(L538&lt;Законод!$C$26,0,(IF(AND(L538&gt;=Законод!$I$26,L538&lt;=Законод!$I$27),L538-Законод!$H$27,IF('01_Доходи'!L538&gt;=Законод!$I$26,Законод!$H$28,0)))),0)))</f>
        <v>0</v>
      </c>
      <c r="M544" s="930"/>
      <c r="N544" s="889" t="s">
        <v>346</v>
      </c>
      <c r="O544" s="890"/>
      <c r="P544" s="890"/>
      <c r="Q544" s="890"/>
      <c r="R544" s="891"/>
      <c r="S544" s="196">
        <f ca="1">IF($B$534="Лікар загальної практики - сімейний лікар",IF(S538&lt;Законод!$C$22,0,(IF(AND(S538&gt;=Законод!$I$22,S538&lt;=Законод!$I$23),S538-Законод!$H$23,IF('01_Доходи'!S538&gt;=Законод!$I$22,Законод!$I$24,0)))),IF($B$534="Лікар-педіатр",IF(S538&lt;Законод!$C$18,0,(IF(AND(S538&gt;=Законод!$I$18,S538&lt;=Законод!$I$19),S538-Законод!$H$19,IF('01_Доходи'!S538&gt;=Законод!$I$18,Законод!$H$20,0)))),IF($B$534="Лікар-терапевт",IF(S538&lt;Законод!$C$26,0,(IF(AND(S538&gt;=Законод!$I$26,S538&lt;=Законод!$I$27),S538-Законод!$H$27,IF('01_Доходи'!S538&gt;=Законод!$I$26,Законод!$H$28,0)))),0)))</f>
        <v>0</v>
      </c>
      <c r="T544" s="930"/>
      <c r="U544" s="889" t="s">
        <v>346</v>
      </c>
      <c r="V544" s="890"/>
      <c r="W544" s="890"/>
      <c r="X544" s="890"/>
      <c r="Y544" s="891"/>
      <c r="Z544" s="196">
        <f ca="1">IF($B$534="Лікар загальної практики - сімейний лікар",IF(Z538&lt;Законод!$C$22,0,(IF(AND(Z538&gt;=Законод!$I$22,Z538&lt;=Законод!$I$23),Z538-Законод!$H$23,IF('01_Доходи'!Z538&gt;=Законод!$I$22,Законод!$I$24,0)))),IF($B$534="Лікар-педіатр",IF(Z538&lt;Законод!$C$18,0,(IF(AND(Z538&gt;=Законод!$I$18,Z538&lt;=Законод!$I$19),Z538-Законод!$H$19,IF('01_Доходи'!Z538&gt;=Законод!$I$18,Законод!$H$20,0)))),IF($B$534="Лікар-терапевт",IF(Z538&lt;Законод!$C$26,0,(IF(AND(Z538&gt;=Законод!$I$26,Z538&lt;=Законод!$I$27),Z538-Законод!$H$27,IF('01_Доходи'!Z538&gt;=Законод!$I$26,Законод!$H$28,0)))),0)))</f>
        <v>0</v>
      </c>
      <c r="AA544" s="930"/>
      <c r="AB544" s="889" t="s">
        <v>346</v>
      </c>
      <c r="AC544" s="890"/>
      <c r="AD544" s="890"/>
      <c r="AE544" s="890"/>
      <c r="AF544" s="891"/>
      <c r="AG544" s="196">
        <f ca="1">IF($B$534="Лікар загальної практики - сімейний лікар",IF(AG538&lt;Законод!$C$22,0,(IF(AND(AG538&gt;=Законод!$I$22,AG538&lt;=Законод!$I$23),AG538-Законод!$H$23,IF('01_Доходи'!AG538&gt;=Законод!$I$22,Законод!$I$24,0)))),IF($B$534="Лікар-педіатр",IF(AG538&lt;Законод!$C$18,0,(IF(AND(AG538&gt;=Законод!$I$18,AG538&lt;=Законод!$I$19),AG538-Законод!$H$19,IF('01_Доходи'!AG538&gt;=Законод!$I$18,Законод!$H$20,0)))),IF($B$534="Лікар-терапевт",IF(AG538&lt;Законод!$C$26,0,(IF(AND(AG538&gt;=Законод!$I$26,AG538&lt;=Законод!$I$27),AG538-Законод!$H$27,IF('01_Доходи'!AG538&gt;=Законод!$I$26,Законод!$H$28,0)))),0)))</f>
        <v>0</v>
      </c>
      <c r="AH544" s="930"/>
      <c r="AI544" s="201"/>
      <c r="AJ544" s="933"/>
      <c r="AK544" s="927"/>
      <c r="AL544" s="927"/>
      <c r="AM544" s="899"/>
      <c r="AN544" s="210">
        <f ca="1">IF(B534="Лікар загальної практики - сімейний лікар",L544*Законод!$C$9/4*Законод!$I$16,IF(B534="Лікар-педіатр",L544*Законод!$C$9/4*Законод!$I$16,IF(B534="Лікар-терапевт",L544*Законод!$C$9/4*Законод!$I$16,0)))</f>
        <v>0</v>
      </c>
      <c r="AO544" s="210">
        <f ca="1">IF(B534="Лікар загальної практики - сімейний лікар",S544*Законод!$C$9/4*Законод!$I$16,IF(B534="Лікар-педіатр",S544*Законод!$C$9/4*Законод!$I$16,IF(B534="Лікар-терапевт",S544*Законод!$C$9/4*Законод!$I$16,0)))</f>
        <v>0</v>
      </c>
      <c r="AP544" s="210">
        <f ca="1">IF(B534="Лікар загальної практики - сімейний лікар",Z544*Законод!$C$9/4*Законод!$I$16,IF(B534="Лікар-педіатр",Z544*Законод!$C$9/4*Законод!$I$16,IF(B534="Лікар-терапевт",Z544*Законод!$C$9/4*Законод!$I$16,0)))</f>
        <v>0</v>
      </c>
      <c r="AQ544" s="210">
        <f ca="1">IF(B534="Лікар загальної практики - сімейний лікар",AG544*Законод!$C$9/4*Законод!$I$16,IF(B534="Лікар-педіатр",AG544*Законод!$C$9/4*Законод!$I$16,IF(B534="Лікар-терапевт",AG544*Законод!$C$9/4*Законод!$I$16,0)))</f>
        <v>0</v>
      </c>
      <c r="AR544" s="211">
        <f t="shared" si="68"/>
        <v>0</v>
      </c>
    </row>
    <row r="545" spans="1:44" s="218" customFormat="1" ht="31.9" hidden="1" customHeight="1" thickBot="1">
      <c r="A545" s="213"/>
      <c r="B545" s="894"/>
      <c r="C545" s="897"/>
      <c r="D545" s="913"/>
      <c r="E545" s="910"/>
      <c r="F545" s="239" t="str">
        <f ca="1">IF(B534="Лікар-педіатр",Законод!$J$17,IF(B534="Лікар загальної практики - сімейний лікар",Законод!$J$21,IF(B534="Лікар-терапевт",Законод!$J$25,"х")))</f>
        <v>х</v>
      </c>
      <c r="G545" s="935" t="s">
        <v>346</v>
      </c>
      <c r="H545" s="936"/>
      <c r="I545" s="936"/>
      <c r="J545" s="936"/>
      <c r="K545" s="937"/>
      <c r="L545" s="196">
        <f ca="1">IF($B$534="Лікар загальної практики - сімейний лікар",IF(L538&gt;=Законод!$J$22,'01_Доходи'!L538-('01_Доходи'!L539+'01_Доходи'!L540+'01_Доходи'!L541+'01_Доходи'!L542+'01_Доходи'!L543+'01_Доходи'!L544),0),IF($B$534="Лікар-педіатр",IF(L538&gt;=Законод!$J$18,'01_Доходи'!L538-('01_Доходи'!L539+'01_Доходи'!L540+'01_Доходи'!L541+'01_Доходи'!L542+'01_Доходи'!L543+'01_Доходи'!L544),0),IF($B$534="Лікар-терапевт",IF('01_Доходи'!L538&gt;=Законод!$J$26,L538-Законод!$I$27,0),0)))</f>
        <v>0</v>
      </c>
      <c r="M545" s="931"/>
      <c r="N545" s="935" t="s">
        <v>346</v>
      </c>
      <c r="O545" s="936"/>
      <c r="P545" s="936"/>
      <c r="Q545" s="936"/>
      <c r="R545" s="937"/>
      <c r="S545" s="196">
        <f ca="1">IF($B$534="Лікар загальної практики - сімейний лікар",IF(S538&gt;=Законод!$J$22,'01_Доходи'!S538-('01_Доходи'!S539+'01_Доходи'!S540+'01_Доходи'!S541+'01_Доходи'!S542+'01_Доходи'!S543+'01_Доходи'!S544),0),IF($B$534="Лікар-педіатр",IF(S538&gt;=Законод!$J$18,'01_Доходи'!S538-('01_Доходи'!S539+'01_Доходи'!S540+'01_Доходи'!S541+'01_Доходи'!S542+'01_Доходи'!S543+'01_Доходи'!S544),0),IF($B$534="Лікар-терапевт",IF('01_Доходи'!S538&gt;=Законод!$J$26,S538-Законод!$I$27,0),0)))</f>
        <v>0</v>
      </c>
      <c r="T545" s="931"/>
      <c r="U545" s="935" t="s">
        <v>346</v>
      </c>
      <c r="V545" s="936"/>
      <c r="W545" s="936"/>
      <c r="X545" s="936"/>
      <c r="Y545" s="937"/>
      <c r="Z545" s="196">
        <f ca="1">IF($B$534="Лікар загальної практики - сімейний лікар",IF(Z538&gt;=Законод!$J$22,'01_Доходи'!Z538-('01_Доходи'!Z539+'01_Доходи'!Z540+'01_Доходи'!Z541+'01_Доходи'!Z542+'01_Доходи'!Z543+'01_Доходи'!Z544),0),IF($B$534="Лікар-педіатр",IF(Z538&gt;=Законод!$J$18,'01_Доходи'!Z538-('01_Доходи'!Z539+'01_Доходи'!Z540+'01_Доходи'!Z541+'01_Доходи'!Z542+'01_Доходи'!Z543+'01_Доходи'!Z544),0),IF($B$534="Лікар-терапевт",IF('01_Доходи'!Z538&gt;=Законод!$J$26,Z538-Законод!$I$27,0),0)))</f>
        <v>0</v>
      </c>
      <c r="AA545" s="931"/>
      <c r="AB545" s="935" t="s">
        <v>346</v>
      </c>
      <c r="AC545" s="936"/>
      <c r="AD545" s="936"/>
      <c r="AE545" s="936"/>
      <c r="AF545" s="937"/>
      <c r="AG545" s="196">
        <f ca="1">IF($B$534="Лікар загальної практики - сімейний лікар",IF(AG538&gt;=Законод!$J$22,'01_Доходи'!AG538-('01_Доходи'!AG539+'01_Доходи'!AG540+'01_Доходи'!AG541+'01_Доходи'!AG542+'01_Доходи'!AG543+'01_Доходи'!AG544),0),IF($B$534="Лікар-педіатр",IF(AG538&gt;=Законод!$J$18,'01_Доходи'!AG538-('01_Доходи'!AG539+'01_Доходи'!AG540+'01_Доходи'!AG541+'01_Доходи'!AG542+'01_Доходи'!AG543+'01_Доходи'!AG544),0),IF($B$534="Лікар-терапевт",IF('01_Доходи'!AG538&gt;=Законод!$J$26,AG538-Законод!$I$27,0),0)))</f>
        <v>0</v>
      </c>
      <c r="AH545" s="931"/>
      <c r="AI545" s="215"/>
      <c r="AJ545" s="934"/>
      <c r="AK545" s="928"/>
      <c r="AL545" s="928"/>
      <c r="AM545" s="900"/>
      <c r="AN545" s="216">
        <f ca="1">IF(B534="Лікар загальної практики - сімейний лікар",L545*Законод!$C$9/4*Законод!$J$16,IF(B534="Лікар-педіатр",L545*Законод!$C$9/4*Законод!$J$16,IF(B534="Лікар-терапевт",L545*Законод!$C$9/4*Законод!$J$16,0)))</f>
        <v>0</v>
      </c>
      <c r="AO545" s="216">
        <f ca="1">IF(B534="Лікар загальної практики - сімейний лікар",S545*Законод!$C$9/4*Законод!$J$16,IF(B534="Лікар-педіатр",S545*Законод!$C$9/4*Законод!$J$16,IF(B534="Лікар-терапевт",S545*Законод!$C$9/4*Законод!$J$16,0)))</f>
        <v>0</v>
      </c>
      <c r="AP545" s="216">
        <f ca="1">IF(B534="Лікар загальної практики - сімейний лікар",S545*Законод!$C$9/4*Законод!$J$16,IF(B534="Лікар-педіатр",S545*Законод!$C$9/4*Законод!$J$16,IF(B534="Лікар-терапевт",S545*Законод!$C$9/4*Законод!$J$16,0)))</f>
        <v>0</v>
      </c>
      <c r="AQ545" s="216">
        <f ca="1">IF(B534="Лікар загальної практики - сімейний лікар",AG545*Законод!$C$9/4*Законод!$J$16,IF(B534="Лікар-педіатр",AG545*Законод!$C$9/4*Законод!$J$16,IF(B534="Лікар-терапевт",AG545*Законод!$C$9/4*Законод!$J$16,0)))</f>
        <v>0</v>
      </c>
      <c r="AR545" s="217">
        <f t="shared" si="68"/>
        <v>0</v>
      </c>
    </row>
    <row r="546" spans="1:44" s="247" customFormat="1" ht="23.45" hidden="1" customHeight="1" thickBot="1">
      <c r="A546" s="243"/>
      <c r="B546" s="244"/>
      <c r="C546" s="244"/>
      <c r="D546" s="244"/>
      <c r="E546" s="244"/>
      <c r="F546" s="245"/>
      <c r="G546" s="246"/>
      <c r="H546" s="246"/>
      <c r="L546" s="248"/>
      <c r="S546" s="248"/>
      <c r="Z546" s="248"/>
      <c r="AG546" s="248"/>
      <c r="AM546" s="249"/>
      <c r="AR546" s="250"/>
    </row>
    <row r="547" spans="1:44" s="191" customFormat="1" ht="24.6" hidden="1" customHeight="1">
      <c r="A547" s="194">
        <f>A534+1</f>
        <v>40</v>
      </c>
      <c r="B547" s="892"/>
      <c r="C547" s="895"/>
      <c r="D547" s="911"/>
      <c r="E547" s="908"/>
      <c r="F547" s="234" t="s">
        <v>582</v>
      </c>
      <c r="G547" s="196">
        <f>IF($B$547="Лікар-педіатр",G550*L547,IF($B$547="Лікар-терапевт","х",IF($B$547="Лікар загальної практики - сімейний лікар",G550*L547,0)))</f>
        <v>0</v>
      </c>
      <c r="H547" s="196">
        <f>IF($B$547="Лікар-педіатр",H550*L547,IF($B$547="Лікар-терапевт","х",IF($B$547="Лікар загальної практики - сімейний лікар",H550*L547,0)))</f>
        <v>0</v>
      </c>
      <c r="I547" s="196">
        <f>IF($B$547="Лікар-педіатр","x",IF($B$547="Лікар-терапевт",I550*L547,IF($B$547="Лікар загальної практики - сімейний лікар",I550*L547,0)))</f>
        <v>0</v>
      </c>
      <c r="J547" s="196">
        <f>IF($B$547="Лікар-педіатр","x",IF($B$547="Лікар-терапевт",J550*L547,IF($B$547="Лікар загальної практики - сімейний лікар",J550*L547,0)))</f>
        <v>0</v>
      </c>
      <c r="K547" s="196">
        <f>IF($B$547="Лікар-педіатр","x",IF($B$547="Лікар-терапевт",K550*L547,IF($B$547="Лікар загальної практики - сімейний лікар",K550*L547,0)))</f>
        <v>0</v>
      </c>
      <c r="L547" s="558"/>
      <c r="M547" s="929"/>
      <c r="N547" s="196">
        <f>IF($B$547="Лікар-педіатр",N550*S547,IF($B$547="Лікар-терапевт","х",IF($B$547="Лікар загальної практики - сімейний лікар",N550*S547,0)))</f>
        <v>0</v>
      </c>
      <c r="O547" s="196">
        <f>IF($B$547="Лікар-педіатр",O550*S547,IF($B$547="Лікар-терапевт","х",IF($B$547="Лікар загальної практики - сімейний лікар",O550*S547,0)))</f>
        <v>0</v>
      </c>
      <c r="P547" s="196">
        <f>IF($B$547="Лікар-педіатр","x",IF($B$547="Лікар-терапевт",P550*S547,IF($B$547="Лікар загальної практики - сімейний лікар",P550*S547,0)))</f>
        <v>0</v>
      </c>
      <c r="Q547" s="196">
        <f>IF($B$547="Лікар-педіатр","x",IF($B$547="Лікар-терапевт",Q550*S547,IF($B$547="Лікар загальної практики - сімейний лікар",Q550*S547,0)))</f>
        <v>0</v>
      </c>
      <c r="R547" s="196">
        <f>IF($B$547="Лікар-педіатр","x",IF($B$547="Лікар-терапевт",R550*S547,IF($B$547="Лікар загальної практики - сімейний лікар",R550*S547,0)))</f>
        <v>0</v>
      </c>
      <c r="S547" s="558"/>
      <c r="T547" s="929"/>
      <c r="U547" s="196">
        <f>IF($B$547="Лікар-педіатр",U550*Z547,IF($B$547="Лікар-терапевт","х",IF($B$547="Лікар загальної практики - сімейний лікар",U550*Z547,0)))</f>
        <v>0</v>
      </c>
      <c r="V547" s="196">
        <f>IF($B$547="Лікар-педіатр",V550*Z547,IF($B$547="Лікар-терапевт","х",IF($B$547="Лікар загальної практики - сімейний лікар",V550*Z547,0)))</f>
        <v>0</v>
      </c>
      <c r="W547" s="196">
        <f>IF($B$547="Лікар-педіатр","x",IF($B$547="Лікар-терапевт",W550*Z547,IF($B$547="Лікар загальної практики - сімейний лікар",W550*Z547,0)))</f>
        <v>0</v>
      </c>
      <c r="X547" s="196">
        <f>IF($B$547="Лікар-педіатр","x",IF($B$547="Лікар-терапевт",X550*Z547,IF($B$547="Лікар загальної практики - сімейний лікар",X550*Z547,0)))</f>
        <v>0</v>
      </c>
      <c r="Y547" s="196">
        <f>IF($B$547="Лікар-педіатр","x",IF($B$547="Лікар-терапевт",Y550*Z547,IF($B$547="Лікар загальної практики - сімейний лікар",Y550*Z547,0)))</f>
        <v>0</v>
      </c>
      <c r="Z547" s="558"/>
      <c r="AA547" s="929"/>
      <c r="AB547" s="196">
        <f>IF($B$547="Лікар-педіатр",AB550*AG547,IF($B$547="Лікар-терапевт","х",IF($B$547="Лікар загальної практики - сімейний лікар",AB550*AG547,0)))</f>
        <v>0</v>
      </c>
      <c r="AC547" s="196">
        <f>IF($B$547="Лікар-педіатр",AC550*AG547,IF($B$547="Лікар-терапевт","х",IF($B$547="Лікар загальної практики - сімейний лікар",AC550*AG547,0)))</f>
        <v>0</v>
      </c>
      <c r="AD547" s="196">
        <f>IF($B$547="Лікар-педіатр","x",IF($B$547="Лікар-терапевт",AD550*AG547,IF($B$547="Лікар загальної практики - сімейний лікар",AD550*AG547,0)))</f>
        <v>0</v>
      </c>
      <c r="AE547" s="196">
        <f>IF($B$547="Лікар-педіатр","x",IF($B$547="Лікар-терапевт",AE550*AG547,IF($B$547="Лікар загальної практики - сімейний лікар",AE550*AG547,0)))</f>
        <v>0</v>
      </c>
      <c r="AF547" s="196">
        <f>IF($B$547="Лікар-педіатр","x",IF($B$547="Лікар-терапевт",AF550*AG547,IF($B$547="Лікар загальної практики - сімейний лікар",AF550*AG547,0)))</f>
        <v>0</v>
      </c>
      <c r="AG547" s="558"/>
      <c r="AH547" s="929"/>
      <c r="AI547" s="541">
        <f>A547</f>
        <v>40</v>
      </c>
      <c r="AJ547" s="932">
        <f>B547</f>
        <v>0</v>
      </c>
      <c r="AK547" s="926">
        <f>C547</f>
        <v>0</v>
      </c>
      <c r="AL547" s="926">
        <f>D547</f>
        <v>0</v>
      </c>
      <c r="AM547" s="901" t="s">
        <v>785</v>
      </c>
      <c r="AN547" s="923">
        <f>SUM(AN552:AN558)</f>
        <v>0</v>
      </c>
      <c r="AO547" s="923">
        <f>SUM(AO552:AO558)</f>
        <v>0</v>
      </c>
      <c r="AP547" s="923">
        <f>SUM(AP552:AP558)</f>
        <v>0</v>
      </c>
      <c r="AQ547" s="923">
        <f>SUM(AQ552:AQ558)</f>
        <v>0</v>
      </c>
      <c r="AR547" s="914">
        <f>SUM(AN547:AQ551)</f>
        <v>0</v>
      </c>
    </row>
    <row r="548" spans="1:44" s="50" customFormat="1" ht="28.15" hidden="1" customHeight="1">
      <c r="A548" s="197"/>
      <c r="B548" s="893"/>
      <c r="C548" s="896"/>
      <c r="D548" s="912"/>
      <c r="E548" s="909"/>
      <c r="F548" s="234" t="s">
        <v>583</v>
      </c>
      <c r="G548" s="196">
        <f>IF($B$547="Лікар-педіатр",G550*L548,IF($B$547="Лікар-терапевт","х",IF($B$547="Лікар загальної практики - сімейний лікар",G550*L548,0)))</f>
        <v>0</v>
      </c>
      <c r="H548" s="196">
        <f>IF($B$547="Лікар-педіатр",H550*L548,IF($B$547="Лікар-терапевт","х",IF($B$547="Лікар загальної практики - сімейний лікар",H550*L548,0)))</f>
        <v>0</v>
      </c>
      <c r="I548" s="196">
        <f>IF($B$547="Лікар-педіатр","x",IF($B$547="Лікар-терапевт",I550*L548,IF($B$547="Лікар загальної практики - сімейний лікар",I550*L548,0)))</f>
        <v>0</v>
      </c>
      <c r="J548" s="196">
        <f>IF($B$547="Лікар-педіатр","x",IF($B$547="Лікар-терапевт",J550*L548,IF($B$547="Лікар загальної практики - сімейний лікар",J550*L548,0)))</f>
        <v>0</v>
      </c>
      <c r="K548" s="196">
        <f>IF($B$547="Лікар-педіатр","x",IF($B$547="Лікар-терапевт",K550*L548,IF($B$547="Лікар загальної практики - сімейний лікар",K550*L548,0)))</f>
        <v>0</v>
      </c>
      <c r="L548" s="558"/>
      <c r="M548" s="930"/>
      <c r="N548" s="196">
        <f>IF($B$547="Лікар-педіатр",N550*S548,IF($B$547="Лікар-терапевт","х",IF($B$547="Лікар загальної практики - сімейний лікар",N550*S548,0)))</f>
        <v>0</v>
      </c>
      <c r="O548" s="196">
        <f>IF($B$547="Лікар-педіатр",O550*S548,IF($B$547="Лікар-терапевт","х",IF($B$547="Лікар загальної практики - сімейний лікар",O550*S548,0)))</f>
        <v>0</v>
      </c>
      <c r="P548" s="196">
        <f>IF($B$547="Лікар-педіатр","x",IF($B$547="Лікар-терапевт",P550*S548,IF($B$547="Лікар загальної практики - сімейний лікар",P550*S548,0)))</f>
        <v>0</v>
      </c>
      <c r="Q548" s="196">
        <f>IF($B$547="Лікар-педіатр","x",IF($B$547="Лікар-терапевт",Q550*S548,IF($B$547="Лікар загальної практики - сімейний лікар",Q550*S548,0)))</f>
        <v>0</v>
      </c>
      <c r="R548" s="196">
        <f>IF($B$547="Лікар-педіатр","x",IF($B$547="Лікар-терапевт",R550*S548,IF($B$547="Лікар загальної практики - сімейний лікар",R550*S548,0)))</f>
        <v>0</v>
      </c>
      <c r="S548" s="558"/>
      <c r="T548" s="930"/>
      <c r="U548" s="196">
        <f>IF($B$547="Лікар-педіатр",U550*Z548,IF($B$547="Лікар-терапевт","х",IF($B$547="Лікар загальної практики - сімейний лікар",U550*Z548,0)))</f>
        <v>0</v>
      </c>
      <c r="V548" s="196">
        <f>IF($B$547="Лікар-педіатр",V550*Z548,IF($B$547="Лікар-терапевт","х",IF($B$547="Лікар загальної практики - сімейний лікар",V550*Z548,0)))</f>
        <v>0</v>
      </c>
      <c r="W548" s="196">
        <f>IF($B$547="Лікар-педіатр","x",IF($B$547="Лікар-терапевт",W550*Z548,IF($B$547="Лікар загальної практики - сімейний лікар",W550*Z548,0)))</f>
        <v>0</v>
      </c>
      <c r="X548" s="196">
        <f>IF($B$547="Лікар-педіатр","x",IF($B$547="Лікар-терапевт",X550*Z548,IF($B$547="Лікар загальної практики - сімейний лікар",X550*Z548,0)))</f>
        <v>0</v>
      </c>
      <c r="Y548" s="196">
        <f>IF($B$547="Лікар-педіатр","x",IF($B$547="Лікар-терапевт",Y550*Z548,IF($B$547="Лікар загальної практики - сімейний лікар",Y550*Z548,0)))</f>
        <v>0</v>
      </c>
      <c r="Z548" s="558"/>
      <c r="AA548" s="930"/>
      <c r="AB548" s="196">
        <f>IF($B$547="Лікар-педіатр",AB550*AG548,IF($B$547="Лікар-терапевт","х",IF($B$547="Лікар загальної практики - сімейний лікар",AB550*AG548,0)))</f>
        <v>0</v>
      </c>
      <c r="AC548" s="196">
        <f>IF($B$547="Лікар-педіатр",AC550*AG548,IF($B$547="Лікар-терапевт","х",IF($B$547="Лікар загальної практики - сімейний лікар",AC550*AG548,0)))</f>
        <v>0</v>
      </c>
      <c r="AD548" s="196">
        <f>IF($B$547="Лікар-педіатр","x",IF($B$547="Лікар-терапевт",AD550*AG548,IF($B$547="Лікар загальної практики - сімейний лікар",AD550*AG548,0)))</f>
        <v>0</v>
      </c>
      <c r="AE548" s="196">
        <f>IF($B$547="Лікар-педіатр","x",IF($B$547="Лікар-терапевт",AE550*AG548,IF($B$547="Лікар загальної практики - сімейний лікар",AE550*AG548,0)))</f>
        <v>0</v>
      </c>
      <c r="AF548" s="196">
        <f>IF($B$547="Лікар-педіатр","x",IF($B$547="Лікар-терапевт",AF550*AG548,IF($B$547="Лікар загальної практики - сімейний лікар",AF550*AG548,0)))</f>
        <v>0</v>
      </c>
      <c r="AG548" s="558"/>
      <c r="AH548" s="930"/>
      <c r="AI548" s="198"/>
      <c r="AJ548" s="933"/>
      <c r="AK548" s="927"/>
      <c r="AL548" s="927"/>
      <c r="AM548" s="902"/>
      <c r="AN548" s="924"/>
      <c r="AO548" s="924"/>
      <c r="AP548" s="924"/>
      <c r="AQ548" s="924"/>
      <c r="AR548" s="915"/>
    </row>
    <row r="549" spans="1:44" s="90" customFormat="1" ht="31.15" hidden="1" customHeight="1">
      <c r="A549" s="240"/>
      <c r="B549" s="893"/>
      <c r="C549" s="896"/>
      <c r="D549" s="912"/>
      <c r="E549" s="909"/>
      <c r="F549" s="241" t="s">
        <v>584</v>
      </c>
      <c r="G549" s="199">
        <f>IF(B547="Лікар загальної практики - сімейний лікар"," ",IF(B547="Лікар-педіатр"," ",IF(B547="Лікар-терапевт","х",0)))</f>
        <v>0</v>
      </c>
      <c r="H549" s="199">
        <f>IF(B547="Лікар загальної практики - сімейний лікар"," ",IF(B547="Лікар-педіатр"," ",IF(B547="Лікар-терапевт","х",0)))</f>
        <v>0</v>
      </c>
      <c r="I549" s="199">
        <f>IF(B547="Лікар загальної практики - сімейний лікар"," ",IF(B547="Лікар-педіатр","х",IF(B547="Лікар-терапевт"," ",0)))</f>
        <v>0</v>
      </c>
      <c r="J549" s="199">
        <f>IF(B547="Лікар загальної практики - сімейний лікар"," ",IF(B547="Лікар-педіатр","х",IF(B547="Лікар-терапевт"," ",0)))</f>
        <v>0</v>
      </c>
      <c r="K549" s="199">
        <f>IF(B547="Лікар загальної практики - сімейний лікар"," ",IF(B547="Лікар-педіатр","х",IF(B547="Лікар-терапевт"," ",0)))</f>
        <v>0</v>
      </c>
      <c r="L549" s="200">
        <f>SUM(G549:K549)</f>
        <v>0</v>
      </c>
      <c r="M549" s="930"/>
      <c r="N549" s="199">
        <f>IF(B547="Лікар загальної практики - сімейний лікар"," ",IF(B547="Лікар-педіатр"," ",IF(B547="Лікар-терапевт","х",0)))</f>
        <v>0</v>
      </c>
      <c r="O549" s="199">
        <f>IF(B547="Лікар загальної практики - сімейний лікар"," ",IF(B547="Лікар-педіатр"," ",IF(B547="Лікар-терапевт","х",0)))</f>
        <v>0</v>
      </c>
      <c r="P549" s="199">
        <f>IF(B547="Лікар загальної практики - сімейний лікар"," ",IF(B547="Лікар-педіатр","х",IF(B547="Лікар-терапевт"," ",0)))</f>
        <v>0</v>
      </c>
      <c r="Q549" s="199">
        <f>IF(B547="Лікар загальної практики - сімейний лікар"," ",IF(B547="Лікар-педіатр","х",IF(B547="Лікар-терапевт"," ",0)))</f>
        <v>0</v>
      </c>
      <c r="R549" s="199">
        <f>IF(B547="Лікар загальної практики - сімейний лікар"," ",IF(B547="Лікар-педіатр","х",IF(B547="Лікар-терапевт"," ",0)))</f>
        <v>0</v>
      </c>
      <c r="S549" s="200">
        <f>SUM(N549:R549)</f>
        <v>0</v>
      </c>
      <c r="T549" s="930"/>
      <c r="U549" s="199">
        <f>IF(B547="Лікар загальної практики - сімейний лікар"," ",IF(B547="Лікар-педіатр"," ",IF(B547="Лікар-терапевт","х",0)))</f>
        <v>0</v>
      </c>
      <c r="V549" s="199">
        <f>IF(B547="Лікар загальної практики - сімейний лікар"," ",IF(B547="Лікар-педіатр"," ",IF(B547="Лікар-терапевт","х",0)))</f>
        <v>0</v>
      </c>
      <c r="W549" s="199">
        <f>IF(B547="Лікар загальної практики - сімейний лікар"," ",IF(B547="Лікар-педіатр","х",IF(B547="Лікар-терапевт"," ",0)))</f>
        <v>0</v>
      </c>
      <c r="X549" s="199">
        <f>IF(B547="Лікар загальної практики - сімейний лікар"," ",IF(B547="Лікар-педіатр","х",IF(B547="Лікар-терапевт"," ",0)))</f>
        <v>0</v>
      </c>
      <c r="Y549" s="199">
        <f>IF(B547="Лікар загальної практики - сімейний лікар"," ",IF(B547="Лікар-педіатр","х",IF(B547="Лікар-терапевт"," ",0)))</f>
        <v>0</v>
      </c>
      <c r="Z549" s="200">
        <f>SUM(U549:Y549)</f>
        <v>0</v>
      </c>
      <c r="AA549" s="930"/>
      <c r="AB549" s="199">
        <f>IF(B547="Лікар загальної практики - сімейний лікар"," ",IF(B547="Лікар-педіатр"," ",IF(B547="Лікар-терапевт","х",0)))</f>
        <v>0</v>
      </c>
      <c r="AC549" s="199">
        <f>IF(B547="Лікар загальної практики - сімейний лікар"," ",IF(B547="Лікар-педіатр"," ",IF(B547="Лікар-терапевт","х",0)))</f>
        <v>0</v>
      </c>
      <c r="AD549" s="199">
        <f>IF(B547="Лікар загальної практики - сімейний лікар"," ",IF(B547="Лікар-педіатр","х",IF(B547="Лікар-терапевт"," ",0)))</f>
        <v>0</v>
      </c>
      <c r="AE549" s="199">
        <f>IF(B547="Лікар загальної практики - сімейний лікар"," ",IF(B547="Лікар-педіатр","х",IF(B547="Лікар-терапевт"," ",0)))</f>
        <v>0</v>
      </c>
      <c r="AF549" s="199">
        <f>IF(B547="Лікар загальної практики - сімейний лікар"," ",IF(B547="Лікар-педіатр","х",IF(B547="Лікар-терапевт"," ",0)))</f>
        <v>0</v>
      </c>
      <c r="AG549" s="200">
        <f>SUM(AB549:AF549)</f>
        <v>0</v>
      </c>
      <c r="AH549" s="930"/>
      <c r="AI549" s="242"/>
      <c r="AJ549" s="933"/>
      <c r="AK549" s="927"/>
      <c r="AL549" s="927"/>
      <c r="AM549" s="902"/>
      <c r="AN549" s="924"/>
      <c r="AO549" s="924"/>
      <c r="AP549" s="924"/>
      <c r="AQ549" s="924"/>
      <c r="AR549" s="915"/>
    </row>
    <row r="550" spans="1:44" s="50" customFormat="1" ht="31.9" hidden="1" customHeight="1" thickBot="1">
      <c r="A550" s="197"/>
      <c r="B550" s="893"/>
      <c r="C550" s="896"/>
      <c r="D550" s="912"/>
      <c r="E550" s="909"/>
      <c r="F550" s="236" t="s">
        <v>349</v>
      </c>
      <c r="G550" s="203">
        <f>IF($B$547="Лікар-педіатр",G549/L549,IF($B$547="Лікар-терапевт","х",IF($B$547="Лікар загальної практики - сімейний лікар",G549/L549,0)))</f>
        <v>0</v>
      </c>
      <c r="H550" s="203">
        <f>IF($B$547="Лікар-педіатр",H549/L549,IF($B$547="Лікар-терапевт","х",IF($B$547="Лікар загальної практики - сімейний лікар",H549/L549,0)))</f>
        <v>0</v>
      </c>
      <c r="I550" s="203">
        <f>IF($B$547="Лікар-педіатр","x",IF($B$547="Лікар-терапевт",I549/L549,IF($B$547="Лікар загальної практики - сімейний лікар",I549/L549,0)))</f>
        <v>0</v>
      </c>
      <c r="J550" s="203">
        <f>IF($B$547="Лікар-педіатр","x",IF($B$547="Лікар-терапевт",J549/L549,IF($B$547="Лікар загальної практики - сімейний лікар",J549/L549,0)))</f>
        <v>0</v>
      </c>
      <c r="K550" s="203">
        <f>IF($B$547="Лікар-педіатр","x",IF($B$547="Лікар-терапевт",K549/L549,IF($B$547="Лікар загальної практики - сімейний лікар",K549/L549,0)))</f>
        <v>0</v>
      </c>
      <c r="L550" s="203">
        <f>SUM(G550:K550)</f>
        <v>0</v>
      </c>
      <c r="M550" s="930"/>
      <c r="N550" s="203">
        <f>IF($B$547="Лікар-педіатр",N549/S549,IF($B$547="Лікар-терапевт","х",IF($B$547="Лікар загальної практики - сімейний лікар",N549/S549,0)))</f>
        <v>0</v>
      </c>
      <c r="O550" s="203">
        <f>IF($B$547="Лікар-педіатр",O549/S549,IF($B$547="Лікар-терапевт","х",IF($B$547="Лікар загальної практики - сімейний лікар",O549/S549,0)))</f>
        <v>0</v>
      </c>
      <c r="P550" s="203">
        <f>IF($B$547="Лікар-педіатр","x",IF($B$547="Лікар-терапевт",P549/S549,IF($B$547="Лікар загальної практики - сімейний лікар",P549/S549,0)))</f>
        <v>0</v>
      </c>
      <c r="Q550" s="203">
        <f>IF($B$547="Лікар-педіатр","x",IF($B$547="Лікар-терапевт",Q549/S549,IF($B$547="Лікар загальної практики - сімейний лікар",Q549/S549,0)))</f>
        <v>0</v>
      </c>
      <c r="R550" s="203">
        <f>IF($B$547="Лікар-педіатр","x",IF($B$547="Лікар-терапевт",R549/S549,IF($B$547="Лікар загальної практики - сімейний лікар",R549/S549,0)))</f>
        <v>0</v>
      </c>
      <c r="S550" s="203">
        <f>SUM(N550:R550)</f>
        <v>0</v>
      </c>
      <c r="T550" s="930"/>
      <c r="U550" s="203">
        <f>IF($B$547="Лікар-педіатр",U549/Z549,IF($B$547="Лікар-терапевт","х",IF($B$547="Лікар загальної практики - сімейний лікар",U549/Z549,0)))</f>
        <v>0</v>
      </c>
      <c r="V550" s="203">
        <f>IF($B$547="Лікар-педіатр",V549/Z549,IF($B$547="Лікар-терапевт","х",IF($B$547="Лікар загальної практики - сімейний лікар",V549/Z549,0)))</f>
        <v>0</v>
      </c>
      <c r="W550" s="203">
        <f>IF($B$547="Лікар-педіатр","x",IF($B$547="Лікар-терапевт",W549/Z549,IF($B$547="Лікар загальної практики - сімейний лікар",W549/Z549,0)))</f>
        <v>0</v>
      </c>
      <c r="X550" s="203">
        <f>IF($B$547="Лікар-педіатр","x",IF($B$547="Лікар-терапевт",X549/Z549,IF($B$547="Лікар загальної практики - сімейний лікар",X549/Z549,0)))</f>
        <v>0</v>
      </c>
      <c r="Y550" s="203">
        <f>IF($B$547="Лікар-педіатр","x",IF($B$547="Лікар-терапевт",Y549/Z549,IF($B$547="Лікар загальної практики - сімейний лікар",Y549/Z549,0)))</f>
        <v>0</v>
      </c>
      <c r="Z550" s="203">
        <f>SUM(U550:Y550)</f>
        <v>0</v>
      </c>
      <c r="AA550" s="930"/>
      <c r="AB550" s="203">
        <f>IF($B$547="Лікар-педіатр",AB549/AG549,IF($B$547="Лікар-терапевт","х",IF($B$547="Лікар загальної практики - сімейний лікар",AB549/AG549,0)))</f>
        <v>0</v>
      </c>
      <c r="AC550" s="203">
        <f>IF($B$547="Лікар-педіатр",AC549/AG549,IF($B$547="Лікар-терапевт","х",IF($B$547="Лікар загальної практики - сімейний лікар",AC549/AG549,0)))</f>
        <v>0</v>
      </c>
      <c r="AD550" s="203">
        <f>IF($B$547="Лікар-педіатр","x",IF($B$547="Лікар-терапевт",AD549/AG549,IF($B$547="Лікар загальної практики - сімейний лікар",AD549/AG549,0)))</f>
        <v>0</v>
      </c>
      <c r="AE550" s="203">
        <f>IF($B$547="Лікар-педіатр","x",IF($B$547="Лікар-терапевт",AE549/AG549,IF($B$547="Лікар загальної практики - сімейний лікар",AE549/AG549,0)))</f>
        <v>0</v>
      </c>
      <c r="AF550" s="203">
        <f>IF($B$547="Лікар-педіатр","x",IF($B$547="Лікар-терапевт",AF549/AG549,IF($B$547="Лікар загальної практики - сімейний лікар",AF549/AG549,0)))</f>
        <v>0</v>
      </c>
      <c r="AG550" s="203">
        <f>SUM(AB550:AF550)</f>
        <v>0</v>
      </c>
      <c r="AH550" s="930"/>
      <c r="AI550" s="201"/>
      <c r="AJ550" s="933"/>
      <c r="AK550" s="927"/>
      <c r="AL550" s="927"/>
      <c r="AM550" s="902"/>
      <c r="AN550" s="924"/>
      <c r="AO550" s="924"/>
      <c r="AP550" s="924"/>
      <c r="AQ550" s="924"/>
      <c r="AR550" s="915"/>
    </row>
    <row r="551" spans="1:44" s="50" customFormat="1" ht="45" hidden="1" customHeight="1" thickBot="1">
      <c r="A551" s="197"/>
      <c r="B551" s="893"/>
      <c r="C551" s="896"/>
      <c r="D551" s="912"/>
      <c r="E551" s="909"/>
      <c r="F551" s="204" t="s">
        <v>585</v>
      </c>
      <c r="G551" s="205">
        <f>IF($B$547="Лікар загальної практики - сімейний лікар",AVERAGE(G547:G549),IF($B$547="Лікар-педіатр",AVERAGE(G547:G549),IF($B$547="Лікар-терапевт","х",0)))</f>
        <v>0</v>
      </c>
      <c r="H551" s="205">
        <f>IF($B$547="Лікар загальної практики - сімейний лікар",AVERAGE(H547:H549),IF($B$547="Лікар-педіатр",AVERAGE(H547:H549),IF($B$547="Лікар-терапевт","х",0)))</f>
        <v>0</v>
      </c>
      <c r="I551" s="205">
        <f>IF($B$547="Лікар загальної практики - сімейний лікар",AVERAGE(I547:I549),IF($B$547="Лікар-педіатр","x",IF($B$547="Лікар-терапевт",AVERAGE(I547:I549),0)))</f>
        <v>0</v>
      </c>
      <c r="J551" s="205">
        <f>IF($B$547="Лікар загальної практики - сімейний лікар",AVERAGE(J547:J549),IF($B$547="Лікар-педіатр","x",IF($B$547="Лікар-терапевт",AVERAGE(J547:J549),0)))</f>
        <v>0</v>
      </c>
      <c r="K551" s="205">
        <f>IF($B$547="Лікар загальної практики - сімейний лікар",AVERAGE(K547:K549),IF($B$547="Лікар-педіатр","x",IF($B$547="Лікар-терапевт",AVERAGE(K547:K549),0)))</f>
        <v>0</v>
      </c>
      <c r="L551" s="206">
        <f>SUM(G551:K551)</f>
        <v>0</v>
      </c>
      <c r="M551" s="930"/>
      <c r="N551" s="205">
        <f>IF($B$547="Лікар загальної практики - сімейний лікар",AVERAGE(N547:N549),IF($B$547="Лікар-педіатр",AVERAGE(N547:N549),IF($B$547="Лікар-терапевт","х",0)))</f>
        <v>0</v>
      </c>
      <c r="O551" s="205">
        <f>IF($B$547="Лікар загальної практики - сімейний лікар",AVERAGE(O547:O549),IF($B$547="Лікар-педіатр",AVERAGE(O547:O549),IF($B$547="Лікар-терапевт","х",0)))</f>
        <v>0</v>
      </c>
      <c r="P551" s="205">
        <f>IF($B$547="Лікар загальної практики - сімейний лікар",AVERAGE(P547:P549),IF($B$547="Лікар-педіатр","x",IF($B$547="Лікар-терапевт",AVERAGE(P547:P549),0)))</f>
        <v>0</v>
      </c>
      <c r="Q551" s="205">
        <f>IF($B$547="Лікар загальної практики - сімейний лікар",AVERAGE(Q547:Q549),IF($B$547="Лікар-педіатр","x",IF($B$547="Лікар-терапевт",AVERAGE(Q547:Q549),0)))</f>
        <v>0</v>
      </c>
      <c r="R551" s="205">
        <f>IF($B$547="Лікар загальної практики - сімейний лікар",AVERAGE(R547:R549),IF($B$547="Лікар-педіатр","x",IF($B$547="Лікар-терапевт",AVERAGE(R547:R549),0)))</f>
        <v>0</v>
      </c>
      <c r="S551" s="206">
        <f>SUM(N551:R551)</f>
        <v>0</v>
      </c>
      <c r="T551" s="930"/>
      <c r="U551" s="205">
        <f>IF($B$547="Лікар загальної практики - сімейний лікар",AVERAGE(U547:U549),IF($B$547="Лікар-педіатр",AVERAGE(U547:U549),IF($B$547="Лікар-терапевт","х",0)))</f>
        <v>0</v>
      </c>
      <c r="V551" s="205">
        <f>IF($B$547="Лікар загальної практики - сімейний лікар",AVERAGE(V547:V549),IF($B$547="Лікар-педіатр",AVERAGE(V547:V549),IF($B$547="Лікар-терапевт","х",0)))</f>
        <v>0</v>
      </c>
      <c r="W551" s="205">
        <f>IF($B$547="Лікар загальної практики - сімейний лікар",AVERAGE(W547:W549),IF($B$547="Лікар-педіатр","x",IF($B$547="Лікар-терапевт",AVERAGE(W547:W549),0)))</f>
        <v>0</v>
      </c>
      <c r="X551" s="205">
        <f>IF($B$547="Лікар загальної практики - сімейний лікар",AVERAGE(X547:X549),IF($B$547="Лікар-педіатр","x",IF($B$547="Лікар-терапевт",AVERAGE(X547:X549),0)))</f>
        <v>0</v>
      </c>
      <c r="Y551" s="205">
        <f>IF($B$547="Лікар загальної практики - сімейний лікар",AVERAGE(Y547:Y549),IF($B$547="Лікар-педіатр","x",IF($B$547="Лікар-терапевт",AVERAGE(Y547:Y549),0)))</f>
        <v>0</v>
      </c>
      <c r="Z551" s="206">
        <f>SUM(U551:Y551)</f>
        <v>0</v>
      </c>
      <c r="AA551" s="930"/>
      <c r="AB551" s="205">
        <f>IF($B$547="Лікар загальної практики - сімейний лікар",AVERAGE(AB547:AB549),IF($B$547="Лікар-педіатр",AVERAGE(AB547:AB549),IF($B$547="Лікар-терапевт","х",0)))</f>
        <v>0</v>
      </c>
      <c r="AC551" s="205">
        <f>IF($B$547="Лікар загальної практики - сімейний лікар",AVERAGE(AC547:AC549),IF($B$547="Лікар-педіатр",AVERAGE(AC547:AC549),IF($B$547="Лікар-терапевт","х",0)))</f>
        <v>0</v>
      </c>
      <c r="AD551" s="205">
        <f>IF($B$547="Лікар загальної практики - сімейний лікар",AVERAGE(AD547:AD549),IF($B$547="Лікар-педіатр","x",IF($B$547="Лікар-терапевт",AVERAGE(AD547:AD549),0)))</f>
        <v>0</v>
      </c>
      <c r="AE551" s="205">
        <f>IF($B$547="Лікар загальної практики - сімейний лікар",AVERAGE(AE547:AE549),IF($B$547="Лікар-педіатр","x",IF($B$547="Лікар-терапевт",AVERAGE(AE547:AE549),0)))</f>
        <v>0</v>
      </c>
      <c r="AF551" s="205">
        <f>IF($B$547="Лікар загальної практики - сімейний лікар",AVERAGE(AF547:AF549),IF($B$547="Лікар-педіатр","x",IF($B$547="Лікар-терапевт",AVERAGE(AF547:AF549),0)))</f>
        <v>0</v>
      </c>
      <c r="AG551" s="206">
        <f>SUM(AB551:AF551)</f>
        <v>0</v>
      </c>
      <c r="AH551" s="930"/>
      <c r="AI551" s="201"/>
      <c r="AJ551" s="933"/>
      <c r="AK551" s="927"/>
      <c r="AL551" s="927"/>
      <c r="AM551" s="903"/>
      <c r="AN551" s="925"/>
      <c r="AO551" s="925"/>
      <c r="AP551" s="925"/>
      <c r="AQ551" s="925"/>
      <c r="AR551" s="916"/>
    </row>
    <row r="552" spans="1:44" s="50" customFormat="1" ht="40.5" hidden="1">
      <c r="A552" s="197"/>
      <c r="B552" s="893"/>
      <c r="C552" s="896"/>
      <c r="D552" s="912"/>
      <c r="E552" s="909"/>
      <c r="F552" s="237" t="str">
        <f ca="1">IF(B547="Лікар-педіатр",Законод!$C$17,IF(B547="Лікар загальної практики - сімейний лікар",Законод!$C$21,IF(B547="Лікар-терапевт",Законод!$C$25,"х")))</f>
        <v>х</v>
      </c>
      <c r="G552" s="208">
        <f ca="1">IF($B$547="Лікар загальної практики - сімейний лікар",IF(L551&lt;=Законод!$C$22,G551,Законод!$C$22*'01_Доходи'!G550),IF($B$547="Лікар-педіатр",IF(L551&lt;=Законод!$C$18,G551,Законод!$C$18*'01_Доходи'!G550),IF($B$547="Лікар-терапевт","x",0)))</f>
        <v>0</v>
      </c>
      <c r="H552" s="208">
        <f ca="1">IF($B$547="Лікар загальної практики - сімейний лікар",IF(L551&lt;=Законод!$C$22,H551,Законод!$C$22*'01_Доходи'!H550),IF($B$547="Лікар-педіатр",IF(L551&lt;=Законод!$C$18,H551,Законод!$C$18*'01_Доходи'!H550),IF($B$547="Лікар-терапевт","x",0)))</f>
        <v>0</v>
      </c>
      <c r="I552" s="208">
        <f ca="1">IF($B$547="Лікар загальної практики - сімейний лікар",IF(L551&lt;=Законод!$C$22,I551,Законод!$C$22*'01_Доходи'!I550),IF($B$547="Лікар-педіатр","x",IF($B$547="Лікар-терапевт",IF(L551&lt;=Законод!$C$26,I551,Законод!$C$26*'01_Доходи'!I550),0)))</f>
        <v>0</v>
      </c>
      <c r="J552" s="208">
        <f ca="1">IF($B$547="Лікар загальної практики - сімейний лікар",IF(L551&lt;=Законод!$C$22,J551,Законод!$C$22*'01_Доходи'!J550),IF($B$547="Лікар-педіатр","x",IF($B$547="Лікар-терапевт",IF(L551&lt;=Законод!$C$26,J551,Законод!$C$26*'01_Доходи'!J550),0)))</f>
        <v>0</v>
      </c>
      <c r="K552" s="208">
        <f ca="1">IF($B$547="Лікар загальної практики - сімейний лікар",IF(L551&lt;=Законод!$C$22,K551,Законод!$C$22*'01_Доходи'!K550),IF($B$547="Лікар-педіатр","x",IF($B$547="Лікар-терапевт",IF(L551&lt;=Законод!$C$26,K551,Законод!$C$26*'01_Доходи'!K550),0)))</f>
        <v>0</v>
      </c>
      <c r="L552" s="209">
        <f ca="1">SUM(G552:K552)</f>
        <v>0</v>
      </c>
      <c r="M552" s="930"/>
      <c r="N552" s="208">
        <f ca="1">IF($B$547="Лікар загальної практики - сімейний лікар",IF(S551&lt;=Законод!$C$22,N551,Законод!$C$22*'01_Доходи'!N550),IF($B$547="Лікар-педіатр",IF(S551&lt;=Законод!$C$18,N551,Законод!$C$18*'01_Доходи'!N550),IF($B$547="Лікар-терапевт","x",0)))</f>
        <v>0</v>
      </c>
      <c r="O552" s="208">
        <f ca="1">IF($B$547="Лікар загальної практики - сімейний лікар",IF(S551&lt;=Законод!$C$22,O551,Законод!$C$22*'01_Доходи'!O550),IF($B$547="Лікар-педіатр",IF(S551&lt;=Законод!$C$18,O551,Законод!$C$18*'01_Доходи'!O550),IF($B$547="Лікар-терапевт","x",0)))</f>
        <v>0</v>
      </c>
      <c r="P552" s="208">
        <f ca="1">IF($B$547="Лікар загальної практики - сімейний лікар",IF(S551&lt;=Законод!$C$22,P551,Законод!$C$22*'01_Доходи'!P550),IF($B$547="Лікар-педіатр","x",IF($B$547="Лікар-терапевт",IF(S551&lt;=Законод!$C$26,P551,Законод!$C$26*'01_Доходи'!P550),0)))</f>
        <v>0</v>
      </c>
      <c r="Q552" s="208">
        <f ca="1">IF($B$547="Лікар загальної практики - сімейний лікар",IF(S551&lt;=Законод!$C$22,Q551,Законод!$C$22*'01_Доходи'!Q550),IF($B$547="Лікар-педіатр","x",IF($B$547="Лікар-терапевт",IF(S551&lt;=Законод!$C$26,Q551,Законод!$C$26*'01_Доходи'!Q550),0)))</f>
        <v>0</v>
      </c>
      <c r="R552" s="208">
        <f ca="1">IF($B$547="Лікар загальної практики - сімейний лікар",IF(S551&lt;=Законод!$C$22,R551,Законод!$C$22*'01_Доходи'!R550),IF($B$547="Лікар-педіатр","x",IF($B$547="Лікар-терапевт",IF(S551&lt;=Законод!$C$26,R551,Законод!$C$26*'01_Доходи'!R550),0)))</f>
        <v>0</v>
      </c>
      <c r="S552" s="209">
        <f ca="1">SUM(N552:R552)</f>
        <v>0</v>
      </c>
      <c r="T552" s="930"/>
      <c r="U552" s="208">
        <f ca="1">IF($B$547="Лікар загальної практики - сімейний лікар",IF(Z551&lt;=Законод!$C$22,U551,Законод!$C$22*'01_Доходи'!U550),IF($B$547="Лікар-педіатр",IF(Z551&lt;=Законод!$C$18,U551,Законод!$C$18*'01_Доходи'!U550),IF($B$547="Лікар-терапевт","x",0)))</f>
        <v>0</v>
      </c>
      <c r="V552" s="208">
        <f ca="1">IF($B$547="Лікар загальної практики - сімейний лікар",IF(Z551&lt;=Законод!$C$22,V551,Законод!$C$22*'01_Доходи'!V550),IF($B$547="Лікар-педіатр",IF(Z551&lt;=Законод!$C$18,V551,Законод!$C$18*'01_Доходи'!V550),IF($B$547="Лікар-терапевт","x",0)))</f>
        <v>0</v>
      </c>
      <c r="W552" s="208">
        <f ca="1">IF($B$547="Лікар загальної практики - сімейний лікар",IF(Z551&lt;=Законод!$C$22,W551,Законод!$C$22*'01_Доходи'!W550),IF($B$547="Лікар-педіатр","x",IF($B$547="Лікар-терапевт",IF(Z551&lt;=Законод!$C$26,W551,Законод!$C$26*'01_Доходи'!W550),0)))</f>
        <v>0</v>
      </c>
      <c r="X552" s="208">
        <f ca="1">IF($B$547="Лікар загальної практики - сімейний лікар",IF(Z551&lt;=Законод!$C$22,X551,Законод!$C$22*'01_Доходи'!X550),IF($B$547="Лікар-педіатр","x",IF($B$547="Лікар-терапевт",IF(Z551&lt;=Законод!$C$26,X551,Законод!$C$26*'01_Доходи'!X550),0)))</f>
        <v>0</v>
      </c>
      <c r="Y552" s="208">
        <f ca="1">IF($B$547="Лікар загальної практики - сімейний лікар",IF(Z551&lt;=Законод!$C$22,Y551,Законод!$C$22*'01_Доходи'!Y550),IF($B$547="Лікар-педіатр","x",IF($B$547="Лікар-терапевт",IF(Z551&lt;=Законод!$C$26,Y551,Законод!$C$26*'01_Доходи'!Y550),0)))</f>
        <v>0</v>
      </c>
      <c r="Z552" s="209">
        <f ca="1">SUM(U552:Y552)</f>
        <v>0</v>
      </c>
      <c r="AA552" s="930"/>
      <c r="AB552" s="208">
        <f ca="1">IF($B$547="Лікар загальної практики - сімейний лікар",IF(AG551&lt;=Законод!$C$22,AB551,Законод!$C$22*'01_Доходи'!AB550),IF($B$547="Лікар-педіатр",IF(AG551&lt;=Законод!$C$18,AB551,Законод!$C$18*'01_Доходи'!AB550),IF($B$547="Лікар-терапевт","x",0)))</f>
        <v>0</v>
      </c>
      <c r="AC552" s="208">
        <f ca="1">IF($B$547="Лікар загальної практики - сімейний лікар",IF(AG551&lt;=Законод!$C$22,AC551,Законод!$C$22*'01_Доходи'!AC550),IF($B$547="Лікар-педіатр",IF(AG551&lt;=Законод!$C$18,AC551,Законод!$C$18*'01_Доходи'!AC550),IF($B$547="Лікар-терапевт","x",0)))</f>
        <v>0</v>
      </c>
      <c r="AD552" s="208">
        <f ca="1">IF($B$547="Лікар загальної практики - сімейний лікар",IF(AG551&lt;=Законод!$C$22,AD551,Законод!$C$22*'01_Доходи'!AD550),IF($B$547="Лікар-педіатр","x",IF($B$547="Лікар-терапевт",IF(AG551&lt;=Законод!$C$26,AD551,Законод!$C$26*'01_Доходи'!AD550),0)))</f>
        <v>0</v>
      </c>
      <c r="AE552" s="208">
        <f ca="1">IF($B$547="Лікар загальної практики - сімейний лікар",IF(AG551&lt;=Законод!$C$22,AE551,Законод!$C$22*'01_Доходи'!AE550),IF($B$547="Лікар-педіатр","x",IF($B$547="Лікар-терапевт",IF(AG551&lt;=Законод!$C$26,AE551,Законод!$C$26*'01_Доходи'!AE550),0)))</f>
        <v>0</v>
      </c>
      <c r="AF552" s="208">
        <f ca="1">IF($B$547="Лікар загальної практики - сімейний лікар",IF(AG551&lt;=Законод!$C$22,AF551,Законод!$C$22*'01_Доходи'!AF550),IF($B$547="Лікар-педіатр","x",IF($B$547="Лікар-терапевт",IF(AG551&lt;=Законод!$C$26,AF551,Законод!$C$26*'01_Доходи'!AF550),0)))</f>
        <v>0</v>
      </c>
      <c r="AG552" s="209">
        <f ca="1">SUM(AB552:AF552)</f>
        <v>0</v>
      </c>
      <c r="AH552" s="930"/>
      <c r="AI552" s="201"/>
      <c r="AJ552" s="933"/>
      <c r="AK552" s="927"/>
      <c r="AL552" s="927"/>
      <c r="AM552" s="348" t="s">
        <v>374</v>
      </c>
      <c r="AN552" s="210">
        <f ca="1">IF(B547="Лікар загальної практики - сімейний лікар",G552*Законод!$C$11+'01_Доходи'!H552*Законод!$D$11+'01_Доходи'!I552*Законод!$E$11+'01_Доходи'!J552*Законод!$F$11+'01_Доходи'!K552*Законод!$G$11,IF(B547="Лікар-педіатр",G552*Законод!$C$11+'01_Доходи'!H552*Законод!$D$11,IF(B547="Лікар-терапевт",'01_Доходи'!I552*Законод!$E$11+'01_Доходи'!J552*Законод!$F$11+'01_Доходи'!K552*Законод!$G$11,0)))</f>
        <v>0</v>
      </c>
      <c r="AO552" s="210">
        <f ca="1">IF(B547="Лікар загальної практики - сімейний лікар",N552*Законод!$C$11+'01_Доходи'!O552*Законод!$D$11+'01_Доходи'!P552*Законод!$E$11+'01_Доходи'!Q552*Законод!$F$11+'01_Доходи'!R552*Законод!$G$11,IF(B547="Лікар-педіатр",N552*Законод!$C$11+'01_Доходи'!O552*Законод!$D$11,IF(B547="Лікар-терапевт",'01_Доходи'!P552*Законод!$E$11+'01_Доходи'!Q552*Законод!$F$11+'01_Доходи'!R552*Законод!$G$11,0)))</f>
        <v>0</v>
      </c>
      <c r="AP552" s="210">
        <f ca="1">IF(B547="Лікар загальної практики - сімейний лікар",U552*Законод!$C$11+'01_Доходи'!V552*Законод!$D$11+'01_Доходи'!W552*Законод!$E$11+'01_Доходи'!X552*Законод!$F$11+'01_Доходи'!Y552*Законод!$G$11,IF(B547="Лікар-педіатр",U552*Законод!$C$11+'01_Доходи'!V552*Законод!$D$11,IF(B547="Лікар-терапевт",'01_Доходи'!W552*Законод!$E$11+'01_Доходи'!X552*Законод!$F$11+'01_Доходи'!Y552*Законод!$G$11,0)))</f>
        <v>0</v>
      </c>
      <c r="AQ552" s="210">
        <f ca="1">IF(B547="Лікар загальної практики - сімейний лікар",AB552*Законод!$C$11+'01_Доходи'!AC552*Законод!$D$11+'01_Доходи'!AD552*Законод!$E$11+'01_Доходи'!AE552*Законод!$F$11+'01_Доходи'!AF552*Законод!$G$11,IF(B547="Лікар-педіатр",AB552*Законод!$C$11+'01_Доходи'!AC552*Законод!$D$11,IF(B547="Лікар-терапевт",'01_Доходи'!AD552*Законод!$E$11+'01_Доходи'!AE552*Законод!$F$11+'01_Доходи'!AF552*Законод!$G$11,0)))</f>
        <v>0</v>
      </c>
      <c r="AR552" s="211">
        <f t="shared" ref="AR552:AR558" si="69">SUM(AN552:AQ552)</f>
        <v>0</v>
      </c>
    </row>
    <row r="553" spans="1:44" s="50" customFormat="1" ht="31.9" hidden="1" customHeight="1">
      <c r="A553" s="197"/>
      <c r="B553" s="893"/>
      <c r="C553" s="896"/>
      <c r="D553" s="912"/>
      <c r="E553" s="909"/>
      <c r="F553" s="238" t="str">
        <f ca="1">IF(B547="Лікар-педіатр",Законод!$E$17,IF(B547="Лікар загальної практики - сімейний лікар",Законод!$E$21,IF(B547="Лікар-терапевт",Законод!$E$25,"х")))</f>
        <v>х</v>
      </c>
      <c r="G553" s="889" t="s">
        <v>346</v>
      </c>
      <c r="H553" s="890"/>
      <c r="I553" s="890"/>
      <c r="J553" s="890"/>
      <c r="K553" s="891"/>
      <c r="L553" s="196">
        <f ca="1">IF($B$547="Лікар загальної практики - сімейний лікар",IF(L551&lt;Законод!$C$22,0,(IF(AND(L551&gt;=Законод!$E$22,L551&lt;=Законод!$E$23),L551-Законод!$C$22,IF('01_Доходи'!L551&gt;=Законод!$F$22,Законод!$E$24,0)))),IF($B$547="Лікар-педіатр",IF(L551&lt;Законод!$C$18,0,(IF(AND(L551&gt;=Законод!$E$18,L551&lt;=Законод!$E$19),L551-Законод!$C$18,IF('01_Доходи'!L551&gt;=Законод!$F$18,Законод!$E$20,0)))),IF($B$547="Лікар-терапевт",IF(L551&lt;Законод!$C$26,0,(IF(AND(L551&gt;=Законод!$E$26,L551&lt;=Законод!$E$27),L551-Законод!$C$26,IF('01_Доходи'!L551&gt;=Законод!$F$26,Законод!$E$28,0)))),0)))</f>
        <v>0</v>
      </c>
      <c r="M553" s="930"/>
      <c r="N553" s="889" t="s">
        <v>346</v>
      </c>
      <c r="O553" s="890"/>
      <c r="P553" s="890"/>
      <c r="Q553" s="890"/>
      <c r="R553" s="891"/>
      <c r="S553" s="196">
        <f ca="1">IF($B$547="Лікар загальної практики - сімейний лікар",IF(S551&lt;Законод!$C$22,0,(IF(AND(S551&gt;=Законод!$E$22,S551&lt;=Законод!$E$23),S551-Законод!$C$22,IF('01_Доходи'!S551&gt;=Законод!$F$22,Законод!$E$24,0)))),IF($B$547="Лікар-педіатр",IF(S551&lt;Законод!$C$18,0,(IF(AND(S551&gt;=Законод!$E$18,S551&lt;=Законод!$E$19),S551-Законод!$C$18,IF('01_Доходи'!S551&gt;=Законод!$F$18,Законод!$E$20,0)))),IF($B$547="Лікар-терапевт",IF(S551&lt;Законод!$C$26,0,(IF(AND(S551&gt;=Законод!$E$26,S551&lt;=Законод!$E$27),S551-Законод!$C$26,IF('01_Доходи'!S551&gt;=Законод!$F$26,Законод!$E$28,0)))),0)))</f>
        <v>0</v>
      </c>
      <c r="T553" s="930"/>
      <c r="U553" s="889" t="s">
        <v>346</v>
      </c>
      <c r="V553" s="890"/>
      <c r="W553" s="890"/>
      <c r="X553" s="890"/>
      <c r="Y553" s="891"/>
      <c r="Z553" s="196">
        <f ca="1">IF($B$547="Лікар загальної практики - сімейний лікар",IF(Z551&lt;Законод!$C$22,0,(IF(AND(Z551&gt;=Законод!$E$22,Z551&lt;=Законод!$E$23),Z551-Законод!$C$22,IF('01_Доходи'!Z551&gt;=Законод!$F$22,Законод!$E$24,0)))),IF($B$547="Лікар-педіатр",IF(Z551&lt;Законод!$C$18,0,(IF(AND(Z551&gt;=Законод!$E$18,Z551&lt;=Законод!$E$19),Z551-Законод!$C$18,IF('01_Доходи'!Z551&gt;=Законод!$F$18,Законод!$E$20,0)))),IF($B$547="Лікар-терапевт",IF(Z551&lt;Законод!$C$26,0,(IF(AND(Z551&gt;=Законод!$E$26,Z551&lt;=Законод!$E$27),Z551-Законод!$C$26,IF('01_Доходи'!Z551&gt;=Законод!$F$26,Законод!$E$28,0)))),0)))</f>
        <v>0</v>
      </c>
      <c r="AA553" s="930"/>
      <c r="AB553" s="889" t="s">
        <v>346</v>
      </c>
      <c r="AC553" s="890"/>
      <c r="AD553" s="890"/>
      <c r="AE553" s="890"/>
      <c r="AF553" s="891"/>
      <c r="AG553" s="196">
        <f ca="1">IF($B$547="Лікар загальної практики - сімейний лікар",IF(AG551&lt;Законод!$C$22,0,(IF(AND(AG551&gt;=Законод!$E$22,AG551&lt;=Законод!$E$23),AG551-Законод!$C$22,IF('01_Доходи'!AG551&gt;=Законод!$F$22,Законод!$E$24,0)))),IF($B$547="Лікар-педіатр",IF(AG551&lt;Законод!$C$18,0,(IF(AND(AG551&gt;=Законод!$E$18,AG551&lt;=Законод!$E$19),AG551-Законод!$C$18,IF('01_Доходи'!AG551&gt;=Законод!$F$18,Законод!$E$20,0)))),IF($B$547="Лікар-терапевт",IF(AG551&lt;Законод!$C$26,0,(IF(AND(AG551&gt;=Законод!$E$26,AG551&lt;=Законод!$E$27),AG551-Законод!$C$26,IF('01_Доходи'!AG551&gt;=Законод!$F$26,Законод!$E$28,0)))),0)))</f>
        <v>0</v>
      </c>
      <c r="AH553" s="930"/>
      <c r="AI553" s="201"/>
      <c r="AJ553" s="933"/>
      <c r="AK553" s="927"/>
      <c r="AL553" s="927"/>
      <c r="AM553" s="898" t="s">
        <v>375</v>
      </c>
      <c r="AN553" s="210">
        <f ca="1">IF(B547="Лікар загальної практики - сімейний лікар",L553*Законод!$C$9/4*Законод!$E$16,IF(B547="Лікар-педіатр",L553*Законод!$C$9/4*Законод!$E$16,IF(B547="Лікар-терапевт",L553*Законод!$C$9/4*Законод!$E$16,0)))</f>
        <v>0</v>
      </c>
      <c r="AO553" s="210">
        <f ca="1">IF(B547="Лікар загальної практики - сімейний лікар",S553*Законод!$C$9/4*Законод!$E$16,IF(B547="Лікар-педіатр",S553*Законод!$C$9/4*Законод!$E$16,IF(B547="Лікар-терапевт",S553*Законод!$C$9/4*Законод!$E$16,0)))</f>
        <v>0</v>
      </c>
      <c r="AP553" s="210">
        <f ca="1">IF(B547="Лікар загальної практики - сімейний лікар",Z553*Законод!$C$9/4*Законод!$E$16,IF(B547="Лікар-педіатр",Z553*Законод!$C$9/4*Законод!$E$16,IF(B547="Лікар-терапевт",Z553*Законод!$C$9/4*Законод!$E$16,0)))</f>
        <v>0</v>
      </c>
      <c r="AQ553" s="210">
        <f ca="1">IF(B547="Лікар загальної практики - сімейний лікар",AG553*Законод!$C$9/4*Законод!$E$16,IF(B547="Лікар-педіатр",AG553*Законод!$C$9/4*Законод!$E$16,IF(B547="Лікар-терапевт",AG553*Законод!$C$9/4*Законод!$E$16,0)))</f>
        <v>0</v>
      </c>
      <c r="AR553" s="211">
        <f t="shared" si="69"/>
        <v>0</v>
      </c>
    </row>
    <row r="554" spans="1:44" s="50" customFormat="1" ht="31.9" hidden="1" customHeight="1">
      <c r="A554" s="197"/>
      <c r="B554" s="893"/>
      <c r="C554" s="896"/>
      <c r="D554" s="912"/>
      <c r="E554" s="909"/>
      <c r="F554" s="238" t="str">
        <f ca="1">IF(B547="Лікар-педіатр",Законод!$F$17,IF(B547="Лікар загальної практики - сімейний лікар",Законод!$F$21,IF(B547="Лікар-терапевт",Законод!$F$25,"х")))</f>
        <v>х</v>
      </c>
      <c r="G554" s="889" t="s">
        <v>346</v>
      </c>
      <c r="H554" s="890"/>
      <c r="I554" s="890"/>
      <c r="J554" s="890"/>
      <c r="K554" s="891"/>
      <c r="L554" s="196">
        <f ca="1">IF($B$547="Лікар загальної практики - сімейний лікар",IF(L551&lt;Законод!$C$22,0,(IF(AND(L551&gt;=Законод!$F$22,L551&lt;=Законод!$F$23),L551-Законод!$E$23,IF('01_Доходи'!L551&gt;=Законод!$G$22,Законод!$F$24,0)))),IF($B$547="Лікар-педіатр",IF(L551&lt;Законод!$C$18,0,(IF(AND(L551&gt;=Законод!$F$18,L551&lt;=Законод!$F$19),L551-Законод!$E$19,IF('01_Доходи'!L551&gt;=Законод!$G$18,Законод!$F$20,0)))),IF($B$547="Лікар-терапевт",IF(L551&lt;Законод!$C$26,0,(IF(AND(L551&gt;=Законод!$F$26,L551&lt;=Законод!$F$27),L551-Законод!$E$27,IF('01_Доходи'!L551&gt;=Законод!$G$26,Законод!$F$28,0)))),0)))</f>
        <v>0</v>
      </c>
      <c r="M554" s="930"/>
      <c r="N554" s="889" t="s">
        <v>346</v>
      </c>
      <c r="O554" s="890"/>
      <c r="P554" s="890"/>
      <c r="Q554" s="890"/>
      <c r="R554" s="891"/>
      <c r="S554" s="196">
        <f ca="1">IF($B$547="Лікар загальної практики - сімейний лікар",IF(S551&lt;Законод!$C$22,0,(IF(AND(S551&gt;=Законод!$F$22,S551&lt;=Законод!$F$23),S551-Законод!$E$23,IF('01_Доходи'!S551&gt;=Законод!$G$22,Законод!$F$24,0)))),IF($B$547="Лікар-педіатр",IF(S551&lt;Законод!$C$18,0,(IF(AND(S551&gt;=Законод!$F$18,S551&lt;=Законод!$F$19),S551-Законод!$E$19,IF('01_Доходи'!S551&gt;=Законод!$G$18,Законод!$F$20,0)))),IF($B$547="Лікар-терапевт",IF(S551&lt;Законод!$C$26,0,(IF(AND(S551&gt;=Законод!$F$26,S551&lt;=Законод!$F$27),S551-Законод!$E$27,IF('01_Доходи'!S551&gt;=Законод!$G$26,Законод!$F$28,0)))),0)))</f>
        <v>0</v>
      </c>
      <c r="T554" s="930"/>
      <c r="U554" s="889" t="s">
        <v>346</v>
      </c>
      <c r="V554" s="890"/>
      <c r="W554" s="890"/>
      <c r="X554" s="890"/>
      <c r="Y554" s="891"/>
      <c r="Z554" s="196">
        <f ca="1">IF($B$547="Лікар загальної практики - сімейний лікар",IF(Z551&lt;Законод!$C$22,0,(IF(AND(Z551&gt;=Законод!$F$22,Z551&lt;=Законод!$F$23),Z551-Законод!$E$23,IF('01_Доходи'!Z551&gt;=Законод!$G$22,Законод!$F$24,0)))),IF($B$547="Лікар-педіатр",IF(Z551&lt;Законод!$C$18,0,(IF(AND(Z551&gt;=Законод!$F$18,Z551&lt;=Законод!$F$19),Z551-Законод!$E$19,IF('01_Доходи'!Z551&gt;=Законод!$G$18,Законод!$F$20,0)))),IF($B$547="Лікар-терапевт",IF(Z551&lt;Законод!$C$26,0,(IF(AND(Z551&gt;=Законод!$F$26,Z551&lt;=Законод!$F$27),Z551-Законод!$E$27,IF('01_Доходи'!Z551&gt;=Законод!$G$26,Законод!$F$28,0)))),0)))</f>
        <v>0</v>
      </c>
      <c r="AA554" s="930"/>
      <c r="AB554" s="889" t="s">
        <v>346</v>
      </c>
      <c r="AC554" s="890"/>
      <c r="AD554" s="890"/>
      <c r="AE554" s="890"/>
      <c r="AF554" s="891"/>
      <c r="AG554" s="196">
        <f ca="1">IF($B$547="Лікар загальної практики - сімейний лікар",IF(AG551&lt;Законод!$C$22,0,(IF(AND(AG551&gt;=Законод!$F$22,AG551&lt;=Законод!$F$23),AG551-Законод!$E$23,IF('01_Доходи'!AG551&gt;=Законод!$G$22,Законод!$F$24,0)))),IF($B$547="Лікар-педіатр",IF(AG551&lt;Законод!$C$18,0,(IF(AND(AG551&gt;=Законод!$F$18,AG551&lt;=Законод!$F$19),AG551-Законод!$E$19,IF('01_Доходи'!AG551&gt;=Законод!$G$18,Законод!$F$20,0)))),IF($B$547="Лікар-терапевт",IF(AG551&lt;Законод!$C$26,0,(IF(AND(AG551&gt;=Законод!$F$26,AG551&lt;=Законод!$F$27),AG551-Законод!$E$27,IF('01_Доходи'!AG551&gt;=Законод!$G$26,Законод!$F$28,0)))),0)))</f>
        <v>0</v>
      </c>
      <c r="AH554" s="930"/>
      <c r="AI554" s="201"/>
      <c r="AJ554" s="933"/>
      <c r="AK554" s="927"/>
      <c r="AL554" s="927"/>
      <c r="AM554" s="899"/>
      <c r="AN554" s="210">
        <f ca="1">IF(B547="Лікар загальної практики - сімейний лікар",L554*Законод!$C$9/4*Законод!$F$16,IF(B547="Лікар-педіатр",L554*Законод!$C$9/4*Законод!$F$16,IF(B547="Лікар-терапевт",L554*Законод!$C$9/4*Законод!$F$16,0)))</f>
        <v>0</v>
      </c>
      <c r="AO554" s="210">
        <f ca="1">IF(B547="Лікар загальної практики - сімейний лікар",S554*Законод!$C$9/4*Законод!$F$16,IF(B547="Лікар-педіатр",S554*Законод!$C$9/4*Законод!$F$16,IF(B547="Лікар-терапевт",S554*Законод!$C$9/4*Законод!$F$16,0)))</f>
        <v>0</v>
      </c>
      <c r="AP554" s="210">
        <f ca="1">IF(B547="Лікар загальної практики - сімейний лікар",Z554*Законод!$C$9/4*Законод!$F$16,IF(B547="Лікар-педіатр",Z554*Законод!$C$9/4*Законод!$F$16,IF(B547="Лікар-терапевт",Z554*Законод!$C$9/4*Законод!$F$16,0)))</f>
        <v>0</v>
      </c>
      <c r="AQ554" s="210">
        <f ca="1">IF(B547="Лікар загальної практики - сімейний лікар",AG554*Законод!$C$9/4*Законод!$F$16,IF(B547="Лікар-педіатр",AG554*Законод!$C$9/4*Законод!$F$16,IF(B547="Лікар-терапевт",AG554*Законод!$C$9/4*Законод!$F$16,0)))</f>
        <v>0</v>
      </c>
      <c r="AR554" s="211">
        <f t="shared" si="69"/>
        <v>0</v>
      </c>
    </row>
    <row r="555" spans="1:44" s="50" customFormat="1" ht="31.9" hidden="1" customHeight="1">
      <c r="A555" s="197"/>
      <c r="B555" s="893"/>
      <c r="C555" s="896"/>
      <c r="D555" s="912"/>
      <c r="E555" s="909"/>
      <c r="F555" s="238" t="str">
        <f ca="1">IF(B547="Лікар-педіатр",Законод!$G$17,IF(B547="Лікар загальної практики - сімейний лікар",Законод!$G$21,IF(B547="Лікар-терапевт",Законод!$G$25,"х")))</f>
        <v>х</v>
      </c>
      <c r="G555" s="889" t="s">
        <v>346</v>
      </c>
      <c r="H555" s="890"/>
      <c r="I555" s="890"/>
      <c r="J555" s="890"/>
      <c r="K555" s="891"/>
      <c r="L555" s="196">
        <f ca="1">IF($B$547="Лікар загальної практики - сімейний лікар",IF(L551&lt;Законод!$C$22,0,(IF(AND(L551&gt;=Законод!$G$22,L551&lt;=Законод!$G$23),L551-Законод!$F$23,IF('01_Доходи'!L551&gt;=Законод!$H$22,Законод!$G$24,0)))),IF($B$547="Лікар-педіатр",IF(L551&lt;Законод!$C$18,0,(IF(AND(L551&gt;=Законод!$G$18,L551&lt;=Законод!$G$19),L551-Законод!$F$19,IF('01_Доходи'!L551&gt;=Законод!$H$18,Законод!$G$20,0)))),IF($B$547="Лікар-терапевт",IF(L551&lt;Законод!$C$26,0,(IF(AND(L551&gt;=Законод!$G$26,L551&lt;=Законод!$G$27),L551-Законод!$F$27,IF('01_Доходи'!L551&gt;=Законод!$H$26,Законод!$G$28,0)))),0)))</f>
        <v>0</v>
      </c>
      <c r="M555" s="930"/>
      <c r="N555" s="889" t="s">
        <v>346</v>
      </c>
      <c r="O555" s="890"/>
      <c r="P555" s="890"/>
      <c r="Q555" s="890"/>
      <c r="R555" s="891"/>
      <c r="S555" s="196">
        <f ca="1">IF($B$547="Лікар загальної практики - сімейний лікар",IF(S551&lt;Законод!$C$22,0,(IF(AND(S551&gt;=Законод!$G$22,S551&lt;=Законод!$G$23),S551-Законод!$F$23,IF('01_Доходи'!S551&gt;=Законод!$H$22,Законод!$G$24,0)))),IF($B$547="Лікар-педіатр",IF(S551&lt;Законод!$C$18,0,(IF(AND(S551&gt;=Законод!$G$18,S551&lt;=Законод!$G$19),S551-Законод!$F$19,IF('01_Доходи'!S551&gt;=Законод!$H$18,Законод!$G$20,0)))),IF($B$547="Лікар-терапевт",IF(S551&lt;Законод!$C$26,0,(IF(AND(S551&gt;=Законод!$G$26,S551&lt;=Законод!$G$27),S551-Законод!$F$27,IF('01_Доходи'!S551&gt;=Законод!$H$26,Законод!$G$28,0)))),0)))</f>
        <v>0</v>
      </c>
      <c r="T555" s="930"/>
      <c r="U555" s="889" t="s">
        <v>346</v>
      </c>
      <c r="V555" s="890"/>
      <c r="W555" s="890"/>
      <c r="X555" s="890"/>
      <c r="Y555" s="891"/>
      <c r="Z555" s="196">
        <f ca="1">IF($B$547="Лікар загальної практики - сімейний лікар",IF(Z551&lt;Законод!$C$22,0,(IF(AND(Z551&gt;=Законод!$G$22,Z551&lt;=Законод!$G$23),Z551-Законод!$F$23,IF('01_Доходи'!Z551&gt;=Законод!$H$22,Законод!$G$24,0)))),IF($B$547="Лікар-педіатр",IF(Z551&lt;Законод!$C$18,0,(IF(AND(Z551&gt;=Законод!$G$18,Z551&lt;=Законод!$G$19),Z551-Законод!$F$19,IF('01_Доходи'!Z551&gt;=Законод!$H$18,Законод!$G$20,0)))),IF($B$547="Лікар-терапевт",IF(Z551&lt;Законод!$C$26,0,(IF(AND(Z551&gt;=Законод!$G$26,Z551&lt;=Законод!$G$27),Z551-Законод!$F$27,IF('01_Доходи'!Z551&gt;=Законод!$H$26,Законод!$G$28,0)))),0)))</f>
        <v>0</v>
      </c>
      <c r="AA555" s="930"/>
      <c r="AB555" s="889" t="s">
        <v>346</v>
      </c>
      <c r="AC555" s="890"/>
      <c r="AD555" s="890"/>
      <c r="AE555" s="890"/>
      <c r="AF555" s="891"/>
      <c r="AG555" s="196">
        <f ca="1">IF($B$547="Лікар загальної практики - сімейний лікар",IF(AG551&lt;Законод!$C$22,0,(IF(AND(AG551&gt;=Законод!$G$22,AG551&lt;=Законод!$G$23),AG551-Законод!$F$23,IF('01_Доходи'!AG551&gt;=Законод!$H$22,Законод!$G$24,0)))),IF($B$547="Лікар-педіатр",IF(AG551&lt;Законод!$C$18,0,(IF(AND(AG551&gt;=Законод!$G$18,AG551&lt;=Законод!$G$19),AG551-Законод!$F$19,IF('01_Доходи'!AG551&gt;=Законод!$H$18,Законод!$G$20,0)))),IF($B$547="Лікар-терапевт",IF(AG551&lt;Законод!$C$26,0,(IF(AND(AG551&gt;=Законод!$G$26,AG551&lt;=Законод!$G$27),AG551-Законод!$F$27,IF('01_Доходи'!AG551&gt;=Законод!$H$26,Законод!$G$28,0)))),0)))</f>
        <v>0</v>
      </c>
      <c r="AH555" s="930"/>
      <c r="AI555" s="201"/>
      <c r="AJ555" s="933"/>
      <c r="AK555" s="927"/>
      <c r="AL555" s="927"/>
      <c r="AM555" s="899"/>
      <c r="AN555" s="210">
        <f ca="1">IF(B547="Лікар загальної практики - сімейний лікар",L555*Законод!$C$9/4*Законод!$G$16,IF(B547="Лікар-педіатр",L555*Законод!$C$9/4*Законод!$G$16,IF(B547="Лікар-терапевт",L555*Законод!$C$9/4*Законод!$G$16,0)))</f>
        <v>0</v>
      </c>
      <c r="AO555" s="210">
        <f ca="1">IF(B547="Лікар загальної практики - сімейний лікар",S555*Законод!$C$9/4*Законод!$G$16,IF(B547="Лікар-педіатр",S555*Законод!$C$9/4*Законод!$G$16,IF(B547="Лікар-терапевт",S555*Законод!$C$9/4*Законод!$G$16,0)))</f>
        <v>0</v>
      </c>
      <c r="AP555" s="210">
        <f ca="1">IF(B547="Лікар загальної практики - сімейний лікар",Z555*Законод!$C$9/4*Законод!$G$16,IF(B547="Лікар-педіатр",Z555*Законод!$C$9/4*Законод!$G$16,IF(B547="Лікар-терапевт",Z555*Законод!$C$9/4*Законод!$G$16,0)))</f>
        <v>0</v>
      </c>
      <c r="AQ555" s="210">
        <f ca="1">IF(B547="Лікар загальної практики - сімейний лікар",AG555*Законод!$C$9/4*Законод!$G$16,IF(B547="Лікар-педіатр",AG555*Законод!$C$9/4*Законод!$G$16,IF(B547="Лікар-терапевт",AG555*Законод!$C$9/4*Законод!$G$16,0)))</f>
        <v>0</v>
      </c>
      <c r="AR555" s="211">
        <f t="shared" si="69"/>
        <v>0</v>
      </c>
    </row>
    <row r="556" spans="1:44" s="50" customFormat="1" ht="31.9" hidden="1" customHeight="1">
      <c r="A556" s="197"/>
      <c r="B556" s="893"/>
      <c r="C556" s="896"/>
      <c r="D556" s="912"/>
      <c r="E556" s="909"/>
      <c r="F556" s="238" t="str">
        <f ca="1">IF(B547="Лікар-педіатр",Законод!$H$17,IF(B547="Лікар загальної практики - сімейний лікар",Законод!$H$21,IF(B547="Лікар-терапевт",Законод!$H$25,"х")))</f>
        <v>х</v>
      </c>
      <c r="G556" s="889" t="s">
        <v>346</v>
      </c>
      <c r="H556" s="890"/>
      <c r="I556" s="890"/>
      <c r="J556" s="890"/>
      <c r="K556" s="891"/>
      <c r="L556" s="196">
        <f ca="1">IF($B$547="Лікар загальної практики - сімейний лікар",IF(L551&lt;Законод!$C$22,0,(IF(AND(L551&gt;=Законод!$H$22,L551&lt;=Законод!$H$23),L551-Законод!$G$23,IF('01_Доходи'!L551&gt;=Законод!$I$22,Законод!$H$24,0)))),IF($B$547="Лікар-педіатр",IF(L551&lt;Законод!$C$18,0,(IF(AND(L551&gt;=Законод!$H$18,L551&lt;=Законод!$H$19),L551-Законод!$G$19,IF('01_Доходи'!L551&gt;=Законод!$I$18,Законод!$H$20,0)))),IF($B$547="Лікар-терапевт",IF(L551&lt;Законод!$C$26,0,(IF(AND(L551&gt;=Законод!$H$26,L551&lt;=Законод!$H$27),L551-Законод!$G$27,IF(L551&gt;=Законод!$I$26,Законод!$H$28,0)))),0)))</f>
        <v>0</v>
      </c>
      <c r="M556" s="930"/>
      <c r="N556" s="889" t="s">
        <v>346</v>
      </c>
      <c r="O556" s="890"/>
      <c r="P556" s="890"/>
      <c r="Q556" s="890"/>
      <c r="R556" s="891"/>
      <c r="S556" s="196">
        <f ca="1">IF($B$547="Лікар загальної практики - сімейний лікар",IF(S551&lt;Законод!$C$22,0,(IF(AND(S551&gt;=Законод!$H$22,S551&lt;=Законод!$H$23),S551-Законод!$G$23,IF('01_Доходи'!S551&gt;=Законод!$I$22,Законод!$H$24,0)))),IF($B$547="Лікар-педіатр",IF(S551&lt;Законод!$C$18,0,(IF(AND(S551&gt;=Законод!$H$18,S551&lt;=Законод!$H$19),S551-Законод!$G$19,IF('01_Доходи'!S551&gt;=Законод!$I$18,Законод!$H$20,0)))),IF($B$547="Лікар-терапевт",IF(S551&lt;Законод!$C$26,0,(IF(AND(S551&gt;=Законод!$H$26,S551&lt;=Законод!$H$27),S551-Законод!$G$27,IF(S551&gt;=Законод!$I$26,Законод!$H$28,0)))),0)))</f>
        <v>0</v>
      </c>
      <c r="T556" s="930"/>
      <c r="U556" s="889" t="s">
        <v>346</v>
      </c>
      <c r="V556" s="890"/>
      <c r="W556" s="890"/>
      <c r="X556" s="890"/>
      <c r="Y556" s="891"/>
      <c r="Z556" s="196">
        <f ca="1">IF($B$547="Лікар загальної практики - сімейний лікар",IF(Z551&lt;Законод!$C$22,0,(IF(AND(Z551&gt;=Законод!$H$22,Z551&lt;=Законод!$H$23),Z551-Законод!$G$23,IF('01_Доходи'!Z551&gt;=Законод!$I$22,Законод!$H$24,0)))),IF($B$547="Лікар-педіатр",IF(Z551&lt;Законод!$C$18,0,(IF(AND(Z551&gt;=Законод!$H$18,Z551&lt;=Законод!$H$19),Z551-Законод!$G$19,IF('01_Доходи'!Z551&gt;=Законод!$I$18,Законод!$H$20,0)))),IF($B$547="Лікар-терапевт",IF(Z551&lt;Законод!$C$26,0,(IF(AND(Z551&gt;=Законод!$H$26,Z551&lt;=Законод!$H$27),Z551-Законод!$G$27,IF(Z551&gt;=Законод!$I$26,Законод!$H$28,0)))),0)))</f>
        <v>0</v>
      </c>
      <c r="AA556" s="930"/>
      <c r="AB556" s="889" t="s">
        <v>346</v>
      </c>
      <c r="AC556" s="890"/>
      <c r="AD556" s="890"/>
      <c r="AE556" s="890"/>
      <c r="AF556" s="891"/>
      <c r="AG556" s="196">
        <f ca="1">IF($B$547="Лікар загальної практики - сімейний лікар",IF(AG551&lt;Законод!$C$22,0,(IF(AND(AG551&gt;=Законод!$H$22,AG551&lt;=Законод!$H$23),AG551-Законод!$G$23,IF('01_Доходи'!AG551&gt;=Законод!$I$22,Законод!$H$24,0)))),IF($B$547="Лікар-педіатр",IF(AG551&lt;Законод!$C$18,0,(IF(AND(AG551&gt;=Законод!$H$18,AG551&lt;=Законод!$H$19),AG551-Законод!$G$19,IF('01_Доходи'!AG551&gt;=Законод!$I$18,Законод!$H$20,0)))),IF($B$547="Лікар-терапевт",IF(AG551&lt;Законод!$C$26,0,(IF(AND(AG551&gt;=Законод!$H$26,AG551&lt;=Законод!$H$27),AG551-Законод!$G$27,IF(AG551&gt;=Законод!$I$26,Законод!$H$28,0)))),0)))</f>
        <v>0</v>
      </c>
      <c r="AH556" s="930"/>
      <c r="AI556" s="201"/>
      <c r="AJ556" s="933"/>
      <c r="AK556" s="927"/>
      <c r="AL556" s="927"/>
      <c r="AM556" s="899"/>
      <c r="AN556" s="210">
        <f ca="1">IF(B547="Лікар загальної практики - сімейний лікар",L556*Законод!$C$9/4*Законод!$H$16,IF(B547="Лікар-педіатр",L556*Законод!$C$9/4*Законод!$H$16,IF(B547="Лікар-терапевт",L556*Законод!$C$9/4*Законод!$H$16,0)))</f>
        <v>0</v>
      </c>
      <c r="AO556" s="210">
        <f ca="1">IF(B547="Лікар загальної практики - сімейний лікар",S556*Законод!$C$9/4*Законод!$H$16,IF(B547="Лікар-педіатр",S556*Законод!$C$9/4*Законод!$H$16,IF(B547="Лікар-терапевт",S556*Законод!$C$9/4*Законод!$H$16,0)))</f>
        <v>0</v>
      </c>
      <c r="AP556" s="210">
        <f ca="1">IF(B547="Лікар загальної практики - сімейний лікар",Z556*Законод!$C$9/4*Законод!$H$16,IF(B547="Лікар-педіатр",Z556*Законод!$C$9/4*Законод!$H$16,IF(B547="Лікар-терапевт",Z556*Законод!$C$9/4*Законод!$H$16,0)))</f>
        <v>0</v>
      </c>
      <c r="AQ556" s="210">
        <f ca="1">IF(B547="Лікар загальної практики - сімейний лікар",AG556*Законод!$C$9/4*Законод!$H$16,IF(B547="Лікар-педіатр",AG556*Законод!$C$9/4*Законод!$H$16,IF(B547="Лікар-терапевт",AG556*Законод!$C$9/4*Законод!$H$16,0)))</f>
        <v>0</v>
      </c>
      <c r="AR556" s="211">
        <f t="shared" si="69"/>
        <v>0</v>
      </c>
    </row>
    <row r="557" spans="1:44" s="50" customFormat="1" ht="31.9" hidden="1" customHeight="1">
      <c r="A557" s="197"/>
      <c r="B557" s="893"/>
      <c r="C557" s="896"/>
      <c r="D557" s="912"/>
      <c r="E557" s="909"/>
      <c r="F557" s="238" t="str">
        <f ca="1">IF(B547="Лікар-педіатр",Законод!$I$17,IF(B547="Лікар загальної практики - сімейний лікар",Законод!$I$21,IF(B547="Лікар-терапевт",Законод!$I$25,"х")))</f>
        <v>х</v>
      </c>
      <c r="G557" s="889" t="s">
        <v>346</v>
      </c>
      <c r="H557" s="890"/>
      <c r="I557" s="890"/>
      <c r="J557" s="890"/>
      <c r="K557" s="891"/>
      <c r="L557" s="196">
        <f ca="1">IF($B$547="Лікар загальної практики - сімейний лікар",IF(L551&lt;Законод!$C$22,0,(IF(AND(L551&gt;=Законод!$I$22,L551&lt;=Законод!$I$23),L551-Законод!$H$23,IF('01_Доходи'!L551&gt;=Законод!$I$22,Законод!$I$24,0)))),IF($B$547="Лікар-педіатр",IF(L551&lt;Законод!$C$18,0,(IF(AND(L551&gt;=Законод!$I$18,L551&lt;=Законод!$I$19),L551-Законод!$H$19,IF('01_Доходи'!L551&gt;=Законод!$I$18,Законод!$H$20,0)))),IF($B$547="Лікар-терапевт",IF(L551&lt;Законод!$C$26,0,(IF(AND(L551&gt;=Законод!$I$26,L551&lt;=Законод!$I$27),L551-Законод!$H$27,IF('01_Доходи'!L551&gt;=Законод!$I$26,Законод!$H$28,0)))),0)))</f>
        <v>0</v>
      </c>
      <c r="M557" s="930"/>
      <c r="N557" s="889" t="s">
        <v>346</v>
      </c>
      <c r="O557" s="890"/>
      <c r="P557" s="890"/>
      <c r="Q557" s="890"/>
      <c r="R557" s="891"/>
      <c r="S557" s="196">
        <f ca="1">IF($B$547="Лікар загальної практики - сімейний лікар",IF(S551&lt;Законод!$C$22,0,(IF(AND(S551&gt;=Законод!$I$22,S551&lt;=Законод!$I$23),S551-Законод!$H$23,IF('01_Доходи'!S551&gt;=Законод!$I$22,Законод!$I$24,0)))),IF($B$547="Лікар-педіатр",IF(S551&lt;Законод!$C$18,0,(IF(AND(S551&gt;=Законод!$I$18,S551&lt;=Законод!$I$19),S551-Законод!$H$19,IF('01_Доходи'!S551&gt;=Законод!$I$18,Законод!$H$20,0)))),IF($B$547="Лікар-терапевт",IF(S551&lt;Законод!$C$26,0,(IF(AND(S551&gt;=Законод!$I$26,S551&lt;=Законод!$I$27),S551-Законод!$H$27,IF('01_Доходи'!S551&gt;=Законод!$I$26,Законод!$H$28,0)))),0)))</f>
        <v>0</v>
      </c>
      <c r="T557" s="930"/>
      <c r="U557" s="889" t="s">
        <v>346</v>
      </c>
      <c r="V557" s="890"/>
      <c r="W557" s="890"/>
      <c r="X557" s="890"/>
      <c r="Y557" s="891"/>
      <c r="Z557" s="196">
        <f ca="1">IF($B$547="Лікар загальної практики - сімейний лікар",IF(Z551&lt;Законод!$C$22,0,(IF(AND(Z551&gt;=Законод!$I$22,Z551&lt;=Законод!$I$23),Z551-Законод!$H$23,IF('01_Доходи'!Z551&gt;=Законод!$I$22,Законод!$I$24,0)))),IF($B$547="Лікар-педіатр",IF(Z551&lt;Законод!$C$18,0,(IF(AND(Z551&gt;=Законод!$I$18,Z551&lt;=Законод!$I$19),Z551-Законод!$H$19,IF('01_Доходи'!Z551&gt;=Законод!$I$18,Законод!$H$20,0)))),IF($B$547="Лікар-терапевт",IF(Z551&lt;Законод!$C$26,0,(IF(AND(Z551&gt;=Законод!$I$26,Z551&lt;=Законод!$I$27),Z551-Законод!$H$27,IF('01_Доходи'!Z551&gt;=Законод!$I$26,Законод!$H$28,0)))),0)))</f>
        <v>0</v>
      </c>
      <c r="AA557" s="930"/>
      <c r="AB557" s="889" t="s">
        <v>346</v>
      </c>
      <c r="AC557" s="890"/>
      <c r="AD557" s="890"/>
      <c r="AE557" s="890"/>
      <c r="AF557" s="891"/>
      <c r="AG557" s="196">
        <f ca="1">IF($B$547="Лікар загальної практики - сімейний лікар",IF(AG551&lt;Законод!$C$22,0,(IF(AND(AG551&gt;=Законод!$I$22,AG551&lt;=Законод!$I$23),AG551-Законод!$H$23,IF('01_Доходи'!AG551&gt;=Законод!$I$22,Законод!$I$24,0)))),IF($B$547="Лікар-педіатр",IF(AG551&lt;Законод!$C$18,0,(IF(AND(AG551&gt;=Законод!$I$18,AG551&lt;=Законод!$I$19),AG551-Законод!$H$19,IF('01_Доходи'!AG551&gt;=Законод!$I$18,Законод!$H$20,0)))),IF($B$547="Лікар-терапевт",IF(AG551&lt;Законод!$C$26,0,(IF(AND(AG551&gt;=Законод!$I$26,AG551&lt;=Законод!$I$27),AG551-Законод!$H$27,IF('01_Доходи'!AG551&gt;=Законод!$I$26,Законод!$H$28,0)))),0)))</f>
        <v>0</v>
      </c>
      <c r="AH557" s="930"/>
      <c r="AI557" s="201"/>
      <c r="AJ557" s="933"/>
      <c r="AK557" s="927"/>
      <c r="AL557" s="927"/>
      <c r="AM557" s="899"/>
      <c r="AN557" s="210">
        <f ca="1">IF(B547="Лікар загальної практики - сімейний лікар",L557*Законод!$C$9/4*Законод!$I$16,IF(B547="Лікар-педіатр",L557*Законод!$C$9/4*Законод!$I$16,IF(B547="Лікар-терапевт",L557*Законод!$C$9/4*Законод!$I$16,0)))</f>
        <v>0</v>
      </c>
      <c r="AO557" s="210">
        <f ca="1">IF(B547="Лікар загальної практики - сімейний лікар",S557*Законод!$C$9/4*Законод!$I$16,IF(B547="Лікар-педіатр",S557*Законод!$C$9/4*Законод!$I$16,IF(B547="Лікар-терапевт",S557*Законод!$C$9/4*Законод!$I$16,0)))</f>
        <v>0</v>
      </c>
      <c r="AP557" s="210">
        <f ca="1">IF(B547="Лікар загальної практики - сімейний лікар",Z557*Законод!$C$9/4*Законод!$I$16,IF(B547="Лікар-педіатр",Z557*Законод!$C$9/4*Законод!$I$16,IF(B547="Лікар-терапевт",Z557*Законод!$C$9/4*Законод!$I$16,0)))</f>
        <v>0</v>
      </c>
      <c r="AQ557" s="210">
        <f ca="1">IF(B547="Лікар загальної практики - сімейний лікар",AG557*Законод!$C$9/4*Законод!$I$16,IF(B547="Лікар-педіатр",AG557*Законод!$C$9/4*Законод!$I$16,IF(B547="Лікар-терапевт",AG557*Законод!$C$9/4*Законод!$I$16,0)))</f>
        <v>0</v>
      </c>
      <c r="AR557" s="211">
        <f t="shared" si="69"/>
        <v>0</v>
      </c>
    </row>
    <row r="558" spans="1:44" s="218" customFormat="1" ht="31.9" hidden="1" customHeight="1" thickBot="1">
      <c r="A558" s="213"/>
      <c r="B558" s="894"/>
      <c r="C558" s="897"/>
      <c r="D558" s="913"/>
      <c r="E558" s="910"/>
      <c r="F558" s="239" t="str">
        <f ca="1">IF(B547="Лікар-педіатр",Законод!$J$17,IF(B547="Лікар загальної практики - сімейний лікар",Законод!$J$21,IF(B547="Лікар-терапевт",Законод!$J$25,"х")))</f>
        <v>х</v>
      </c>
      <c r="G558" s="935" t="s">
        <v>346</v>
      </c>
      <c r="H558" s="936"/>
      <c r="I558" s="936"/>
      <c r="J558" s="936"/>
      <c r="K558" s="937"/>
      <c r="L558" s="196">
        <f ca="1">IF($B$547="Лікар загальної практики - сімейний лікар",IF(L551&gt;=Законод!$J$22,'01_Доходи'!L551-('01_Доходи'!L552+'01_Доходи'!L553+'01_Доходи'!L554+'01_Доходи'!L555+'01_Доходи'!L556+'01_Доходи'!L557),0),IF($B$547="Лікар-педіатр",IF(L551&gt;=Законод!$J$18,'01_Доходи'!L551-('01_Доходи'!L552+'01_Доходи'!L553+'01_Доходи'!L554+'01_Доходи'!L555+'01_Доходи'!L556+'01_Доходи'!L557),0),IF($B$547="Лікар-терапевт",IF('01_Доходи'!L551&gt;=Законод!$J$26,L551-Законод!$I$27,0),0)))</f>
        <v>0</v>
      </c>
      <c r="M558" s="931"/>
      <c r="N558" s="935" t="s">
        <v>346</v>
      </c>
      <c r="O558" s="936"/>
      <c r="P558" s="936"/>
      <c r="Q558" s="936"/>
      <c r="R558" s="937"/>
      <c r="S558" s="196">
        <f ca="1">IF($B$547="Лікар загальної практики - сімейний лікар",IF(S551&gt;=Законод!$J$22,'01_Доходи'!S551-('01_Доходи'!S552+'01_Доходи'!S553+'01_Доходи'!S554+'01_Доходи'!S555+'01_Доходи'!S556+'01_Доходи'!S557),0),IF($B$547="Лікар-педіатр",IF(S551&gt;=Законод!$J$18,'01_Доходи'!S551-('01_Доходи'!S552+'01_Доходи'!S553+'01_Доходи'!S554+'01_Доходи'!S555+'01_Доходи'!S556+'01_Доходи'!S557),0),IF($B$547="Лікар-терапевт",IF('01_Доходи'!S551&gt;=Законод!$J$26,S551-Законод!$I$27,0),0)))</f>
        <v>0</v>
      </c>
      <c r="T558" s="931"/>
      <c r="U558" s="935" t="s">
        <v>346</v>
      </c>
      <c r="V558" s="936"/>
      <c r="W558" s="936"/>
      <c r="X558" s="936"/>
      <c r="Y558" s="937"/>
      <c r="Z558" s="196">
        <f ca="1">IF($B$547="Лікар загальної практики - сімейний лікар",IF(Z551&gt;=Законод!$J$22,'01_Доходи'!Z551-('01_Доходи'!Z552+'01_Доходи'!Z553+'01_Доходи'!Z554+'01_Доходи'!Z555+'01_Доходи'!Z556+'01_Доходи'!Z557),0),IF($B$547="Лікар-педіатр",IF(Z551&gt;=Законод!$J$18,'01_Доходи'!Z551-('01_Доходи'!Z552+'01_Доходи'!Z553+'01_Доходи'!Z554+'01_Доходи'!Z555+'01_Доходи'!Z556+'01_Доходи'!Z557),0),IF($B$547="Лікар-терапевт",IF('01_Доходи'!Z551&gt;=Законод!$J$26,Z551-Законод!$I$27,0),0)))</f>
        <v>0</v>
      </c>
      <c r="AA558" s="931"/>
      <c r="AB558" s="935" t="s">
        <v>346</v>
      </c>
      <c r="AC558" s="936"/>
      <c r="AD558" s="936"/>
      <c r="AE558" s="936"/>
      <c r="AF558" s="937"/>
      <c r="AG558" s="196">
        <f ca="1">IF($B$547="Лікар загальної практики - сімейний лікар",IF(AG551&gt;=Законод!$J$22,'01_Доходи'!AG551-('01_Доходи'!AG552+'01_Доходи'!AG553+'01_Доходи'!AG554+'01_Доходи'!AG555+'01_Доходи'!AG556+'01_Доходи'!AG557),0),IF($B$547="Лікар-педіатр",IF(AG551&gt;=Законод!$J$18,'01_Доходи'!AG551-('01_Доходи'!AG552+'01_Доходи'!AG553+'01_Доходи'!AG554+'01_Доходи'!AG555+'01_Доходи'!AG556+'01_Доходи'!AG557),0),IF($B$547="Лікар-терапевт",IF('01_Доходи'!AG551&gt;=Законод!$J$26,AG551-Законод!$I$27,0),0)))</f>
        <v>0</v>
      </c>
      <c r="AH558" s="931"/>
      <c r="AI558" s="215"/>
      <c r="AJ558" s="934"/>
      <c r="AK558" s="928"/>
      <c r="AL558" s="928"/>
      <c r="AM558" s="900"/>
      <c r="AN558" s="216">
        <f ca="1">IF(B547="Лікар загальної практики - сімейний лікар",L558*Законод!$C$9/4*Законод!$J$16,IF(B547="Лікар-педіатр",L558*Законод!$C$9/4*Законод!$J$16,IF(B547="Лікар-терапевт",L558*Законод!$C$9/4*Законод!$J$16,0)))</f>
        <v>0</v>
      </c>
      <c r="AO558" s="216">
        <f ca="1">IF(B547="Лікар загальної практики - сімейний лікар",S558*Законод!$C$9/4*Законод!$J$16,IF(B547="Лікар-педіатр",S558*Законод!$C$9/4*Законод!$J$16,IF(B547="Лікар-терапевт",S558*Законод!$C$9/4*Законод!$J$16,0)))</f>
        <v>0</v>
      </c>
      <c r="AP558" s="216">
        <f ca="1">IF(B547="Лікар загальної практики - сімейний лікар",S558*Законод!$C$9/4*Законод!$J$16,IF(B547="Лікар-педіатр",S558*Законод!$C$9/4*Законод!$J$16,IF(B547="Лікар-терапевт",S558*Законод!$C$9/4*Законод!$J$16,0)))</f>
        <v>0</v>
      </c>
      <c r="AQ558" s="216">
        <f ca="1">IF(B547="Лікар загальної практики - сімейний лікар",AG558*Законод!$C$9/4*Законод!$J$16,IF(B547="Лікар-педіатр",AG558*Законод!$C$9/4*Законод!$J$16,IF(B547="Лікар-терапевт",AG558*Законод!$C$9/4*Законод!$J$16,0)))</f>
        <v>0</v>
      </c>
      <c r="AR558" s="217">
        <f t="shared" si="69"/>
        <v>0</v>
      </c>
    </row>
    <row r="559" spans="1:44" s="247" customFormat="1" ht="23.45" hidden="1" customHeight="1" thickBot="1">
      <c r="A559" s="243"/>
      <c r="B559" s="244"/>
      <c r="C559" s="244"/>
      <c r="D559" s="244"/>
      <c r="E559" s="244"/>
      <c r="F559" s="245"/>
      <c r="G559" s="246"/>
      <c r="H559" s="246"/>
      <c r="L559" s="248"/>
      <c r="S559" s="248"/>
      <c r="Z559" s="248"/>
      <c r="AG559" s="248"/>
      <c r="AM559" s="249"/>
      <c r="AR559" s="250"/>
    </row>
    <row r="560" spans="1:44" s="191" customFormat="1" ht="24.6" hidden="1" customHeight="1">
      <c r="A560" s="194">
        <f>A547+1</f>
        <v>41</v>
      </c>
      <c r="B560" s="892"/>
      <c r="C560" s="895"/>
      <c r="D560" s="911"/>
      <c r="E560" s="908"/>
      <c r="F560" s="234" t="s">
        <v>582</v>
      </c>
      <c r="G560" s="196">
        <f>IF($B$560="Лікар-педіатр",G563*L560,IF($B$560="Лікар-терапевт","х",IF($B$560="Лікар загальної практики - сімейний лікар",G563*L560,0)))</f>
        <v>0</v>
      </c>
      <c r="H560" s="196">
        <f>IF($B$560="Лікар-педіатр",H563*L560,IF($B$560="Лікар-терапевт","х",IF($B$560="Лікар загальної практики - сімейний лікар",H563*L560,0)))</f>
        <v>0</v>
      </c>
      <c r="I560" s="196">
        <f>IF($B$560="Лікар-педіатр","x",IF($B$560="Лікар-терапевт",I563*L560,IF($B$560="Лікар загальної практики - сімейний лікар",I563*L560,0)))</f>
        <v>0</v>
      </c>
      <c r="J560" s="196">
        <f>IF($B$560="Лікар-педіатр","x",IF($B$560="Лікар-терапевт",J563*L560,IF($B$560="Лікар загальної практики - сімейний лікар",J563*L560,0)))</f>
        <v>0</v>
      </c>
      <c r="K560" s="196">
        <f>IF($B$560="Лікар-педіатр","x",IF($B$560="Лікар-терапевт",K563*L560,IF($B$560="Лікар загальної практики - сімейний лікар",K563*L560,0)))</f>
        <v>0</v>
      </c>
      <c r="L560" s="558"/>
      <c r="M560" s="929"/>
      <c r="N560" s="196">
        <f>IF($B$560="Лікар-педіатр",N563*S560,IF($B$560="Лікар-терапевт","х",IF($B$560="Лікар загальної практики - сімейний лікар",N563*S560,0)))</f>
        <v>0</v>
      </c>
      <c r="O560" s="196">
        <f>IF($B$560="Лікар-педіатр",O563*S560,IF($B$560="Лікар-терапевт","х",IF($B$560="Лікар загальної практики - сімейний лікар",O563*S560,0)))</f>
        <v>0</v>
      </c>
      <c r="P560" s="196">
        <f>IF($B$560="Лікар-педіатр","x",IF($B$560="Лікар-терапевт",P563*S560,IF($B$560="Лікар загальної практики - сімейний лікар",P563*S560,0)))</f>
        <v>0</v>
      </c>
      <c r="Q560" s="196">
        <f>IF($B$560="Лікар-педіатр","x",IF($B$560="Лікар-терапевт",Q563*S560,IF($B$560="Лікар загальної практики - сімейний лікар",Q563*S560,0)))</f>
        <v>0</v>
      </c>
      <c r="R560" s="196">
        <f>IF($B$560="Лікар-педіатр","x",IF($B$560="Лікар-терапевт",R563*S560,IF($B$560="Лікар загальної практики - сімейний лікар",R563*S560,0)))</f>
        <v>0</v>
      </c>
      <c r="S560" s="558"/>
      <c r="T560" s="929"/>
      <c r="U560" s="196">
        <f>IF($B$560="Лікар-педіатр",U563*Z560,IF($B$560="Лікар-терапевт","х",IF($B$560="Лікар загальної практики - сімейний лікар",U563*Z560,0)))</f>
        <v>0</v>
      </c>
      <c r="V560" s="196">
        <f>IF($B$560="Лікар-педіатр",V563*Z560,IF($B$560="Лікар-терапевт","х",IF($B$560="Лікар загальної практики - сімейний лікар",V563*Z560,0)))</f>
        <v>0</v>
      </c>
      <c r="W560" s="196">
        <f>IF($B$560="Лікар-педіатр","x",IF($B$560="Лікар-терапевт",W563*Z560,IF($B$560="Лікар загальної практики - сімейний лікар",W563*Z560,0)))</f>
        <v>0</v>
      </c>
      <c r="X560" s="196">
        <f>IF($B$560="Лікар-педіатр","x",IF($B$560="Лікар-терапевт",X563*Z560,IF($B$560="Лікар загальної практики - сімейний лікар",X563*Z560,0)))</f>
        <v>0</v>
      </c>
      <c r="Y560" s="196">
        <f>IF($B$560="Лікар-педіатр","x",IF($B$560="Лікар-терапевт",Y563*Z560,IF($B$560="Лікар загальної практики - сімейний лікар",Y563*Z560,0)))</f>
        <v>0</v>
      </c>
      <c r="Z560" s="558"/>
      <c r="AA560" s="929"/>
      <c r="AB560" s="196">
        <f>IF($B$560="Лікар-педіатр",AB563*AG560,IF($B$560="Лікар-терапевт","х",IF($B$560="Лікар загальної практики - сімейний лікар",AB563*AG560,0)))</f>
        <v>0</v>
      </c>
      <c r="AC560" s="196">
        <f>IF($B$560="Лікар-педіатр",AC563*AG560,IF($B$560="Лікар-терапевт","х",IF($B$560="Лікар загальної практики - сімейний лікар",AC563*AG560,0)))</f>
        <v>0</v>
      </c>
      <c r="AD560" s="196">
        <f>IF($B$560="Лікар-педіатр","x",IF($B$560="Лікар-терапевт",AD563*AG560,IF($B$560="Лікар загальної практики - сімейний лікар",AD563*AG560,0)))</f>
        <v>0</v>
      </c>
      <c r="AE560" s="196">
        <f>IF($B$560="Лікар-педіатр","x",IF($B$560="Лікар-терапевт",AE563*AG560,IF($B$560="Лікар загальної практики - сімейний лікар",AE563*AG560,0)))</f>
        <v>0</v>
      </c>
      <c r="AF560" s="196">
        <f>IF($B$560="Лікар-педіатр","x",IF($B$560="Лікар-терапевт",AF563*AG560,IF($B$560="Лікар загальної практики - сімейний лікар",AF563*AG560,0)))</f>
        <v>0</v>
      </c>
      <c r="AG560" s="558"/>
      <c r="AH560" s="929"/>
      <c r="AI560" s="541">
        <f>A560</f>
        <v>41</v>
      </c>
      <c r="AJ560" s="932">
        <f>B560</f>
        <v>0</v>
      </c>
      <c r="AK560" s="926">
        <f>C560</f>
        <v>0</v>
      </c>
      <c r="AL560" s="926">
        <f>D560</f>
        <v>0</v>
      </c>
      <c r="AM560" s="901" t="s">
        <v>785</v>
      </c>
      <c r="AN560" s="923">
        <f>SUM(AN565:AN571)</f>
        <v>0</v>
      </c>
      <c r="AO560" s="923">
        <f>SUM(AO565:AO571)</f>
        <v>0</v>
      </c>
      <c r="AP560" s="923">
        <f>SUM(AP565:AP571)</f>
        <v>0</v>
      </c>
      <c r="AQ560" s="923">
        <f>SUM(AQ565:AQ571)</f>
        <v>0</v>
      </c>
      <c r="AR560" s="914">
        <f>SUM(AN560:AQ564)</f>
        <v>0</v>
      </c>
    </row>
    <row r="561" spans="1:44" s="50" customFormat="1" ht="28.15" hidden="1" customHeight="1">
      <c r="A561" s="197"/>
      <c r="B561" s="893"/>
      <c r="C561" s="896"/>
      <c r="D561" s="912"/>
      <c r="E561" s="909"/>
      <c r="F561" s="234" t="s">
        <v>583</v>
      </c>
      <c r="G561" s="196">
        <f>IF($B$560="Лікар-педіатр",G563*L561,IF($B$560="Лікар-терапевт","х",IF($B$560="Лікар загальної практики - сімейний лікар",G563*L561,0)))</f>
        <v>0</v>
      </c>
      <c r="H561" s="196">
        <f>IF($B$560="Лікар-педіатр",H563*L561,IF($B$560="Лікар-терапевт","х",IF($B$560="Лікар загальної практики - сімейний лікар",H563*L561,0)))</f>
        <v>0</v>
      </c>
      <c r="I561" s="196">
        <f>IF($B$560="Лікар-педіатр","x",IF($B$560="Лікар-терапевт",I563*L561,IF($B$560="Лікар загальної практики - сімейний лікар",I563*L561,0)))</f>
        <v>0</v>
      </c>
      <c r="J561" s="196">
        <f>IF($B$560="Лікар-педіатр","x",IF($B$560="Лікар-терапевт",J563*L561,IF($B$560="Лікар загальної практики - сімейний лікар",J563*L561,0)))</f>
        <v>0</v>
      </c>
      <c r="K561" s="196">
        <f>IF($B$560="Лікар-педіатр","x",IF($B$560="Лікар-терапевт",K563*L561,IF($B$560="Лікар загальної практики - сімейний лікар",K563*L561,0)))</f>
        <v>0</v>
      </c>
      <c r="L561" s="558"/>
      <c r="M561" s="930"/>
      <c r="N561" s="196">
        <f>IF($B$560="Лікар-педіатр",N563*S561,IF($B$560="Лікар-терапевт","х",IF($B$560="Лікар загальної практики - сімейний лікар",N563*S561,0)))</f>
        <v>0</v>
      </c>
      <c r="O561" s="196">
        <f>IF($B$560="Лікар-педіатр",O563*S561,IF($B$560="Лікар-терапевт","х",IF($B$560="Лікар загальної практики - сімейний лікар",O563*S561,0)))</f>
        <v>0</v>
      </c>
      <c r="P561" s="196">
        <f>IF($B$560="Лікар-педіатр","x",IF($B$560="Лікар-терапевт",P563*S561,IF($B$560="Лікар загальної практики - сімейний лікар",P563*S561,0)))</f>
        <v>0</v>
      </c>
      <c r="Q561" s="196">
        <f>IF($B$560="Лікар-педіатр","x",IF($B$560="Лікар-терапевт",Q563*S561,IF($B$560="Лікар загальної практики - сімейний лікар",Q563*S561,0)))</f>
        <v>0</v>
      </c>
      <c r="R561" s="196">
        <f>IF($B$560="Лікар-педіатр","x",IF($B$560="Лікар-терапевт",R563*S561,IF($B$560="Лікар загальної практики - сімейний лікар",R563*S561,0)))</f>
        <v>0</v>
      </c>
      <c r="S561" s="558"/>
      <c r="T561" s="930"/>
      <c r="U561" s="196">
        <f>IF($B$560="Лікар-педіатр",U563*Z561,IF($B$560="Лікар-терапевт","х",IF($B$560="Лікар загальної практики - сімейний лікар",U563*Z561,0)))</f>
        <v>0</v>
      </c>
      <c r="V561" s="196">
        <f>IF($B$560="Лікар-педіатр",V563*Z561,IF($B$560="Лікар-терапевт","х",IF($B$560="Лікар загальної практики - сімейний лікар",V563*Z561,0)))</f>
        <v>0</v>
      </c>
      <c r="W561" s="196">
        <f>IF($B$560="Лікар-педіатр","x",IF($B$560="Лікар-терапевт",W563*Z561,IF($B$560="Лікар загальної практики - сімейний лікар",W563*Z561,0)))</f>
        <v>0</v>
      </c>
      <c r="X561" s="196">
        <f>IF($B$560="Лікар-педіатр","x",IF($B$560="Лікар-терапевт",X563*Z561,IF($B$560="Лікар загальної практики - сімейний лікар",X563*Z561,0)))</f>
        <v>0</v>
      </c>
      <c r="Y561" s="196">
        <f>IF($B$560="Лікар-педіатр","x",IF($B$560="Лікар-терапевт",Y563*Z561,IF($B$560="Лікар загальної практики - сімейний лікар",Y563*Z561,0)))</f>
        <v>0</v>
      </c>
      <c r="Z561" s="558"/>
      <c r="AA561" s="930"/>
      <c r="AB561" s="196">
        <f>IF($B$560="Лікар-педіатр",AB563*AG561,IF($B$560="Лікар-терапевт","х",IF($B$560="Лікар загальної практики - сімейний лікар",AB563*AG561,0)))</f>
        <v>0</v>
      </c>
      <c r="AC561" s="196">
        <f>IF($B$560="Лікар-педіатр",AC563*AG561,IF($B$560="Лікар-терапевт","х",IF($B$560="Лікар загальної практики - сімейний лікар",AC563*AG561,0)))</f>
        <v>0</v>
      </c>
      <c r="AD561" s="196">
        <f>IF($B$560="Лікар-педіатр","x",IF($B$560="Лікар-терапевт",AD563*AG561,IF($B$560="Лікар загальної практики - сімейний лікар",AD563*AG561,0)))</f>
        <v>0</v>
      </c>
      <c r="AE561" s="196">
        <f>IF($B$560="Лікар-педіатр","x",IF($B$560="Лікар-терапевт",AE563*AG561,IF($B$560="Лікар загальної практики - сімейний лікар",AE563*AG561,0)))</f>
        <v>0</v>
      </c>
      <c r="AF561" s="196">
        <f>IF($B$560="Лікар-педіатр","x",IF($B$560="Лікар-терапевт",AF563*AG561,IF($B$560="Лікар загальної практики - сімейний лікар",AF563*AG561,0)))</f>
        <v>0</v>
      </c>
      <c r="AG561" s="558"/>
      <c r="AH561" s="930"/>
      <c r="AI561" s="198"/>
      <c r="AJ561" s="933"/>
      <c r="AK561" s="927"/>
      <c r="AL561" s="927"/>
      <c r="AM561" s="902"/>
      <c r="AN561" s="924"/>
      <c r="AO561" s="924"/>
      <c r="AP561" s="924"/>
      <c r="AQ561" s="924"/>
      <c r="AR561" s="915"/>
    </row>
    <row r="562" spans="1:44" s="90" customFormat="1" ht="31.15" hidden="1" customHeight="1">
      <c r="A562" s="240"/>
      <c r="B562" s="893"/>
      <c r="C562" s="896"/>
      <c r="D562" s="912"/>
      <c r="E562" s="909"/>
      <c r="F562" s="241" t="s">
        <v>584</v>
      </c>
      <c r="G562" s="199">
        <f>IF(B560="Лікар загальної практики - сімейний лікар"," ",IF(B560="Лікар-педіатр"," ",IF(B560="Лікар-терапевт","х",0)))</f>
        <v>0</v>
      </c>
      <c r="H562" s="199">
        <f>IF(B560="Лікар загальної практики - сімейний лікар"," ",IF(B560="Лікар-педіатр"," ",IF(B560="Лікар-терапевт","х",0)))</f>
        <v>0</v>
      </c>
      <c r="I562" s="199">
        <f>IF(B560="Лікар загальної практики - сімейний лікар"," ",IF(B560="Лікар-педіатр","х",IF(B560="Лікар-терапевт"," ",0)))</f>
        <v>0</v>
      </c>
      <c r="J562" s="199">
        <f>IF(B560="Лікар загальної практики - сімейний лікар"," ",IF(B560="Лікар-педіатр","х",IF(B560="Лікар-терапевт"," ",0)))</f>
        <v>0</v>
      </c>
      <c r="K562" s="199">
        <f>IF(B560="Лікар загальної практики - сімейний лікар"," ",IF(B560="Лікар-педіатр","х",IF(B560="Лікар-терапевт"," ",0)))</f>
        <v>0</v>
      </c>
      <c r="L562" s="200">
        <f>SUM(G562:K562)</f>
        <v>0</v>
      </c>
      <c r="M562" s="930"/>
      <c r="N562" s="199">
        <f>IF(B560="Лікар загальної практики - сімейний лікар"," ",IF(B560="Лікар-педіатр"," ",IF(B560="Лікар-терапевт","х",0)))</f>
        <v>0</v>
      </c>
      <c r="O562" s="199">
        <f>IF(B560="Лікар загальної практики - сімейний лікар"," ",IF(B560="Лікар-педіатр"," ",IF(B560="Лікар-терапевт","х",0)))</f>
        <v>0</v>
      </c>
      <c r="P562" s="199">
        <f>IF(B560="Лікар загальної практики - сімейний лікар"," ",IF(B560="Лікар-педіатр","х",IF(B560="Лікар-терапевт"," ",0)))</f>
        <v>0</v>
      </c>
      <c r="Q562" s="199">
        <f>IF(B560="Лікар загальної практики - сімейний лікар"," ",IF(B560="Лікар-педіатр","х",IF(B560="Лікар-терапевт"," ",0)))</f>
        <v>0</v>
      </c>
      <c r="R562" s="199">
        <f>IF(B560="Лікар загальної практики - сімейний лікар"," ",IF(B560="Лікар-педіатр","х",IF(B560="Лікар-терапевт"," ",0)))</f>
        <v>0</v>
      </c>
      <c r="S562" s="200">
        <f>SUM(N562:R562)</f>
        <v>0</v>
      </c>
      <c r="T562" s="930"/>
      <c r="U562" s="199">
        <f>IF(B560="Лікар загальної практики - сімейний лікар"," ",IF(B560="Лікар-педіатр"," ",IF(B560="Лікар-терапевт","х",0)))</f>
        <v>0</v>
      </c>
      <c r="V562" s="199">
        <f>IF(B560="Лікар загальної практики - сімейний лікар"," ",IF(B560="Лікар-педіатр"," ",IF(B560="Лікар-терапевт","х",0)))</f>
        <v>0</v>
      </c>
      <c r="W562" s="199">
        <f>IF(B560="Лікар загальної практики - сімейний лікар"," ",IF(B560="Лікар-педіатр","х",IF(B560="Лікар-терапевт"," ",0)))</f>
        <v>0</v>
      </c>
      <c r="X562" s="199">
        <f>IF(B560="Лікар загальної практики - сімейний лікар"," ",IF(B560="Лікар-педіатр","х",IF(B560="Лікар-терапевт"," ",0)))</f>
        <v>0</v>
      </c>
      <c r="Y562" s="199">
        <f>IF(B560="Лікар загальної практики - сімейний лікар"," ",IF(B560="Лікар-педіатр","х",IF(B560="Лікар-терапевт"," ",0)))</f>
        <v>0</v>
      </c>
      <c r="Z562" s="200">
        <f>SUM(U562:Y562)</f>
        <v>0</v>
      </c>
      <c r="AA562" s="930"/>
      <c r="AB562" s="199">
        <f>IF(B560="Лікар загальної практики - сімейний лікар"," ",IF(B560="Лікар-педіатр"," ",IF(B560="Лікар-терапевт","х",0)))</f>
        <v>0</v>
      </c>
      <c r="AC562" s="199">
        <f>IF(B560="Лікар загальної практики - сімейний лікар"," ",IF(B560="Лікар-педіатр"," ",IF(B560="Лікар-терапевт","х",0)))</f>
        <v>0</v>
      </c>
      <c r="AD562" s="199">
        <f>IF(B560="Лікар загальної практики - сімейний лікар"," ",IF(B560="Лікар-педіатр","х",IF(B560="Лікар-терапевт"," ",0)))</f>
        <v>0</v>
      </c>
      <c r="AE562" s="199">
        <f>IF(B560="Лікар загальної практики - сімейний лікар"," ",IF(B560="Лікар-педіатр","х",IF(B560="Лікар-терапевт"," ",0)))</f>
        <v>0</v>
      </c>
      <c r="AF562" s="199">
        <f>IF(B560="Лікар загальної практики - сімейний лікар"," ",IF(B560="Лікар-педіатр","х",IF(B560="Лікар-терапевт"," ",0)))</f>
        <v>0</v>
      </c>
      <c r="AG562" s="200">
        <f>SUM(AB562:AF562)</f>
        <v>0</v>
      </c>
      <c r="AH562" s="930"/>
      <c r="AI562" s="242"/>
      <c r="AJ562" s="933"/>
      <c r="AK562" s="927"/>
      <c r="AL562" s="927"/>
      <c r="AM562" s="902"/>
      <c r="AN562" s="924"/>
      <c r="AO562" s="924"/>
      <c r="AP562" s="924"/>
      <c r="AQ562" s="924"/>
      <c r="AR562" s="915"/>
    </row>
    <row r="563" spans="1:44" s="50" customFormat="1" ht="31.9" hidden="1" customHeight="1" thickBot="1">
      <c r="A563" s="197"/>
      <c r="B563" s="893"/>
      <c r="C563" s="896"/>
      <c r="D563" s="912"/>
      <c r="E563" s="909"/>
      <c r="F563" s="236" t="s">
        <v>349</v>
      </c>
      <c r="G563" s="203">
        <f>IF($B$560="Лікар-педіатр",G562/L562,IF($B$560="Лікар-терапевт","х",IF($B$560="Лікар загальної практики - сімейний лікар",G562/L562,0)))</f>
        <v>0</v>
      </c>
      <c r="H563" s="203">
        <f>IF($B$560="Лікар-педіатр",H562/L562,IF($B$560="Лікар-терапевт","х",IF($B$560="Лікар загальної практики - сімейний лікар",H562/L562,0)))</f>
        <v>0</v>
      </c>
      <c r="I563" s="203">
        <f>IF($B$560="Лікар-педіатр","x",IF($B$560="Лікар-терапевт",I562/L562,IF($B$560="Лікар загальної практики - сімейний лікар",I562/L562,0)))</f>
        <v>0</v>
      </c>
      <c r="J563" s="203">
        <f>IF($B$560="Лікар-педіатр","x",IF($B$560="Лікар-терапевт",J562/L562,IF($B$560="Лікар загальної практики - сімейний лікар",J562/L562,0)))</f>
        <v>0</v>
      </c>
      <c r="K563" s="203">
        <f>IF($B$560="Лікар-педіатр","x",IF($B$560="Лікар-терапевт",K562/L562,IF($B$560="Лікар загальної практики - сімейний лікар",K562/L562,0)))</f>
        <v>0</v>
      </c>
      <c r="L563" s="203">
        <f>SUM(G563:K563)</f>
        <v>0</v>
      </c>
      <c r="M563" s="930"/>
      <c r="N563" s="203">
        <f>IF($B$560="Лікар-педіатр",N562/S562,IF($B$560="Лікар-терапевт","х",IF($B$560="Лікар загальної практики - сімейний лікар",N562/S562,0)))</f>
        <v>0</v>
      </c>
      <c r="O563" s="203">
        <f>IF($B$560="Лікар-педіатр",O562/S562,IF($B$560="Лікар-терапевт","х",IF($B$560="Лікар загальної практики - сімейний лікар",O562/S562,0)))</f>
        <v>0</v>
      </c>
      <c r="P563" s="203">
        <f>IF($B$560="Лікар-педіатр","x",IF($B$560="Лікар-терапевт",P562/S562,IF($B$560="Лікар загальної практики - сімейний лікар",P562/S562,0)))</f>
        <v>0</v>
      </c>
      <c r="Q563" s="203">
        <f>IF($B$560="Лікар-педіатр","x",IF($B$560="Лікар-терапевт",Q562/S562,IF($B$560="Лікар загальної практики - сімейний лікар",Q562/S562,0)))</f>
        <v>0</v>
      </c>
      <c r="R563" s="203">
        <f>IF($B$560="Лікар-педіатр","x",IF($B$560="Лікар-терапевт",R562/S562,IF($B$560="Лікар загальної практики - сімейний лікар",R562/S562,0)))</f>
        <v>0</v>
      </c>
      <c r="S563" s="203">
        <f>SUM(N563:R563)</f>
        <v>0</v>
      </c>
      <c r="T563" s="930"/>
      <c r="U563" s="203">
        <f>IF($B$560="Лікар-педіатр",U562/Z562,IF($B$560="Лікар-терапевт","х",IF($B$560="Лікар загальної практики - сімейний лікар",U562/Z562,0)))</f>
        <v>0</v>
      </c>
      <c r="V563" s="203">
        <f>IF($B$560="Лікар-педіатр",V562/Z562,IF($B$560="Лікар-терапевт","х",IF($B$560="Лікар загальної практики - сімейний лікар",V562/Z562,0)))</f>
        <v>0</v>
      </c>
      <c r="W563" s="203">
        <f>IF($B$560="Лікар-педіатр","x",IF($B$560="Лікар-терапевт",W562/Z562,IF($B$560="Лікар загальної практики - сімейний лікар",W562/Z562,0)))</f>
        <v>0</v>
      </c>
      <c r="X563" s="203">
        <f>IF($B$560="Лікар-педіатр","x",IF($B$560="Лікар-терапевт",X562/Z562,IF($B$560="Лікар загальної практики - сімейний лікар",X562/Z562,0)))</f>
        <v>0</v>
      </c>
      <c r="Y563" s="203">
        <f>IF($B$560="Лікар-педіатр","x",IF($B$560="Лікар-терапевт",Y562/Z562,IF($B$560="Лікар загальної практики - сімейний лікар",Y562/Z562,0)))</f>
        <v>0</v>
      </c>
      <c r="Z563" s="203">
        <f>SUM(U563:Y563)</f>
        <v>0</v>
      </c>
      <c r="AA563" s="930"/>
      <c r="AB563" s="203">
        <f>IF($B$560="Лікар-педіатр",AB562/AG562,IF($B$560="Лікар-терапевт","х",IF($B$560="Лікар загальної практики - сімейний лікар",AB562/AG562,0)))</f>
        <v>0</v>
      </c>
      <c r="AC563" s="203">
        <f>IF($B$560="Лікар-педіатр",AC562/AG562,IF($B$560="Лікар-терапевт","х",IF($B$560="Лікар загальної практики - сімейний лікар",AC562/AG562,0)))</f>
        <v>0</v>
      </c>
      <c r="AD563" s="203">
        <f>IF($B$560="Лікар-педіатр","x",IF($B$560="Лікар-терапевт",AD562/AG562,IF($B$560="Лікар загальної практики - сімейний лікар",AD562/AG562,0)))</f>
        <v>0</v>
      </c>
      <c r="AE563" s="203">
        <f>IF($B$560="Лікар-педіатр","x",IF($B$560="Лікар-терапевт",AE562/AG562,IF($B$560="Лікар загальної практики - сімейний лікар",AE562/AG562,0)))</f>
        <v>0</v>
      </c>
      <c r="AF563" s="203">
        <f>IF($B$560="Лікар-педіатр","x",IF($B$560="Лікар-терапевт",AF562/AG562,IF($B$560="Лікар загальної практики - сімейний лікар",AF562/AG562,0)))</f>
        <v>0</v>
      </c>
      <c r="AG563" s="203">
        <f>SUM(AB563:AF563)</f>
        <v>0</v>
      </c>
      <c r="AH563" s="930"/>
      <c r="AI563" s="201"/>
      <c r="AJ563" s="933"/>
      <c r="AK563" s="927"/>
      <c r="AL563" s="927"/>
      <c r="AM563" s="902"/>
      <c r="AN563" s="924"/>
      <c r="AO563" s="924"/>
      <c r="AP563" s="924"/>
      <c r="AQ563" s="924"/>
      <c r="AR563" s="915"/>
    </row>
    <row r="564" spans="1:44" s="50" customFormat="1" ht="45" hidden="1" customHeight="1" thickBot="1">
      <c r="A564" s="197"/>
      <c r="B564" s="893"/>
      <c r="C564" s="896"/>
      <c r="D564" s="912"/>
      <c r="E564" s="909"/>
      <c r="F564" s="204" t="s">
        <v>585</v>
      </c>
      <c r="G564" s="205">
        <f>IF($B$560="Лікар загальної практики - сімейний лікар",AVERAGE(G560:G562),IF($B$560="Лікар-педіатр",AVERAGE(G560:G562),IF($B$560="Лікар-терапевт","х",0)))</f>
        <v>0</v>
      </c>
      <c r="H564" s="205">
        <f>IF($B$560="Лікар загальної практики - сімейний лікар",AVERAGE(H560:H562),IF($B$560="Лікар-педіатр",AVERAGE(H560:H562),IF($B$560="Лікар-терапевт","х",0)))</f>
        <v>0</v>
      </c>
      <c r="I564" s="205">
        <f>IF($B$560="Лікар загальної практики - сімейний лікар",AVERAGE(I560:I562),IF($B$560="Лікар-педіатр","x",IF($B$560="Лікар-терапевт",AVERAGE(I560:I562),0)))</f>
        <v>0</v>
      </c>
      <c r="J564" s="205">
        <f>IF($B$560="Лікар загальної практики - сімейний лікар",AVERAGE(J560:J562),IF($B$560="Лікар-педіатр","x",IF($B$560="Лікар-терапевт",AVERAGE(J560:J562),0)))</f>
        <v>0</v>
      </c>
      <c r="K564" s="205">
        <f>IF($B$560="Лікар загальної практики - сімейний лікар",AVERAGE(K560:K562),IF($B$560="Лікар-педіатр","x",IF($B$560="Лікар-терапевт",AVERAGE(K560:K562),0)))</f>
        <v>0</v>
      </c>
      <c r="L564" s="206">
        <f>SUM(G564:K564)</f>
        <v>0</v>
      </c>
      <c r="M564" s="930"/>
      <c r="N564" s="205">
        <f>IF($B$560="Лікар загальної практики - сімейний лікар",AVERAGE(N560:N562),IF($B$560="Лікар-педіатр",AVERAGE(N560:N562),IF($B$560="Лікар-терапевт","х",0)))</f>
        <v>0</v>
      </c>
      <c r="O564" s="205">
        <f>IF($B$560="Лікар загальної практики - сімейний лікар",AVERAGE(O560:O562),IF($B$560="Лікар-педіатр",AVERAGE(O560:O562),IF($B$560="Лікар-терапевт","х",0)))</f>
        <v>0</v>
      </c>
      <c r="P564" s="205">
        <f>IF($B$560="Лікар загальної практики - сімейний лікар",AVERAGE(P560:P562),IF($B$560="Лікар-педіатр","x",IF($B$560="Лікар-терапевт",AVERAGE(P560:P562),0)))</f>
        <v>0</v>
      </c>
      <c r="Q564" s="205">
        <f>IF($B$560="Лікар загальної практики - сімейний лікар",AVERAGE(Q560:Q562),IF($B$560="Лікар-педіатр","x",IF($B$560="Лікар-терапевт",AVERAGE(Q560:Q562),0)))</f>
        <v>0</v>
      </c>
      <c r="R564" s="205">
        <f>IF($B$560="Лікар загальної практики - сімейний лікар",AVERAGE(R560:R562),IF($B$560="Лікар-педіатр","x",IF($B$560="Лікар-терапевт",AVERAGE(R560:R562),0)))</f>
        <v>0</v>
      </c>
      <c r="S564" s="206">
        <f>SUM(N564:R564)</f>
        <v>0</v>
      </c>
      <c r="T564" s="930"/>
      <c r="U564" s="205">
        <f>IF($B$560="Лікар загальної практики - сімейний лікар",AVERAGE(U560:U562),IF($B$560="Лікар-педіатр",AVERAGE(U560:U562),IF($B$560="Лікар-терапевт","х",0)))</f>
        <v>0</v>
      </c>
      <c r="V564" s="205">
        <f>IF($B$560="Лікар загальної практики - сімейний лікар",AVERAGE(V560:V562),IF($B$560="Лікар-педіатр",AVERAGE(V560:V562),IF($B$560="Лікар-терапевт","х",0)))</f>
        <v>0</v>
      </c>
      <c r="W564" s="205">
        <f>IF($B$560="Лікар загальної практики - сімейний лікар",AVERAGE(W560:W562),IF($B$560="Лікар-педіатр","x",IF($B$560="Лікар-терапевт",AVERAGE(W560:W562),0)))</f>
        <v>0</v>
      </c>
      <c r="X564" s="205">
        <f>IF($B$560="Лікар загальної практики - сімейний лікар",AVERAGE(X560:X562),IF($B$560="Лікар-педіатр","x",IF($B$560="Лікар-терапевт",AVERAGE(X560:X562),0)))</f>
        <v>0</v>
      </c>
      <c r="Y564" s="205">
        <f>IF($B$560="Лікар загальної практики - сімейний лікар",AVERAGE(Y560:Y562),IF($B$560="Лікар-педіатр","x",IF($B$560="Лікар-терапевт",AVERAGE(Y560:Y562),0)))</f>
        <v>0</v>
      </c>
      <c r="Z564" s="206">
        <f>SUM(U564:Y564)</f>
        <v>0</v>
      </c>
      <c r="AA564" s="930"/>
      <c r="AB564" s="205">
        <f>IF($B$560="Лікар загальної практики - сімейний лікар",AVERAGE(AB560:AB562),IF($B$560="Лікар-педіатр",AVERAGE(AB560:AB562),IF($B$560="Лікар-терапевт","х",0)))</f>
        <v>0</v>
      </c>
      <c r="AC564" s="205">
        <f>IF($B$560="Лікар загальної практики - сімейний лікар",AVERAGE(AC560:AC562),IF($B$560="Лікар-педіатр",AVERAGE(AC560:AC562),IF($B$560="Лікар-терапевт","х",0)))</f>
        <v>0</v>
      </c>
      <c r="AD564" s="205">
        <f>IF($B$560="Лікар загальної практики - сімейний лікар",AVERAGE(AD560:AD562),IF($B$560="Лікар-педіатр","x",IF($B$560="Лікар-терапевт",AVERAGE(AD560:AD562),0)))</f>
        <v>0</v>
      </c>
      <c r="AE564" s="205">
        <f>IF($B$560="Лікар загальної практики - сімейний лікар",AVERAGE(AE560:AE562),IF($B$560="Лікар-педіатр","x",IF($B$560="Лікар-терапевт",AVERAGE(AE560:AE562),0)))</f>
        <v>0</v>
      </c>
      <c r="AF564" s="205">
        <f>IF($B$560="Лікар загальної практики - сімейний лікар",AVERAGE(AF560:AF562),IF($B$560="Лікар-педіатр","x",IF($B$560="Лікар-терапевт",AVERAGE(AF560:AF562),0)))</f>
        <v>0</v>
      </c>
      <c r="AG564" s="206">
        <f>SUM(AB564:AF564)</f>
        <v>0</v>
      </c>
      <c r="AH564" s="930"/>
      <c r="AI564" s="201"/>
      <c r="AJ564" s="933"/>
      <c r="AK564" s="927"/>
      <c r="AL564" s="927"/>
      <c r="AM564" s="903"/>
      <c r="AN564" s="925"/>
      <c r="AO564" s="925"/>
      <c r="AP564" s="925"/>
      <c r="AQ564" s="925"/>
      <c r="AR564" s="916"/>
    </row>
    <row r="565" spans="1:44" s="50" customFormat="1" ht="40.5" hidden="1">
      <c r="A565" s="197"/>
      <c r="B565" s="893"/>
      <c r="C565" s="896"/>
      <c r="D565" s="912"/>
      <c r="E565" s="909"/>
      <c r="F565" s="237" t="str">
        <f ca="1">IF(B560="Лікар-педіатр",Законод!$C$17,IF(B560="Лікар загальної практики - сімейний лікар",Законод!$C$21,IF(B560="Лікар-терапевт",Законод!$C$25,"х")))</f>
        <v>х</v>
      </c>
      <c r="G565" s="208">
        <f ca="1">IF($B$560="Лікар загальної практики - сімейний лікар",IF(L564&lt;=Законод!$C$22,G564,Законод!$C$22*'01_Доходи'!G563),IF($B$560="Лікар-педіатр",IF(L564&lt;=Законод!$C$18,G564,Законод!$C$18*'01_Доходи'!G563),IF($B$560="Лікар-терапевт","x",0)))</f>
        <v>0</v>
      </c>
      <c r="H565" s="208">
        <f ca="1">IF($B$560="Лікар загальної практики - сімейний лікар",IF(L564&lt;=Законод!$C$22,H564,Законод!$C$22*'01_Доходи'!H563),IF($B$560="Лікар-педіатр",IF(L564&lt;=Законод!$C$18,H564,Законод!$C$18*'01_Доходи'!H563),IF($B$560="Лікар-терапевт","x",0)))</f>
        <v>0</v>
      </c>
      <c r="I565" s="208">
        <f ca="1">IF($B$560="Лікар загальної практики - сімейний лікар",IF(L564&lt;=Законод!$C$22,I564,Законод!$C$22*'01_Доходи'!I563),IF($B$560="Лікар-педіатр","x",IF($B$560="Лікар-терапевт",IF(L564&lt;=Законод!$C$26,I564,Законод!$C$26*'01_Доходи'!I563),0)))</f>
        <v>0</v>
      </c>
      <c r="J565" s="208">
        <f ca="1">IF($B$560="Лікар загальної практики - сімейний лікар",IF(L564&lt;=Законод!$C$22,J564,Законод!$C$22*'01_Доходи'!J563),IF($B$560="Лікар-педіатр","x",IF($B$560="Лікар-терапевт",IF(L564&lt;=Законод!$C$26,J564,Законод!$C$26*'01_Доходи'!J563),0)))</f>
        <v>0</v>
      </c>
      <c r="K565" s="208">
        <f ca="1">IF($B$560="Лікар загальної практики - сімейний лікар",IF(L564&lt;=Законод!$C$22,K564,Законод!$C$22*'01_Доходи'!K563),IF($B$560="Лікар-педіатр","x",IF($B$560="Лікар-терапевт",IF(L564&lt;=Законод!$C$26,K564,Законод!$C$26*'01_Доходи'!K563),0)))</f>
        <v>0</v>
      </c>
      <c r="L565" s="209">
        <f ca="1">SUM(G565:K565)</f>
        <v>0</v>
      </c>
      <c r="M565" s="930"/>
      <c r="N565" s="208">
        <f ca="1">IF($B$560="Лікар загальної практики - сімейний лікар",IF(S564&lt;=Законод!$C$22,N564,Законод!$C$22*'01_Доходи'!N563),IF($B$560="Лікар-педіатр",IF(S564&lt;=Законод!$C$18,N564,Законод!$C$18*'01_Доходи'!N563),IF($B$560="Лікар-терапевт","x",0)))</f>
        <v>0</v>
      </c>
      <c r="O565" s="208">
        <f ca="1">IF($B$560="Лікар загальної практики - сімейний лікар",IF(S564&lt;=Законод!$C$22,O564,Законод!$C$22*'01_Доходи'!O563),IF($B$560="Лікар-педіатр",IF(S564&lt;=Законод!$C$18,O564,Законод!$C$18*'01_Доходи'!O563),IF($B$560="Лікар-терапевт","x",0)))</f>
        <v>0</v>
      </c>
      <c r="P565" s="208">
        <f ca="1">IF($B$560="Лікар загальної практики - сімейний лікар",IF(S564&lt;=Законод!$C$22,P564,Законод!$C$22*'01_Доходи'!P563),IF($B$560="Лікар-педіатр","x",IF($B$560="Лікар-терапевт",IF(S564&lt;=Законод!$C$26,P564,Законод!$C$26*'01_Доходи'!P563),0)))</f>
        <v>0</v>
      </c>
      <c r="Q565" s="208">
        <f ca="1">IF($B$560="Лікар загальної практики - сімейний лікар",IF(S564&lt;=Законод!$C$22,Q564,Законод!$C$22*'01_Доходи'!Q563),IF($B$560="Лікар-педіатр","x",IF($B$560="Лікар-терапевт",IF(S564&lt;=Законод!$C$26,Q564,Законод!$C$26*'01_Доходи'!Q563),0)))</f>
        <v>0</v>
      </c>
      <c r="R565" s="208">
        <f ca="1">IF($B$560="Лікар загальної практики - сімейний лікар",IF(S564&lt;=Законод!$C$22,R564,Законод!$C$22*'01_Доходи'!R563),IF($B$560="Лікар-педіатр","x",IF($B$560="Лікар-терапевт",IF(S564&lt;=Законод!$C$26,R564,Законод!$C$26*'01_Доходи'!R563),0)))</f>
        <v>0</v>
      </c>
      <c r="S565" s="209">
        <f ca="1">SUM(N565:R565)</f>
        <v>0</v>
      </c>
      <c r="T565" s="930"/>
      <c r="U565" s="208">
        <f ca="1">IF($B$560="Лікар загальної практики - сімейний лікар",IF(Z564&lt;=Законод!$C$22,U564,Законод!$C$22*'01_Доходи'!U563),IF($B$560="Лікар-педіатр",IF(Z564&lt;=Законод!$C$18,U564,Законод!$C$18*'01_Доходи'!U563),IF($B$560="Лікар-терапевт","x",0)))</f>
        <v>0</v>
      </c>
      <c r="V565" s="208">
        <f ca="1">IF($B$560="Лікар загальної практики - сімейний лікар",IF(Z564&lt;=Законод!$C$22,V564,Законод!$C$22*'01_Доходи'!V563),IF($B$560="Лікар-педіатр",IF(Z564&lt;=Законод!$C$18,V564,Законод!$C$18*'01_Доходи'!V563),IF($B$560="Лікар-терапевт","x",0)))</f>
        <v>0</v>
      </c>
      <c r="W565" s="208">
        <f ca="1">IF($B$560="Лікар загальної практики - сімейний лікар",IF(Z564&lt;=Законод!$C$22,W564,Законод!$C$22*'01_Доходи'!W563),IF($B$560="Лікар-педіатр","x",IF($B$560="Лікар-терапевт",IF(Z564&lt;=Законод!$C$26,W564,Законод!$C$26*'01_Доходи'!W563),0)))</f>
        <v>0</v>
      </c>
      <c r="X565" s="208">
        <f ca="1">IF($B$560="Лікар загальної практики - сімейний лікар",IF(Z564&lt;=Законод!$C$22,X564,Законод!$C$22*'01_Доходи'!X563),IF($B$560="Лікар-педіатр","x",IF($B$560="Лікар-терапевт",IF(Z564&lt;=Законод!$C$26,X564,Законод!$C$26*'01_Доходи'!X563),0)))</f>
        <v>0</v>
      </c>
      <c r="Y565" s="208">
        <f ca="1">IF($B$560="Лікар загальної практики - сімейний лікар",IF(Z564&lt;=Законод!$C$22,Y564,Законод!$C$22*'01_Доходи'!Y563),IF($B$560="Лікар-педіатр","x",IF($B$560="Лікар-терапевт",IF(Z564&lt;=Законод!$C$26,Y564,Законод!$C$26*'01_Доходи'!Y563),0)))</f>
        <v>0</v>
      </c>
      <c r="Z565" s="209">
        <f ca="1">SUM(U565:Y565)</f>
        <v>0</v>
      </c>
      <c r="AA565" s="930"/>
      <c r="AB565" s="208">
        <f ca="1">IF($B$560="Лікар загальної практики - сімейний лікар",IF(AG564&lt;=Законод!$C$22,AB564,Законод!$C$22*'01_Доходи'!AB563),IF($B$560="Лікар-педіатр",IF(AG564&lt;=Законод!$C$18,AB564,Законод!$C$18*'01_Доходи'!AB563),IF($B$560="Лікар-терапевт","x",0)))</f>
        <v>0</v>
      </c>
      <c r="AC565" s="208">
        <f ca="1">IF($B$560="Лікар загальної практики - сімейний лікар",IF(AG564&lt;=Законод!$C$22,AC564,Законод!$C$22*'01_Доходи'!AC563),IF($B$560="Лікар-педіатр",IF(AG564&lt;=Законод!$C$18,AC564,Законод!$C$18*'01_Доходи'!AC563),IF($B$560="Лікар-терапевт","x",0)))</f>
        <v>0</v>
      </c>
      <c r="AD565" s="208">
        <f ca="1">IF($B$560="Лікар загальної практики - сімейний лікар",IF(AG564&lt;=Законод!$C$22,AD564,Законод!$C$22*'01_Доходи'!AD563),IF($B$560="Лікар-педіатр","x",IF($B$560="Лікар-терапевт",IF(AG564&lt;=Законод!$C$26,AD564,Законод!$C$26*'01_Доходи'!AD563),0)))</f>
        <v>0</v>
      </c>
      <c r="AE565" s="208">
        <f ca="1">IF($B$560="Лікар загальної практики - сімейний лікар",IF(AG564&lt;=Законод!$C$22,AE564,Законод!$C$22*'01_Доходи'!AE563),IF($B$560="Лікар-педіатр","x",IF($B$560="Лікар-терапевт",IF(AG564&lt;=Законод!$C$26,AE564,Законод!$C$26*'01_Доходи'!AE563),0)))</f>
        <v>0</v>
      </c>
      <c r="AF565" s="208">
        <f ca="1">IF($B$560="Лікар загальної практики - сімейний лікар",IF(AG564&lt;=Законод!$C$22,AF564,Законод!$C$22*'01_Доходи'!AF563),IF($B$560="Лікар-педіатр","x",IF($B$560="Лікар-терапевт",IF(AG564&lt;=Законод!$C$26,AF564,Законод!$C$26*'01_Доходи'!AF563),0)))</f>
        <v>0</v>
      </c>
      <c r="AG565" s="209">
        <f ca="1">SUM(AB565:AF565)</f>
        <v>0</v>
      </c>
      <c r="AH565" s="930"/>
      <c r="AI565" s="201"/>
      <c r="AJ565" s="933"/>
      <c r="AK565" s="927"/>
      <c r="AL565" s="927"/>
      <c r="AM565" s="348" t="s">
        <v>374</v>
      </c>
      <c r="AN565" s="210">
        <f ca="1">IF(B560="Лікар загальної практики - сімейний лікар",G565*Законод!$C$11+'01_Доходи'!H565*Законод!$D$11+'01_Доходи'!I565*Законод!$E$11+'01_Доходи'!J565*Законод!$F$11+'01_Доходи'!K565*Законод!$G$11,IF(B560="Лікар-педіатр",G565*Законод!$C$11+'01_Доходи'!H565*Законод!$D$11,IF(B560="Лікар-терапевт",'01_Доходи'!I565*Законод!$E$11+'01_Доходи'!J565*Законод!$F$11+'01_Доходи'!K565*Законод!$G$11,0)))</f>
        <v>0</v>
      </c>
      <c r="AO565" s="210">
        <f ca="1">IF(B560="Лікар загальної практики - сімейний лікар",N565*Законод!$C$11+'01_Доходи'!O565*Законод!$D$11+'01_Доходи'!P565*Законод!$E$11+'01_Доходи'!Q565*Законод!$F$11+'01_Доходи'!R565*Законод!$G$11,IF(B560="Лікар-педіатр",N565*Законод!$C$11+'01_Доходи'!O565*Законод!$D$11,IF(B560="Лікар-терапевт",'01_Доходи'!P565*Законод!$E$11+'01_Доходи'!Q565*Законод!$F$11+'01_Доходи'!R565*Законод!$G$11,0)))</f>
        <v>0</v>
      </c>
      <c r="AP565" s="210">
        <f ca="1">IF(B560="Лікар загальної практики - сімейний лікар",U565*Законод!$C$11+'01_Доходи'!V565*Законод!$D$11+'01_Доходи'!W565*Законод!$E$11+'01_Доходи'!X565*Законод!$F$11+'01_Доходи'!Y565*Законод!$G$11,IF(B560="Лікар-педіатр",U565*Законод!$C$11+'01_Доходи'!V565*Законод!$D$11,IF(B560="Лікар-терапевт",'01_Доходи'!W565*Законод!$E$11+'01_Доходи'!X565*Законод!$F$11+'01_Доходи'!Y565*Законод!$G$11,0)))</f>
        <v>0</v>
      </c>
      <c r="AQ565" s="210">
        <f ca="1">IF(B560="Лікар загальної практики - сімейний лікар",AB565*Законод!$C$11+'01_Доходи'!AC565*Законод!$D$11+'01_Доходи'!AD565*Законод!$E$11+'01_Доходи'!AE565*Законод!$F$11+'01_Доходи'!AF565*Законод!$G$11,IF(B560="Лікар-педіатр",AB565*Законод!$C$11+'01_Доходи'!AC565*Законод!$D$11,IF(B560="Лікар-терапевт",'01_Доходи'!AD565*Законод!$E$11+'01_Доходи'!AE565*Законод!$F$11+'01_Доходи'!AF565*Законод!$G$11,0)))</f>
        <v>0</v>
      </c>
      <c r="AR565" s="211">
        <f t="shared" ref="AR565:AR571" si="70">SUM(AN565:AQ565)</f>
        <v>0</v>
      </c>
    </row>
    <row r="566" spans="1:44" s="50" customFormat="1" ht="31.9" hidden="1" customHeight="1">
      <c r="A566" s="197"/>
      <c r="B566" s="893"/>
      <c r="C566" s="896"/>
      <c r="D566" s="912"/>
      <c r="E566" s="909"/>
      <c r="F566" s="238" t="str">
        <f ca="1">IF(B560="Лікар-педіатр",Законод!$E$17,IF(B560="Лікар загальної практики - сімейний лікар",Законод!$E$21,IF(B560="Лікар-терапевт",Законод!$E$25,"х")))</f>
        <v>х</v>
      </c>
      <c r="G566" s="889" t="s">
        <v>346</v>
      </c>
      <c r="H566" s="890"/>
      <c r="I566" s="890"/>
      <c r="J566" s="890"/>
      <c r="K566" s="891"/>
      <c r="L566" s="196">
        <f ca="1">IF($B$560="Лікар загальної практики - сімейний лікар",IF(L564&lt;Законод!$C$22,0,(IF(AND(L564&gt;=Законод!$E$22,L564&lt;=Законод!$E$23),L564-Законод!$C$22,IF('01_Доходи'!L564&gt;=Законод!$F$22,Законод!$E$24,0)))),IF($B$560="Лікар-педіатр",IF(L564&lt;Законод!$C$18,0,(IF(AND(L564&gt;=Законод!$E$18,L564&lt;=Законод!$E$19),L564-Законод!$C$18,IF('01_Доходи'!L564&gt;=Законод!$F$18,Законод!$E$20,0)))),IF($B$560="Лікар-терапевт",IF(L564&lt;Законод!$C$26,0,(IF(AND(L564&gt;=Законод!$E$26,L564&lt;=Законод!$E$27),L564-Законод!$C$26,IF('01_Доходи'!L564&gt;=Законод!$F$26,Законод!$E$28,0)))),0)))</f>
        <v>0</v>
      </c>
      <c r="M566" s="930"/>
      <c r="N566" s="889" t="s">
        <v>346</v>
      </c>
      <c r="O566" s="890"/>
      <c r="P566" s="890"/>
      <c r="Q566" s="890"/>
      <c r="R566" s="891"/>
      <c r="S566" s="196">
        <f ca="1">IF($B$560="Лікар загальної практики - сімейний лікар",IF(S564&lt;Законод!$C$22,0,(IF(AND(S564&gt;=Законод!$E$22,S564&lt;=Законод!$E$23),S564-Законод!$C$22,IF('01_Доходи'!S564&gt;=Законод!$F$22,Законод!$E$24,0)))),IF($B$560="Лікар-педіатр",IF(S564&lt;Законод!$C$18,0,(IF(AND(S564&gt;=Законод!$E$18,S564&lt;=Законод!$E$19),S564-Законод!$C$18,IF('01_Доходи'!S564&gt;=Законод!$F$18,Законод!$E$20,0)))),IF($B$560="Лікар-терапевт",IF(S564&lt;Законод!$C$26,0,(IF(AND(S564&gt;=Законод!$E$26,S564&lt;=Законод!$E$27),S564-Законод!$C$26,IF('01_Доходи'!S564&gt;=Законод!$F$26,Законод!$E$28,0)))),0)))</f>
        <v>0</v>
      </c>
      <c r="T566" s="930"/>
      <c r="U566" s="889" t="s">
        <v>346</v>
      </c>
      <c r="V566" s="890"/>
      <c r="W566" s="890"/>
      <c r="X566" s="890"/>
      <c r="Y566" s="891"/>
      <c r="Z566" s="196">
        <f ca="1">IF($B$560="Лікар загальної практики - сімейний лікар",IF(Z564&lt;Законод!$C$22,0,(IF(AND(Z564&gt;=Законод!$E$22,Z564&lt;=Законод!$E$23),Z564-Законод!$C$22,IF('01_Доходи'!Z564&gt;=Законод!$F$22,Законод!$E$24,0)))),IF($B$560="Лікар-педіатр",IF(Z564&lt;Законод!$C$18,0,(IF(AND(Z564&gt;=Законод!$E$18,Z564&lt;=Законод!$E$19),Z564-Законод!$C$18,IF('01_Доходи'!Z564&gt;=Законод!$F$18,Законод!$E$20,0)))),IF($B$560="Лікар-терапевт",IF(Z564&lt;Законод!$C$26,0,(IF(AND(Z564&gt;=Законод!$E$26,Z564&lt;=Законод!$E$27),Z564-Законод!$C$26,IF('01_Доходи'!Z564&gt;=Законод!$F$26,Законод!$E$28,0)))),0)))</f>
        <v>0</v>
      </c>
      <c r="AA566" s="930"/>
      <c r="AB566" s="889" t="s">
        <v>346</v>
      </c>
      <c r="AC566" s="890"/>
      <c r="AD566" s="890"/>
      <c r="AE566" s="890"/>
      <c r="AF566" s="891"/>
      <c r="AG566" s="196">
        <f ca="1">IF($B$560="Лікар загальної практики - сімейний лікар",IF(AG564&lt;Законод!$C$22,0,(IF(AND(AG564&gt;=Законод!$E$22,AG564&lt;=Законод!$E$23),AG564-Законод!$C$22,IF('01_Доходи'!AG564&gt;=Законод!$F$22,Законод!$E$24,0)))),IF($B$560="Лікар-педіатр",IF(AG564&lt;Законод!$C$18,0,(IF(AND(AG564&gt;=Законод!$E$18,AG564&lt;=Законод!$E$19),AG564-Законод!$C$18,IF('01_Доходи'!AG564&gt;=Законод!$F$18,Законод!$E$20,0)))),IF($B$560="Лікар-терапевт",IF(AG564&lt;Законод!$C$26,0,(IF(AND(AG564&gt;=Законод!$E$26,AG564&lt;=Законод!$E$27),AG564-Законод!$C$26,IF('01_Доходи'!AG564&gt;=Законод!$F$26,Законод!$E$28,0)))),0)))</f>
        <v>0</v>
      </c>
      <c r="AH566" s="930"/>
      <c r="AI566" s="201"/>
      <c r="AJ566" s="933"/>
      <c r="AK566" s="927"/>
      <c r="AL566" s="927"/>
      <c r="AM566" s="898" t="s">
        <v>375</v>
      </c>
      <c r="AN566" s="210">
        <f ca="1">IF(B560="Лікар загальної практики - сімейний лікар",L566*Законод!$C$9/4*Законод!$E$16,IF(B560="Лікар-педіатр",L566*Законод!$C$9/4*Законод!$E$16,IF(B560="Лікар-терапевт",L566*Законод!$C$9/4*Законод!$E$16,0)))</f>
        <v>0</v>
      </c>
      <c r="AO566" s="210">
        <f ca="1">IF(B560="Лікар загальної практики - сімейний лікар",S566*Законод!$C$9/4*Законод!$E$16,IF(B560="Лікар-педіатр",S566*Законод!$C$9/4*Законод!$E$16,IF(B560="Лікар-терапевт",S566*Законод!$C$9/4*Законод!$E$16,0)))</f>
        <v>0</v>
      </c>
      <c r="AP566" s="210">
        <f ca="1">IF(B560="Лікар загальної практики - сімейний лікар",Z566*Законод!$C$9/4*Законод!$E$16,IF(B560="Лікар-педіатр",Z566*Законод!$C$9/4*Законод!$E$16,IF(B560="Лікар-терапевт",Z566*Законод!$C$9/4*Законод!$E$16,0)))</f>
        <v>0</v>
      </c>
      <c r="AQ566" s="210">
        <f ca="1">IF(B560="Лікар загальної практики - сімейний лікар",AG566*Законод!$C$9/4*Законод!$E$16,IF(B560="Лікар-педіатр",AG566*Законод!$C$9/4*Законод!$E$16,IF(B560="Лікар-терапевт",AG566*Законод!$C$9/4*Законод!$E$16,0)))</f>
        <v>0</v>
      </c>
      <c r="AR566" s="211">
        <f t="shared" si="70"/>
        <v>0</v>
      </c>
    </row>
    <row r="567" spans="1:44" s="50" customFormat="1" ht="31.9" hidden="1" customHeight="1">
      <c r="A567" s="197"/>
      <c r="B567" s="893"/>
      <c r="C567" s="896"/>
      <c r="D567" s="912"/>
      <c r="E567" s="909"/>
      <c r="F567" s="238" t="str">
        <f ca="1">IF(B560="Лікар-педіатр",Законод!$F$17,IF(B560="Лікар загальної практики - сімейний лікар",Законод!$F$21,IF(B560="Лікар-терапевт",Законод!$F$25,"х")))</f>
        <v>х</v>
      </c>
      <c r="G567" s="889" t="s">
        <v>346</v>
      </c>
      <c r="H567" s="890"/>
      <c r="I567" s="890"/>
      <c r="J567" s="890"/>
      <c r="K567" s="891"/>
      <c r="L567" s="196">
        <f ca="1">IF($B$560="Лікар загальної практики - сімейний лікар",IF(L564&lt;Законод!$C$22,0,(IF(AND(L564&gt;=Законод!$F$22,L564&lt;=Законод!$F$23),L564-Законод!$E$23,IF('01_Доходи'!L564&gt;=Законод!$G$22,Законод!$F$24,0)))),IF($B$560="Лікар-педіатр",IF(L564&lt;Законод!$C$18,0,(IF(AND(L564&gt;=Законод!$F$18,L564&lt;=Законод!$F$19),L564-Законод!$E$19,IF('01_Доходи'!L564&gt;=Законод!$G$18,Законод!$F$20,0)))),IF($B$560="Лікар-терапевт",IF(L564&lt;Законод!$C$26,0,(IF(AND(L564&gt;=Законод!$F$26,L564&lt;=Законод!$F$27),L564-Законод!$E$27,IF('01_Доходи'!L564&gt;=Законод!$G$26,Законод!$F$28,0)))),0)))</f>
        <v>0</v>
      </c>
      <c r="M567" s="930"/>
      <c r="N567" s="889" t="s">
        <v>346</v>
      </c>
      <c r="O567" s="890"/>
      <c r="P567" s="890"/>
      <c r="Q567" s="890"/>
      <c r="R567" s="891"/>
      <c r="S567" s="196">
        <f ca="1">IF($B$560="Лікар загальної практики - сімейний лікар",IF(S564&lt;Законод!$C$22,0,(IF(AND(S564&gt;=Законод!$F$22,S564&lt;=Законод!$F$23),S564-Законод!$E$23,IF('01_Доходи'!S564&gt;=Законод!$G$22,Законод!$F$24,0)))),IF($B$560="Лікар-педіатр",IF(S564&lt;Законод!$C$18,0,(IF(AND(S564&gt;=Законод!$F$18,S564&lt;=Законод!$F$19),S564-Законод!$E$19,IF('01_Доходи'!S564&gt;=Законод!$G$18,Законод!$F$20,0)))),IF($B$560="Лікар-терапевт",IF(S564&lt;Законод!$C$26,0,(IF(AND(S564&gt;=Законод!$F$26,S564&lt;=Законод!$F$27),S564-Законод!$E$27,IF('01_Доходи'!S564&gt;=Законод!$G$26,Законод!$F$28,0)))),0)))</f>
        <v>0</v>
      </c>
      <c r="T567" s="930"/>
      <c r="U567" s="889" t="s">
        <v>346</v>
      </c>
      <c r="V567" s="890"/>
      <c r="W567" s="890"/>
      <c r="X567" s="890"/>
      <c r="Y567" s="891"/>
      <c r="Z567" s="196">
        <f ca="1">IF($B$560="Лікар загальної практики - сімейний лікар",IF(Z564&lt;Законод!$C$22,0,(IF(AND(Z564&gt;=Законод!$F$22,Z564&lt;=Законод!$F$23),Z564-Законод!$E$23,IF('01_Доходи'!Z564&gt;=Законод!$G$22,Законод!$F$24,0)))),IF($B$560="Лікар-педіатр",IF(Z564&lt;Законод!$C$18,0,(IF(AND(Z564&gt;=Законод!$F$18,Z564&lt;=Законод!$F$19),Z564-Законод!$E$19,IF('01_Доходи'!Z564&gt;=Законод!$G$18,Законод!$F$20,0)))),IF($B$560="Лікар-терапевт",IF(Z564&lt;Законод!$C$26,0,(IF(AND(Z564&gt;=Законод!$F$26,Z564&lt;=Законод!$F$27),Z564-Законод!$E$27,IF('01_Доходи'!Z564&gt;=Законод!$G$26,Законод!$F$28,0)))),0)))</f>
        <v>0</v>
      </c>
      <c r="AA567" s="930"/>
      <c r="AB567" s="889" t="s">
        <v>346</v>
      </c>
      <c r="AC567" s="890"/>
      <c r="AD567" s="890"/>
      <c r="AE567" s="890"/>
      <c r="AF567" s="891"/>
      <c r="AG567" s="196">
        <f ca="1">IF($B$560="Лікар загальної практики - сімейний лікар",IF(AG564&lt;Законод!$C$22,0,(IF(AND(AG564&gt;=Законод!$F$22,AG564&lt;=Законод!$F$23),AG564-Законод!$E$23,IF('01_Доходи'!AG564&gt;=Законод!$G$22,Законод!$F$24,0)))),IF($B$560="Лікар-педіатр",IF(AG564&lt;Законод!$C$18,0,(IF(AND(AG564&gt;=Законод!$F$18,AG564&lt;=Законод!$F$19),AG564-Законод!$E$19,IF('01_Доходи'!AG564&gt;=Законод!$G$18,Законод!$F$20,0)))),IF($B$560="Лікар-терапевт",IF(AG564&lt;Законод!$C$26,0,(IF(AND(AG564&gt;=Законод!$F$26,AG564&lt;=Законод!$F$27),AG564-Законод!$E$27,IF('01_Доходи'!AG564&gt;=Законод!$G$26,Законод!$F$28,0)))),0)))</f>
        <v>0</v>
      </c>
      <c r="AH567" s="930"/>
      <c r="AI567" s="201"/>
      <c r="AJ567" s="933"/>
      <c r="AK567" s="927"/>
      <c r="AL567" s="927"/>
      <c r="AM567" s="899"/>
      <c r="AN567" s="210">
        <f ca="1">IF(B560="Лікар загальної практики - сімейний лікар",L567*Законод!$C$9/4*Законод!$F$16,IF(B560="Лікар-педіатр",L567*Законод!$C$9/4*Законод!$F$16,IF(B560="Лікар-терапевт",L567*Законод!$C$9/4*Законод!$F$16,0)))</f>
        <v>0</v>
      </c>
      <c r="AO567" s="210">
        <f ca="1">IF(B560="Лікар загальної практики - сімейний лікар",S567*Законод!$C$9/4*Законод!$F$16,IF(B560="Лікар-педіатр",S567*Законод!$C$9/4*Законод!$F$16,IF(B560="Лікар-терапевт",S567*Законод!$C$9/4*Законод!$F$16,0)))</f>
        <v>0</v>
      </c>
      <c r="AP567" s="210">
        <f ca="1">IF(B560="Лікар загальної практики - сімейний лікар",Z567*Законод!$C$9/4*Законод!$F$16,IF(B560="Лікар-педіатр",Z567*Законод!$C$9/4*Законод!$F$16,IF(B560="Лікар-терапевт",Z567*Законод!$C$9/4*Законод!$F$16,0)))</f>
        <v>0</v>
      </c>
      <c r="AQ567" s="210">
        <f ca="1">IF(B560="Лікар загальної практики - сімейний лікар",AG567*Законод!$C$9/4*Законод!$F$16,IF(B560="Лікар-педіатр",AG567*Законод!$C$9/4*Законод!$F$16,IF(B560="Лікар-терапевт",AG567*Законод!$C$9/4*Законод!$F$16,0)))</f>
        <v>0</v>
      </c>
      <c r="AR567" s="211">
        <f t="shared" si="70"/>
        <v>0</v>
      </c>
    </row>
    <row r="568" spans="1:44" s="50" customFormat="1" ht="31.9" hidden="1" customHeight="1">
      <c r="A568" s="197"/>
      <c r="B568" s="893"/>
      <c r="C568" s="896"/>
      <c r="D568" s="912"/>
      <c r="E568" s="909"/>
      <c r="F568" s="238" t="str">
        <f ca="1">IF(B560="Лікар-педіатр",Законод!$G$17,IF(B560="Лікар загальної практики - сімейний лікар",Законод!$G$21,IF(B560="Лікар-терапевт",Законод!$G$25,"х")))</f>
        <v>х</v>
      </c>
      <c r="G568" s="889" t="s">
        <v>346</v>
      </c>
      <c r="H568" s="890"/>
      <c r="I568" s="890"/>
      <c r="J568" s="890"/>
      <c r="K568" s="891"/>
      <c r="L568" s="196">
        <f ca="1">IF($B$560="Лікар загальної практики - сімейний лікар",IF(L564&lt;Законод!$C$22,0,(IF(AND(L564&gt;=Законод!$G$22,L564&lt;=Законод!$G$23),L564-Законод!$F$23,IF('01_Доходи'!L564&gt;=Законод!$H$22,Законод!$G$24,0)))),IF($B$560="Лікар-педіатр",IF(L564&lt;Законод!$C$18,0,(IF(AND(L564&gt;=Законод!$G$18,L564&lt;=Законод!$G$19),L564-Законод!$F$19,IF('01_Доходи'!L564&gt;=Законод!$H$18,Законод!$G$20,0)))),IF($B$560="Лікар-терапевт",IF(L564&lt;Законод!$C$26,0,(IF(AND(L564&gt;=Законод!$G$26,L564&lt;=Законод!$G$27),L564-Законод!$F$27,IF('01_Доходи'!L564&gt;=Законод!$H$26,Законод!$G$28,0)))),0)))</f>
        <v>0</v>
      </c>
      <c r="M568" s="930"/>
      <c r="N568" s="889" t="s">
        <v>346</v>
      </c>
      <c r="O568" s="890"/>
      <c r="P568" s="890"/>
      <c r="Q568" s="890"/>
      <c r="R568" s="891"/>
      <c r="S568" s="196">
        <f ca="1">IF($B$560="Лікар загальної практики - сімейний лікар",IF(S564&lt;Законод!$C$22,0,(IF(AND(S564&gt;=Законод!$G$22,S564&lt;=Законод!$G$23),S564-Законод!$F$23,IF('01_Доходи'!S564&gt;=Законод!$H$22,Законод!$G$24,0)))),IF($B$560="Лікар-педіатр",IF(S564&lt;Законод!$C$18,0,(IF(AND(S564&gt;=Законод!$G$18,S564&lt;=Законод!$G$19),S564-Законод!$F$19,IF('01_Доходи'!S564&gt;=Законод!$H$18,Законод!$G$20,0)))),IF($B$560="Лікар-терапевт",IF(S564&lt;Законод!$C$26,0,(IF(AND(S564&gt;=Законод!$G$26,S564&lt;=Законод!$G$27),S564-Законод!$F$27,IF('01_Доходи'!S564&gt;=Законод!$H$26,Законод!$G$28,0)))),0)))</f>
        <v>0</v>
      </c>
      <c r="T568" s="930"/>
      <c r="U568" s="889" t="s">
        <v>346</v>
      </c>
      <c r="V568" s="890"/>
      <c r="W568" s="890"/>
      <c r="X568" s="890"/>
      <c r="Y568" s="891"/>
      <c r="Z568" s="196">
        <f ca="1">IF($B$560="Лікар загальної практики - сімейний лікар",IF(Z564&lt;Законод!$C$22,0,(IF(AND(Z564&gt;=Законод!$G$22,Z564&lt;=Законод!$G$23),Z564-Законод!$F$23,IF('01_Доходи'!Z564&gt;=Законод!$H$22,Законод!$G$24,0)))),IF($B$560="Лікар-педіатр",IF(Z564&lt;Законод!$C$18,0,(IF(AND(Z564&gt;=Законод!$G$18,Z564&lt;=Законод!$G$19),Z564-Законод!$F$19,IF('01_Доходи'!Z564&gt;=Законод!$H$18,Законод!$G$20,0)))),IF($B$560="Лікар-терапевт",IF(Z564&lt;Законод!$C$26,0,(IF(AND(Z564&gt;=Законод!$G$26,Z564&lt;=Законод!$G$27),Z564-Законод!$F$27,IF('01_Доходи'!Z564&gt;=Законод!$H$26,Законод!$G$28,0)))),0)))</f>
        <v>0</v>
      </c>
      <c r="AA568" s="930"/>
      <c r="AB568" s="889" t="s">
        <v>346</v>
      </c>
      <c r="AC568" s="890"/>
      <c r="AD568" s="890"/>
      <c r="AE568" s="890"/>
      <c r="AF568" s="891"/>
      <c r="AG568" s="196">
        <f ca="1">IF($B$560="Лікар загальної практики - сімейний лікар",IF(AG564&lt;Законод!$C$22,0,(IF(AND(AG564&gt;=Законод!$G$22,AG564&lt;=Законод!$G$23),AG564-Законод!$F$23,IF('01_Доходи'!AG564&gt;=Законод!$H$22,Законод!$G$24,0)))),IF($B$560="Лікар-педіатр",IF(AG564&lt;Законод!$C$18,0,(IF(AND(AG564&gt;=Законод!$G$18,AG564&lt;=Законод!$G$19),AG564-Законод!$F$19,IF('01_Доходи'!AG564&gt;=Законод!$H$18,Законод!$G$20,0)))),IF($B$560="Лікар-терапевт",IF(AG564&lt;Законод!$C$26,0,(IF(AND(AG564&gt;=Законод!$G$26,AG564&lt;=Законод!$G$27),AG564-Законод!$F$27,IF('01_Доходи'!AG564&gt;=Законод!$H$26,Законод!$G$28,0)))),0)))</f>
        <v>0</v>
      </c>
      <c r="AH568" s="930"/>
      <c r="AI568" s="201"/>
      <c r="AJ568" s="933"/>
      <c r="AK568" s="927"/>
      <c r="AL568" s="927"/>
      <c r="AM568" s="899"/>
      <c r="AN568" s="210">
        <f ca="1">IF(B560="Лікар загальної практики - сімейний лікар",L568*Законод!$C$9/4*Законод!$G$16,IF(B560="Лікар-педіатр",L568*Законод!$C$9/4*Законод!$G$16,IF(B560="Лікар-терапевт",L568*Законод!$C$9/4*Законод!$G$16,0)))</f>
        <v>0</v>
      </c>
      <c r="AO568" s="210">
        <f ca="1">IF(B560="Лікар загальної практики - сімейний лікар",S568*Законод!$C$9/4*Законод!$G$16,IF(B560="Лікар-педіатр",S568*Законод!$C$9/4*Законод!$G$16,IF(B560="Лікар-терапевт",S568*Законод!$C$9/4*Законод!$G$16,0)))</f>
        <v>0</v>
      </c>
      <c r="AP568" s="210">
        <f ca="1">IF(B560="Лікар загальної практики - сімейний лікар",Z568*Законод!$C$9/4*Законод!$G$16,IF(B560="Лікар-педіатр",Z568*Законод!$C$9/4*Законод!$G$16,IF(B560="Лікар-терапевт",Z568*Законод!$C$9/4*Законод!$G$16,0)))</f>
        <v>0</v>
      </c>
      <c r="AQ568" s="210">
        <f ca="1">IF(B560="Лікар загальної практики - сімейний лікар",AG568*Законод!$C$9/4*Законод!$G$16,IF(B560="Лікар-педіатр",AG568*Законод!$C$9/4*Законод!$G$16,IF(B560="Лікар-терапевт",AG568*Законод!$C$9/4*Законод!$G$16,0)))</f>
        <v>0</v>
      </c>
      <c r="AR568" s="211">
        <f t="shared" si="70"/>
        <v>0</v>
      </c>
    </row>
    <row r="569" spans="1:44" s="50" customFormat="1" ht="31.9" hidden="1" customHeight="1">
      <c r="A569" s="197"/>
      <c r="B569" s="893"/>
      <c r="C569" s="896"/>
      <c r="D569" s="912"/>
      <c r="E569" s="909"/>
      <c r="F569" s="238" t="str">
        <f ca="1">IF(B560="Лікар-педіатр",Законод!$H$17,IF(B560="Лікар загальної практики - сімейний лікар",Законод!$H$21,IF(B560="Лікар-терапевт",Законод!$H$25,"х")))</f>
        <v>х</v>
      </c>
      <c r="G569" s="889" t="s">
        <v>346</v>
      </c>
      <c r="H569" s="890"/>
      <c r="I569" s="890"/>
      <c r="J569" s="890"/>
      <c r="K569" s="891"/>
      <c r="L569" s="196">
        <f ca="1">IF($B$560="Лікар загальної практики - сімейний лікар",IF(L564&lt;Законод!$C$22,0,(IF(AND(L564&gt;=Законод!$H$22,L564&lt;=Законод!$H$23),L564-Законод!$G$23,IF('01_Доходи'!L564&gt;=Законод!$I$22,Законод!$H$24,0)))),IF($B$560="Лікар-педіатр",IF(L564&lt;Законод!$C$18,0,(IF(AND(L564&gt;=Законод!$H$18,L564&lt;=Законод!$H$19),L564-Законод!$G$19,IF('01_Доходи'!L564&gt;=Законод!$I$18,Законод!$H$20,0)))),IF($B$560="Лікар-терапевт",IF(L564&lt;Законод!$C$26,0,(IF(AND(L564&gt;=Законод!$H$26,L564&lt;=Законод!$H$27),L564-Законод!$G$27,IF(L564&gt;=Законод!$I$26,Законод!$H$28,0)))),0)))</f>
        <v>0</v>
      </c>
      <c r="M569" s="930"/>
      <c r="N569" s="889" t="s">
        <v>346</v>
      </c>
      <c r="O569" s="890"/>
      <c r="P569" s="890"/>
      <c r="Q569" s="890"/>
      <c r="R569" s="891"/>
      <c r="S569" s="196">
        <f ca="1">IF($B$560="Лікар загальної практики - сімейний лікар",IF(S564&lt;Законод!$C$22,0,(IF(AND(S564&gt;=Законод!$H$22,S564&lt;=Законод!$H$23),S564-Законод!$G$23,IF('01_Доходи'!S564&gt;=Законод!$I$22,Законод!$H$24,0)))),IF($B$560="Лікар-педіатр",IF(S564&lt;Законод!$C$18,0,(IF(AND(S564&gt;=Законод!$H$18,S564&lt;=Законод!$H$19),S564-Законод!$G$19,IF('01_Доходи'!S564&gt;=Законод!$I$18,Законод!$H$20,0)))),IF($B$560="Лікар-терапевт",IF(S564&lt;Законод!$C$26,0,(IF(AND(S564&gt;=Законод!$H$26,S564&lt;=Законод!$H$27),S564-Законод!$G$27,IF(S564&gt;=Законод!$I$26,Законод!$H$28,0)))),0)))</f>
        <v>0</v>
      </c>
      <c r="T569" s="930"/>
      <c r="U569" s="889" t="s">
        <v>346</v>
      </c>
      <c r="V569" s="890"/>
      <c r="W569" s="890"/>
      <c r="X569" s="890"/>
      <c r="Y569" s="891"/>
      <c r="Z569" s="196">
        <f ca="1">IF($B$560="Лікар загальної практики - сімейний лікар",IF(Z564&lt;Законод!$C$22,0,(IF(AND(Z564&gt;=Законод!$H$22,Z564&lt;=Законод!$H$23),Z564-Законод!$G$23,IF('01_Доходи'!Z564&gt;=Законод!$I$22,Законод!$H$24,0)))),IF($B$560="Лікар-педіатр",IF(Z564&lt;Законод!$C$18,0,(IF(AND(Z564&gt;=Законод!$H$18,Z564&lt;=Законод!$H$19),Z564-Законод!$G$19,IF('01_Доходи'!Z564&gt;=Законод!$I$18,Законод!$H$20,0)))),IF($B$560="Лікар-терапевт",IF(Z564&lt;Законод!$C$26,0,(IF(AND(Z564&gt;=Законод!$H$26,Z564&lt;=Законод!$H$27),Z564-Законод!$G$27,IF(Z564&gt;=Законод!$I$26,Законод!$H$28,0)))),0)))</f>
        <v>0</v>
      </c>
      <c r="AA569" s="930"/>
      <c r="AB569" s="889" t="s">
        <v>346</v>
      </c>
      <c r="AC569" s="890"/>
      <c r="AD569" s="890"/>
      <c r="AE569" s="890"/>
      <c r="AF569" s="891"/>
      <c r="AG569" s="196">
        <f ca="1">IF($B$560="Лікар загальної практики - сімейний лікар",IF(AG564&lt;Законод!$C$22,0,(IF(AND(AG564&gt;=Законод!$H$22,AG564&lt;=Законод!$H$23),AG564-Законод!$G$23,IF('01_Доходи'!AG564&gt;=Законод!$I$22,Законод!$H$24,0)))),IF($B$560="Лікар-педіатр",IF(AG564&lt;Законод!$C$18,0,(IF(AND(AG564&gt;=Законод!$H$18,AG564&lt;=Законод!$H$19),AG564-Законод!$G$19,IF('01_Доходи'!AG564&gt;=Законод!$I$18,Законод!$H$20,0)))),IF($B$560="Лікар-терапевт",IF(AG564&lt;Законод!$C$26,0,(IF(AND(AG564&gt;=Законод!$H$26,AG564&lt;=Законод!$H$27),AG564-Законод!$G$27,IF(AG564&gt;=Законод!$I$26,Законод!$H$28,0)))),0)))</f>
        <v>0</v>
      </c>
      <c r="AH569" s="930"/>
      <c r="AI569" s="201"/>
      <c r="AJ569" s="933"/>
      <c r="AK569" s="927"/>
      <c r="AL569" s="927"/>
      <c r="AM569" s="899"/>
      <c r="AN569" s="210">
        <f ca="1">IF(B560="Лікар загальної практики - сімейний лікар",L569*Законод!$C$9/4*Законод!$H$16,IF(B560="Лікар-педіатр",L569*Законод!$C$9/4*Законод!$H$16,IF(B560="Лікар-терапевт",L569*Законод!$C$9/4*Законод!$H$16,0)))</f>
        <v>0</v>
      </c>
      <c r="AO569" s="210">
        <f ca="1">IF(B560="Лікар загальної практики - сімейний лікар",S569*Законод!$C$9/4*Законод!$H$16,IF(B560="Лікар-педіатр",S569*Законод!$C$9/4*Законод!$H$16,IF(B560="Лікар-терапевт",S569*Законод!$C$9/4*Законод!$H$16,0)))</f>
        <v>0</v>
      </c>
      <c r="AP569" s="210">
        <f ca="1">IF(B560="Лікар загальної практики - сімейний лікар",Z569*Законод!$C$9/4*Законод!$H$16,IF(B560="Лікар-педіатр",Z569*Законод!$C$9/4*Законод!$H$16,IF(B560="Лікар-терапевт",Z569*Законод!$C$9/4*Законод!$H$16,0)))</f>
        <v>0</v>
      </c>
      <c r="AQ569" s="210">
        <f ca="1">IF(B560="Лікар загальної практики - сімейний лікар",AG569*Законод!$C$9/4*Законод!$H$16,IF(B560="Лікар-педіатр",AG569*Законод!$C$9/4*Законод!$H$16,IF(B560="Лікар-терапевт",AG569*Законод!$C$9/4*Законод!$H$16,0)))</f>
        <v>0</v>
      </c>
      <c r="AR569" s="211">
        <f t="shared" si="70"/>
        <v>0</v>
      </c>
    </row>
    <row r="570" spans="1:44" s="50" customFormat="1" ht="31.9" hidden="1" customHeight="1">
      <c r="A570" s="197"/>
      <c r="B570" s="893"/>
      <c r="C570" s="896"/>
      <c r="D570" s="912"/>
      <c r="E570" s="909"/>
      <c r="F570" s="238" t="str">
        <f ca="1">IF(B560="Лікар-педіатр",Законод!$I$17,IF(B560="Лікар загальної практики - сімейний лікар",Законод!$I$21,IF(B560="Лікар-терапевт",Законод!$I$25,"х")))</f>
        <v>х</v>
      </c>
      <c r="G570" s="889" t="s">
        <v>346</v>
      </c>
      <c r="H570" s="890"/>
      <c r="I570" s="890"/>
      <c r="J570" s="890"/>
      <c r="K570" s="891"/>
      <c r="L570" s="196">
        <f ca="1">IF($B$560="Лікар загальної практики - сімейний лікар",IF(L564&lt;Законод!$C$22,0,(IF(AND(L564&gt;=Законод!$I$22,L564&lt;=Законод!$I$23),L564-Законод!$H$23,IF('01_Доходи'!L564&gt;=Законод!$I$22,Законод!$I$24,0)))),IF($B$560="Лікар-педіатр",IF(L564&lt;Законод!$C$18,0,(IF(AND(L564&gt;=Законод!$I$18,L564&lt;=Законод!$I$19),L564-Законод!$H$19,IF('01_Доходи'!L564&gt;=Законод!$I$18,Законод!$H$20,0)))),IF($B$560="Лікар-терапевт",IF(L564&lt;Законод!$C$26,0,(IF(AND(L564&gt;=Законод!$I$26,L564&lt;=Законод!$I$27),L564-Законод!$H$27,IF('01_Доходи'!L564&gt;=Законод!$I$26,Законод!$H$28,0)))),0)))</f>
        <v>0</v>
      </c>
      <c r="M570" s="930"/>
      <c r="N570" s="889" t="s">
        <v>346</v>
      </c>
      <c r="O570" s="890"/>
      <c r="P570" s="890"/>
      <c r="Q570" s="890"/>
      <c r="R570" s="891"/>
      <c r="S570" s="196">
        <f ca="1">IF($B$560="Лікар загальної практики - сімейний лікар",IF(S564&lt;Законод!$C$22,0,(IF(AND(S564&gt;=Законод!$I$22,S564&lt;=Законод!$I$23),S564-Законод!$H$23,IF('01_Доходи'!S564&gt;=Законод!$I$22,Законод!$I$24,0)))),IF($B$560="Лікар-педіатр",IF(S564&lt;Законод!$C$18,0,(IF(AND(S564&gt;=Законод!$I$18,S564&lt;=Законод!$I$19),S564-Законод!$H$19,IF('01_Доходи'!S564&gt;=Законод!$I$18,Законод!$H$20,0)))),IF($B$560="Лікар-терапевт",IF(S564&lt;Законод!$C$26,0,(IF(AND(S564&gt;=Законод!$I$26,S564&lt;=Законод!$I$27),S564-Законод!$H$27,IF('01_Доходи'!S564&gt;=Законод!$I$26,Законод!$H$28,0)))),0)))</f>
        <v>0</v>
      </c>
      <c r="T570" s="930"/>
      <c r="U570" s="889" t="s">
        <v>346</v>
      </c>
      <c r="V570" s="890"/>
      <c r="W570" s="890"/>
      <c r="X570" s="890"/>
      <c r="Y570" s="891"/>
      <c r="Z570" s="196">
        <f ca="1">IF($B$560="Лікар загальної практики - сімейний лікар",IF(Z564&lt;Законод!$C$22,0,(IF(AND(Z564&gt;=Законод!$I$22,Z564&lt;=Законод!$I$23),Z564-Законод!$H$23,IF('01_Доходи'!Z564&gt;=Законод!$I$22,Законод!$I$24,0)))),IF($B$560="Лікар-педіатр",IF(Z564&lt;Законод!$C$18,0,(IF(AND(Z564&gt;=Законод!$I$18,Z564&lt;=Законод!$I$19),Z564-Законод!$H$19,IF('01_Доходи'!Z564&gt;=Законод!$I$18,Законод!$H$20,0)))),IF($B$560="Лікар-терапевт",IF(Z564&lt;Законод!$C$26,0,(IF(AND(Z564&gt;=Законод!$I$26,Z564&lt;=Законод!$I$27),Z564-Законод!$H$27,IF('01_Доходи'!Z564&gt;=Законод!$I$26,Законод!$H$28,0)))),0)))</f>
        <v>0</v>
      </c>
      <c r="AA570" s="930"/>
      <c r="AB570" s="889" t="s">
        <v>346</v>
      </c>
      <c r="AC570" s="890"/>
      <c r="AD570" s="890"/>
      <c r="AE570" s="890"/>
      <c r="AF570" s="891"/>
      <c r="AG570" s="196">
        <f ca="1">IF($B$560="Лікар загальної практики - сімейний лікар",IF(AG564&lt;Законод!$C$22,0,(IF(AND(AG564&gt;=Законод!$I$22,AG564&lt;=Законод!$I$23),AG564-Законод!$H$23,IF('01_Доходи'!AG564&gt;=Законод!$I$22,Законод!$I$24,0)))),IF($B$560="Лікар-педіатр",IF(AG564&lt;Законод!$C$18,0,(IF(AND(AG564&gt;=Законод!$I$18,AG564&lt;=Законод!$I$19),AG564-Законод!$H$19,IF('01_Доходи'!AG564&gt;=Законод!$I$18,Законод!$H$20,0)))),IF($B$560="Лікар-терапевт",IF(AG564&lt;Законод!$C$26,0,(IF(AND(AG564&gt;=Законод!$I$26,AG564&lt;=Законод!$I$27),AG564-Законод!$H$27,IF('01_Доходи'!AG564&gt;=Законод!$I$26,Законод!$H$28,0)))),0)))</f>
        <v>0</v>
      </c>
      <c r="AH570" s="930"/>
      <c r="AI570" s="201"/>
      <c r="AJ570" s="933"/>
      <c r="AK570" s="927"/>
      <c r="AL570" s="927"/>
      <c r="AM570" s="899"/>
      <c r="AN570" s="210">
        <f ca="1">IF(B560="Лікар загальної практики - сімейний лікар",L570*Законод!$C$9/4*Законод!$I$16,IF(B560="Лікар-педіатр",L570*Законод!$C$9/4*Законод!$I$16,IF(B560="Лікар-терапевт",L570*Законод!$C$9/4*Законод!$I$16,0)))</f>
        <v>0</v>
      </c>
      <c r="AO570" s="210">
        <f ca="1">IF(B560="Лікар загальної практики - сімейний лікар",S570*Законод!$C$9/4*Законод!$I$16,IF(B560="Лікар-педіатр",S570*Законод!$C$9/4*Законод!$I$16,IF(B560="Лікар-терапевт",S570*Законод!$C$9/4*Законод!$I$16,0)))</f>
        <v>0</v>
      </c>
      <c r="AP570" s="210">
        <f ca="1">IF(B560="Лікар загальної практики - сімейний лікар",Z570*Законод!$C$9/4*Законод!$I$16,IF(B560="Лікар-педіатр",Z570*Законод!$C$9/4*Законод!$I$16,IF(B560="Лікар-терапевт",Z570*Законод!$C$9/4*Законод!$I$16,0)))</f>
        <v>0</v>
      </c>
      <c r="AQ570" s="210">
        <f ca="1">IF(B560="Лікар загальної практики - сімейний лікар",AG570*Законод!$C$9/4*Законод!$I$16,IF(B560="Лікар-педіатр",AG570*Законод!$C$9/4*Законод!$I$16,IF(B560="Лікар-терапевт",AG570*Законод!$C$9/4*Законод!$I$16,0)))</f>
        <v>0</v>
      </c>
      <c r="AR570" s="211">
        <f t="shared" si="70"/>
        <v>0</v>
      </c>
    </row>
    <row r="571" spans="1:44" s="218" customFormat="1" ht="31.9" hidden="1" customHeight="1" thickBot="1">
      <c r="A571" s="213"/>
      <c r="B571" s="894"/>
      <c r="C571" s="897"/>
      <c r="D571" s="913"/>
      <c r="E571" s="910"/>
      <c r="F571" s="239" t="str">
        <f ca="1">IF(B560="Лікар-педіатр",Законод!$J$17,IF(B560="Лікар загальної практики - сімейний лікар",Законод!$J$21,IF(B560="Лікар-терапевт",Законод!$J$25,"х")))</f>
        <v>х</v>
      </c>
      <c r="G571" s="935" t="s">
        <v>346</v>
      </c>
      <c r="H571" s="936"/>
      <c r="I571" s="936"/>
      <c r="J571" s="936"/>
      <c r="K571" s="937"/>
      <c r="L571" s="196">
        <f ca="1">IF($B$560="Лікар загальної практики - сімейний лікар",IF(L564&gt;=Законод!$J$22,'01_Доходи'!L564-('01_Доходи'!L565+'01_Доходи'!L566+'01_Доходи'!L567+'01_Доходи'!L568+'01_Доходи'!L569+'01_Доходи'!L570),0),IF($B$560="Лікар-педіатр",IF(L564&gt;=Законод!$J$18,'01_Доходи'!L564-('01_Доходи'!L565+'01_Доходи'!L566+'01_Доходи'!L567+'01_Доходи'!L568+'01_Доходи'!L569+'01_Доходи'!L570),0),IF($B$560="Лікар-терапевт",IF('01_Доходи'!L564&gt;=Законод!$J$26,L564-Законод!$I$27,0),0)))</f>
        <v>0</v>
      </c>
      <c r="M571" s="931"/>
      <c r="N571" s="935" t="s">
        <v>346</v>
      </c>
      <c r="O571" s="936"/>
      <c r="P571" s="936"/>
      <c r="Q571" s="936"/>
      <c r="R571" s="937"/>
      <c r="S571" s="196">
        <f ca="1">IF($B$560="Лікар загальної практики - сімейний лікар",IF(S564&gt;=Законод!$J$22,'01_Доходи'!S564-('01_Доходи'!S565+'01_Доходи'!S566+'01_Доходи'!S567+'01_Доходи'!S568+'01_Доходи'!S569+'01_Доходи'!S570),0),IF($B$560="Лікар-педіатр",IF(S564&gt;=Законод!$J$18,'01_Доходи'!S564-('01_Доходи'!S565+'01_Доходи'!S566+'01_Доходи'!S567+'01_Доходи'!S568+'01_Доходи'!S569+'01_Доходи'!S570),0),IF($B$560="Лікар-терапевт",IF('01_Доходи'!S564&gt;=Законод!$J$26,S564-Законод!$I$27,0),0)))</f>
        <v>0</v>
      </c>
      <c r="T571" s="931"/>
      <c r="U571" s="935" t="s">
        <v>346</v>
      </c>
      <c r="V571" s="936"/>
      <c r="W571" s="936"/>
      <c r="X571" s="936"/>
      <c r="Y571" s="937"/>
      <c r="Z571" s="196">
        <f ca="1">IF($B$560="Лікар загальної практики - сімейний лікар",IF(Z564&gt;=Законод!$J$22,'01_Доходи'!Z564-('01_Доходи'!Z565+'01_Доходи'!Z566+'01_Доходи'!Z567+'01_Доходи'!Z568+'01_Доходи'!Z569+'01_Доходи'!Z570),0),IF($B$560="Лікар-педіатр",IF(Z564&gt;=Законод!$J$18,'01_Доходи'!Z564-('01_Доходи'!Z565+'01_Доходи'!Z566+'01_Доходи'!Z567+'01_Доходи'!Z568+'01_Доходи'!Z569+'01_Доходи'!Z570),0),IF($B$560="Лікар-терапевт",IF('01_Доходи'!Z564&gt;=Законод!$J$26,Z564-Законод!$I$27,0),0)))</f>
        <v>0</v>
      </c>
      <c r="AA571" s="931"/>
      <c r="AB571" s="935" t="s">
        <v>346</v>
      </c>
      <c r="AC571" s="936"/>
      <c r="AD571" s="936"/>
      <c r="AE571" s="936"/>
      <c r="AF571" s="937"/>
      <c r="AG571" s="196">
        <f ca="1">IF($B$560="Лікар загальної практики - сімейний лікар",IF(AG564&gt;=Законод!$J$22,'01_Доходи'!AG564-('01_Доходи'!AG565+'01_Доходи'!AG566+'01_Доходи'!AG567+'01_Доходи'!AG568+'01_Доходи'!AG569+'01_Доходи'!AG570),0),IF($B$560="Лікар-педіатр",IF(AG564&gt;=Законод!$J$18,'01_Доходи'!AG564-('01_Доходи'!AG565+'01_Доходи'!AG566+'01_Доходи'!AG567+'01_Доходи'!AG568+'01_Доходи'!AG569+'01_Доходи'!AG570),0),IF($B$560="Лікар-терапевт",IF('01_Доходи'!AG564&gt;=Законод!$J$26,AG564-Законод!$I$27,0),0)))</f>
        <v>0</v>
      </c>
      <c r="AH571" s="931"/>
      <c r="AI571" s="215"/>
      <c r="AJ571" s="934"/>
      <c r="AK571" s="928"/>
      <c r="AL571" s="928"/>
      <c r="AM571" s="900"/>
      <c r="AN571" s="216">
        <f ca="1">IF(B560="Лікар загальної практики - сімейний лікар",L571*Законод!$C$9/4*Законод!$J$16,IF(B560="Лікар-педіатр",L571*Законод!$C$9/4*Законод!$J$16,IF(B560="Лікар-терапевт",L571*Законод!$C$9/4*Законод!$J$16,0)))</f>
        <v>0</v>
      </c>
      <c r="AO571" s="216">
        <f ca="1">IF(B560="Лікар загальної практики - сімейний лікар",S571*Законод!$C$9/4*Законод!$J$16,IF(B560="Лікар-педіатр",S571*Законод!$C$9/4*Законод!$J$16,IF(B560="Лікар-терапевт",S571*Законод!$C$9/4*Законод!$J$16,0)))</f>
        <v>0</v>
      </c>
      <c r="AP571" s="216">
        <f ca="1">IF(B560="Лікар загальної практики - сімейний лікар",S571*Законод!$C$9/4*Законод!$J$16,IF(B560="Лікар-педіатр",S571*Законод!$C$9/4*Законод!$J$16,IF(B560="Лікар-терапевт",S571*Законод!$C$9/4*Законод!$J$16,0)))</f>
        <v>0</v>
      </c>
      <c r="AQ571" s="216">
        <f ca="1">IF(B560="Лікар загальної практики - сімейний лікар",AG571*Законод!$C$9/4*Законод!$J$16,IF(B560="Лікар-педіатр",AG571*Законод!$C$9/4*Законод!$J$16,IF(B560="Лікар-терапевт",AG571*Законод!$C$9/4*Законод!$J$16,0)))</f>
        <v>0</v>
      </c>
      <c r="AR571" s="217">
        <f t="shared" si="70"/>
        <v>0</v>
      </c>
    </row>
    <row r="572" spans="1:44" s="247" customFormat="1" ht="23.45" hidden="1" customHeight="1" thickBot="1">
      <c r="A572" s="243"/>
      <c r="B572" s="244"/>
      <c r="C572" s="244"/>
      <c r="D572" s="244"/>
      <c r="E572" s="244"/>
      <c r="F572" s="245"/>
      <c r="G572" s="246"/>
      <c r="H572" s="246"/>
      <c r="L572" s="248"/>
      <c r="S572" s="248"/>
      <c r="Z572" s="248"/>
      <c r="AG572" s="248"/>
      <c r="AM572" s="249"/>
      <c r="AR572" s="250"/>
    </row>
    <row r="573" spans="1:44" s="191" customFormat="1" ht="24.6" hidden="1" customHeight="1">
      <c r="A573" s="194">
        <f>A560+1</f>
        <v>42</v>
      </c>
      <c r="B573" s="892"/>
      <c r="C573" s="895"/>
      <c r="D573" s="911"/>
      <c r="E573" s="908"/>
      <c r="F573" s="234" t="s">
        <v>582</v>
      </c>
      <c r="G573" s="196">
        <f>IF($B$573="Лікар-педіатр",G576*L573,IF($B$573="Лікар-терапевт","х",IF($B$573="Лікар загальної практики - сімейний лікар",G576*L573,0)))</f>
        <v>0</v>
      </c>
      <c r="H573" s="196">
        <f>IF($B$573="Лікар-педіатр",H576*L573,IF($B$573="Лікар-терапевт","х",IF($B$573="Лікар загальної практики - сімейний лікар",H576*L573,0)))</f>
        <v>0</v>
      </c>
      <c r="I573" s="196">
        <f>IF($B$573="Лікар-педіатр","x",IF($B$573="Лікар-терапевт",I576*L573,IF($B$573="Лікар загальної практики - сімейний лікар",I576*L573,0)))</f>
        <v>0</v>
      </c>
      <c r="J573" s="196">
        <f>IF($B$573="Лікар-педіатр","x",IF($B$573="Лікар-терапевт",J576*L573,IF($B$573="Лікар загальної практики - сімейний лікар",J576*L573,0)))</f>
        <v>0</v>
      </c>
      <c r="K573" s="196">
        <f>IF($B$573="Лікар-педіатр","x",IF($B$573="Лікар-терапевт",K576*L573,IF($B$573="Лікар загальної практики - сімейний лікар",K576*L573,0)))</f>
        <v>0</v>
      </c>
      <c r="L573" s="558"/>
      <c r="M573" s="929"/>
      <c r="N573" s="196">
        <f>IF($B$573="Лікар-педіатр",N576*S573,IF($B$573="Лікар-терапевт","х",IF($B$573="Лікар загальної практики - сімейний лікар",N576*S573,0)))</f>
        <v>0</v>
      </c>
      <c r="O573" s="196">
        <f>IF($B$573="Лікар-педіатр",O576*S573,IF($B$573="Лікар-терапевт","х",IF($B$573="Лікар загальної практики - сімейний лікар",O576*S573,0)))</f>
        <v>0</v>
      </c>
      <c r="P573" s="196">
        <f>IF($B$573="Лікар-педіатр","x",IF($B$573="Лікар-терапевт",P576*S573,IF($B$573="Лікар загальної практики - сімейний лікар",P576*S573,0)))</f>
        <v>0</v>
      </c>
      <c r="Q573" s="196">
        <f>IF($B$573="Лікар-педіатр","x",IF($B$573="Лікар-терапевт",Q576*S573,IF($B$573="Лікар загальної практики - сімейний лікар",Q576*S573,0)))</f>
        <v>0</v>
      </c>
      <c r="R573" s="196">
        <f>IF($B$573="Лікар-педіатр","x",IF($B$573="Лікар-терапевт",R576*S573,IF($B$573="Лікар загальної практики - сімейний лікар",R576*S573,0)))</f>
        <v>0</v>
      </c>
      <c r="S573" s="558"/>
      <c r="T573" s="929"/>
      <c r="U573" s="196">
        <f>IF($B$573="Лікар-педіатр",U576*Z573,IF($B$573="Лікар-терапевт","х",IF($B$573="Лікар загальної практики - сімейний лікар",U576*Z573,0)))</f>
        <v>0</v>
      </c>
      <c r="V573" s="196">
        <f>IF($B$573="Лікар-педіатр",V576*Z573,IF($B$573="Лікар-терапевт","х",IF($B$573="Лікар загальної практики - сімейний лікар",V576*Z573,0)))</f>
        <v>0</v>
      </c>
      <c r="W573" s="196">
        <f>IF($B$573="Лікар-педіатр","x",IF($B$573="Лікар-терапевт",W576*Z573,IF($B$573="Лікар загальної практики - сімейний лікар",W576*Z573,0)))</f>
        <v>0</v>
      </c>
      <c r="X573" s="196">
        <f>IF($B$573="Лікар-педіатр","x",IF($B$573="Лікар-терапевт",X576*Z573,IF($B$573="Лікар загальної практики - сімейний лікар",X576*Z573,0)))</f>
        <v>0</v>
      </c>
      <c r="Y573" s="196">
        <f>IF($B$573="Лікар-педіатр","x",IF($B$573="Лікар-терапевт",Y576*Z573,IF($B$573="Лікар загальної практики - сімейний лікар",Y576*Z573,0)))</f>
        <v>0</v>
      </c>
      <c r="Z573" s="558"/>
      <c r="AA573" s="929"/>
      <c r="AB573" s="196">
        <f>IF($B$573="Лікар-педіатр",AB576*AG573,IF($B$573="Лікар-терапевт","х",IF($B$573="Лікар загальної практики - сімейний лікар",AB576*AG573,0)))</f>
        <v>0</v>
      </c>
      <c r="AC573" s="196">
        <f>IF($B$573="Лікар-педіатр",AC576*AG573,IF($B$573="Лікар-терапевт","х",IF($B$573="Лікар загальної практики - сімейний лікар",AC576*AG573,0)))</f>
        <v>0</v>
      </c>
      <c r="AD573" s="196">
        <f>IF($B$573="Лікар-педіатр","x",IF($B$573="Лікар-терапевт",AD576*AG573,IF($B$573="Лікар загальної практики - сімейний лікар",AD576*AG573,0)))</f>
        <v>0</v>
      </c>
      <c r="AE573" s="196">
        <f>IF($B$573="Лікар-педіатр","x",IF($B$573="Лікар-терапевт",AE576*AG573,IF($B$573="Лікар загальної практики - сімейний лікар",AE576*AG573,0)))</f>
        <v>0</v>
      </c>
      <c r="AF573" s="196">
        <f>IF($B$573="Лікар-педіатр","x",IF($B$573="Лікар-терапевт",AF576*AG573,IF($B$573="Лікар загальної практики - сімейний лікар",AF576*AG573,0)))</f>
        <v>0</v>
      </c>
      <c r="AG573" s="558"/>
      <c r="AH573" s="929"/>
      <c r="AI573" s="541">
        <f>A573</f>
        <v>42</v>
      </c>
      <c r="AJ573" s="932">
        <f>B573</f>
        <v>0</v>
      </c>
      <c r="AK573" s="926">
        <f>C573</f>
        <v>0</v>
      </c>
      <c r="AL573" s="926">
        <f>D573</f>
        <v>0</v>
      </c>
      <c r="AM573" s="901" t="s">
        <v>785</v>
      </c>
      <c r="AN573" s="923">
        <f>SUM(AN578:AN584)</f>
        <v>0</v>
      </c>
      <c r="AO573" s="923">
        <f>SUM(AO578:AO584)</f>
        <v>0</v>
      </c>
      <c r="AP573" s="923">
        <f>SUM(AP578:AP584)</f>
        <v>0</v>
      </c>
      <c r="AQ573" s="923">
        <f>SUM(AQ578:AQ584)</f>
        <v>0</v>
      </c>
      <c r="AR573" s="914">
        <f>SUM(AN573:AQ577)</f>
        <v>0</v>
      </c>
    </row>
    <row r="574" spans="1:44" s="50" customFormat="1" ht="28.15" hidden="1" customHeight="1">
      <c r="A574" s="197"/>
      <c r="B574" s="893"/>
      <c r="C574" s="896"/>
      <c r="D574" s="912"/>
      <c r="E574" s="909"/>
      <c r="F574" s="234" t="s">
        <v>583</v>
      </c>
      <c r="G574" s="196">
        <f>IF($B$573="Лікар-педіатр",G576*L574,IF($B$573="Лікар-терапевт","х",IF($B$573="Лікар загальної практики - сімейний лікар",G576*L574,0)))</f>
        <v>0</v>
      </c>
      <c r="H574" s="196">
        <f>IF($B$573="Лікар-педіатр",H576*L574,IF($B$573="Лікар-терапевт","х",IF($B$573="Лікар загальної практики - сімейний лікар",H576*L574,0)))</f>
        <v>0</v>
      </c>
      <c r="I574" s="196">
        <f>IF($B$573="Лікар-педіатр","x",IF($B$573="Лікар-терапевт",I576*L574,IF($B$573="Лікар загальної практики - сімейний лікар",I576*L574,0)))</f>
        <v>0</v>
      </c>
      <c r="J574" s="196">
        <f>IF($B$573="Лікар-педіатр","x",IF($B$573="Лікар-терапевт",J576*L574,IF($B$573="Лікар загальної практики - сімейний лікар",J576*L574,0)))</f>
        <v>0</v>
      </c>
      <c r="K574" s="196">
        <f>IF($B$573="Лікар-педіатр","x",IF($B$573="Лікар-терапевт",K576*L574,IF($B$573="Лікар загальної практики - сімейний лікар",K576*L574,0)))</f>
        <v>0</v>
      </c>
      <c r="L574" s="558"/>
      <c r="M574" s="930"/>
      <c r="N574" s="196">
        <f>IF($B$573="Лікар-педіатр",N576*S574,IF($B$573="Лікар-терапевт","х",IF($B$573="Лікар загальної практики - сімейний лікар",N576*S574,0)))</f>
        <v>0</v>
      </c>
      <c r="O574" s="196">
        <f>IF($B$573="Лікар-педіатр",O576*S574,IF($B$573="Лікар-терапевт","х",IF($B$573="Лікар загальної практики - сімейний лікар",O576*S574,0)))</f>
        <v>0</v>
      </c>
      <c r="P574" s="196">
        <f>IF($B$573="Лікар-педіатр","x",IF($B$573="Лікар-терапевт",P576*S574,IF($B$573="Лікар загальної практики - сімейний лікар",P576*S574,0)))</f>
        <v>0</v>
      </c>
      <c r="Q574" s="196">
        <f>IF($B$573="Лікар-педіатр","x",IF($B$573="Лікар-терапевт",Q576*S574,IF($B$573="Лікар загальної практики - сімейний лікар",Q576*S574,0)))</f>
        <v>0</v>
      </c>
      <c r="R574" s="196">
        <f>IF($B$573="Лікар-педіатр","x",IF($B$573="Лікар-терапевт",R576*S574,IF($B$573="Лікар загальної практики - сімейний лікар",R576*S574,0)))</f>
        <v>0</v>
      </c>
      <c r="S574" s="558"/>
      <c r="T574" s="930"/>
      <c r="U574" s="196">
        <f>IF($B$573="Лікар-педіатр",U576*Z574,IF($B$573="Лікар-терапевт","х",IF($B$573="Лікар загальної практики - сімейний лікар",U576*Z574,0)))</f>
        <v>0</v>
      </c>
      <c r="V574" s="196">
        <f>IF($B$573="Лікар-педіатр",V576*Z574,IF($B$573="Лікар-терапевт","х",IF($B$573="Лікар загальної практики - сімейний лікар",V576*Z574,0)))</f>
        <v>0</v>
      </c>
      <c r="W574" s="196">
        <f>IF($B$573="Лікар-педіатр","x",IF($B$573="Лікар-терапевт",W576*Z574,IF($B$573="Лікар загальної практики - сімейний лікар",W576*Z574,0)))</f>
        <v>0</v>
      </c>
      <c r="X574" s="196">
        <f>IF($B$573="Лікар-педіатр","x",IF($B$573="Лікар-терапевт",X576*Z574,IF($B$573="Лікар загальної практики - сімейний лікар",X576*Z574,0)))</f>
        <v>0</v>
      </c>
      <c r="Y574" s="196">
        <f>IF($B$573="Лікар-педіатр","x",IF($B$573="Лікар-терапевт",Y576*Z574,IF($B$573="Лікар загальної практики - сімейний лікар",Y576*Z574,0)))</f>
        <v>0</v>
      </c>
      <c r="Z574" s="558"/>
      <c r="AA574" s="930"/>
      <c r="AB574" s="196">
        <f>IF($B$573="Лікар-педіатр",AB576*AG574,IF($B$573="Лікар-терапевт","х",IF($B$573="Лікар загальної практики - сімейний лікар",AB576*AG574,0)))</f>
        <v>0</v>
      </c>
      <c r="AC574" s="196">
        <f>IF($B$573="Лікар-педіатр",AC576*AG574,IF($B$573="Лікар-терапевт","х",IF($B$573="Лікар загальної практики - сімейний лікар",AC576*AG574,0)))</f>
        <v>0</v>
      </c>
      <c r="AD574" s="196">
        <f>IF($B$573="Лікар-педіатр","x",IF($B$573="Лікар-терапевт",AD576*AG574,IF($B$573="Лікар загальної практики - сімейний лікар",AD576*AG574,0)))</f>
        <v>0</v>
      </c>
      <c r="AE574" s="196">
        <f>IF($B$573="Лікар-педіатр","x",IF($B$573="Лікар-терапевт",AE576*AG574,IF($B$573="Лікар загальної практики - сімейний лікар",AE576*AG574,0)))</f>
        <v>0</v>
      </c>
      <c r="AF574" s="196">
        <f>IF($B$573="Лікар-педіатр","x",IF($B$573="Лікар-терапевт",AF576*AG574,IF($B$573="Лікар загальної практики - сімейний лікар",AF576*AG574,0)))</f>
        <v>0</v>
      </c>
      <c r="AG574" s="558"/>
      <c r="AH574" s="930"/>
      <c r="AI574" s="198"/>
      <c r="AJ574" s="933"/>
      <c r="AK574" s="927"/>
      <c r="AL574" s="927"/>
      <c r="AM574" s="902"/>
      <c r="AN574" s="924"/>
      <c r="AO574" s="924"/>
      <c r="AP574" s="924"/>
      <c r="AQ574" s="924"/>
      <c r="AR574" s="915"/>
    </row>
    <row r="575" spans="1:44" s="90" customFormat="1" ht="31.15" hidden="1" customHeight="1">
      <c r="A575" s="240"/>
      <c r="B575" s="893"/>
      <c r="C575" s="896"/>
      <c r="D575" s="912"/>
      <c r="E575" s="909"/>
      <c r="F575" s="241" t="s">
        <v>584</v>
      </c>
      <c r="G575" s="199">
        <f>IF(B573="Лікар загальної практики - сімейний лікар"," ",IF(B573="Лікар-педіатр"," ",IF(B573="Лікар-терапевт","х",0)))</f>
        <v>0</v>
      </c>
      <c r="H575" s="199">
        <f>IF(B573="Лікар загальної практики - сімейний лікар"," ",IF(B573="Лікар-педіатр"," ",IF(B573="Лікар-терапевт","х",0)))</f>
        <v>0</v>
      </c>
      <c r="I575" s="199">
        <f>IF(B573="Лікар загальної практики - сімейний лікар"," ",IF(B573="Лікар-педіатр","х",IF(B573="Лікар-терапевт"," ",0)))</f>
        <v>0</v>
      </c>
      <c r="J575" s="199">
        <f>IF(B573="Лікар загальної практики - сімейний лікар"," ",IF(B573="Лікар-педіатр","х",IF(B573="Лікар-терапевт"," ",0)))</f>
        <v>0</v>
      </c>
      <c r="K575" s="199">
        <f>IF(B573="Лікар загальної практики - сімейний лікар"," ",IF(B573="Лікар-педіатр","х",IF(B573="Лікар-терапевт"," ",0)))</f>
        <v>0</v>
      </c>
      <c r="L575" s="200">
        <f>SUM(G575:K575)</f>
        <v>0</v>
      </c>
      <c r="M575" s="930"/>
      <c r="N575" s="199">
        <f>IF(B573="Лікар загальної практики - сімейний лікар"," ",IF(B573="Лікар-педіатр"," ",IF(B573="Лікар-терапевт","х",0)))</f>
        <v>0</v>
      </c>
      <c r="O575" s="199">
        <f>IF(B573="Лікар загальної практики - сімейний лікар"," ",IF(B573="Лікар-педіатр"," ",IF(B573="Лікар-терапевт","х",0)))</f>
        <v>0</v>
      </c>
      <c r="P575" s="199">
        <f>IF(B573="Лікар загальної практики - сімейний лікар"," ",IF(B573="Лікар-педіатр","х",IF(B573="Лікар-терапевт"," ",0)))</f>
        <v>0</v>
      </c>
      <c r="Q575" s="199">
        <f>IF(B573="Лікар загальної практики - сімейний лікар"," ",IF(B573="Лікар-педіатр","х",IF(B573="Лікар-терапевт"," ",0)))</f>
        <v>0</v>
      </c>
      <c r="R575" s="199">
        <f>IF(B573="Лікар загальної практики - сімейний лікар"," ",IF(B573="Лікар-педіатр","х",IF(B573="Лікар-терапевт"," ",0)))</f>
        <v>0</v>
      </c>
      <c r="S575" s="200">
        <f>SUM(N575:R575)</f>
        <v>0</v>
      </c>
      <c r="T575" s="930"/>
      <c r="U575" s="199">
        <f>IF(B573="Лікар загальної практики - сімейний лікар"," ",IF(B573="Лікар-педіатр"," ",IF(B573="Лікар-терапевт","х",0)))</f>
        <v>0</v>
      </c>
      <c r="V575" s="199">
        <f>IF(B573="Лікар загальної практики - сімейний лікар"," ",IF(B573="Лікар-педіатр"," ",IF(B573="Лікар-терапевт","х",0)))</f>
        <v>0</v>
      </c>
      <c r="W575" s="199">
        <f>IF(B573="Лікар загальної практики - сімейний лікар"," ",IF(B573="Лікар-педіатр","х",IF(B573="Лікар-терапевт"," ",0)))</f>
        <v>0</v>
      </c>
      <c r="X575" s="199">
        <f>IF(B573="Лікар загальної практики - сімейний лікар"," ",IF(B573="Лікар-педіатр","х",IF(B573="Лікар-терапевт"," ",0)))</f>
        <v>0</v>
      </c>
      <c r="Y575" s="199">
        <f>IF(B573="Лікар загальної практики - сімейний лікар"," ",IF(B573="Лікар-педіатр","х",IF(B573="Лікар-терапевт"," ",0)))</f>
        <v>0</v>
      </c>
      <c r="Z575" s="200">
        <f>SUM(U575:Y575)</f>
        <v>0</v>
      </c>
      <c r="AA575" s="930"/>
      <c r="AB575" s="199">
        <f>IF(B573="Лікар загальної практики - сімейний лікар"," ",IF(B573="Лікар-педіатр"," ",IF(B573="Лікар-терапевт","х",0)))</f>
        <v>0</v>
      </c>
      <c r="AC575" s="199">
        <f>IF(B573="Лікар загальної практики - сімейний лікар"," ",IF(B573="Лікар-педіатр"," ",IF(B573="Лікар-терапевт","х",0)))</f>
        <v>0</v>
      </c>
      <c r="AD575" s="199">
        <f>IF(B573="Лікар загальної практики - сімейний лікар"," ",IF(B573="Лікар-педіатр","х",IF(B573="Лікар-терапевт"," ",0)))</f>
        <v>0</v>
      </c>
      <c r="AE575" s="199">
        <f>IF(B573="Лікар загальної практики - сімейний лікар"," ",IF(B573="Лікар-педіатр","х",IF(B573="Лікар-терапевт"," ",0)))</f>
        <v>0</v>
      </c>
      <c r="AF575" s="199">
        <f>IF(B573="Лікар загальної практики - сімейний лікар"," ",IF(B573="Лікар-педіатр","х",IF(B573="Лікар-терапевт"," ",0)))</f>
        <v>0</v>
      </c>
      <c r="AG575" s="200">
        <f>SUM(AB575:AF575)</f>
        <v>0</v>
      </c>
      <c r="AH575" s="930"/>
      <c r="AI575" s="242"/>
      <c r="AJ575" s="933"/>
      <c r="AK575" s="927"/>
      <c r="AL575" s="927"/>
      <c r="AM575" s="902"/>
      <c r="AN575" s="924"/>
      <c r="AO575" s="924"/>
      <c r="AP575" s="924"/>
      <c r="AQ575" s="924"/>
      <c r="AR575" s="915"/>
    </row>
    <row r="576" spans="1:44" s="50" customFormat="1" ht="31.9" hidden="1" customHeight="1" thickBot="1">
      <c r="A576" s="197"/>
      <c r="B576" s="893"/>
      <c r="C576" s="896"/>
      <c r="D576" s="912"/>
      <c r="E576" s="909"/>
      <c r="F576" s="236" t="s">
        <v>349</v>
      </c>
      <c r="G576" s="203">
        <f>IF($B$573="Лікар-педіатр",G575/L575,IF($B$573="Лікар-терапевт","х",IF($B$573="Лікар загальної практики - сімейний лікар",G575/L575,0)))</f>
        <v>0</v>
      </c>
      <c r="H576" s="203">
        <f>IF($B$573="Лікар-педіатр",H575/L575,IF($B$573="Лікар-терапевт","х",IF($B$573="Лікар загальної практики - сімейний лікар",H575/L575,0)))</f>
        <v>0</v>
      </c>
      <c r="I576" s="203">
        <f>IF($B$573="Лікар-педіатр","x",IF($B$573="Лікар-терапевт",I575/L575,IF($B$573="Лікар загальної практики - сімейний лікар",I575/L575,0)))</f>
        <v>0</v>
      </c>
      <c r="J576" s="203">
        <f>IF($B$573="Лікар-педіатр","x",IF($B$573="Лікар-терапевт",J575/L575,IF($B$573="Лікар загальної практики - сімейний лікар",J575/L575,0)))</f>
        <v>0</v>
      </c>
      <c r="K576" s="203">
        <f>IF($B$573="Лікар-педіатр","x",IF($B$573="Лікар-терапевт",K575/L575,IF($B$573="Лікар загальної практики - сімейний лікар",K575/L575,0)))</f>
        <v>0</v>
      </c>
      <c r="L576" s="203">
        <f>SUM(G576:K576)</f>
        <v>0</v>
      </c>
      <c r="M576" s="930"/>
      <c r="N576" s="203">
        <f>IF($B$573="Лікар-педіатр",N575/S575,IF($B$573="Лікар-терапевт","х",IF($B$573="Лікар загальної практики - сімейний лікар",N575/S575,0)))</f>
        <v>0</v>
      </c>
      <c r="O576" s="203">
        <f>IF($B$573="Лікар-педіатр",O575/S575,IF($B$573="Лікар-терапевт","х",IF($B$573="Лікар загальної практики - сімейний лікар",O575/S575,0)))</f>
        <v>0</v>
      </c>
      <c r="P576" s="203">
        <f>IF($B$573="Лікар-педіатр","x",IF($B$573="Лікар-терапевт",P575/S575,IF($B$573="Лікар загальної практики - сімейний лікар",P575/S575,0)))</f>
        <v>0</v>
      </c>
      <c r="Q576" s="203">
        <f>IF($B$573="Лікар-педіатр","x",IF($B$573="Лікар-терапевт",Q575/S575,IF($B$573="Лікар загальної практики - сімейний лікар",Q575/S575,0)))</f>
        <v>0</v>
      </c>
      <c r="R576" s="203">
        <f>IF($B$573="Лікар-педіатр","x",IF($B$573="Лікар-терапевт",R575/S575,IF($B$573="Лікар загальної практики - сімейний лікар",R575/S575,0)))</f>
        <v>0</v>
      </c>
      <c r="S576" s="203">
        <f>SUM(N576:R576)</f>
        <v>0</v>
      </c>
      <c r="T576" s="930"/>
      <c r="U576" s="203">
        <f>IF($B$573="Лікар-педіатр",U575/Z575,IF($B$573="Лікар-терапевт","х",IF($B$573="Лікар загальної практики - сімейний лікар",U575/Z575,0)))</f>
        <v>0</v>
      </c>
      <c r="V576" s="203">
        <f>IF($B$573="Лікар-педіатр",V575/Z575,IF($B$573="Лікар-терапевт","х",IF($B$573="Лікар загальної практики - сімейний лікар",V575/Z575,0)))</f>
        <v>0</v>
      </c>
      <c r="W576" s="203">
        <f>IF($B$573="Лікар-педіатр","x",IF($B$573="Лікар-терапевт",W575/Z575,IF($B$573="Лікар загальної практики - сімейний лікар",W575/Z575,0)))</f>
        <v>0</v>
      </c>
      <c r="X576" s="203">
        <f>IF($B$573="Лікар-педіатр","x",IF($B$573="Лікар-терапевт",X575/Z575,IF($B$573="Лікар загальної практики - сімейний лікар",X575/Z575,0)))</f>
        <v>0</v>
      </c>
      <c r="Y576" s="203">
        <f>IF($B$573="Лікар-педіатр","x",IF($B$573="Лікар-терапевт",Y575/Z575,IF($B$573="Лікар загальної практики - сімейний лікар",Y575/Z575,0)))</f>
        <v>0</v>
      </c>
      <c r="Z576" s="203">
        <f>SUM(U576:Y576)</f>
        <v>0</v>
      </c>
      <c r="AA576" s="930"/>
      <c r="AB576" s="203">
        <f>IF($B$573="Лікар-педіатр",AB575/AG575,IF($B$573="Лікар-терапевт","х",IF($B$573="Лікар загальної практики - сімейний лікар",AB575/AG575,0)))</f>
        <v>0</v>
      </c>
      <c r="AC576" s="203">
        <f>IF($B$573="Лікар-педіатр",AC575/AG575,IF($B$573="Лікар-терапевт","х",IF($B$573="Лікар загальної практики - сімейний лікар",AC575/AG575,0)))</f>
        <v>0</v>
      </c>
      <c r="AD576" s="203">
        <f>IF($B$573="Лікар-педіатр","x",IF($B$573="Лікар-терапевт",AD575/AG575,IF($B$573="Лікар загальної практики - сімейний лікар",AD575/AG575,0)))</f>
        <v>0</v>
      </c>
      <c r="AE576" s="203">
        <f>IF($B$573="Лікар-педіатр","x",IF($B$573="Лікар-терапевт",AE575/AG575,IF($B$573="Лікар загальної практики - сімейний лікар",AE575/AG575,0)))</f>
        <v>0</v>
      </c>
      <c r="AF576" s="203">
        <f>IF($B$573="Лікар-педіатр","x",IF($B$573="Лікар-терапевт",AF575/AG575,IF($B$573="Лікар загальної практики - сімейний лікар",AF575/AG575,0)))</f>
        <v>0</v>
      </c>
      <c r="AG576" s="203">
        <f>SUM(AB576:AF576)</f>
        <v>0</v>
      </c>
      <c r="AH576" s="930"/>
      <c r="AI576" s="201"/>
      <c r="AJ576" s="933"/>
      <c r="AK576" s="927"/>
      <c r="AL576" s="927"/>
      <c r="AM576" s="902"/>
      <c r="AN576" s="924"/>
      <c r="AO576" s="924"/>
      <c r="AP576" s="924"/>
      <c r="AQ576" s="924"/>
      <c r="AR576" s="915"/>
    </row>
    <row r="577" spans="1:44" s="50" customFormat="1" ht="45" hidden="1" customHeight="1" thickBot="1">
      <c r="A577" s="197"/>
      <c r="B577" s="893"/>
      <c r="C577" s="896"/>
      <c r="D577" s="912"/>
      <c r="E577" s="909"/>
      <c r="F577" s="204" t="s">
        <v>585</v>
      </c>
      <c r="G577" s="205">
        <f>IF($B$573="Лікар загальної практики - сімейний лікар",AVERAGE(G573:G575),IF($B$573="Лікар-педіатр",AVERAGE(G573:G575),IF($B$573="Лікар-терапевт","х",0)))</f>
        <v>0</v>
      </c>
      <c r="H577" s="205">
        <f>IF($B$573="Лікар загальної практики - сімейний лікар",AVERAGE(H573:H575),IF($B$573="Лікар-педіатр",AVERAGE(H573:H575),IF($B$573="Лікар-терапевт","х",0)))</f>
        <v>0</v>
      </c>
      <c r="I577" s="205">
        <f>IF($B$573="Лікар загальної практики - сімейний лікар",AVERAGE(I573:I575),IF($B$573="Лікар-педіатр","x",IF($B$573="Лікар-терапевт",AVERAGE(I573:I575),0)))</f>
        <v>0</v>
      </c>
      <c r="J577" s="205">
        <f>IF($B$573="Лікар загальної практики - сімейний лікар",AVERAGE(J573:J575),IF($B$573="Лікар-педіатр","x",IF($B$573="Лікар-терапевт",AVERAGE(J573:J575),0)))</f>
        <v>0</v>
      </c>
      <c r="K577" s="205">
        <f>IF($B$573="Лікар загальної практики - сімейний лікар",AVERAGE(K573:K575),IF($B$573="Лікар-педіатр","x",IF($B$573="Лікар-терапевт",AVERAGE(K573:K575),0)))</f>
        <v>0</v>
      </c>
      <c r="L577" s="206">
        <f>SUM(G577:K577)</f>
        <v>0</v>
      </c>
      <c r="M577" s="930"/>
      <c r="N577" s="205">
        <f>IF($B$573="Лікар загальної практики - сімейний лікар",AVERAGE(N573:N575),IF($B$573="Лікар-педіатр",AVERAGE(N573:N575),IF($B$573="Лікар-терапевт","х",0)))</f>
        <v>0</v>
      </c>
      <c r="O577" s="205">
        <f>IF($B$573="Лікар загальної практики - сімейний лікар",AVERAGE(O573:O575),IF($B$573="Лікар-педіатр",AVERAGE(O573:O575),IF($B$573="Лікар-терапевт","х",0)))</f>
        <v>0</v>
      </c>
      <c r="P577" s="205">
        <f>IF($B$573="Лікар загальної практики - сімейний лікар",AVERAGE(P573:P575),IF($B$573="Лікар-педіатр","x",IF($B$573="Лікар-терапевт",AVERAGE(P573:P575),0)))</f>
        <v>0</v>
      </c>
      <c r="Q577" s="205">
        <f>IF($B$573="Лікар загальної практики - сімейний лікар",AVERAGE(Q573:Q575),IF($B$573="Лікар-педіатр","x",IF($B$573="Лікар-терапевт",AVERAGE(Q573:Q575),0)))</f>
        <v>0</v>
      </c>
      <c r="R577" s="205">
        <f>IF($B$573="Лікар загальної практики - сімейний лікар",AVERAGE(R573:R575),IF($B$573="Лікар-педіатр","x",IF($B$573="Лікар-терапевт",AVERAGE(R573:R575),0)))</f>
        <v>0</v>
      </c>
      <c r="S577" s="206">
        <f>SUM(N577:R577)</f>
        <v>0</v>
      </c>
      <c r="T577" s="930"/>
      <c r="U577" s="205">
        <f>IF($B$573="Лікар загальної практики - сімейний лікар",AVERAGE(U573:U575),IF($B$573="Лікар-педіатр",AVERAGE(U573:U575),IF($B$573="Лікар-терапевт","х",0)))</f>
        <v>0</v>
      </c>
      <c r="V577" s="205">
        <f>IF($B$573="Лікар загальної практики - сімейний лікар",AVERAGE(V573:V575),IF($B$573="Лікар-педіатр",AVERAGE(V573:V575),IF($B$573="Лікар-терапевт","х",0)))</f>
        <v>0</v>
      </c>
      <c r="W577" s="205">
        <f>IF($B$573="Лікар загальної практики - сімейний лікар",AVERAGE(W573:W575),IF($B$573="Лікар-педіатр","x",IF($B$573="Лікар-терапевт",AVERAGE(W573:W575),0)))</f>
        <v>0</v>
      </c>
      <c r="X577" s="205">
        <f>IF($B$573="Лікар загальної практики - сімейний лікар",AVERAGE(X573:X575),IF($B$573="Лікар-педіатр","x",IF($B$573="Лікар-терапевт",AVERAGE(X573:X575),0)))</f>
        <v>0</v>
      </c>
      <c r="Y577" s="205">
        <f>IF($B$573="Лікар загальної практики - сімейний лікар",AVERAGE(Y573:Y575),IF($B$573="Лікар-педіатр","x",IF($B$573="Лікар-терапевт",AVERAGE(Y573:Y575),0)))</f>
        <v>0</v>
      </c>
      <c r="Z577" s="206">
        <f>SUM(U577:Y577)</f>
        <v>0</v>
      </c>
      <c r="AA577" s="930"/>
      <c r="AB577" s="205">
        <f>IF($B$573="Лікар загальної практики - сімейний лікар",AVERAGE(AB573:AB575),IF($B$573="Лікар-педіатр",AVERAGE(AB573:AB575),IF($B$573="Лікар-терапевт","х",0)))</f>
        <v>0</v>
      </c>
      <c r="AC577" s="205">
        <f>IF($B$573="Лікар загальної практики - сімейний лікар",AVERAGE(AC573:AC575),IF($B$573="Лікар-педіатр",AVERAGE(AC573:AC575),IF($B$573="Лікар-терапевт","х",0)))</f>
        <v>0</v>
      </c>
      <c r="AD577" s="205">
        <f>IF($B$573="Лікар загальної практики - сімейний лікар",AVERAGE(AD573:AD575),IF($B$573="Лікар-педіатр","x",IF($B$573="Лікар-терапевт",AVERAGE(AD573:AD575),0)))</f>
        <v>0</v>
      </c>
      <c r="AE577" s="205">
        <f>IF($B$573="Лікар загальної практики - сімейний лікар",AVERAGE(AE573:AE575),IF($B$573="Лікар-педіатр","x",IF($B$573="Лікар-терапевт",AVERAGE(AE573:AE575),0)))</f>
        <v>0</v>
      </c>
      <c r="AF577" s="205">
        <f>IF($B$573="Лікар загальної практики - сімейний лікар",AVERAGE(AF573:AF575),IF($B$573="Лікар-педіатр","x",IF($B$573="Лікар-терапевт",AVERAGE(AF573:AF575),0)))</f>
        <v>0</v>
      </c>
      <c r="AG577" s="206">
        <f>SUM(AB577:AF577)</f>
        <v>0</v>
      </c>
      <c r="AH577" s="930"/>
      <c r="AI577" s="201"/>
      <c r="AJ577" s="933"/>
      <c r="AK577" s="927"/>
      <c r="AL577" s="927"/>
      <c r="AM577" s="903"/>
      <c r="AN577" s="925"/>
      <c r="AO577" s="925"/>
      <c r="AP577" s="925"/>
      <c r="AQ577" s="925"/>
      <c r="AR577" s="916"/>
    </row>
    <row r="578" spans="1:44" s="50" customFormat="1" ht="40.5" hidden="1">
      <c r="A578" s="197"/>
      <c r="B578" s="893"/>
      <c r="C578" s="896"/>
      <c r="D578" s="912"/>
      <c r="E578" s="909"/>
      <c r="F578" s="237" t="str">
        <f ca="1">IF(B573="Лікар-педіатр",Законод!$C$17,IF(B573="Лікар загальної практики - сімейний лікар",Законод!$C$21,IF(B573="Лікар-терапевт",Законод!$C$25,"х")))</f>
        <v>х</v>
      </c>
      <c r="G578" s="208">
        <f ca="1">IF($B$573="Лікар загальної практики - сімейний лікар",IF(L577&lt;=Законод!$C$22,G577,Законод!$C$22*'01_Доходи'!G576),IF($B$573="Лікар-педіатр",IF(L577&lt;=Законод!$C$18,G577,Законод!$C$18*'01_Доходи'!G576),IF($B$573="Лікар-терапевт","x",0)))</f>
        <v>0</v>
      </c>
      <c r="H578" s="208">
        <f ca="1">IF($B$573="Лікар загальної практики - сімейний лікар",IF(L577&lt;=Законод!$C$22,H577,Законод!$C$22*'01_Доходи'!H576),IF($B$573="Лікар-педіатр",IF(L577&lt;=Законод!$C$18,H577,Законод!$C$18*'01_Доходи'!H576),IF($B$573="Лікар-терапевт","x",0)))</f>
        <v>0</v>
      </c>
      <c r="I578" s="208">
        <f ca="1">IF($B$573="Лікар загальної практики - сімейний лікар",IF(L577&lt;=Законод!$C$22,I577,Законод!$C$22*'01_Доходи'!I576),IF($B$573="Лікар-педіатр","x",IF($B$573="Лікар-терапевт",IF(L577&lt;=Законод!$C$26,I577,Законод!$C$26*'01_Доходи'!I576),0)))</f>
        <v>0</v>
      </c>
      <c r="J578" s="208">
        <f ca="1">IF($B$573="Лікар загальної практики - сімейний лікар",IF(L577&lt;=Законод!$C$22,J577,Законод!$C$22*'01_Доходи'!J576),IF($B$573="Лікар-педіатр","x",IF($B$573="Лікар-терапевт",IF(L577&lt;=Законод!$C$26,J577,Законод!$C$26*'01_Доходи'!J576),0)))</f>
        <v>0</v>
      </c>
      <c r="K578" s="208">
        <f ca="1">IF($B$573="Лікар загальної практики - сімейний лікар",IF(L577&lt;=Законод!$C$22,K577,Законод!$C$22*'01_Доходи'!K576),IF($B$573="Лікар-педіатр","x",IF($B$573="Лікар-терапевт",IF(L577&lt;=Законод!$C$26,K577,Законод!$C$26*'01_Доходи'!K576),0)))</f>
        <v>0</v>
      </c>
      <c r="L578" s="209">
        <f ca="1">SUM(G578:K578)</f>
        <v>0</v>
      </c>
      <c r="M578" s="930"/>
      <c r="N578" s="208">
        <f ca="1">IF($B$573="Лікар загальної практики - сімейний лікар",IF(S577&lt;=Законод!$C$22,N577,Законод!$C$22*'01_Доходи'!N576),IF($B$573="Лікар-педіатр",IF(S577&lt;=Законод!$C$18,N577,Законод!$C$18*'01_Доходи'!N576),IF($B$573="Лікар-терапевт","x",0)))</f>
        <v>0</v>
      </c>
      <c r="O578" s="208">
        <f ca="1">IF($B$573="Лікар загальної практики - сімейний лікар",IF(S577&lt;=Законод!$C$22,O577,Законод!$C$22*'01_Доходи'!O576),IF($B$573="Лікар-педіатр",IF(S577&lt;=Законод!$C$18,O577,Законод!$C$18*'01_Доходи'!O576),IF($B$573="Лікар-терапевт","x",0)))</f>
        <v>0</v>
      </c>
      <c r="P578" s="208">
        <f ca="1">IF($B$573="Лікар загальної практики - сімейний лікар",IF(S577&lt;=Законод!$C$22,P577,Законод!$C$22*'01_Доходи'!P576),IF($B$573="Лікар-педіатр","x",IF($B$573="Лікар-терапевт",IF(S577&lt;=Законод!$C$26,P577,Законод!$C$26*'01_Доходи'!P576),0)))</f>
        <v>0</v>
      </c>
      <c r="Q578" s="208">
        <f ca="1">IF($B$573="Лікар загальної практики - сімейний лікар",IF(S577&lt;=Законод!$C$22,Q577,Законод!$C$22*'01_Доходи'!Q576),IF($B$573="Лікар-педіатр","x",IF($B$573="Лікар-терапевт",IF(S577&lt;=Законод!$C$26,Q577,Законод!$C$26*'01_Доходи'!Q576),0)))</f>
        <v>0</v>
      </c>
      <c r="R578" s="208">
        <f ca="1">IF($B$573="Лікар загальної практики - сімейний лікар",IF(S577&lt;=Законод!$C$22,R577,Законод!$C$22*'01_Доходи'!R576),IF($B$573="Лікар-педіатр","x",IF($B$573="Лікар-терапевт",IF(S577&lt;=Законод!$C$26,R577,Законод!$C$26*'01_Доходи'!R576),0)))</f>
        <v>0</v>
      </c>
      <c r="S578" s="209">
        <f ca="1">SUM(N578:R578)</f>
        <v>0</v>
      </c>
      <c r="T578" s="930"/>
      <c r="U578" s="208">
        <f ca="1">IF($B$573="Лікар загальної практики - сімейний лікар",IF(Z577&lt;=Законод!$C$22,U577,Законод!$C$22*'01_Доходи'!U576),IF($B$573="Лікар-педіатр",IF(Z577&lt;=Законод!$C$18,U577,Законод!$C$18*'01_Доходи'!U576),IF($B$573="Лікар-терапевт","x",0)))</f>
        <v>0</v>
      </c>
      <c r="V578" s="208">
        <f ca="1">IF($B$573="Лікар загальної практики - сімейний лікар",IF(Z577&lt;=Законод!$C$22,V577,Законод!$C$22*'01_Доходи'!V576),IF($B$573="Лікар-педіатр",IF(Z577&lt;=Законод!$C$18,V577,Законод!$C$18*'01_Доходи'!V576),IF($B$573="Лікар-терапевт","x",0)))</f>
        <v>0</v>
      </c>
      <c r="W578" s="208">
        <f ca="1">IF($B$573="Лікар загальної практики - сімейний лікар",IF(Z577&lt;=Законод!$C$22,W577,Законод!$C$22*'01_Доходи'!W576),IF($B$573="Лікар-педіатр","x",IF($B$573="Лікар-терапевт",IF(Z577&lt;=Законод!$C$26,W577,Законод!$C$26*'01_Доходи'!W576),0)))</f>
        <v>0</v>
      </c>
      <c r="X578" s="208">
        <f ca="1">IF($B$573="Лікар загальної практики - сімейний лікар",IF(Z577&lt;=Законод!$C$22,X577,Законод!$C$22*'01_Доходи'!X576),IF($B$573="Лікар-педіатр","x",IF($B$573="Лікар-терапевт",IF(Z577&lt;=Законод!$C$26,X577,Законод!$C$26*'01_Доходи'!X576),0)))</f>
        <v>0</v>
      </c>
      <c r="Y578" s="208">
        <f ca="1">IF($B$573="Лікар загальної практики - сімейний лікар",IF(Z577&lt;=Законод!$C$22,Y577,Законод!$C$22*'01_Доходи'!Y576),IF($B$573="Лікар-педіатр","x",IF($B$573="Лікар-терапевт",IF(Z577&lt;=Законод!$C$26,Y577,Законод!$C$26*'01_Доходи'!Y576),0)))</f>
        <v>0</v>
      </c>
      <c r="Z578" s="209">
        <f ca="1">SUM(U578:Y578)</f>
        <v>0</v>
      </c>
      <c r="AA578" s="930"/>
      <c r="AB578" s="208">
        <f ca="1">IF($B$573="Лікар загальної практики - сімейний лікар",IF(AG577&lt;=Законод!$C$22,AB577,Законод!$C$22*'01_Доходи'!AB576),IF($B$573="Лікар-педіатр",IF(AG577&lt;=Законод!$C$18,AB577,Законод!$C$18*'01_Доходи'!AB576),IF($B$573="Лікар-терапевт","x",0)))</f>
        <v>0</v>
      </c>
      <c r="AC578" s="208">
        <f ca="1">IF($B$573="Лікар загальної практики - сімейний лікар",IF(AG577&lt;=Законод!$C$22,AC577,Законод!$C$22*'01_Доходи'!AC576),IF($B$573="Лікар-педіатр",IF(AG577&lt;=Законод!$C$18,AC577,Законод!$C$18*'01_Доходи'!AC576),IF($B$573="Лікар-терапевт","x",0)))</f>
        <v>0</v>
      </c>
      <c r="AD578" s="208">
        <f ca="1">IF($B$573="Лікар загальної практики - сімейний лікар",IF(AG577&lt;=Законод!$C$22,AD577,Законод!$C$22*'01_Доходи'!AD576),IF($B$573="Лікар-педіатр","x",IF($B$573="Лікар-терапевт",IF(AG577&lt;=Законод!$C$26,AD577,Законод!$C$26*'01_Доходи'!AD576),0)))</f>
        <v>0</v>
      </c>
      <c r="AE578" s="208">
        <f ca="1">IF($B$573="Лікар загальної практики - сімейний лікар",IF(AG577&lt;=Законод!$C$22,AE577,Законод!$C$22*'01_Доходи'!AE576),IF($B$573="Лікар-педіатр","x",IF($B$573="Лікар-терапевт",IF(AG577&lt;=Законод!$C$26,AE577,Законод!$C$26*'01_Доходи'!AE576),0)))</f>
        <v>0</v>
      </c>
      <c r="AF578" s="208">
        <f ca="1">IF($B$573="Лікар загальної практики - сімейний лікар",IF(AG577&lt;=Законод!$C$22,AF577,Законод!$C$22*'01_Доходи'!AF576),IF($B$573="Лікар-педіатр","x",IF($B$573="Лікар-терапевт",IF(AG577&lt;=Законод!$C$26,AF577,Законод!$C$26*'01_Доходи'!AF576),0)))</f>
        <v>0</v>
      </c>
      <c r="AG578" s="209">
        <f ca="1">SUM(AB578:AF578)</f>
        <v>0</v>
      </c>
      <c r="AH578" s="930"/>
      <c r="AI578" s="201"/>
      <c r="AJ578" s="933"/>
      <c r="AK578" s="927"/>
      <c r="AL578" s="927"/>
      <c r="AM578" s="348" t="s">
        <v>374</v>
      </c>
      <c r="AN578" s="210">
        <f ca="1">IF(B573="Лікар загальної практики - сімейний лікар",G578*Законод!$C$11+'01_Доходи'!H578*Законод!$D$11+'01_Доходи'!I578*Законод!$E$11+'01_Доходи'!J578*Законод!$F$11+'01_Доходи'!K578*Законод!$G$11,IF(B573="Лікар-педіатр",G578*Законод!$C$11+'01_Доходи'!H578*Законод!$D$11,IF(B573="Лікар-терапевт",'01_Доходи'!I578*Законод!$E$11+'01_Доходи'!J578*Законод!$F$11+'01_Доходи'!K578*Законод!$G$11,0)))</f>
        <v>0</v>
      </c>
      <c r="AO578" s="210">
        <f ca="1">IF(B573="Лікар загальної практики - сімейний лікар",N578*Законод!$C$11+'01_Доходи'!O578*Законод!$D$11+'01_Доходи'!P578*Законод!$E$11+'01_Доходи'!Q578*Законод!$F$11+'01_Доходи'!R578*Законод!$G$11,IF(B573="Лікар-педіатр",N578*Законод!$C$11+'01_Доходи'!O578*Законод!$D$11,IF(B573="Лікар-терапевт",'01_Доходи'!P578*Законод!$E$11+'01_Доходи'!Q578*Законод!$F$11+'01_Доходи'!R578*Законод!$G$11,0)))</f>
        <v>0</v>
      </c>
      <c r="AP578" s="210">
        <f ca="1">IF(B573="Лікар загальної практики - сімейний лікар",U578*Законод!$C$11+'01_Доходи'!V578*Законод!$D$11+'01_Доходи'!W578*Законод!$E$11+'01_Доходи'!X578*Законод!$F$11+'01_Доходи'!Y578*Законод!$G$11,IF(B573="Лікар-педіатр",U578*Законод!$C$11+'01_Доходи'!V578*Законод!$D$11,IF(B573="Лікар-терапевт",'01_Доходи'!W578*Законод!$E$11+'01_Доходи'!X578*Законод!$F$11+'01_Доходи'!Y578*Законод!$G$11,0)))</f>
        <v>0</v>
      </c>
      <c r="AQ578" s="210">
        <f ca="1">IF(B573="Лікар загальної практики - сімейний лікар",AB578*Законод!$C$11+'01_Доходи'!AC578*Законод!$D$11+'01_Доходи'!AD578*Законод!$E$11+'01_Доходи'!AE578*Законод!$F$11+'01_Доходи'!AF578*Законод!$G$11,IF(B573="Лікар-педіатр",AB578*Законод!$C$11+'01_Доходи'!AC578*Законод!$D$11,IF(B573="Лікар-терапевт",'01_Доходи'!AD578*Законод!$E$11+'01_Доходи'!AE578*Законод!$F$11+'01_Доходи'!AF578*Законод!$G$11,0)))</f>
        <v>0</v>
      </c>
      <c r="AR578" s="211">
        <f t="shared" ref="AR578:AR584" si="71">SUM(AN578:AQ578)</f>
        <v>0</v>
      </c>
    </row>
    <row r="579" spans="1:44" s="50" customFormat="1" ht="31.9" hidden="1" customHeight="1">
      <c r="A579" s="197"/>
      <c r="B579" s="893"/>
      <c r="C579" s="896"/>
      <c r="D579" s="912"/>
      <c r="E579" s="909"/>
      <c r="F579" s="238" t="str">
        <f ca="1">IF(B573="Лікар-педіатр",Законод!$E$17,IF(B573="Лікар загальної практики - сімейний лікар",Законод!$E$21,IF(B573="Лікар-терапевт",Законод!$E$25,"х")))</f>
        <v>х</v>
      </c>
      <c r="G579" s="889" t="s">
        <v>346</v>
      </c>
      <c r="H579" s="890"/>
      <c r="I579" s="890"/>
      <c r="J579" s="890"/>
      <c r="K579" s="891"/>
      <c r="L579" s="196">
        <f ca="1">IF($B$573="Лікар загальної практики - сімейний лікар",IF(L577&lt;Законод!$C$22,0,(IF(AND(L577&gt;=Законод!$E$22,L577&lt;=Законод!$E$23),L577-Законод!$C$22,IF('01_Доходи'!L577&gt;=Законод!$F$22,Законод!$E$24,0)))),IF($B$573="Лікар-педіатр",IF(L577&lt;Законод!$C$18,0,(IF(AND(L577&gt;=Законод!$E$18,L577&lt;=Законод!$E$19),L577-Законод!$C$18,IF('01_Доходи'!L577&gt;=Законод!$F$18,Законод!$E$20,0)))),IF($B$573="Лікар-терапевт",IF(L577&lt;Законод!$C$26,0,(IF(AND(L577&gt;=Законод!$E$26,L577&lt;=Законод!$E$27),L577-Законод!$C$26,IF('01_Доходи'!L577&gt;=Законод!$F$26,Законод!$E$28,0)))),0)))</f>
        <v>0</v>
      </c>
      <c r="M579" s="930"/>
      <c r="N579" s="889" t="s">
        <v>346</v>
      </c>
      <c r="O579" s="890"/>
      <c r="P579" s="890"/>
      <c r="Q579" s="890"/>
      <c r="R579" s="891"/>
      <c r="S579" s="196">
        <f ca="1">IF($B$573="Лікар загальної практики - сімейний лікар",IF(S577&lt;Законод!$C$22,0,(IF(AND(S577&gt;=Законод!$E$22,S577&lt;=Законод!$E$23),S577-Законод!$C$22,IF('01_Доходи'!S577&gt;=Законод!$F$22,Законод!$E$24,0)))),IF($B$573="Лікар-педіатр",IF(S577&lt;Законод!$C$18,0,(IF(AND(S577&gt;=Законод!$E$18,S577&lt;=Законод!$E$19),S577-Законод!$C$18,IF('01_Доходи'!S577&gt;=Законод!$F$18,Законод!$E$20,0)))),IF($B$573="Лікар-терапевт",IF(S577&lt;Законод!$C$26,0,(IF(AND(S577&gt;=Законод!$E$26,S577&lt;=Законод!$E$27),S577-Законод!$C$26,IF('01_Доходи'!S577&gt;=Законод!$F$26,Законод!$E$28,0)))),0)))</f>
        <v>0</v>
      </c>
      <c r="T579" s="930"/>
      <c r="U579" s="889" t="s">
        <v>346</v>
      </c>
      <c r="V579" s="890"/>
      <c r="W579" s="890"/>
      <c r="X579" s="890"/>
      <c r="Y579" s="891"/>
      <c r="Z579" s="196">
        <f ca="1">IF($B$573="Лікар загальної практики - сімейний лікар",IF(Z577&lt;Законод!$C$22,0,(IF(AND(Z577&gt;=Законод!$E$22,Z577&lt;=Законод!$E$23),Z577-Законод!$C$22,IF('01_Доходи'!Z577&gt;=Законод!$F$22,Законод!$E$24,0)))),IF($B$573="Лікар-педіатр",IF(Z577&lt;Законод!$C$18,0,(IF(AND(Z577&gt;=Законод!$E$18,Z577&lt;=Законод!$E$19),Z577-Законод!$C$18,IF('01_Доходи'!Z577&gt;=Законод!$F$18,Законод!$E$20,0)))),IF($B$573="Лікар-терапевт",IF(Z577&lt;Законод!$C$26,0,(IF(AND(Z577&gt;=Законод!$E$26,Z577&lt;=Законод!$E$27),Z577-Законод!$C$26,IF('01_Доходи'!Z577&gt;=Законод!$F$26,Законод!$E$28,0)))),0)))</f>
        <v>0</v>
      </c>
      <c r="AA579" s="930"/>
      <c r="AB579" s="889" t="s">
        <v>346</v>
      </c>
      <c r="AC579" s="890"/>
      <c r="AD579" s="890"/>
      <c r="AE579" s="890"/>
      <c r="AF579" s="891"/>
      <c r="AG579" s="196">
        <f ca="1">IF($B$573="Лікар загальної практики - сімейний лікар",IF(AG577&lt;Законод!$C$22,0,(IF(AND(AG577&gt;=Законод!$E$22,AG577&lt;=Законод!$E$23),AG577-Законод!$C$22,IF('01_Доходи'!AG577&gt;=Законод!$F$22,Законод!$E$24,0)))),IF($B$573="Лікар-педіатр",IF(AG577&lt;Законод!$C$18,0,(IF(AND(AG577&gt;=Законод!$E$18,AG577&lt;=Законод!$E$19),AG577-Законод!$C$18,IF('01_Доходи'!AG577&gt;=Законод!$F$18,Законод!$E$20,0)))),IF($B$573="Лікар-терапевт",IF(AG577&lt;Законод!$C$26,0,(IF(AND(AG577&gt;=Законод!$E$26,AG577&lt;=Законод!$E$27),AG577-Законод!$C$26,IF('01_Доходи'!AG577&gt;=Законод!$F$26,Законод!$E$28,0)))),0)))</f>
        <v>0</v>
      </c>
      <c r="AH579" s="930"/>
      <c r="AI579" s="201"/>
      <c r="AJ579" s="933"/>
      <c r="AK579" s="927"/>
      <c r="AL579" s="927"/>
      <c r="AM579" s="898" t="s">
        <v>375</v>
      </c>
      <c r="AN579" s="210">
        <f ca="1">IF(B573="Лікар загальної практики - сімейний лікар",L579*Законод!$C$9/4*Законод!$E$16,IF(B573="Лікар-педіатр",L579*Законод!$C$9/4*Законод!$E$16,IF(B573="Лікар-терапевт",L579*Законод!$C$9/4*Законод!$E$16,0)))</f>
        <v>0</v>
      </c>
      <c r="AO579" s="210">
        <f ca="1">IF(B573="Лікар загальної практики - сімейний лікар",S579*Законод!$C$9/4*Законод!$E$16,IF(B573="Лікар-педіатр",S579*Законод!$C$9/4*Законод!$E$16,IF(B573="Лікар-терапевт",S579*Законод!$C$9/4*Законод!$E$16,0)))</f>
        <v>0</v>
      </c>
      <c r="AP579" s="210">
        <f ca="1">IF(B573="Лікар загальної практики - сімейний лікар",Z579*Законод!$C$9/4*Законод!$E$16,IF(B573="Лікар-педіатр",Z579*Законод!$C$9/4*Законод!$E$16,IF(B573="Лікар-терапевт",Z579*Законод!$C$9/4*Законод!$E$16,0)))</f>
        <v>0</v>
      </c>
      <c r="AQ579" s="210">
        <f ca="1">IF(B573="Лікар загальної практики - сімейний лікар",AG579*Законод!$C$9/4*Законод!$E$16,IF(B573="Лікар-педіатр",AG579*Законод!$C$9/4*Законод!$E$16,IF(B573="Лікар-терапевт",AG579*Законод!$C$9/4*Законод!$E$16,0)))</f>
        <v>0</v>
      </c>
      <c r="AR579" s="211">
        <f t="shared" si="71"/>
        <v>0</v>
      </c>
    </row>
    <row r="580" spans="1:44" s="50" customFormat="1" ht="31.9" hidden="1" customHeight="1">
      <c r="A580" s="197"/>
      <c r="B580" s="893"/>
      <c r="C580" s="896"/>
      <c r="D580" s="912"/>
      <c r="E580" s="909"/>
      <c r="F580" s="238" t="str">
        <f ca="1">IF(B573="Лікар-педіатр",Законод!$F$17,IF(B573="Лікар загальної практики - сімейний лікар",Законод!$F$21,IF(B573="Лікар-терапевт",Законод!$F$25,"х")))</f>
        <v>х</v>
      </c>
      <c r="G580" s="889" t="s">
        <v>346</v>
      </c>
      <c r="H580" s="890"/>
      <c r="I580" s="890"/>
      <c r="J580" s="890"/>
      <c r="K580" s="891"/>
      <c r="L580" s="196">
        <f ca="1">IF($B$573="Лікар загальної практики - сімейний лікар",IF(L577&lt;Законод!$C$22,0,(IF(AND(L577&gt;=Законод!$F$22,L577&lt;=Законод!$F$23),L577-Законод!$E$23,IF('01_Доходи'!L577&gt;=Законод!$G$22,Законод!$F$24,0)))),IF($B$573="Лікар-педіатр",IF(L577&lt;Законод!$C$18,0,(IF(AND(L577&gt;=Законод!$F$18,L577&lt;=Законод!$F$19),L577-Законод!$E$19,IF('01_Доходи'!L577&gt;=Законод!$G$18,Законод!$F$20,0)))),IF($B$573="Лікар-терапевт",IF(L577&lt;Законод!$C$26,0,(IF(AND(L577&gt;=Законод!$F$26,L577&lt;=Законод!$F$27),L577-Законод!$E$27,IF('01_Доходи'!L577&gt;=Законод!$G$26,Законод!$F$28,0)))),0)))</f>
        <v>0</v>
      </c>
      <c r="M580" s="930"/>
      <c r="N580" s="889" t="s">
        <v>346</v>
      </c>
      <c r="O580" s="890"/>
      <c r="P580" s="890"/>
      <c r="Q580" s="890"/>
      <c r="R580" s="891"/>
      <c r="S580" s="196">
        <f ca="1">IF($B$573="Лікар загальної практики - сімейний лікар",IF(S577&lt;Законод!$C$22,0,(IF(AND(S577&gt;=Законод!$F$22,S577&lt;=Законод!$F$23),S577-Законод!$E$23,IF('01_Доходи'!S577&gt;=Законод!$G$22,Законод!$F$24,0)))),IF($B$573="Лікар-педіатр",IF(S577&lt;Законод!$C$18,0,(IF(AND(S577&gt;=Законод!$F$18,S577&lt;=Законод!$F$19),S577-Законод!$E$19,IF('01_Доходи'!S577&gt;=Законод!$G$18,Законод!$F$20,0)))),IF($B$573="Лікар-терапевт",IF(S577&lt;Законод!$C$26,0,(IF(AND(S577&gt;=Законод!$F$26,S577&lt;=Законод!$F$27),S577-Законод!$E$27,IF('01_Доходи'!S577&gt;=Законод!$G$26,Законод!$F$28,0)))),0)))</f>
        <v>0</v>
      </c>
      <c r="T580" s="930"/>
      <c r="U580" s="889" t="s">
        <v>346</v>
      </c>
      <c r="V580" s="890"/>
      <c r="W580" s="890"/>
      <c r="X580" s="890"/>
      <c r="Y580" s="891"/>
      <c r="Z580" s="196">
        <f ca="1">IF($B$573="Лікар загальної практики - сімейний лікар",IF(Z577&lt;Законод!$C$22,0,(IF(AND(Z577&gt;=Законод!$F$22,Z577&lt;=Законод!$F$23),Z577-Законод!$E$23,IF('01_Доходи'!Z577&gt;=Законод!$G$22,Законод!$F$24,0)))),IF($B$573="Лікар-педіатр",IF(Z577&lt;Законод!$C$18,0,(IF(AND(Z577&gt;=Законод!$F$18,Z577&lt;=Законод!$F$19),Z577-Законод!$E$19,IF('01_Доходи'!Z577&gt;=Законод!$G$18,Законод!$F$20,0)))),IF($B$573="Лікар-терапевт",IF(Z577&lt;Законод!$C$26,0,(IF(AND(Z577&gt;=Законод!$F$26,Z577&lt;=Законод!$F$27),Z577-Законод!$E$27,IF('01_Доходи'!Z577&gt;=Законод!$G$26,Законод!$F$28,0)))),0)))</f>
        <v>0</v>
      </c>
      <c r="AA580" s="930"/>
      <c r="AB580" s="889" t="s">
        <v>346</v>
      </c>
      <c r="AC580" s="890"/>
      <c r="AD580" s="890"/>
      <c r="AE580" s="890"/>
      <c r="AF580" s="891"/>
      <c r="AG580" s="196">
        <f ca="1">IF($B$573="Лікар загальної практики - сімейний лікар",IF(AG577&lt;Законод!$C$22,0,(IF(AND(AG577&gt;=Законод!$F$22,AG577&lt;=Законод!$F$23),AG577-Законод!$E$23,IF('01_Доходи'!AG577&gt;=Законод!$G$22,Законод!$F$24,0)))),IF($B$573="Лікар-педіатр",IF(AG577&lt;Законод!$C$18,0,(IF(AND(AG577&gt;=Законод!$F$18,AG577&lt;=Законод!$F$19),AG577-Законод!$E$19,IF('01_Доходи'!AG577&gt;=Законод!$G$18,Законод!$F$20,0)))),IF($B$573="Лікар-терапевт",IF(AG577&lt;Законод!$C$26,0,(IF(AND(AG577&gt;=Законод!$F$26,AG577&lt;=Законод!$F$27),AG577-Законод!$E$27,IF('01_Доходи'!AG577&gt;=Законод!$G$26,Законод!$F$28,0)))),0)))</f>
        <v>0</v>
      </c>
      <c r="AH580" s="930"/>
      <c r="AI580" s="201"/>
      <c r="AJ580" s="933"/>
      <c r="AK580" s="927"/>
      <c r="AL580" s="927"/>
      <c r="AM580" s="899"/>
      <c r="AN580" s="210">
        <f ca="1">IF(B573="Лікар загальної практики - сімейний лікар",L580*Законод!$C$9/4*Законод!$F$16,IF(B573="Лікар-педіатр",L580*Законод!$C$9/4*Законод!$F$16,IF(B573="Лікар-терапевт",L580*Законод!$C$9/4*Законод!$F$16,0)))</f>
        <v>0</v>
      </c>
      <c r="AO580" s="210">
        <f ca="1">IF(B573="Лікар загальної практики - сімейний лікар",S580*Законод!$C$9/4*Законод!$F$16,IF(B573="Лікар-педіатр",S580*Законод!$C$9/4*Законод!$F$16,IF(B573="Лікар-терапевт",S580*Законод!$C$9/4*Законод!$F$16,0)))</f>
        <v>0</v>
      </c>
      <c r="AP580" s="210">
        <f ca="1">IF(B573="Лікар загальної практики - сімейний лікар",Z580*Законод!$C$9/4*Законод!$F$16,IF(B573="Лікар-педіатр",Z580*Законод!$C$9/4*Законод!$F$16,IF(B573="Лікар-терапевт",Z580*Законод!$C$9/4*Законод!$F$16,0)))</f>
        <v>0</v>
      </c>
      <c r="AQ580" s="210">
        <f ca="1">IF(B573="Лікар загальної практики - сімейний лікар",AG580*Законод!$C$9/4*Законод!$F$16,IF(B573="Лікар-педіатр",AG580*Законод!$C$9/4*Законод!$F$16,IF(B573="Лікар-терапевт",AG580*Законод!$C$9/4*Законод!$F$16,0)))</f>
        <v>0</v>
      </c>
      <c r="AR580" s="211">
        <f t="shared" si="71"/>
        <v>0</v>
      </c>
    </row>
    <row r="581" spans="1:44" s="50" customFormat="1" ht="31.9" hidden="1" customHeight="1">
      <c r="A581" s="197"/>
      <c r="B581" s="893"/>
      <c r="C581" s="896"/>
      <c r="D581" s="912"/>
      <c r="E581" s="909"/>
      <c r="F581" s="238" t="str">
        <f ca="1">IF(B573="Лікар-педіатр",Законод!$G$17,IF(B573="Лікар загальної практики - сімейний лікар",Законод!$G$21,IF(B573="Лікар-терапевт",Законод!$G$25,"х")))</f>
        <v>х</v>
      </c>
      <c r="G581" s="889" t="s">
        <v>346</v>
      </c>
      <c r="H581" s="890"/>
      <c r="I581" s="890"/>
      <c r="J581" s="890"/>
      <c r="K581" s="891"/>
      <c r="L581" s="196">
        <f ca="1">IF($B$573="Лікар загальної практики - сімейний лікар",IF(L577&lt;Законод!$C$22,0,(IF(AND(L577&gt;=Законод!$G$22,L577&lt;=Законод!$G$23),L577-Законод!$F$23,IF('01_Доходи'!L577&gt;=Законод!$H$22,Законод!$G$24,0)))),IF($B$573="Лікар-педіатр",IF(L577&lt;Законод!$C$18,0,(IF(AND(L577&gt;=Законод!$G$18,L577&lt;=Законод!$G$19),L577-Законод!$F$19,IF('01_Доходи'!L577&gt;=Законод!$H$18,Законод!$G$20,0)))),IF($B$573="Лікар-терапевт",IF(L577&lt;Законод!$C$26,0,(IF(AND(L577&gt;=Законод!$G$26,L577&lt;=Законод!$G$27),L577-Законод!$F$27,IF('01_Доходи'!L577&gt;=Законод!$H$26,Законод!$G$28,0)))),0)))</f>
        <v>0</v>
      </c>
      <c r="M581" s="930"/>
      <c r="N581" s="889" t="s">
        <v>346</v>
      </c>
      <c r="O581" s="890"/>
      <c r="P581" s="890"/>
      <c r="Q581" s="890"/>
      <c r="R581" s="891"/>
      <c r="S581" s="196">
        <f ca="1">IF($B$573="Лікар загальної практики - сімейний лікар",IF(S577&lt;Законод!$C$22,0,(IF(AND(S577&gt;=Законод!$G$22,S577&lt;=Законод!$G$23),S577-Законод!$F$23,IF('01_Доходи'!S577&gt;=Законод!$H$22,Законод!$G$24,0)))),IF($B$573="Лікар-педіатр",IF(S577&lt;Законод!$C$18,0,(IF(AND(S577&gt;=Законод!$G$18,S577&lt;=Законод!$G$19),S577-Законод!$F$19,IF('01_Доходи'!S577&gt;=Законод!$H$18,Законод!$G$20,0)))),IF($B$573="Лікар-терапевт",IF(S577&lt;Законод!$C$26,0,(IF(AND(S577&gt;=Законод!$G$26,S577&lt;=Законод!$G$27),S577-Законод!$F$27,IF('01_Доходи'!S577&gt;=Законод!$H$26,Законод!$G$28,0)))),0)))</f>
        <v>0</v>
      </c>
      <c r="T581" s="930"/>
      <c r="U581" s="889" t="s">
        <v>346</v>
      </c>
      <c r="V581" s="890"/>
      <c r="W581" s="890"/>
      <c r="X581" s="890"/>
      <c r="Y581" s="891"/>
      <c r="Z581" s="196">
        <f ca="1">IF($B$573="Лікар загальної практики - сімейний лікар",IF(Z577&lt;Законод!$C$22,0,(IF(AND(Z577&gt;=Законод!$G$22,Z577&lt;=Законод!$G$23),Z577-Законод!$F$23,IF('01_Доходи'!Z577&gt;=Законод!$H$22,Законод!$G$24,0)))),IF($B$573="Лікар-педіатр",IF(Z577&lt;Законод!$C$18,0,(IF(AND(Z577&gt;=Законод!$G$18,Z577&lt;=Законод!$G$19),Z577-Законод!$F$19,IF('01_Доходи'!Z577&gt;=Законод!$H$18,Законод!$G$20,0)))),IF($B$573="Лікар-терапевт",IF(Z577&lt;Законод!$C$26,0,(IF(AND(Z577&gt;=Законод!$G$26,Z577&lt;=Законод!$G$27),Z577-Законод!$F$27,IF('01_Доходи'!Z577&gt;=Законод!$H$26,Законод!$G$28,0)))),0)))</f>
        <v>0</v>
      </c>
      <c r="AA581" s="930"/>
      <c r="AB581" s="889" t="s">
        <v>346</v>
      </c>
      <c r="AC581" s="890"/>
      <c r="AD581" s="890"/>
      <c r="AE581" s="890"/>
      <c r="AF581" s="891"/>
      <c r="AG581" s="196">
        <f ca="1">IF($B$573="Лікар загальної практики - сімейний лікар",IF(AG577&lt;Законод!$C$22,0,(IF(AND(AG577&gt;=Законод!$G$22,AG577&lt;=Законод!$G$23),AG577-Законод!$F$23,IF('01_Доходи'!AG577&gt;=Законод!$H$22,Законод!$G$24,0)))),IF($B$573="Лікар-педіатр",IF(AG577&lt;Законод!$C$18,0,(IF(AND(AG577&gt;=Законод!$G$18,AG577&lt;=Законод!$G$19),AG577-Законод!$F$19,IF('01_Доходи'!AG577&gt;=Законод!$H$18,Законод!$G$20,0)))),IF($B$573="Лікар-терапевт",IF(AG577&lt;Законод!$C$26,0,(IF(AND(AG577&gt;=Законод!$G$26,AG577&lt;=Законод!$G$27),AG577-Законод!$F$27,IF('01_Доходи'!AG577&gt;=Законод!$H$26,Законод!$G$28,0)))),0)))</f>
        <v>0</v>
      </c>
      <c r="AH581" s="930"/>
      <c r="AI581" s="201"/>
      <c r="AJ581" s="933"/>
      <c r="AK581" s="927"/>
      <c r="AL581" s="927"/>
      <c r="AM581" s="899"/>
      <c r="AN581" s="210">
        <f ca="1">IF(B573="Лікар загальної практики - сімейний лікар",L581*Законод!$C$9/4*Законод!$G$16,IF(B573="Лікар-педіатр",L581*Законод!$C$9/4*Законод!$G$16,IF(B573="Лікар-терапевт",L581*Законод!$C$9/4*Законод!$G$16,0)))</f>
        <v>0</v>
      </c>
      <c r="AO581" s="210">
        <f ca="1">IF(B573="Лікар загальної практики - сімейний лікар",S581*Законод!$C$9/4*Законод!$G$16,IF(B573="Лікар-педіатр",S581*Законод!$C$9/4*Законод!$G$16,IF(B573="Лікар-терапевт",S581*Законод!$C$9/4*Законод!$G$16,0)))</f>
        <v>0</v>
      </c>
      <c r="AP581" s="210">
        <f ca="1">IF(B573="Лікар загальної практики - сімейний лікар",Z581*Законод!$C$9/4*Законод!$G$16,IF(B573="Лікар-педіатр",Z581*Законод!$C$9/4*Законод!$G$16,IF(B573="Лікар-терапевт",Z581*Законод!$C$9/4*Законод!$G$16,0)))</f>
        <v>0</v>
      </c>
      <c r="AQ581" s="210">
        <f ca="1">IF(B573="Лікар загальної практики - сімейний лікар",AG581*Законод!$C$9/4*Законод!$G$16,IF(B573="Лікар-педіатр",AG581*Законод!$C$9/4*Законод!$G$16,IF(B573="Лікар-терапевт",AG581*Законод!$C$9/4*Законод!$G$16,0)))</f>
        <v>0</v>
      </c>
      <c r="AR581" s="211">
        <f t="shared" si="71"/>
        <v>0</v>
      </c>
    </row>
    <row r="582" spans="1:44" s="50" customFormat="1" ht="31.9" hidden="1" customHeight="1">
      <c r="A582" s="197"/>
      <c r="B582" s="893"/>
      <c r="C582" s="896"/>
      <c r="D582" s="912"/>
      <c r="E582" s="909"/>
      <c r="F582" s="238" t="str">
        <f ca="1">IF(B573="Лікар-педіатр",Законод!$H$17,IF(B573="Лікар загальної практики - сімейний лікар",Законод!$H$21,IF(B573="Лікар-терапевт",Законод!$H$25,"х")))</f>
        <v>х</v>
      </c>
      <c r="G582" s="889" t="s">
        <v>346</v>
      </c>
      <c r="H582" s="890"/>
      <c r="I582" s="890"/>
      <c r="J582" s="890"/>
      <c r="K582" s="891"/>
      <c r="L582" s="196">
        <f ca="1">IF($B$573="Лікар загальної практики - сімейний лікар",IF(L577&lt;Законод!$C$22,0,(IF(AND(L577&gt;=Законод!$H$22,L577&lt;=Законод!$H$23),L577-Законод!$G$23,IF('01_Доходи'!L577&gt;=Законод!$I$22,Законод!$H$24,0)))),IF($B$573="Лікар-педіатр",IF(L577&lt;Законод!$C$18,0,(IF(AND(L577&gt;=Законод!$H$18,L577&lt;=Законод!$H$19),L577-Законод!$G$19,IF('01_Доходи'!L577&gt;=Законод!$I$18,Законод!$H$20,0)))),IF($B$573="Лікар-терапевт",IF(L577&lt;Законод!$C$26,0,(IF(AND(L577&gt;=Законод!$H$26,L577&lt;=Законод!$H$27),L577-Законод!$G$27,IF(L577&gt;=Законод!$I$26,Законод!$H$28,0)))),0)))</f>
        <v>0</v>
      </c>
      <c r="M582" s="930"/>
      <c r="N582" s="889" t="s">
        <v>346</v>
      </c>
      <c r="O582" s="890"/>
      <c r="P582" s="890"/>
      <c r="Q582" s="890"/>
      <c r="R582" s="891"/>
      <c r="S582" s="196">
        <f ca="1">IF($B$573="Лікар загальної практики - сімейний лікар",IF(S577&lt;Законод!$C$22,0,(IF(AND(S577&gt;=Законод!$H$22,S577&lt;=Законод!$H$23),S577-Законод!$G$23,IF('01_Доходи'!S577&gt;=Законод!$I$22,Законод!$H$24,0)))),IF($B$573="Лікар-педіатр",IF(S577&lt;Законод!$C$18,0,(IF(AND(S577&gt;=Законод!$H$18,S577&lt;=Законод!$H$19),S577-Законод!$G$19,IF('01_Доходи'!S577&gt;=Законод!$I$18,Законод!$H$20,0)))),IF($B$573="Лікар-терапевт",IF(S577&lt;Законод!$C$26,0,(IF(AND(S577&gt;=Законод!$H$26,S577&lt;=Законод!$H$27),S577-Законод!$G$27,IF(S577&gt;=Законод!$I$26,Законод!$H$28,0)))),0)))</f>
        <v>0</v>
      </c>
      <c r="T582" s="930"/>
      <c r="U582" s="889" t="s">
        <v>346</v>
      </c>
      <c r="V582" s="890"/>
      <c r="W582" s="890"/>
      <c r="X582" s="890"/>
      <c r="Y582" s="891"/>
      <c r="Z582" s="196">
        <f ca="1">IF($B$573="Лікар загальної практики - сімейний лікар",IF(Z577&lt;Законод!$C$22,0,(IF(AND(Z577&gt;=Законод!$H$22,Z577&lt;=Законод!$H$23),Z577-Законод!$G$23,IF('01_Доходи'!Z577&gt;=Законод!$I$22,Законод!$H$24,0)))),IF($B$573="Лікар-педіатр",IF(Z577&lt;Законод!$C$18,0,(IF(AND(Z577&gt;=Законод!$H$18,Z577&lt;=Законод!$H$19),Z577-Законод!$G$19,IF('01_Доходи'!Z577&gt;=Законод!$I$18,Законод!$H$20,0)))),IF($B$573="Лікар-терапевт",IF(Z577&lt;Законод!$C$26,0,(IF(AND(Z577&gt;=Законод!$H$26,Z577&lt;=Законод!$H$27),Z577-Законод!$G$27,IF(Z577&gt;=Законод!$I$26,Законод!$H$28,0)))),0)))</f>
        <v>0</v>
      </c>
      <c r="AA582" s="930"/>
      <c r="AB582" s="889" t="s">
        <v>346</v>
      </c>
      <c r="AC582" s="890"/>
      <c r="AD582" s="890"/>
      <c r="AE582" s="890"/>
      <c r="AF582" s="891"/>
      <c r="AG582" s="196">
        <f ca="1">IF($B$573="Лікар загальної практики - сімейний лікар",IF(AG577&lt;Законод!$C$22,0,(IF(AND(AG577&gt;=Законод!$H$22,AG577&lt;=Законод!$H$23),AG577-Законод!$G$23,IF('01_Доходи'!AG577&gt;=Законод!$I$22,Законод!$H$24,0)))),IF($B$573="Лікар-педіатр",IF(AG577&lt;Законод!$C$18,0,(IF(AND(AG577&gt;=Законод!$H$18,AG577&lt;=Законод!$H$19),AG577-Законод!$G$19,IF('01_Доходи'!AG577&gt;=Законод!$I$18,Законод!$H$20,0)))),IF($B$573="Лікар-терапевт",IF(AG577&lt;Законод!$C$26,0,(IF(AND(AG577&gt;=Законод!$H$26,AG577&lt;=Законод!$H$27),AG577-Законод!$G$27,IF(AG577&gt;=Законод!$I$26,Законод!$H$28,0)))),0)))</f>
        <v>0</v>
      </c>
      <c r="AH582" s="930"/>
      <c r="AI582" s="201"/>
      <c r="AJ582" s="933"/>
      <c r="AK582" s="927"/>
      <c r="AL582" s="927"/>
      <c r="AM582" s="899"/>
      <c r="AN582" s="210">
        <f ca="1">IF(B573="Лікар загальної практики - сімейний лікар",L582*Законод!$C$9/4*Законод!$H$16,IF(B573="Лікар-педіатр",L582*Законод!$C$9/4*Законод!$H$16,IF(B573="Лікар-терапевт",L582*Законод!$C$9/4*Законод!$H$16,0)))</f>
        <v>0</v>
      </c>
      <c r="AO582" s="210">
        <f ca="1">IF(B573="Лікар загальної практики - сімейний лікар",S582*Законод!$C$9/4*Законод!$H$16,IF(B573="Лікар-педіатр",S582*Законод!$C$9/4*Законод!$H$16,IF(B573="Лікар-терапевт",S582*Законод!$C$9/4*Законод!$H$16,0)))</f>
        <v>0</v>
      </c>
      <c r="AP582" s="210">
        <f ca="1">IF(B573="Лікар загальної практики - сімейний лікар",Z582*Законод!$C$9/4*Законод!$H$16,IF(B573="Лікар-педіатр",Z582*Законод!$C$9/4*Законод!$H$16,IF(B573="Лікар-терапевт",Z582*Законод!$C$9/4*Законод!$H$16,0)))</f>
        <v>0</v>
      </c>
      <c r="AQ582" s="210">
        <f ca="1">IF(B573="Лікар загальної практики - сімейний лікар",AG582*Законод!$C$9/4*Законод!$H$16,IF(B573="Лікар-педіатр",AG582*Законод!$C$9/4*Законод!$H$16,IF(B573="Лікар-терапевт",AG582*Законод!$C$9/4*Законод!$H$16,0)))</f>
        <v>0</v>
      </c>
      <c r="AR582" s="211">
        <f t="shared" si="71"/>
        <v>0</v>
      </c>
    </row>
    <row r="583" spans="1:44" s="50" customFormat="1" ht="31.9" hidden="1" customHeight="1">
      <c r="A583" s="197"/>
      <c r="B583" s="893"/>
      <c r="C583" s="896"/>
      <c r="D583" s="912"/>
      <c r="E583" s="909"/>
      <c r="F583" s="238" t="str">
        <f ca="1">IF(B573="Лікар-педіатр",Законод!$I$17,IF(B573="Лікар загальної практики - сімейний лікар",Законод!$I$21,IF(B573="Лікар-терапевт",Законод!$I$25,"х")))</f>
        <v>х</v>
      </c>
      <c r="G583" s="889" t="s">
        <v>346</v>
      </c>
      <c r="H583" s="890"/>
      <c r="I583" s="890"/>
      <c r="J583" s="890"/>
      <c r="K583" s="891"/>
      <c r="L583" s="196">
        <f ca="1">IF($B$573="Лікар загальної практики - сімейний лікар",IF(L577&lt;Законод!$C$22,0,(IF(AND(L577&gt;=Законод!$I$22,L577&lt;=Законод!$I$23),L577-Законод!$H$23,IF('01_Доходи'!L577&gt;=Законод!$I$22,Законод!$I$24,0)))),IF($B$573="Лікар-педіатр",IF(L577&lt;Законод!$C$18,0,(IF(AND(L577&gt;=Законод!$I$18,L577&lt;=Законод!$I$19),L577-Законод!$H$19,IF('01_Доходи'!L577&gt;=Законод!$I$18,Законод!$H$20,0)))),IF($B$573="Лікар-терапевт",IF(L577&lt;Законод!$C$26,0,(IF(AND(L577&gt;=Законод!$I$26,L577&lt;=Законод!$I$27),L577-Законод!$H$27,IF('01_Доходи'!L577&gt;=Законод!$I$26,Законод!$H$28,0)))),0)))</f>
        <v>0</v>
      </c>
      <c r="M583" s="930"/>
      <c r="N583" s="889" t="s">
        <v>346</v>
      </c>
      <c r="O583" s="890"/>
      <c r="P583" s="890"/>
      <c r="Q583" s="890"/>
      <c r="R583" s="891"/>
      <c r="S583" s="196">
        <f ca="1">IF($B$573="Лікар загальної практики - сімейний лікар",IF(S577&lt;Законод!$C$22,0,(IF(AND(S577&gt;=Законод!$I$22,S577&lt;=Законод!$I$23),S577-Законод!$H$23,IF('01_Доходи'!S577&gt;=Законод!$I$22,Законод!$I$24,0)))),IF($B$573="Лікар-педіатр",IF(S577&lt;Законод!$C$18,0,(IF(AND(S577&gt;=Законод!$I$18,S577&lt;=Законод!$I$19),S577-Законод!$H$19,IF('01_Доходи'!S577&gt;=Законод!$I$18,Законод!$H$20,0)))),IF($B$573="Лікар-терапевт",IF(S577&lt;Законод!$C$26,0,(IF(AND(S577&gt;=Законод!$I$26,S577&lt;=Законод!$I$27),S577-Законод!$H$27,IF('01_Доходи'!S577&gt;=Законод!$I$26,Законод!$H$28,0)))),0)))</f>
        <v>0</v>
      </c>
      <c r="T583" s="930"/>
      <c r="U583" s="889" t="s">
        <v>346</v>
      </c>
      <c r="V583" s="890"/>
      <c r="W583" s="890"/>
      <c r="X583" s="890"/>
      <c r="Y583" s="891"/>
      <c r="Z583" s="196">
        <f ca="1">IF($B$573="Лікар загальної практики - сімейний лікар",IF(Z577&lt;Законод!$C$22,0,(IF(AND(Z577&gt;=Законод!$I$22,Z577&lt;=Законод!$I$23),Z577-Законод!$H$23,IF('01_Доходи'!Z577&gt;=Законод!$I$22,Законод!$I$24,0)))),IF($B$573="Лікар-педіатр",IF(Z577&lt;Законод!$C$18,0,(IF(AND(Z577&gt;=Законод!$I$18,Z577&lt;=Законод!$I$19),Z577-Законод!$H$19,IF('01_Доходи'!Z577&gt;=Законод!$I$18,Законод!$H$20,0)))),IF($B$573="Лікар-терапевт",IF(Z577&lt;Законод!$C$26,0,(IF(AND(Z577&gt;=Законод!$I$26,Z577&lt;=Законод!$I$27),Z577-Законод!$H$27,IF('01_Доходи'!Z577&gt;=Законод!$I$26,Законод!$H$28,0)))),0)))</f>
        <v>0</v>
      </c>
      <c r="AA583" s="930"/>
      <c r="AB583" s="889" t="s">
        <v>346</v>
      </c>
      <c r="AC583" s="890"/>
      <c r="AD583" s="890"/>
      <c r="AE583" s="890"/>
      <c r="AF583" s="891"/>
      <c r="AG583" s="196">
        <f ca="1">IF($B$573="Лікар загальної практики - сімейний лікар",IF(AG577&lt;Законод!$C$22,0,(IF(AND(AG577&gt;=Законод!$I$22,AG577&lt;=Законод!$I$23),AG577-Законод!$H$23,IF('01_Доходи'!AG577&gt;=Законод!$I$22,Законод!$I$24,0)))),IF($B$573="Лікар-педіатр",IF(AG577&lt;Законод!$C$18,0,(IF(AND(AG577&gt;=Законод!$I$18,AG577&lt;=Законод!$I$19),AG577-Законод!$H$19,IF('01_Доходи'!AG577&gt;=Законод!$I$18,Законод!$H$20,0)))),IF($B$573="Лікар-терапевт",IF(AG577&lt;Законод!$C$26,0,(IF(AND(AG577&gt;=Законод!$I$26,AG577&lt;=Законод!$I$27),AG577-Законод!$H$27,IF('01_Доходи'!AG577&gt;=Законод!$I$26,Законод!$H$28,0)))),0)))</f>
        <v>0</v>
      </c>
      <c r="AH583" s="930"/>
      <c r="AI583" s="201"/>
      <c r="AJ583" s="933"/>
      <c r="AK583" s="927"/>
      <c r="AL583" s="927"/>
      <c r="AM583" s="899"/>
      <c r="AN583" s="210">
        <f ca="1">IF(B573="Лікар загальної практики - сімейний лікар",L583*Законод!$C$9/4*Законод!$I$16,IF(B573="Лікар-педіатр",L583*Законод!$C$9/4*Законод!$I$16,IF(B573="Лікар-терапевт",L583*Законод!$C$9/4*Законод!$I$16,0)))</f>
        <v>0</v>
      </c>
      <c r="AO583" s="210">
        <f ca="1">IF(B573="Лікар загальної практики - сімейний лікар",S583*Законод!$C$9/4*Законод!$I$16,IF(B573="Лікар-педіатр",S583*Законод!$C$9/4*Законод!$I$16,IF(B573="Лікар-терапевт",S583*Законод!$C$9/4*Законод!$I$16,0)))</f>
        <v>0</v>
      </c>
      <c r="AP583" s="210">
        <f ca="1">IF(B573="Лікар загальної практики - сімейний лікар",Z583*Законод!$C$9/4*Законод!$I$16,IF(B573="Лікар-педіатр",Z583*Законод!$C$9/4*Законод!$I$16,IF(B573="Лікар-терапевт",Z583*Законод!$C$9/4*Законод!$I$16,0)))</f>
        <v>0</v>
      </c>
      <c r="AQ583" s="210">
        <f ca="1">IF(B573="Лікар загальної практики - сімейний лікар",AG583*Законод!$C$9/4*Законод!$I$16,IF(B573="Лікар-педіатр",AG583*Законод!$C$9/4*Законод!$I$16,IF(B573="Лікар-терапевт",AG583*Законод!$C$9/4*Законод!$I$16,0)))</f>
        <v>0</v>
      </c>
      <c r="AR583" s="211">
        <f t="shared" si="71"/>
        <v>0</v>
      </c>
    </row>
    <row r="584" spans="1:44" s="218" customFormat="1" ht="31.9" hidden="1" customHeight="1" thickBot="1">
      <c r="A584" s="213"/>
      <c r="B584" s="894"/>
      <c r="C584" s="897"/>
      <c r="D584" s="913"/>
      <c r="E584" s="910"/>
      <c r="F584" s="239" t="str">
        <f ca="1">IF(B573="Лікар-педіатр",Законод!$J$17,IF(B573="Лікар загальної практики - сімейний лікар",Законод!$J$21,IF(B573="Лікар-терапевт",Законод!$J$25,"х")))</f>
        <v>х</v>
      </c>
      <c r="G584" s="935" t="s">
        <v>346</v>
      </c>
      <c r="H584" s="936"/>
      <c r="I584" s="936"/>
      <c r="J584" s="936"/>
      <c r="K584" s="937"/>
      <c r="L584" s="196">
        <f ca="1">IF($B$573="Лікар загальної практики - сімейний лікар",IF(L577&gt;=Законод!$J$22,'01_Доходи'!L577-('01_Доходи'!L578+'01_Доходи'!L579+'01_Доходи'!L580+'01_Доходи'!L581+'01_Доходи'!L582+'01_Доходи'!L583),0),IF($B$573="Лікар-педіатр",IF(L577&gt;=Законод!$J$18,'01_Доходи'!L577-('01_Доходи'!L578+'01_Доходи'!L579+'01_Доходи'!L580+'01_Доходи'!L581+'01_Доходи'!L582+'01_Доходи'!L583),0),IF($B$573="Лікар-терапевт",IF('01_Доходи'!L577&gt;=Законод!$J$26,L577-Законод!$I$27,0),0)))</f>
        <v>0</v>
      </c>
      <c r="M584" s="931"/>
      <c r="N584" s="935" t="s">
        <v>346</v>
      </c>
      <c r="O584" s="936"/>
      <c r="P584" s="936"/>
      <c r="Q584" s="936"/>
      <c r="R584" s="937"/>
      <c r="S584" s="196">
        <f ca="1">IF($B$573="Лікар загальної практики - сімейний лікар",IF(S577&gt;=Законод!$J$22,'01_Доходи'!S577-('01_Доходи'!S578+'01_Доходи'!S579+'01_Доходи'!S580+'01_Доходи'!S581+'01_Доходи'!S582+'01_Доходи'!S583),0),IF($B$573="Лікар-педіатр",IF(S577&gt;=Законод!$J$18,'01_Доходи'!S577-('01_Доходи'!S578+'01_Доходи'!S579+'01_Доходи'!S580+'01_Доходи'!S581+'01_Доходи'!S582+'01_Доходи'!S583),0),IF($B$573="Лікар-терапевт",IF('01_Доходи'!S577&gt;=Законод!$J$26,S577-Законод!$I$27,0),0)))</f>
        <v>0</v>
      </c>
      <c r="T584" s="931"/>
      <c r="U584" s="935" t="s">
        <v>346</v>
      </c>
      <c r="V584" s="936"/>
      <c r="W584" s="936"/>
      <c r="X584" s="936"/>
      <c r="Y584" s="937"/>
      <c r="Z584" s="196">
        <f ca="1">IF($B$573="Лікар загальної практики - сімейний лікар",IF(Z577&gt;=Законод!$J$22,'01_Доходи'!Z577-('01_Доходи'!Z578+'01_Доходи'!Z579+'01_Доходи'!Z580+'01_Доходи'!Z581+'01_Доходи'!Z582+'01_Доходи'!Z583),0),IF($B$573="Лікар-педіатр",IF(Z577&gt;=Законод!$J$18,'01_Доходи'!Z577-('01_Доходи'!Z578+'01_Доходи'!Z579+'01_Доходи'!Z580+'01_Доходи'!Z581+'01_Доходи'!Z582+'01_Доходи'!Z583),0),IF($B$573="Лікар-терапевт",IF('01_Доходи'!Z577&gt;=Законод!$J$26,Z577-Законод!$I$27,0),0)))</f>
        <v>0</v>
      </c>
      <c r="AA584" s="931"/>
      <c r="AB584" s="935" t="s">
        <v>346</v>
      </c>
      <c r="AC584" s="936"/>
      <c r="AD584" s="936"/>
      <c r="AE584" s="936"/>
      <c r="AF584" s="937"/>
      <c r="AG584" s="196">
        <f ca="1">IF($B$573="Лікар загальної практики - сімейний лікар",IF(AG577&gt;=Законод!$J$22,'01_Доходи'!AG577-('01_Доходи'!AG578+'01_Доходи'!AG579+'01_Доходи'!AG580+'01_Доходи'!AG581+'01_Доходи'!AG582+'01_Доходи'!AG583),0),IF($B$573="Лікар-педіатр",IF(AG577&gt;=Законод!$J$18,'01_Доходи'!AG577-('01_Доходи'!AG578+'01_Доходи'!AG579+'01_Доходи'!AG580+'01_Доходи'!AG581+'01_Доходи'!AG582+'01_Доходи'!AG583),0),IF($B$573="Лікар-терапевт",IF('01_Доходи'!AG577&gt;=Законод!$J$26,AG577-Законод!$I$27,0),0)))</f>
        <v>0</v>
      </c>
      <c r="AH584" s="931"/>
      <c r="AI584" s="215"/>
      <c r="AJ584" s="934"/>
      <c r="AK584" s="928"/>
      <c r="AL584" s="928"/>
      <c r="AM584" s="900"/>
      <c r="AN584" s="216">
        <f ca="1">IF(B573="Лікар загальної практики - сімейний лікар",L584*Законод!$C$9/4*Законод!$J$16,IF(B573="Лікар-педіатр",L584*Законод!$C$9/4*Законод!$J$16,IF(B573="Лікар-терапевт",L584*Законод!$C$9/4*Законод!$J$16,0)))</f>
        <v>0</v>
      </c>
      <c r="AO584" s="216">
        <f ca="1">IF(B573="Лікар загальної практики - сімейний лікар",S584*Законод!$C$9/4*Законод!$J$16,IF(B573="Лікар-педіатр",S584*Законод!$C$9/4*Законод!$J$16,IF(B573="Лікар-терапевт",S584*Законод!$C$9/4*Законод!$J$16,0)))</f>
        <v>0</v>
      </c>
      <c r="AP584" s="216">
        <f ca="1">IF(B573="Лікар загальної практики - сімейний лікар",S584*Законод!$C$9/4*Законод!$J$16,IF(B573="Лікар-педіатр",S584*Законод!$C$9/4*Законод!$J$16,IF(B573="Лікар-терапевт",S584*Законод!$C$9/4*Законод!$J$16,0)))</f>
        <v>0</v>
      </c>
      <c r="AQ584" s="216">
        <f ca="1">IF(B573="Лікар загальної практики - сімейний лікар",AG584*Законод!$C$9/4*Законод!$J$16,IF(B573="Лікар-педіатр",AG584*Законод!$C$9/4*Законод!$J$16,IF(B573="Лікар-терапевт",AG584*Законод!$C$9/4*Законод!$J$16,0)))</f>
        <v>0</v>
      </c>
      <c r="AR584" s="217">
        <f t="shared" si="71"/>
        <v>0</v>
      </c>
    </row>
    <row r="585" spans="1:44" s="247" customFormat="1" ht="23.45" hidden="1" customHeight="1" thickBot="1">
      <c r="A585" s="243"/>
      <c r="B585" s="244"/>
      <c r="C585" s="244"/>
      <c r="D585" s="244"/>
      <c r="E585" s="244"/>
      <c r="F585" s="245"/>
      <c r="G585" s="246"/>
      <c r="H585" s="246"/>
      <c r="L585" s="248"/>
      <c r="S585" s="248"/>
      <c r="Z585" s="248"/>
      <c r="AG585" s="248"/>
      <c r="AM585" s="249"/>
      <c r="AR585" s="250"/>
    </row>
    <row r="586" spans="1:44" s="191" customFormat="1" ht="24.6" hidden="1" customHeight="1">
      <c r="A586" s="194">
        <f>A573+1</f>
        <v>43</v>
      </c>
      <c r="B586" s="892"/>
      <c r="C586" s="895"/>
      <c r="D586" s="911"/>
      <c r="E586" s="908"/>
      <c r="F586" s="234" t="s">
        <v>582</v>
      </c>
      <c r="G586" s="196">
        <f>IF($B$586="Лікар-педіатр",G589*L586,IF($B$586="Лікар-терапевт","х",IF($B$586="Лікар загальної практики - сімейний лікар",G589*L586,0)))</f>
        <v>0</v>
      </c>
      <c r="H586" s="196">
        <f>IF($B$586="Лікар-педіатр",H589*L586,IF($B$586="Лікар-терапевт","х",IF($B$586="Лікар загальної практики - сімейний лікар",H589*L586,0)))</f>
        <v>0</v>
      </c>
      <c r="I586" s="196">
        <f>IF($B$586="Лікар-педіатр","x",IF($B$586="Лікар-терапевт",I589*L586,IF($B$586="Лікар загальної практики - сімейний лікар",I589*L586,0)))</f>
        <v>0</v>
      </c>
      <c r="J586" s="196">
        <f>IF($B$586="Лікар-педіатр","x",IF($B$586="Лікар-терапевт",J589*L586,IF($B$586="Лікар загальної практики - сімейний лікар",J589*L586,0)))</f>
        <v>0</v>
      </c>
      <c r="K586" s="196">
        <f>IF($B$586="Лікар-педіатр","x",IF($B$586="Лікар-терапевт",K589*L586,IF($B$586="Лікар загальної практики - сімейний лікар",K589*L586,0)))</f>
        <v>0</v>
      </c>
      <c r="L586" s="558"/>
      <c r="M586" s="929"/>
      <c r="N586" s="196">
        <f>IF($B$586="Лікар-педіатр",N589*S586,IF($B$586="Лікар-терапевт","х",IF($B$586="Лікар загальної практики - сімейний лікар",N589*S586,0)))</f>
        <v>0</v>
      </c>
      <c r="O586" s="196">
        <f>IF($B$586="Лікар-педіатр",O589*S586,IF($B$586="Лікар-терапевт","х",IF($B$586="Лікар загальної практики - сімейний лікар",O589*S586,0)))</f>
        <v>0</v>
      </c>
      <c r="P586" s="196">
        <f>IF($B$586="Лікар-педіатр","x",IF($B$586="Лікар-терапевт",P589*S586,IF($B$586="Лікар загальної практики - сімейний лікар",P589*S586,0)))</f>
        <v>0</v>
      </c>
      <c r="Q586" s="196">
        <f>IF($B$586="Лікар-педіатр","x",IF($B$586="Лікар-терапевт",Q589*S586,IF($B$586="Лікар загальної практики - сімейний лікар",Q589*S586,0)))</f>
        <v>0</v>
      </c>
      <c r="R586" s="196">
        <f>IF($B$586="Лікар-педіатр","x",IF($B$586="Лікар-терапевт",R589*S586,IF($B$586="Лікар загальної практики - сімейний лікар",R589*S586,0)))</f>
        <v>0</v>
      </c>
      <c r="S586" s="558"/>
      <c r="T586" s="929"/>
      <c r="U586" s="196">
        <f>IF($B$586="Лікар-педіатр",U589*Z586,IF($B$586="Лікар-терапевт","х",IF($B$586="Лікар загальної практики - сімейний лікар",U589*Z586,0)))</f>
        <v>0</v>
      </c>
      <c r="V586" s="196">
        <f>IF($B$586="Лікар-педіатр",V589*Z586,IF($B$586="Лікар-терапевт","х",IF($B$586="Лікар загальної практики - сімейний лікар",V589*Z586,0)))</f>
        <v>0</v>
      </c>
      <c r="W586" s="196">
        <f>IF($B$586="Лікар-педіатр","x",IF($B$586="Лікар-терапевт",W589*Z586,IF($B$586="Лікар загальної практики - сімейний лікар",W589*Z586,0)))</f>
        <v>0</v>
      </c>
      <c r="X586" s="196">
        <f>IF($B$586="Лікар-педіатр","x",IF($B$586="Лікар-терапевт",X589*Z586,IF($B$586="Лікар загальної практики - сімейний лікар",X589*Z586,0)))</f>
        <v>0</v>
      </c>
      <c r="Y586" s="196">
        <f>IF($B$586="Лікар-педіатр","x",IF($B$586="Лікар-терапевт",Y589*Z586,IF($B$586="Лікар загальної практики - сімейний лікар",Y589*Z586,0)))</f>
        <v>0</v>
      </c>
      <c r="Z586" s="558"/>
      <c r="AA586" s="929"/>
      <c r="AB586" s="196">
        <f>IF($B$586="Лікар-педіатр",AB589*AG586,IF($B$586="Лікар-терапевт","х",IF($B$586="Лікар загальної практики - сімейний лікар",AB589*AG586,0)))</f>
        <v>0</v>
      </c>
      <c r="AC586" s="196">
        <f>IF($B$586="Лікар-педіатр",AC589*AG586,IF($B$586="Лікар-терапевт","х",IF($B$586="Лікар загальної практики - сімейний лікар",AC589*AG586,0)))</f>
        <v>0</v>
      </c>
      <c r="AD586" s="196">
        <f>IF($B$586="Лікар-педіатр","x",IF($B$586="Лікар-терапевт",AD589*AG586,IF($B$586="Лікар загальної практики - сімейний лікар",AD589*AG586,0)))</f>
        <v>0</v>
      </c>
      <c r="AE586" s="196">
        <f>IF($B$586="Лікар-педіатр","x",IF($B$586="Лікар-терапевт",AE589*AG586,IF($B$586="Лікар загальної практики - сімейний лікар",AE589*AG586,0)))</f>
        <v>0</v>
      </c>
      <c r="AF586" s="196">
        <f>IF($B$586="Лікар-педіатр","x",IF($B$586="Лікар-терапевт",AF589*AG586,IF($B$586="Лікар загальної практики - сімейний лікар",AF589*AG586,0)))</f>
        <v>0</v>
      </c>
      <c r="AG586" s="558"/>
      <c r="AH586" s="929"/>
      <c r="AI586" s="541">
        <f>A586</f>
        <v>43</v>
      </c>
      <c r="AJ586" s="932">
        <f>B586</f>
        <v>0</v>
      </c>
      <c r="AK586" s="926">
        <f>C586</f>
        <v>0</v>
      </c>
      <c r="AL586" s="926">
        <f>D586</f>
        <v>0</v>
      </c>
      <c r="AM586" s="901" t="s">
        <v>785</v>
      </c>
      <c r="AN586" s="923">
        <f>SUM(AN591:AN597)</f>
        <v>0</v>
      </c>
      <c r="AO586" s="923">
        <f>SUM(AO591:AO597)</f>
        <v>0</v>
      </c>
      <c r="AP586" s="923">
        <f>SUM(AP591:AP597)</f>
        <v>0</v>
      </c>
      <c r="AQ586" s="923">
        <f>SUM(AQ591:AQ597)</f>
        <v>0</v>
      </c>
      <c r="AR586" s="914">
        <f>SUM(AN586:AQ590)</f>
        <v>0</v>
      </c>
    </row>
    <row r="587" spans="1:44" s="50" customFormat="1" ht="28.15" hidden="1" customHeight="1">
      <c r="A587" s="197"/>
      <c r="B587" s="893"/>
      <c r="C587" s="896"/>
      <c r="D587" s="912"/>
      <c r="E587" s="909"/>
      <c r="F587" s="234" t="s">
        <v>583</v>
      </c>
      <c r="G587" s="196">
        <f>IF($B$586="Лікар-педіатр",G589*L587,IF($B$586="Лікар-терапевт","х",IF($B$586="Лікар загальної практики - сімейний лікар",G589*L587,0)))</f>
        <v>0</v>
      </c>
      <c r="H587" s="196">
        <f>IF($B$586="Лікар-педіатр",H589*L587,IF($B$586="Лікар-терапевт","х",IF($B$586="Лікар загальної практики - сімейний лікар",H589*L587,0)))</f>
        <v>0</v>
      </c>
      <c r="I587" s="196">
        <f>IF($B$586="Лікар-педіатр","x",IF($B$586="Лікар-терапевт",I589*L587,IF($B$586="Лікар загальної практики - сімейний лікар",I589*L587,0)))</f>
        <v>0</v>
      </c>
      <c r="J587" s="196">
        <f>IF($B$586="Лікар-педіатр","x",IF($B$586="Лікар-терапевт",J589*L587,IF($B$586="Лікар загальної практики - сімейний лікар",J589*L587,0)))</f>
        <v>0</v>
      </c>
      <c r="K587" s="196">
        <f>IF($B$586="Лікар-педіатр","x",IF($B$586="Лікар-терапевт",K589*L587,IF($B$586="Лікар загальної практики - сімейний лікар",K589*L587,0)))</f>
        <v>0</v>
      </c>
      <c r="L587" s="558"/>
      <c r="M587" s="930"/>
      <c r="N587" s="196">
        <f>IF($B$586="Лікар-педіатр",N589*S587,IF($B$586="Лікар-терапевт","х",IF($B$586="Лікар загальної практики - сімейний лікар",N589*S587,0)))</f>
        <v>0</v>
      </c>
      <c r="O587" s="196">
        <f>IF($B$586="Лікар-педіатр",O589*S587,IF($B$586="Лікар-терапевт","х",IF($B$586="Лікар загальної практики - сімейний лікар",O589*S587,0)))</f>
        <v>0</v>
      </c>
      <c r="P587" s="196">
        <f>IF($B$586="Лікар-педіатр","x",IF($B$586="Лікар-терапевт",P589*S587,IF($B$586="Лікар загальної практики - сімейний лікар",P589*S587,0)))</f>
        <v>0</v>
      </c>
      <c r="Q587" s="196">
        <f>IF($B$586="Лікар-педіатр","x",IF($B$586="Лікар-терапевт",Q589*S587,IF($B$586="Лікар загальної практики - сімейний лікар",Q589*S587,0)))</f>
        <v>0</v>
      </c>
      <c r="R587" s="196">
        <f>IF($B$586="Лікар-педіатр","x",IF($B$586="Лікар-терапевт",R589*S587,IF($B$586="Лікар загальної практики - сімейний лікар",R589*S587,0)))</f>
        <v>0</v>
      </c>
      <c r="S587" s="558"/>
      <c r="T587" s="930"/>
      <c r="U587" s="196">
        <f>IF($B$586="Лікар-педіатр",U589*Z587,IF($B$586="Лікар-терапевт","х",IF($B$586="Лікар загальної практики - сімейний лікар",U589*Z587,0)))</f>
        <v>0</v>
      </c>
      <c r="V587" s="196">
        <f>IF($B$586="Лікар-педіатр",V589*Z587,IF($B$586="Лікар-терапевт","х",IF($B$586="Лікар загальної практики - сімейний лікар",V589*Z587,0)))</f>
        <v>0</v>
      </c>
      <c r="W587" s="196">
        <f>IF($B$586="Лікар-педіатр","x",IF($B$586="Лікар-терапевт",W589*Z587,IF($B$586="Лікар загальної практики - сімейний лікар",W589*Z587,0)))</f>
        <v>0</v>
      </c>
      <c r="X587" s="196">
        <f>IF($B$586="Лікар-педіатр","x",IF($B$586="Лікар-терапевт",X589*Z587,IF($B$586="Лікар загальної практики - сімейний лікар",X589*Z587,0)))</f>
        <v>0</v>
      </c>
      <c r="Y587" s="196">
        <f>IF($B$586="Лікар-педіатр","x",IF($B$586="Лікар-терапевт",Y589*Z587,IF($B$586="Лікар загальної практики - сімейний лікар",Y589*Z587,0)))</f>
        <v>0</v>
      </c>
      <c r="Z587" s="558"/>
      <c r="AA587" s="930"/>
      <c r="AB587" s="196">
        <f>IF($B$586="Лікар-педіатр",AB589*AG587,IF($B$586="Лікар-терапевт","х",IF($B$586="Лікар загальної практики - сімейний лікар",AB589*AG587,0)))</f>
        <v>0</v>
      </c>
      <c r="AC587" s="196">
        <f>IF($B$586="Лікар-педіатр",AC589*AG587,IF($B$586="Лікар-терапевт","х",IF($B$586="Лікар загальної практики - сімейний лікар",AC589*AG587,0)))</f>
        <v>0</v>
      </c>
      <c r="AD587" s="196">
        <f>IF($B$586="Лікар-педіатр","x",IF($B$586="Лікар-терапевт",AD589*AG587,IF($B$586="Лікар загальної практики - сімейний лікар",AD589*AG587,0)))</f>
        <v>0</v>
      </c>
      <c r="AE587" s="196">
        <f>IF($B$586="Лікар-педіатр","x",IF($B$586="Лікар-терапевт",AE589*AG587,IF($B$586="Лікар загальної практики - сімейний лікар",AE589*AG587,0)))</f>
        <v>0</v>
      </c>
      <c r="AF587" s="196">
        <f>IF($B$586="Лікар-педіатр","x",IF($B$586="Лікар-терапевт",AF589*AG587,IF($B$586="Лікар загальної практики - сімейний лікар",AF589*AG587,0)))</f>
        <v>0</v>
      </c>
      <c r="AG587" s="558"/>
      <c r="AH587" s="930"/>
      <c r="AI587" s="198"/>
      <c r="AJ587" s="933"/>
      <c r="AK587" s="927"/>
      <c r="AL587" s="927"/>
      <c r="AM587" s="902"/>
      <c r="AN587" s="924"/>
      <c r="AO587" s="924"/>
      <c r="AP587" s="924"/>
      <c r="AQ587" s="924"/>
      <c r="AR587" s="915"/>
    </row>
    <row r="588" spans="1:44" s="90" customFormat="1" ht="31.15" hidden="1" customHeight="1">
      <c r="A588" s="240"/>
      <c r="B588" s="893"/>
      <c r="C588" s="896"/>
      <c r="D588" s="912"/>
      <c r="E588" s="909"/>
      <c r="F588" s="241" t="s">
        <v>584</v>
      </c>
      <c r="G588" s="199">
        <f>IF(B586="Лікар загальної практики - сімейний лікар"," ",IF(B586="Лікар-педіатр"," ",IF(B586="Лікар-терапевт","х",0)))</f>
        <v>0</v>
      </c>
      <c r="H588" s="199">
        <f>IF(B586="Лікар загальної практики - сімейний лікар"," ",IF(B586="Лікар-педіатр"," ",IF(B586="Лікар-терапевт","х",0)))</f>
        <v>0</v>
      </c>
      <c r="I588" s="199">
        <f>IF(B586="Лікар загальної практики - сімейний лікар"," ",IF(B586="Лікар-педіатр","х",IF(B586="Лікар-терапевт"," ",0)))</f>
        <v>0</v>
      </c>
      <c r="J588" s="199">
        <f>IF(B586="Лікар загальної практики - сімейний лікар"," ",IF(B586="Лікар-педіатр","х",IF(B586="Лікар-терапевт"," ",0)))</f>
        <v>0</v>
      </c>
      <c r="K588" s="199">
        <f>IF(B586="Лікар загальної практики - сімейний лікар"," ",IF(B586="Лікар-педіатр","х",IF(B586="Лікар-терапевт"," ",0)))</f>
        <v>0</v>
      </c>
      <c r="L588" s="200">
        <f>SUM(G588:K588)</f>
        <v>0</v>
      </c>
      <c r="M588" s="930"/>
      <c r="N588" s="199">
        <f>IF(B586="Лікар загальної практики - сімейний лікар"," ",IF(B586="Лікар-педіатр"," ",IF(B586="Лікар-терапевт","х",0)))</f>
        <v>0</v>
      </c>
      <c r="O588" s="199">
        <f>IF(B586="Лікар загальної практики - сімейний лікар"," ",IF(B586="Лікар-педіатр"," ",IF(B586="Лікар-терапевт","х",0)))</f>
        <v>0</v>
      </c>
      <c r="P588" s="199">
        <f>IF(B586="Лікар загальної практики - сімейний лікар"," ",IF(B586="Лікар-педіатр","х",IF(B586="Лікар-терапевт"," ",0)))</f>
        <v>0</v>
      </c>
      <c r="Q588" s="199">
        <f>IF(B586="Лікар загальної практики - сімейний лікар"," ",IF(B586="Лікар-педіатр","х",IF(B586="Лікар-терапевт"," ",0)))</f>
        <v>0</v>
      </c>
      <c r="R588" s="199">
        <f>IF(B586="Лікар загальної практики - сімейний лікар"," ",IF(B586="Лікар-педіатр","х",IF(B586="Лікар-терапевт"," ",0)))</f>
        <v>0</v>
      </c>
      <c r="S588" s="200">
        <f>SUM(N588:R588)</f>
        <v>0</v>
      </c>
      <c r="T588" s="930"/>
      <c r="U588" s="199">
        <f>IF(B586="Лікар загальної практики - сімейний лікар"," ",IF(B586="Лікар-педіатр"," ",IF(B586="Лікар-терапевт","х",0)))</f>
        <v>0</v>
      </c>
      <c r="V588" s="199">
        <f>IF(B586="Лікар загальної практики - сімейний лікар"," ",IF(B586="Лікар-педіатр"," ",IF(B586="Лікар-терапевт","х",0)))</f>
        <v>0</v>
      </c>
      <c r="W588" s="199">
        <f>IF(B586="Лікар загальної практики - сімейний лікар"," ",IF(B586="Лікар-педіатр","х",IF(B586="Лікар-терапевт"," ",0)))</f>
        <v>0</v>
      </c>
      <c r="X588" s="199">
        <f>IF(B586="Лікар загальної практики - сімейний лікар"," ",IF(B586="Лікар-педіатр","х",IF(B586="Лікар-терапевт"," ",0)))</f>
        <v>0</v>
      </c>
      <c r="Y588" s="199">
        <f>IF(B586="Лікар загальної практики - сімейний лікар"," ",IF(B586="Лікар-педіатр","х",IF(B586="Лікар-терапевт"," ",0)))</f>
        <v>0</v>
      </c>
      <c r="Z588" s="200">
        <f>SUM(U588:Y588)</f>
        <v>0</v>
      </c>
      <c r="AA588" s="930"/>
      <c r="AB588" s="199">
        <f>IF(B586="Лікар загальної практики - сімейний лікар"," ",IF(B586="Лікар-педіатр"," ",IF(B586="Лікар-терапевт","х",0)))</f>
        <v>0</v>
      </c>
      <c r="AC588" s="199">
        <f>IF(B586="Лікар загальної практики - сімейний лікар"," ",IF(B586="Лікар-педіатр"," ",IF(B586="Лікар-терапевт","х",0)))</f>
        <v>0</v>
      </c>
      <c r="AD588" s="199">
        <f>IF(B586="Лікар загальної практики - сімейний лікар"," ",IF(B586="Лікар-педіатр","х",IF(B586="Лікар-терапевт"," ",0)))</f>
        <v>0</v>
      </c>
      <c r="AE588" s="199">
        <f>IF(B586="Лікар загальної практики - сімейний лікар"," ",IF(B586="Лікар-педіатр","х",IF(B586="Лікар-терапевт"," ",0)))</f>
        <v>0</v>
      </c>
      <c r="AF588" s="199">
        <f>IF(B586="Лікар загальної практики - сімейний лікар"," ",IF(B586="Лікар-педіатр","х",IF(B586="Лікар-терапевт"," ",0)))</f>
        <v>0</v>
      </c>
      <c r="AG588" s="200">
        <f>SUM(AB588:AF588)</f>
        <v>0</v>
      </c>
      <c r="AH588" s="930"/>
      <c r="AI588" s="242"/>
      <c r="AJ588" s="933"/>
      <c r="AK588" s="927"/>
      <c r="AL588" s="927"/>
      <c r="AM588" s="902"/>
      <c r="AN588" s="924"/>
      <c r="AO588" s="924"/>
      <c r="AP588" s="924"/>
      <c r="AQ588" s="924"/>
      <c r="AR588" s="915"/>
    </row>
    <row r="589" spans="1:44" s="50" customFormat="1" ht="31.9" hidden="1" customHeight="1" thickBot="1">
      <c r="A589" s="197"/>
      <c r="B589" s="893"/>
      <c r="C589" s="896"/>
      <c r="D589" s="912"/>
      <c r="E589" s="909"/>
      <c r="F589" s="236" t="s">
        <v>349</v>
      </c>
      <c r="G589" s="203">
        <f>IF($B$586="Лікар-педіатр",G588/L588,IF($B$586="Лікар-терапевт","х",IF($B$586="Лікар загальної практики - сімейний лікар",G588/L588,0)))</f>
        <v>0</v>
      </c>
      <c r="H589" s="203">
        <f>IF($B$586="Лікар-педіатр",H588/L588,IF($B$586="Лікар-терапевт","х",IF($B$586="Лікар загальної практики - сімейний лікар",H588/L588,0)))</f>
        <v>0</v>
      </c>
      <c r="I589" s="203">
        <f>IF($B$586="Лікар-педіатр","x",IF($B$586="Лікар-терапевт",I588/L588,IF($B$586="Лікар загальної практики - сімейний лікар",I588/L588,0)))</f>
        <v>0</v>
      </c>
      <c r="J589" s="203">
        <f>IF($B$586="Лікар-педіатр","x",IF($B$586="Лікар-терапевт",J588/L588,IF($B$586="Лікар загальної практики - сімейний лікар",J588/L588,0)))</f>
        <v>0</v>
      </c>
      <c r="K589" s="203">
        <f>IF($B$586="Лікар-педіатр","x",IF($B$586="Лікар-терапевт",K588/L588,IF($B$586="Лікар загальної практики - сімейний лікар",K588/L588,0)))</f>
        <v>0</v>
      </c>
      <c r="L589" s="203">
        <f>SUM(G589:K589)</f>
        <v>0</v>
      </c>
      <c r="M589" s="930"/>
      <c r="N589" s="203">
        <f>IF($B$586="Лікар-педіатр",N588/S588,IF($B$586="Лікар-терапевт","х",IF($B$586="Лікар загальної практики - сімейний лікар",N588/S588,0)))</f>
        <v>0</v>
      </c>
      <c r="O589" s="203">
        <f>IF($B$586="Лікар-педіатр",O588/S588,IF($B$586="Лікар-терапевт","х",IF($B$586="Лікар загальної практики - сімейний лікар",O588/S588,0)))</f>
        <v>0</v>
      </c>
      <c r="P589" s="203">
        <f>IF($B$586="Лікар-педіатр","x",IF($B$586="Лікар-терапевт",P588/S588,IF($B$586="Лікар загальної практики - сімейний лікар",P588/S588,0)))</f>
        <v>0</v>
      </c>
      <c r="Q589" s="203">
        <f>IF($B$586="Лікар-педіатр","x",IF($B$586="Лікар-терапевт",Q588/S588,IF($B$586="Лікар загальної практики - сімейний лікар",Q588/S588,0)))</f>
        <v>0</v>
      </c>
      <c r="R589" s="203">
        <f>IF($B$586="Лікар-педіатр","x",IF($B$586="Лікар-терапевт",R588/S588,IF($B$586="Лікар загальної практики - сімейний лікар",R588/S588,0)))</f>
        <v>0</v>
      </c>
      <c r="S589" s="203">
        <f>SUM(N589:R589)</f>
        <v>0</v>
      </c>
      <c r="T589" s="930"/>
      <c r="U589" s="203">
        <f>IF($B$586="Лікар-педіатр",U588/Z588,IF($B$586="Лікар-терапевт","х",IF($B$586="Лікар загальної практики - сімейний лікар",U588/Z588,0)))</f>
        <v>0</v>
      </c>
      <c r="V589" s="203">
        <f>IF($B$586="Лікар-педіатр",V588/Z588,IF($B$586="Лікар-терапевт","х",IF($B$586="Лікар загальної практики - сімейний лікар",V588/Z588,0)))</f>
        <v>0</v>
      </c>
      <c r="W589" s="203">
        <f>IF($B$586="Лікар-педіатр","x",IF($B$586="Лікар-терапевт",W588/Z588,IF($B$586="Лікар загальної практики - сімейний лікар",W588/Z588,0)))</f>
        <v>0</v>
      </c>
      <c r="X589" s="203">
        <f>IF($B$586="Лікар-педіатр","x",IF($B$586="Лікар-терапевт",X588/Z588,IF($B$586="Лікар загальної практики - сімейний лікар",X588/Z588,0)))</f>
        <v>0</v>
      </c>
      <c r="Y589" s="203">
        <f>IF($B$586="Лікар-педіатр","x",IF($B$586="Лікар-терапевт",Y588/Z588,IF($B$586="Лікар загальної практики - сімейний лікар",Y588/Z588,0)))</f>
        <v>0</v>
      </c>
      <c r="Z589" s="203">
        <f>SUM(U589:Y589)</f>
        <v>0</v>
      </c>
      <c r="AA589" s="930"/>
      <c r="AB589" s="203">
        <f>IF($B$586="Лікар-педіатр",AB588/AG588,IF($B$586="Лікар-терапевт","х",IF($B$586="Лікар загальної практики - сімейний лікар",AB588/AG588,0)))</f>
        <v>0</v>
      </c>
      <c r="AC589" s="203">
        <f>IF($B$586="Лікар-педіатр",AC588/AG588,IF($B$586="Лікар-терапевт","х",IF($B$586="Лікар загальної практики - сімейний лікар",AC588/AG588,0)))</f>
        <v>0</v>
      </c>
      <c r="AD589" s="203">
        <f>IF($B$586="Лікар-педіатр","x",IF($B$586="Лікар-терапевт",AD588/AG588,IF($B$586="Лікар загальної практики - сімейний лікар",AD588/AG588,0)))</f>
        <v>0</v>
      </c>
      <c r="AE589" s="203">
        <f>IF($B$586="Лікар-педіатр","x",IF($B$586="Лікар-терапевт",AE588/AG588,IF($B$586="Лікар загальної практики - сімейний лікар",AE588/AG588,0)))</f>
        <v>0</v>
      </c>
      <c r="AF589" s="203">
        <f>IF($B$586="Лікар-педіатр","x",IF($B$586="Лікар-терапевт",AF588/AG588,IF($B$586="Лікар загальної практики - сімейний лікар",AF588/AG588,0)))</f>
        <v>0</v>
      </c>
      <c r="AG589" s="203">
        <f>SUM(AB589:AF589)</f>
        <v>0</v>
      </c>
      <c r="AH589" s="930"/>
      <c r="AI589" s="201"/>
      <c r="AJ589" s="933"/>
      <c r="AK589" s="927"/>
      <c r="AL589" s="927"/>
      <c r="AM589" s="902"/>
      <c r="AN589" s="924"/>
      <c r="AO589" s="924"/>
      <c r="AP589" s="924"/>
      <c r="AQ589" s="924"/>
      <c r="AR589" s="915"/>
    </row>
    <row r="590" spans="1:44" s="50" customFormat="1" ht="45" hidden="1" customHeight="1" thickBot="1">
      <c r="A590" s="197"/>
      <c r="B590" s="893"/>
      <c r="C590" s="896"/>
      <c r="D590" s="912"/>
      <c r="E590" s="909"/>
      <c r="F590" s="204" t="s">
        <v>585</v>
      </c>
      <c r="G590" s="205">
        <f>IF($B$586="Лікар загальної практики - сімейний лікар",AVERAGE(G586:G588),IF($B$586="Лікар-педіатр",AVERAGE(G586:G588),IF($B$586="Лікар-терапевт","х",0)))</f>
        <v>0</v>
      </c>
      <c r="H590" s="205">
        <f>IF($B$586="Лікар загальної практики - сімейний лікар",AVERAGE(H586:H588),IF($B$586="Лікар-педіатр",AVERAGE(H586:H588),IF($B$586="Лікар-терапевт","х",0)))</f>
        <v>0</v>
      </c>
      <c r="I590" s="205">
        <f>IF($B$586="Лікар загальної практики - сімейний лікар",AVERAGE(I586:I588),IF($B$586="Лікар-педіатр","x",IF($B$586="Лікар-терапевт",AVERAGE(I586:I588),0)))</f>
        <v>0</v>
      </c>
      <c r="J590" s="205">
        <f>IF($B$586="Лікар загальної практики - сімейний лікар",AVERAGE(J586:J588),IF($B$586="Лікар-педіатр","x",IF($B$586="Лікар-терапевт",AVERAGE(J586:J588),0)))</f>
        <v>0</v>
      </c>
      <c r="K590" s="205">
        <f>IF($B$586="Лікар загальної практики - сімейний лікар",AVERAGE(K586:K588),IF($B$586="Лікар-педіатр","x",IF($B$586="Лікар-терапевт",AVERAGE(K586:K588),0)))</f>
        <v>0</v>
      </c>
      <c r="L590" s="206">
        <f>SUM(G590:K590)</f>
        <v>0</v>
      </c>
      <c r="M590" s="930"/>
      <c r="N590" s="205">
        <f>IF($B$586="Лікар загальної практики - сімейний лікар",AVERAGE(N586:N588),IF($B$586="Лікар-педіатр",AVERAGE(N586:N588),IF($B$586="Лікар-терапевт","х",0)))</f>
        <v>0</v>
      </c>
      <c r="O590" s="205">
        <f>IF($B$586="Лікар загальної практики - сімейний лікар",AVERAGE(O586:O588),IF($B$586="Лікар-педіатр",AVERAGE(O586:O588),IF($B$586="Лікар-терапевт","х",0)))</f>
        <v>0</v>
      </c>
      <c r="P590" s="205">
        <f>IF($B$586="Лікар загальної практики - сімейний лікар",AVERAGE(P586:P588),IF($B$586="Лікар-педіатр","x",IF($B$586="Лікар-терапевт",AVERAGE(P586:P588),0)))</f>
        <v>0</v>
      </c>
      <c r="Q590" s="205">
        <f>IF($B$586="Лікар загальної практики - сімейний лікар",AVERAGE(Q586:Q588),IF($B$586="Лікар-педіатр","x",IF($B$586="Лікар-терапевт",AVERAGE(Q586:Q588),0)))</f>
        <v>0</v>
      </c>
      <c r="R590" s="205">
        <f>IF($B$586="Лікар загальної практики - сімейний лікар",AVERAGE(R586:R588),IF($B$586="Лікар-педіатр","x",IF($B$586="Лікар-терапевт",AVERAGE(R586:R588),0)))</f>
        <v>0</v>
      </c>
      <c r="S590" s="206">
        <f>SUM(N590:R590)</f>
        <v>0</v>
      </c>
      <c r="T590" s="930"/>
      <c r="U590" s="205">
        <f>IF($B$586="Лікар загальної практики - сімейний лікар",AVERAGE(U586:U588),IF($B$586="Лікар-педіатр",AVERAGE(U586:U588),IF($B$586="Лікар-терапевт","х",0)))</f>
        <v>0</v>
      </c>
      <c r="V590" s="205">
        <f>IF($B$586="Лікар загальної практики - сімейний лікар",AVERAGE(V586:V588),IF($B$586="Лікар-педіатр",AVERAGE(V586:V588),IF($B$586="Лікар-терапевт","х",0)))</f>
        <v>0</v>
      </c>
      <c r="W590" s="205">
        <f>IF($B$586="Лікар загальної практики - сімейний лікар",AVERAGE(W586:W588),IF($B$586="Лікар-педіатр","x",IF($B$586="Лікар-терапевт",AVERAGE(W586:W588),0)))</f>
        <v>0</v>
      </c>
      <c r="X590" s="205">
        <f>IF($B$586="Лікар загальної практики - сімейний лікар",AVERAGE(X586:X588),IF($B$586="Лікар-педіатр","x",IF($B$586="Лікар-терапевт",AVERAGE(X586:X588),0)))</f>
        <v>0</v>
      </c>
      <c r="Y590" s="205">
        <f>IF($B$586="Лікар загальної практики - сімейний лікар",AVERAGE(Y586:Y588),IF($B$586="Лікар-педіатр","x",IF($B$586="Лікар-терапевт",AVERAGE(Y586:Y588),0)))</f>
        <v>0</v>
      </c>
      <c r="Z590" s="206">
        <f>SUM(U590:Y590)</f>
        <v>0</v>
      </c>
      <c r="AA590" s="930"/>
      <c r="AB590" s="205">
        <f>IF($B$586="Лікар загальної практики - сімейний лікар",AVERAGE(AB586:AB588),IF($B$586="Лікар-педіатр",AVERAGE(AB586:AB588),IF($B$586="Лікар-терапевт","х",0)))</f>
        <v>0</v>
      </c>
      <c r="AC590" s="205">
        <f>IF($B$586="Лікар загальної практики - сімейний лікар",AVERAGE(AC586:AC588),IF($B$586="Лікар-педіатр",AVERAGE(AC586:AC588),IF($B$586="Лікар-терапевт","х",0)))</f>
        <v>0</v>
      </c>
      <c r="AD590" s="205">
        <f>IF($B$586="Лікар загальної практики - сімейний лікар",AVERAGE(AD586:AD588),IF($B$586="Лікар-педіатр","x",IF($B$586="Лікар-терапевт",AVERAGE(AD586:AD588),0)))</f>
        <v>0</v>
      </c>
      <c r="AE590" s="205">
        <f>IF($B$586="Лікар загальної практики - сімейний лікар",AVERAGE(AE586:AE588),IF($B$586="Лікар-педіатр","x",IF($B$586="Лікар-терапевт",AVERAGE(AE586:AE588),0)))</f>
        <v>0</v>
      </c>
      <c r="AF590" s="205">
        <f>IF($B$586="Лікар загальної практики - сімейний лікар",AVERAGE(AF586:AF588),IF($B$586="Лікар-педіатр","x",IF($B$586="Лікар-терапевт",AVERAGE(AF586:AF588),0)))</f>
        <v>0</v>
      </c>
      <c r="AG590" s="206">
        <f>SUM(AB590:AF590)</f>
        <v>0</v>
      </c>
      <c r="AH590" s="930"/>
      <c r="AI590" s="201"/>
      <c r="AJ590" s="933"/>
      <c r="AK590" s="927"/>
      <c r="AL590" s="927"/>
      <c r="AM590" s="903"/>
      <c r="AN590" s="925"/>
      <c r="AO590" s="925"/>
      <c r="AP590" s="925"/>
      <c r="AQ590" s="925"/>
      <c r="AR590" s="916"/>
    </row>
    <row r="591" spans="1:44" s="50" customFormat="1" ht="40.5" hidden="1">
      <c r="A591" s="197"/>
      <c r="B591" s="893"/>
      <c r="C591" s="896"/>
      <c r="D591" s="912"/>
      <c r="E591" s="909"/>
      <c r="F591" s="237" t="str">
        <f ca="1">IF(B586="Лікар-педіатр",Законод!$C$17,IF(B586="Лікар загальної практики - сімейний лікар",Законод!$C$21,IF(B586="Лікар-терапевт",Законод!$C$25,"х")))</f>
        <v>х</v>
      </c>
      <c r="G591" s="208">
        <f ca="1">IF($B$586="Лікар загальної практики - сімейний лікар",IF(L590&lt;=Законод!$C$22,G590,Законод!$C$22*'01_Доходи'!G589),IF($B$586="Лікар-педіатр",IF(L590&lt;=Законод!$C$18,G590,Законод!$C$18*'01_Доходи'!G589),IF($B$586="Лікар-терапевт","x",0)))</f>
        <v>0</v>
      </c>
      <c r="H591" s="208">
        <f ca="1">IF($B$586="Лікар загальної практики - сімейний лікар",IF(L590&lt;=Законод!$C$22,H590,Законод!$C$22*'01_Доходи'!H589),IF($B$586="Лікар-педіатр",IF(L590&lt;=Законод!$C$18,H590,Законод!$C$18*'01_Доходи'!H589),IF($B$586="Лікар-терапевт","x",0)))</f>
        <v>0</v>
      </c>
      <c r="I591" s="208">
        <f ca="1">IF($B$586="Лікар загальної практики - сімейний лікар",IF(L590&lt;=Законод!$C$22,I590,Законод!$C$22*'01_Доходи'!I589),IF($B$586="Лікар-педіатр","x",IF($B$586="Лікар-терапевт",IF(L590&lt;=Законод!$C$26,I590,Законод!$C$26*'01_Доходи'!I589),0)))</f>
        <v>0</v>
      </c>
      <c r="J591" s="208">
        <f ca="1">IF($B$586="Лікар загальної практики - сімейний лікар",IF(L590&lt;=Законод!$C$22,J590,Законод!$C$22*'01_Доходи'!J589),IF($B$586="Лікар-педіатр","x",IF($B$586="Лікар-терапевт",IF(L590&lt;=Законод!$C$26,J590,Законод!$C$26*'01_Доходи'!J589),0)))</f>
        <v>0</v>
      </c>
      <c r="K591" s="208">
        <f ca="1">IF($B$586="Лікар загальної практики - сімейний лікар",IF(L590&lt;=Законод!$C$22,K590,Законод!$C$22*'01_Доходи'!K589),IF($B$586="Лікар-педіатр","x",IF($B$586="Лікар-терапевт",IF(L590&lt;=Законод!$C$26,K590,Законод!$C$26*'01_Доходи'!K589),0)))</f>
        <v>0</v>
      </c>
      <c r="L591" s="209">
        <f ca="1">SUM(G591:K591)</f>
        <v>0</v>
      </c>
      <c r="M591" s="930"/>
      <c r="N591" s="208">
        <f ca="1">IF($B$586="Лікар загальної практики - сімейний лікар",IF(S590&lt;=Законод!$C$22,N590,Законод!$C$22*'01_Доходи'!N589),IF($B$586="Лікар-педіатр",IF(S590&lt;=Законод!$C$18,N590,Законод!$C$18*'01_Доходи'!N589),IF($B$586="Лікар-терапевт","x",0)))</f>
        <v>0</v>
      </c>
      <c r="O591" s="208">
        <f ca="1">IF($B$586="Лікар загальної практики - сімейний лікар",IF(S590&lt;=Законод!$C$22,O590,Законод!$C$22*'01_Доходи'!O589),IF($B$586="Лікар-педіатр",IF(S590&lt;=Законод!$C$18,O590,Законод!$C$18*'01_Доходи'!O589),IF($B$586="Лікар-терапевт","x",0)))</f>
        <v>0</v>
      </c>
      <c r="P591" s="208">
        <f ca="1">IF($B$586="Лікар загальної практики - сімейний лікар",IF(S590&lt;=Законод!$C$22,P590,Законод!$C$22*'01_Доходи'!P589),IF($B$586="Лікар-педіатр","x",IF($B$586="Лікар-терапевт",IF(S590&lt;=Законод!$C$26,P590,Законод!$C$26*'01_Доходи'!P589),0)))</f>
        <v>0</v>
      </c>
      <c r="Q591" s="208">
        <f ca="1">IF($B$586="Лікар загальної практики - сімейний лікар",IF(S590&lt;=Законод!$C$22,Q590,Законод!$C$22*'01_Доходи'!Q589),IF($B$586="Лікар-педіатр","x",IF($B$586="Лікар-терапевт",IF(S590&lt;=Законод!$C$26,Q590,Законод!$C$26*'01_Доходи'!Q589),0)))</f>
        <v>0</v>
      </c>
      <c r="R591" s="208">
        <f ca="1">IF($B$586="Лікар загальної практики - сімейний лікар",IF(S590&lt;=Законод!$C$22,R590,Законод!$C$22*'01_Доходи'!R589),IF($B$586="Лікар-педіатр","x",IF($B$586="Лікар-терапевт",IF(S590&lt;=Законод!$C$26,R590,Законод!$C$26*'01_Доходи'!R589),0)))</f>
        <v>0</v>
      </c>
      <c r="S591" s="209">
        <f ca="1">SUM(N591:R591)</f>
        <v>0</v>
      </c>
      <c r="T591" s="930"/>
      <c r="U591" s="208">
        <f ca="1">IF($B$586="Лікар загальної практики - сімейний лікар",IF(Z590&lt;=Законод!$C$22,U590,Законод!$C$22*'01_Доходи'!U589),IF($B$586="Лікар-педіатр",IF(Z590&lt;=Законод!$C$18,U590,Законод!$C$18*'01_Доходи'!U589),IF($B$586="Лікар-терапевт","x",0)))</f>
        <v>0</v>
      </c>
      <c r="V591" s="208">
        <f ca="1">IF($B$586="Лікар загальної практики - сімейний лікар",IF(Z590&lt;=Законод!$C$22,V590,Законод!$C$22*'01_Доходи'!V589),IF($B$586="Лікар-педіатр",IF(Z590&lt;=Законод!$C$18,V590,Законод!$C$18*'01_Доходи'!V589),IF($B$586="Лікар-терапевт","x",0)))</f>
        <v>0</v>
      </c>
      <c r="W591" s="208">
        <f ca="1">IF($B$586="Лікар загальної практики - сімейний лікар",IF(Z590&lt;=Законод!$C$22,W590,Законод!$C$22*'01_Доходи'!W589),IF($B$586="Лікар-педіатр","x",IF($B$586="Лікар-терапевт",IF(Z590&lt;=Законод!$C$26,W590,Законод!$C$26*'01_Доходи'!W589),0)))</f>
        <v>0</v>
      </c>
      <c r="X591" s="208">
        <f ca="1">IF($B$586="Лікар загальної практики - сімейний лікар",IF(Z590&lt;=Законод!$C$22,X590,Законод!$C$22*'01_Доходи'!X589),IF($B$586="Лікар-педіатр","x",IF($B$586="Лікар-терапевт",IF(Z590&lt;=Законод!$C$26,X590,Законод!$C$26*'01_Доходи'!X589),0)))</f>
        <v>0</v>
      </c>
      <c r="Y591" s="208">
        <f ca="1">IF($B$586="Лікар загальної практики - сімейний лікар",IF(Z590&lt;=Законод!$C$22,Y590,Законод!$C$22*'01_Доходи'!Y589),IF($B$586="Лікар-педіатр","x",IF($B$586="Лікар-терапевт",IF(Z590&lt;=Законод!$C$26,Y590,Законод!$C$26*'01_Доходи'!Y589),0)))</f>
        <v>0</v>
      </c>
      <c r="Z591" s="209">
        <f ca="1">SUM(U591:Y591)</f>
        <v>0</v>
      </c>
      <c r="AA591" s="930"/>
      <c r="AB591" s="208">
        <f ca="1">IF($B$586="Лікар загальної практики - сімейний лікар",IF(AG590&lt;=Законод!$C$22,AB590,Законод!$C$22*'01_Доходи'!AB589),IF($B$586="Лікар-педіатр",IF(AG590&lt;=Законод!$C$18,AB590,Законод!$C$18*'01_Доходи'!AB589),IF($B$586="Лікар-терапевт","x",0)))</f>
        <v>0</v>
      </c>
      <c r="AC591" s="208">
        <f ca="1">IF($B$586="Лікар загальної практики - сімейний лікар",IF(AG590&lt;=Законод!$C$22,AC590,Законод!$C$22*'01_Доходи'!AC589),IF($B$586="Лікар-педіатр",IF(AG590&lt;=Законод!$C$18,AC590,Законод!$C$18*'01_Доходи'!AC589),IF($B$586="Лікар-терапевт","x",0)))</f>
        <v>0</v>
      </c>
      <c r="AD591" s="208">
        <f ca="1">IF($B$586="Лікар загальної практики - сімейний лікар",IF(AG590&lt;=Законод!$C$22,AD590,Законод!$C$22*'01_Доходи'!AD589),IF($B$586="Лікар-педіатр","x",IF($B$586="Лікар-терапевт",IF(AG590&lt;=Законод!$C$26,AD590,Законод!$C$26*'01_Доходи'!AD589),0)))</f>
        <v>0</v>
      </c>
      <c r="AE591" s="208">
        <f ca="1">IF($B$586="Лікар загальної практики - сімейний лікар",IF(AG590&lt;=Законод!$C$22,AE590,Законод!$C$22*'01_Доходи'!AE589),IF($B$586="Лікар-педіатр","x",IF($B$586="Лікар-терапевт",IF(AG590&lt;=Законод!$C$26,AE590,Законод!$C$26*'01_Доходи'!AE589),0)))</f>
        <v>0</v>
      </c>
      <c r="AF591" s="208">
        <f ca="1">IF($B$586="Лікар загальної практики - сімейний лікар",IF(AG590&lt;=Законод!$C$22,AF590,Законод!$C$22*'01_Доходи'!AF589),IF($B$586="Лікар-педіатр","x",IF($B$586="Лікар-терапевт",IF(AG590&lt;=Законод!$C$26,AF590,Законод!$C$26*'01_Доходи'!AF589),0)))</f>
        <v>0</v>
      </c>
      <c r="AG591" s="209">
        <f ca="1">SUM(AB591:AF591)</f>
        <v>0</v>
      </c>
      <c r="AH591" s="930"/>
      <c r="AI591" s="201"/>
      <c r="AJ591" s="933"/>
      <c r="AK591" s="927"/>
      <c r="AL591" s="927"/>
      <c r="AM591" s="348" t="s">
        <v>374</v>
      </c>
      <c r="AN591" s="210">
        <f ca="1">IF(B586="Лікар загальної практики - сімейний лікар",G591*Законод!$C$11+'01_Доходи'!H591*Законод!$D$11+'01_Доходи'!I591*Законод!$E$11+'01_Доходи'!J591*Законод!$F$11+'01_Доходи'!K591*Законод!$G$11,IF(B586="Лікар-педіатр",G591*Законод!$C$11+'01_Доходи'!H591*Законод!$D$11,IF(B586="Лікар-терапевт",'01_Доходи'!I591*Законод!$E$11+'01_Доходи'!J591*Законод!$F$11+'01_Доходи'!K591*Законод!$G$11,0)))</f>
        <v>0</v>
      </c>
      <c r="AO591" s="210">
        <f ca="1">IF(B586="Лікар загальної практики - сімейний лікар",N591*Законод!$C$11+'01_Доходи'!O591*Законод!$D$11+'01_Доходи'!P591*Законод!$E$11+'01_Доходи'!Q591*Законод!$F$11+'01_Доходи'!R591*Законод!$G$11,IF(B586="Лікар-педіатр",N591*Законод!$C$11+'01_Доходи'!O591*Законод!$D$11,IF(B586="Лікар-терапевт",'01_Доходи'!P591*Законод!$E$11+'01_Доходи'!Q591*Законод!$F$11+'01_Доходи'!R591*Законод!$G$11,0)))</f>
        <v>0</v>
      </c>
      <c r="AP591" s="210">
        <f ca="1">IF(B586="Лікар загальної практики - сімейний лікар",U591*Законод!$C$11+'01_Доходи'!V591*Законод!$D$11+'01_Доходи'!W591*Законод!$E$11+'01_Доходи'!X591*Законод!$F$11+'01_Доходи'!Y591*Законод!$G$11,IF(B586="Лікар-педіатр",U591*Законод!$C$11+'01_Доходи'!V591*Законод!$D$11,IF(B586="Лікар-терапевт",'01_Доходи'!W591*Законод!$E$11+'01_Доходи'!X591*Законод!$F$11+'01_Доходи'!Y591*Законод!$G$11,0)))</f>
        <v>0</v>
      </c>
      <c r="AQ591" s="210">
        <f ca="1">IF(B586="Лікар загальної практики - сімейний лікар",AB591*Законод!$C$11+'01_Доходи'!AC591*Законод!$D$11+'01_Доходи'!AD591*Законод!$E$11+'01_Доходи'!AE591*Законод!$F$11+'01_Доходи'!AF591*Законод!$G$11,IF(B586="Лікар-педіатр",AB591*Законод!$C$11+'01_Доходи'!AC591*Законод!$D$11,IF(B586="Лікар-терапевт",'01_Доходи'!AD591*Законод!$E$11+'01_Доходи'!AE591*Законод!$F$11+'01_Доходи'!AF591*Законод!$G$11,0)))</f>
        <v>0</v>
      </c>
      <c r="AR591" s="211">
        <f t="shared" ref="AR591:AR597" si="72">SUM(AN591:AQ591)</f>
        <v>0</v>
      </c>
    </row>
    <row r="592" spans="1:44" s="50" customFormat="1" ht="31.9" hidden="1" customHeight="1">
      <c r="A592" s="197"/>
      <c r="B592" s="893"/>
      <c r="C592" s="896"/>
      <c r="D592" s="912"/>
      <c r="E592" s="909"/>
      <c r="F592" s="238" t="str">
        <f ca="1">IF(B586="Лікар-педіатр",Законод!$E$17,IF(B586="Лікар загальної практики - сімейний лікар",Законод!$E$21,IF(B586="Лікар-терапевт",Законод!$E$25,"х")))</f>
        <v>х</v>
      </c>
      <c r="G592" s="889" t="s">
        <v>346</v>
      </c>
      <c r="H592" s="890"/>
      <c r="I592" s="890"/>
      <c r="J592" s="890"/>
      <c r="K592" s="891"/>
      <c r="L592" s="196">
        <f ca="1">IF($B$586="Лікар загальної практики - сімейний лікар",IF(L590&lt;Законод!$C$22,0,(IF(AND(L590&gt;=Законод!$E$22,L590&lt;=Законод!$E$23),L590-Законод!$C$22,IF('01_Доходи'!L590&gt;=Законод!$F$22,Законод!$E$24,0)))),IF($B$586="Лікар-педіатр",IF(L590&lt;Законод!$C$18,0,(IF(AND(L590&gt;=Законод!$E$18,L590&lt;=Законод!$E$19),L590-Законод!$C$18,IF('01_Доходи'!L590&gt;=Законод!$F$18,Законод!$E$20,0)))),IF($B$586="Лікар-терапевт",IF(L590&lt;Законод!$C$26,0,(IF(AND(L590&gt;=Законод!$E$26,L590&lt;=Законод!$E$27),L590-Законод!$C$26,IF('01_Доходи'!L590&gt;=Законод!$F$26,Законод!$E$28,0)))),0)))</f>
        <v>0</v>
      </c>
      <c r="M592" s="930"/>
      <c r="N592" s="889" t="s">
        <v>346</v>
      </c>
      <c r="O592" s="890"/>
      <c r="P592" s="890"/>
      <c r="Q592" s="890"/>
      <c r="R592" s="891"/>
      <c r="S592" s="196">
        <f ca="1">IF($B$586="Лікар загальної практики - сімейний лікар",IF(S590&lt;Законод!$C$22,0,(IF(AND(S590&gt;=Законод!$E$22,S590&lt;=Законод!$E$23),S590-Законод!$C$22,IF('01_Доходи'!S590&gt;=Законод!$F$22,Законод!$E$24,0)))),IF($B$586="Лікар-педіатр",IF(S590&lt;Законод!$C$18,0,(IF(AND(S590&gt;=Законод!$E$18,S590&lt;=Законод!$E$19),S590-Законод!$C$18,IF('01_Доходи'!S590&gt;=Законод!$F$18,Законод!$E$20,0)))),IF($B$586="Лікар-терапевт",IF(S590&lt;Законод!$C$26,0,(IF(AND(S590&gt;=Законод!$E$26,S590&lt;=Законод!$E$27),S590-Законод!$C$26,IF('01_Доходи'!S590&gt;=Законод!$F$26,Законод!$E$28,0)))),0)))</f>
        <v>0</v>
      </c>
      <c r="T592" s="930"/>
      <c r="U592" s="889" t="s">
        <v>346</v>
      </c>
      <c r="V592" s="890"/>
      <c r="W592" s="890"/>
      <c r="X592" s="890"/>
      <c r="Y592" s="891"/>
      <c r="Z592" s="196">
        <f ca="1">IF($B$586="Лікар загальної практики - сімейний лікар",IF(Z590&lt;Законод!$C$22,0,(IF(AND(Z590&gt;=Законод!$E$22,Z590&lt;=Законод!$E$23),Z590-Законод!$C$22,IF('01_Доходи'!Z590&gt;=Законод!$F$22,Законод!$E$24,0)))),IF($B$586="Лікар-педіатр",IF(Z590&lt;Законод!$C$18,0,(IF(AND(Z590&gt;=Законод!$E$18,Z590&lt;=Законод!$E$19),Z590-Законод!$C$18,IF('01_Доходи'!Z590&gt;=Законод!$F$18,Законод!$E$20,0)))),IF($B$586="Лікар-терапевт",IF(Z590&lt;Законод!$C$26,0,(IF(AND(Z590&gt;=Законод!$E$26,Z590&lt;=Законод!$E$27),Z590-Законод!$C$26,IF('01_Доходи'!Z590&gt;=Законод!$F$26,Законод!$E$28,0)))),0)))</f>
        <v>0</v>
      </c>
      <c r="AA592" s="930"/>
      <c r="AB592" s="889" t="s">
        <v>346</v>
      </c>
      <c r="AC592" s="890"/>
      <c r="AD592" s="890"/>
      <c r="AE592" s="890"/>
      <c r="AF592" s="891"/>
      <c r="AG592" s="196">
        <f ca="1">IF($B$586="Лікар загальної практики - сімейний лікар",IF(AG590&lt;Законод!$C$22,0,(IF(AND(AG590&gt;=Законод!$E$22,AG590&lt;=Законод!$E$23),AG590-Законод!$C$22,IF('01_Доходи'!AG590&gt;=Законод!$F$22,Законод!$E$24,0)))),IF($B$586="Лікар-педіатр",IF(AG590&lt;Законод!$C$18,0,(IF(AND(AG590&gt;=Законод!$E$18,AG590&lt;=Законод!$E$19),AG590-Законод!$C$18,IF('01_Доходи'!AG590&gt;=Законод!$F$18,Законод!$E$20,0)))),IF($B$586="Лікар-терапевт",IF(AG590&lt;Законод!$C$26,0,(IF(AND(AG590&gt;=Законод!$E$26,AG590&lt;=Законод!$E$27),AG590-Законод!$C$26,IF('01_Доходи'!AG590&gt;=Законод!$F$26,Законод!$E$28,0)))),0)))</f>
        <v>0</v>
      </c>
      <c r="AH592" s="930"/>
      <c r="AI592" s="201"/>
      <c r="AJ592" s="933"/>
      <c r="AK592" s="927"/>
      <c r="AL592" s="927"/>
      <c r="AM592" s="898" t="s">
        <v>375</v>
      </c>
      <c r="AN592" s="210">
        <f ca="1">IF(B586="Лікар загальної практики - сімейний лікар",L592*Законод!$C$9/4*Законод!$E$16,IF(B586="Лікар-педіатр",L592*Законод!$C$9/4*Законод!$E$16,IF(B586="Лікар-терапевт",L592*Законод!$C$9/4*Законод!$E$16,0)))</f>
        <v>0</v>
      </c>
      <c r="AO592" s="210">
        <f ca="1">IF(B586="Лікар загальної практики - сімейний лікар",S592*Законод!$C$9/4*Законод!$E$16,IF(B586="Лікар-педіатр",S592*Законод!$C$9/4*Законод!$E$16,IF(B586="Лікар-терапевт",S592*Законод!$C$9/4*Законод!$E$16,0)))</f>
        <v>0</v>
      </c>
      <c r="AP592" s="210">
        <f ca="1">IF(B586="Лікар загальної практики - сімейний лікар",Z592*Законод!$C$9/4*Законод!$E$16,IF(B586="Лікар-педіатр",Z592*Законод!$C$9/4*Законод!$E$16,IF(B586="Лікар-терапевт",Z592*Законод!$C$9/4*Законод!$E$16,0)))</f>
        <v>0</v>
      </c>
      <c r="AQ592" s="210">
        <f ca="1">IF(B586="Лікар загальної практики - сімейний лікар",AG592*Законод!$C$9/4*Законод!$E$16,IF(B586="Лікар-педіатр",AG592*Законод!$C$9/4*Законод!$E$16,IF(B586="Лікар-терапевт",AG592*Законод!$C$9/4*Законод!$E$16,0)))</f>
        <v>0</v>
      </c>
      <c r="AR592" s="211">
        <f t="shared" si="72"/>
        <v>0</v>
      </c>
    </row>
    <row r="593" spans="1:44" s="50" customFormat="1" ht="31.9" hidden="1" customHeight="1">
      <c r="A593" s="197"/>
      <c r="B593" s="893"/>
      <c r="C593" s="896"/>
      <c r="D593" s="912"/>
      <c r="E593" s="909"/>
      <c r="F593" s="238" t="str">
        <f ca="1">IF(B586="Лікар-педіатр",Законод!$F$17,IF(B586="Лікар загальної практики - сімейний лікар",Законод!$F$21,IF(B586="Лікар-терапевт",Законод!$F$25,"х")))</f>
        <v>х</v>
      </c>
      <c r="G593" s="889" t="s">
        <v>346</v>
      </c>
      <c r="H593" s="890"/>
      <c r="I593" s="890"/>
      <c r="J593" s="890"/>
      <c r="K593" s="891"/>
      <c r="L593" s="196">
        <f ca="1">IF($B$586="Лікар загальної практики - сімейний лікар",IF(L590&lt;Законод!$C$22,0,(IF(AND(L590&gt;=Законод!$F$22,L590&lt;=Законод!$F$23),L590-Законод!$E$23,IF('01_Доходи'!L590&gt;=Законод!$G$22,Законод!$F$24,0)))),IF($B$586="Лікар-педіатр",IF(L590&lt;Законод!$C$18,0,(IF(AND(L590&gt;=Законод!$F$18,L590&lt;=Законод!$F$19),L590-Законод!$E$19,IF('01_Доходи'!L590&gt;=Законод!$G$18,Законод!$F$20,0)))),IF($B$586="Лікар-терапевт",IF(L590&lt;Законод!$C$26,0,(IF(AND(L590&gt;=Законод!$F$26,L590&lt;=Законод!$F$27),L590-Законод!$E$27,IF('01_Доходи'!L590&gt;=Законод!$G$26,Законод!$F$28,0)))),0)))</f>
        <v>0</v>
      </c>
      <c r="M593" s="930"/>
      <c r="N593" s="889" t="s">
        <v>346</v>
      </c>
      <c r="O593" s="890"/>
      <c r="P593" s="890"/>
      <c r="Q593" s="890"/>
      <c r="R593" s="891"/>
      <c r="S593" s="196">
        <f ca="1">IF($B$586="Лікар загальної практики - сімейний лікар",IF(S590&lt;Законод!$C$22,0,(IF(AND(S590&gt;=Законод!$F$22,S590&lt;=Законод!$F$23),S590-Законод!$E$23,IF('01_Доходи'!S590&gt;=Законод!$G$22,Законод!$F$24,0)))),IF($B$586="Лікар-педіатр",IF(S590&lt;Законод!$C$18,0,(IF(AND(S590&gt;=Законод!$F$18,S590&lt;=Законод!$F$19),S590-Законод!$E$19,IF('01_Доходи'!S590&gt;=Законод!$G$18,Законод!$F$20,0)))),IF($B$586="Лікар-терапевт",IF(S590&lt;Законод!$C$26,0,(IF(AND(S590&gt;=Законод!$F$26,S590&lt;=Законод!$F$27),S590-Законод!$E$27,IF('01_Доходи'!S590&gt;=Законод!$G$26,Законод!$F$28,0)))),0)))</f>
        <v>0</v>
      </c>
      <c r="T593" s="930"/>
      <c r="U593" s="889" t="s">
        <v>346</v>
      </c>
      <c r="V593" s="890"/>
      <c r="W593" s="890"/>
      <c r="X593" s="890"/>
      <c r="Y593" s="891"/>
      <c r="Z593" s="196">
        <f ca="1">IF($B$586="Лікар загальної практики - сімейний лікар",IF(Z590&lt;Законод!$C$22,0,(IF(AND(Z590&gt;=Законод!$F$22,Z590&lt;=Законод!$F$23),Z590-Законод!$E$23,IF('01_Доходи'!Z590&gt;=Законод!$G$22,Законод!$F$24,0)))),IF($B$586="Лікар-педіатр",IF(Z590&lt;Законод!$C$18,0,(IF(AND(Z590&gt;=Законод!$F$18,Z590&lt;=Законод!$F$19),Z590-Законод!$E$19,IF('01_Доходи'!Z590&gt;=Законод!$G$18,Законод!$F$20,0)))),IF($B$586="Лікар-терапевт",IF(Z590&lt;Законод!$C$26,0,(IF(AND(Z590&gt;=Законод!$F$26,Z590&lt;=Законод!$F$27),Z590-Законод!$E$27,IF('01_Доходи'!Z590&gt;=Законод!$G$26,Законод!$F$28,0)))),0)))</f>
        <v>0</v>
      </c>
      <c r="AA593" s="930"/>
      <c r="AB593" s="889" t="s">
        <v>346</v>
      </c>
      <c r="AC593" s="890"/>
      <c r="AD593" s="890"/>
      <c r="AE593" s="890"/>
      <c r="AF593" s="891"/>
      <c r="AG593" s="196">
        <f ca="1">IF($B$586="Лікар загальної практики - сімейний лікар",IF(AG590&lt;Законод!$C$22,0,(IF(AND(AG590&gt;=Законод!$F$22,AG590&lt;=Законод!$F$23),AG590-Законод!$E$23,IF('01_Доходи'!AG590&gt;=Законод!$G$22,Законод!$F$24,0)))),IF($B$586="Лікар-педіатр",IF(AG590&lt;Законод!$C$18,0,(IF(AND(AG590&gt;=Законод!$F$18,AG590&lt;=Законод!$F$19),AG590-Законод!$E$19,IF('01_Доходи'!AG590&gt;=Законод!$G$18,Законод!$F$20,0)))),IF($B$586="Лікар-терапевт",IF(AG590&lt;Законод!$C$26,0,(IF(AND(AG590&gt;=Законод!$F$26,AG590&lt;=Законод!$F$27),AG590-Законод!$E$27,IF('01_Доходи'!AG590&gt;=Законод!$G$26,Законод!$F$28,0)))),0)))</f>
        <v>0</v>
      </c>
      <c r="AH593" s="930"/>
      <c r="AI593" s="201"/>
      <c r="AJ593" s="933"/>
      <c r="AK593" s="927"/>
      <c r="AL593" s="927"/>
      <c r="AM593" s="899"/>
      <c r="AN593" s="210">
        <f ca="1">IF(B586="Лікар загальної практики - сімейний лікар",L593*Законод!$C$9/4*Законод!$F$16,IF(B586="Лікар-педіатр",L593*Законод!$C$9/4*Законод!$F$16,IF(B586="Лікар-терапевт",L593*Законод!$C$9/4*Законод!$F$16,0)))</f>
        <v>0</v>
      </c>
      <c r="AO593" s="210">
        <f ca="1">IF(B586="Лікар загальної практики - сімейний лікар",S593*Законод!$C$9/4*Законод!$F$16,IF(B586="Лікар-педіатр",S593*Законод!$C$9/4*Законод!$F$16,IF(B586="Лікар-терапевт",S593*Законод!$C$9/4*Законод!$F$16,0)))</f>
        <v>0</v>
      </c>
      <c r="AP593" s="210">
        <f ca="1">IF(B586="Лікар загальної практики - сімейний лікар",Z593*Законод!$C$9/4*Законод!$F$16,IF(B586="Лікар-педіатр",Z593*Законод!$C$9/4*Законод!$F$16,IF(B586="Лікар-терапевт",Z593*Законод!$C$9/4*Законод!$F$16,0)))</f>
        <v>0</v>
      </c>
      <c r="AQ593" s="210">
        <f ca="1">IF(B586="Лікар загальної практики - сімейний лікар",AG593*Законод!$C$9/4*Законод!$F$16,IF(B586="Лікар-педіатр",AG593*Законод!$C$9/4*Законод!$F$16,IF(B586="Лікар-терапевт",AG593*Законод!$C$9/4*Законод!$F$16,0)))</f>
        <v>0</v>
      </c>
      <c r="AR593" s="211">
        <f t="shared" si="72"/>
        <v>0</v>
      </c>
    </row>
    <row r="594" spans="1:44" s="50" customFormat="1" ht="31.9" hidden="1" customHeight="1">
      <c r="A594" s="197"/>
      <c r="B594" s="893"/>
      <c r="C594" s="896"/>
      <c r="D594" s="912"/>
      <c r="E594" s="909"/>
      <c r="F594" s="238" t="str">
        <f ca="1">IF(B586="Лікар-педіатр",Законод!$G$17,IF(B586="Лікар загальної практики - сімейний лікар",Законод!$G$21,IF(B586="Лікар-терапевт",Законод!$G$25,"х")))</f>
        <v>х</v>
      </c>
      <c r="G594" s="889" t="s">
        <v>346</v>
      </c>
      <c r="H594" s="890"/>
      <c r="I594" s="890"/>
      <c r="J594" s="890"/>
      <c r="K594" s="891"/>
      <c r="L594" s="196">
        <f ca="1">IF($B$586="Лікар загальної практики - сімейний лікар",IF(L590&lt;Законод!$C$22,0,(IF(AND(L590&gt;=Законод!$G$22,L590&lt;=Законод!$G$23),L590-Законод!$F$23,IF('01_Доходи'!L590&gt;=Законод!$H$22,Законод!$G$24,0)))),IF($B$586="Лікар-педіатр",IF(L590&lt;Законод!$C$18,0,(IF(AND(L590&gt;=Законод!$G$18,L590&lt;=Законод!$G$19),L590-Законод!$F$19,IF('01_Доходи'!L590&gt;=Законод!$H$18,Законод!$G$20,0)))),IF($B$586="Лікар-терапевт",IF(L590&lt;Законод!$C$26,0,(IF(AND(L590&gt;=Законод!$G$26,L590&lt;=Законод!$G$27),L590-Законод!$F$27,IF('01_Доходи'!L590&gt;=Законод!$H$26,Законод!$G$28,0)))),0)))</f>
        <v>0</v>
      </c>
      <c r="M594" s="930"/>
      <c r="N594" s="889" t="s">
        <v>346</v>
      </c>
      <c r="O594" s="890"/>
      <c r="P594" s="890"/>
      <c r="Q594" s="890"/>
      <c r="R594" s="891"/>
      <c r="S594" s="196">
        <f ca="1">IF($B$586="Лікар загальної практики - сімейний лікар",IF(S590&lt;Законод!$C$22,0,(IF(AND(S590&gt;=Законод!$G$22,S590&lt;=Законод!$G$23),S590-Законод!$F$23,IF('01_Доходи'!S590&gt;=Законод!$H$22,Законод!$G$24,0)))),IF($B$586="Лікар-педіатр",IF(S590&lt;Законод!$C$18,0,(IF(AND(S590&gt;=Законод!$G$18,S590&lt;=Законод!$G$19),S590-Законод!$F$19,IF('01_Доходи'!S590&gt;=Законод!$H$18,Законод!$G$20,0)))),IF($B$586="Лікар-терапевт",IF(S590&lt;Законод!$C$26,0,(IF(AND(S590&gt;=Законод!$G$26,S590&lt;=Законод!$G$27),S590-Законод!$F$27,IF('01_Доходи'!S590&gt;=Законод!$H$26,Законод!$G$28,0)))),0)))</f>
        <v>0</v>
      </c>
      <c r="T594" s="930"/>
      <c r="U594" s="889" t="s">
        <v>346</v>
      </c>
      <c r="V594" s="890"/>
      <c r="W594" s="890"/>
      <c r="X594" s="890"/>
      <c r="Y594" s="891"/>
      <c r="Z594" s="196">
        <f ca="1">IF($B$586="Лікар загальної практики - сімейний лікар",IF(Z590&lt;Законод!$C$22,0,(IF(AND(Z590&gt;=Законод!$G$22,Z590&lt;=Законод!$G$23),Z590-Законод!$F$23,IF('01_Доходи'!Z590&gt;=Законод!$H$22,Законод!$G$24,0)))),IF($B$586="Лікар-педіатр",IF(Z590&lt;Законод!$C$18,0,(IF(AND(Z590&gt;=Законод!$G$18,Z590&lt;=Законод!$G$19),Z590-Законод!$F$19,IF('01_Доходи'!Z590&gt;=Законод!$H$18,Законод!$G$20,0)))),IF($B$586="Лікар-терапевт",IF(Z590&lt;Законод!$C$26,0,(IF(AND(Z590&gt;=Законод!$G$26,Z590&lt;=Законод!$G$27),Z590-Законод!$F$27,IF('01_Доходи'!Z590&gt;=Законод!$H$26,Законод!$G$28,0)))),0)))</f>
        <v>0</v>
      </c>
      <c r="AA594" s="930"/>
      <c r="AB594" s="889" t="s">
        <v>346</v>
      </c>
      <c r="AC594" s="890"/>
      <c r="AD594" s="890"/>
      <c r="AE594" s="890"/>
      <c r="AF594" s="891"/>
      <c r="AG594" s="196">
        <f ca="1">IF($B$586="Лікар загальної практики - сімейний лікар",IF(AG590&lt;Законод!$C$22,0,(IF(AND(AG590&gt;=Законод!$G$22,AG590&lt;=Законод!$G$23),AG590-Законод!$F$23,IF('01_Доходи'!AG590&gt;=Законод!$H$22,Законод!$G$24,0)))),IF($B$586="Лікар-педіатр",IF(AG590&lt;Законод!$C$18,0,(IF(AND(AG590&gt;=Законод!$G$18,AG590&lt;=Законод!$G$19),AG590-Законод!$F$19,IF('01_Доходи'!AG590&gt;=Законод!$H$18,Законод!$G$20,0)))),IF($B$586="Лікар-терапевт",IF(AG590&lt;Законод!$C$26,0,(IF(AND(AG590&gt;=Законод!$G$26,AG590&lt;=Законод!$G$27),AG590-Законод!$F$27,IF('01_Доходи'!AG590&gt;=Законод!$H$26,Законод!$G$28,0)))),0)))</f>
        <v>0</v>
      </c>
      <c r="AH594" s="930"/>
      <c r="AI594" s="201"/>
      <c r="AJ594" s="933"/>
      <c r="AK594" s="927"/>
      <c r="AL594" s="927"/>
      <c r="AM594" s="899"/>
      <c r="AN594" s="210">
        <f ca="1">IF(B586="Лікар загальної практики - сімейний лікар",L594*Законод!$C$9/4*Законод!$G$16,IF(B586="Лікар-педіатр",L594*Законод!$C$9/4*Законод!$G$16,IF(B586="Лікар-терапевт",L594*Законод!$C$9/4*Законод!$G$16,0)))</f>
        <v>0</v>
      </c>
      <c r="AO594" s="210">
        <f ca="1">IF(B586="Лікар загальної практики - сімейний лікар",S594*Законод!$C$9/4*Законод!$G$16,IF(B586="Лікар-педіатр",S594*Законод!$C$9/4*Законод!$G$16,IF(B586="Лікар-терапевт",S594*Законод!$C$9/4*Законод!$G$16,0)))</f>
        <v>0</v>
      </c>
      <c r="AP594" s="210">
        <f ca="1">IF(B586="Лікар загальної практики - сімейний лікар",Z594*Законод!$C$9/4*Законод!$G$16,IF(B586="Лікар-педіатр",Z594*Законод!$C$9/4*Законод!$G$16,IF(B586="Лікар-терапевт",Z594*Законод!$C$9/4*Законод!$G$16,0)))</f>
        <v>0</v>
      </c>
      <c r="AQ594" s="210">
        <f ca="1">IF(B586="Лікар загальної практики - сімейний лікар",AG594*Законод!$C$9/4*Законод!$G$16,IF(B586="Лікар-педіатр",AG594*Законод!$C$9/4*Законод!$G$16,IF(B586="Лікар-терапевт",AG594*Законод!$C$9/4*Законод!$G$16,0)))</f>
        <v>0</v>
      </c>
      <c r="AR594" s="211">
        <f t="shared" si="72"/>
        <v>0</v>
      </c>
    </row>
    <row r="595" spans="1:44" s="50" customFormat="1" ht="31.9" hidden="1" customHeight="1">
      <c r="A595" s="197"/>
      <c r="B595" s="893"/>
      <c r="C595" s="896"/>
      <c r="D595" s="912"/>
      <c r="E595" s="909"/>
      <c r="F595" s="238" t="str">
        <f ca="1">IF(B586="Лікар-педіатр",Законод!$H$17,IF(B586="Лікар загальної практики - сімейний лікар",Законод!$H$21,IF(B586="Лікар-терапевт",Законод!$H$25,"х")))</f>
        <v>х</v>
      </c>
      <c r="G595" s="889" t="s">
        <v>346</v>
      </c>
      <c r="H595" s="890"/>
      <c r="I595" s="890"/>
      <c r="J595" s="890"/>
      <c r="K595" s="891"/>
      <c r="L595" s="196">
        <f ca="1">IF($B$586="Лікар загальної практики - сімейний лікар",IF(L590&lt;Законод!$C$22,0,(IF(AND(L590&gt;=Законод!$H$22,L590&lt;=Законод!$H$23),L590-Законод!$G$23,IF('01_Доходи'!L590&gt;=Законод!$I$22,Законод!$H$24,0)))),IF($B$586="Лікар-педіатр",IF(L590&lt;Законод!$C$18,0,(IF(AND(L590&gt;=Законод!$H$18,L590&lt;=Законод!$H$19),L590-Законод!$G$19,IF('01_Доходи'!L590&gt;=Законод!$I$18,Законод!$H$20,0)))),IF($B$586="Лікар-терапевт",IF(L590&lt;Законод!$C$26,0,(IF(AND(L590&gt;=Законод!$H$26,L590&lt;=Законод!$H$27),L590-Законод!$G$27,IF(L590&gt;=Законод!$I$26,Законод!$H$28,0)))),0)))</f>
        <v>0</v>
      </c>
      <c r="M595" s="930"/>
      <c r="N595" s="889" t="s">
        <v>346</v>
      </c>
      <c r="O595" s="890"/>
      <c r="P595" s="890"/>
      <c r="Q595" s="890"/>
      <c r="R595" s="891"/>
      <c r="S595" s="196">
        <f ca="1">IF($B$586="Лікар загальної практики - сімейний лікар",IF(S590&lt;Законод!$C$22,0,(IF(AND(S590&gt;=Законод!$H$22,S590&lt;=Законод!$H$23),S590-Законод!$G$23,IF('01_Доходи'!S590&gt;=Законод!$I$22,Законод!$H$24,0)))),IF($B$586="Лікар-педіатр",IF(S590&lt;Законод!$C$18,0,(IF(AND(S590&gt;=Законод!$H$18,S590&lt;=Законод!$H$19),S590-Законод!$G$19,IF('01_Доходи'!S590&gt;=Законод!$I$18,Законод!$H$20,0)))),IF($B$586="Лікар-терапевт",IF(S590&lt;Законод!$C$26,0,(IF(AND(S590&gt;=Законод!$H$26,S590&lt;=Законод!$H$27),S590-Законод!$G$27,IF(S590&gt;=Законод!$I$26,Законод!$H$28,0)))),0)))</f>
        <v>0</v>
      </c>
      <c r="T595" s="930"/>
      <c r="U595" s="889" t="s">
        <v>346</v>
      </c>
      <c r="V595" s="890"/>
      <c r="W595" s="890"/>
      <c r="X595" s="890"/>
      <c r="Y595" s="891"/>
      <c r="Z595" s="196">
        <f ca="1">IF($B$586="Лікар загальної практики - сімейний лікар",IF(Z590&lt;Законод!$C$22,0,(IF(AND(Z590&gt;=Законод!$H$22,Z590&lt;=Законод!$H$23),Z590-Законод!$G$23,IF('01_Доходи'!Z590&gt;=Законод!$I$22,Законод!$H$24,0)))),IF($B$586="Лікар-педіатр",IF(Z590&lt;Законод!$C$18,0,(IF(AND(Z590&gt;=Законод!$H$18,Z590&lt;=Законод!$H$19),Z590-Законод!$G$19,IF('01_Доходи'!Z590&gt;=Законод!$I$18,Законод!$H$20,0)))),IF($B$586="Лікар-терапевт",IF(Z590&lt;Законод!$C$26,0,(IF(AND(Z590&gt;=Законод!$H$26,Z590&lt;=Законод!$H$27),Z590-Законод!$G$27,IF(Z590&gt;=Законод!$I$26,Законод!$H$28,0)))),0)))</f>
        <v>0</v>
      </c>
      <c r="AA595" s="930"/>
      <c r="AB595" s="889" t="s">
        <v>346</v>
      </c>
      <c r="AC595" s="890"/>
      <c r="AD595" s="890"/>
      <c r="AE595" s="890"/>
      <c r="AF595" s="891"/>
      <c r="AG595" s="196">
        <f ca="1">IF($B$586="Лікар загальної практики - сімейний лікар",IF(AG590&lt;Законод!$C$22,0,(IF(AND(AG590&gt;=Законод!$H$22,AG590&lt;=Законод!$H$23),AG590-Законод!$G$23,IF('01_Доходи'!AG590&gt;=Законод!$I$22,Законод!$H$24,0)))),IF($B$586="Лікар-педіатр",IF(AG590&lt;Законод!$C$18,0,(IF(AND(AG590&gt;=Законод!$H$18,AG590&lt;=Законод!$H$19),AG590-Законод!$G$19,IF('01_Доходи'!AG590&gt;=Законод!$I$18,Законод!$H$20,0)))),IF($B$586="Лікар-терапевт",IF(AG590&lt;Законод!$C$26,0,(IF(AND(AG590&gt;=Законод!$H$26,AG590&lt;=Законод!$H$27),AG590-Законод!$G$27,IF(AG590&gt;=Законод!$I$26,Законод!$H$28,0)))),0)))</f>
        <v>0</v>
      </c>
      <c r="AH595" s="930"/>
      <c r="AI595" s="201"/>
      <c r="AJ595" s="933"/>
      <c r="AK595" s="927"/>
      <c r="AL595" s="927"/>
      <c r="AM595" s="899"/>
      <c r="AN595" s="210">
        <f ca="1">IF(B586="Лікар загальної практики - сімейний лікар",L595*Законод!$C$9/4*Законод!$H$16,IF(B586="Лікар-педіатр",L595*Законод!$C$9/4*Законод!$H$16,IF(B586="Лікар-терапевт",L595*Законод!$C$9/4*Законод!$H$16,0)))</f>
        <v>0</v>
      </c>
      <c r="AO595" s="210">
        <f ca="1">IF(B586="Лікар загальної практики - сімейний лікар",S595*Законод!$C$9/4*Законод!$H$16,IF(B586="Лікар-педіатр",S595*Законод!$C$9/4*Законод!$H$16,IF(B586="Лікар-терапевт",S595*Законод!$C$9/4*Законод!$H$16,0)))</f>
        <v>0</v>
      </c>
      <c r="AP595" s="210">
        <f ca="1">IF(B586="Лікар загальної практики - сімейний лікар",Z595*Законод!$C$9/4*Законод!$H$16,IF(B586="Лікар-педіатр",Z595*Законод!$C$9/4*Законод!$H$16,IF(B586="Лікар-терапевт",Z595*Законод!$C$9/4*Законод!$H$16,0)))</f>
        <v>0</v>
      </c>
      <c r="AQ595" s="210">
        <f ca="1">IF(B586="Лікар загальної практики - сімейний лікар",AG595*Законод!$C$9/4*Законод!$H$16,IF(B586="Лікар-педіатр",AG595*Законод!$C$9/4*Законод!$H$16,IF(B586="Лікар-терапевт",AG595*Законод!$C$9/4*Законод!$H$16,0)))</f>
        <v>0</v>
      </c>
      <c r="AR595" s="211">
        <f t="shared" si="72"/>
        <v>0</v>
      </c>
    </row>
    <row r="596" spans="1:44" s="50" customFormat="1" ht="31.9" hidden="1" customHeight="1">
      <c r="A596" s="197"/>
      <c r="B596" s="893"/>
      <c r="C596" s="896"/>
      <c r="D596" s="912"/>
      <c r="E596" s="909"/>
      <c r="F596" s="238" t="str">
        <f ca="1">IF(B586="Лікар-педіатр",Законод!$I$17,IF(B586="Лікар загальної практики - сімейний лікар",Законод!$I$21,IF(B586="Лікар-терапевт",Законод!$I$25,"х")))</f>
        <v>х</v>
      </c>
      <c r="G596" s="889" t="s">
        <v>346</v>
      </c>
      <c r="H596" s="890"/>
      <c r="I596" s="890"/>
      <c r="J596" s="890"/>
      <c r="K596" s="891"/>
      <c r="L596" s="196">
        <f ca="1">IF($B$586="Лікар загальної практики - сімейний лікар",IF(L590&lt;Законод!$C$22,0,(IF(AND(L590&gt;=Законод!$I$22,L590&lt;=Законод!$I$23),L590-Законод!$H$23,IF('01_Доходи'!L590&gt;=Законод!$I$22,Законод!$I$24,0)))),IF($B$586="Лікар-педіатр",IF(L590&lt;Законод!$C$18,0,(IF(AND(L590&gt;=Законод!$I$18,L590&lt;=Законод!$I$19),L590-Законод!$H$19,IF('01_Доходи'!L590&gt;=Законод!$I$18,Законод!$H$20,0)))),IF($B$586="Лікар-терапевт",IF(L590&lt;Законод!$C$26,0,(IF(AND(L590&gt;=Законод!$I$26,L590&lt;=Законод!$I$27),L590-Законод!$H$27,IF('01_Доходи'!L590&gt;=Законод!$I$26,Законод!$H$28,0)))),0)))</f>
        <v>0</v>
      </c>
      <c r="M596" s="930"/>
      <c r="N596" s="889" t="s">
        <v>346</v>
      </c>
      <c r="O596" s="890"/>
      <c r="P596" s="890"/>
      <c r="Q596" s="890"/>
      <c r="R596" s="891"/>
      <c r="S596" s="196">
        <f ca="1">IF($B$586="Лікар загальної практики - сімейний лікар",IF(S590&lt;Законод!$C$22,0,(IF(AND(S590&gt;=Законод!$I$22,S590&lt;=Законод!$I$23),S590-Законод!$H$23,IF('01_Доходи'!S590&gt;=Законод!$I$22,Законод!$I$24,0)))),IF($B$586="Лікар-педіатр",IF(S590&lt;Законод!$C$18,0,(IF(AND(S590&gt;=Законод!$I$18,S590&lt;=Законод!$I$19),S590-Законод!$H$19,IF('01_Доходи'!S590&gt;=Законод!$I$18,Законод!$H$20,0)))),IF($B$586="Лікар-терапевт",IF(S590&lt;Законод!$C$26,0,(IF(AND(S590&gt;=Законод!$I$26,S590&lt;=Законод!$I$27),S590-Законод!$H$27,IF('01_Доходи'!S590&gt;=Законод!$I$26,Законод!$H$28,0)))),0)))</f>
        <v>0</v>
      </c>
      <c r="T596" s="930"/>
      <c r="U596" s="889" t="s">
        <v>346</v>
      </c>
      <c r="V596" s="890"/>
      <c r="W596" s="890"/>
      <c r="X596" s="890"/>
      <c r="Y596" s="891"/>
      <c r="Z596" s="196">
        <f ca="1">IF($B$586="Лікар загальної практики - сімейний лікар",IF(Z590&lt;Законод!$C$22,0,(IF(AND(Z590&gt;=Законод!$I$22,Z590&lt;=Законод!$I$23),Z590-Законод!$H$23,IF('01_Доходи'!Z590&gt;=Законод!$I$22,Законод!$I$24,0)))),IF($B$586="Лікар-педіатр",IF(Z590&lt;Законод!$C$18,0,(IF(AND(Z590&gt;=Законод!$I$18,Z590&lt;=Законод!$I$19),Z590-Законод!$H$19,IF('01_Доходи'!Z590&gt;=Законод!$I$18,Законод!$H$20,0)))),IF($B$586="Лікар-терапевт",IF(Z590&lt;Законод!$C$26,0,(IF(AND(Z590&gt;=Законод!$I$26,Z590&lt;=Законод!$I$27),Z590-Законод!$H$27,IF('01_Доходи'!Z590&gt;=Законод!$I$26,Законод!$H$28,0)))),0)))</f>
        <v>0</v>
      </c>
      <c r="AA596" s="930"/>
      <c r="AB596" s="889" t="s">
        <v>346</v>
      </c>
      <c r="AC596" s="890"/>
      <c r="AD596" s="890"/>
      <c r="AE596" s="890"/>
      <c r="AF596" s="891"/>
      <c r="AG596" s="196">
        <f ca="1">IF($B$586="Лікар загальної практики - сімейний лікар",IF(AG590&lt;Законод!$C$22,0,(IF(AND(AG590&gt;=Законод!$I$22,AG590&lt;=Законод!$I$23),AG590-Законод!$H$23,IF('01_Доходи'!AG590&gt;=Законод!$I$22,Законод!$I$24,0)))),IF($B$586="Лікар-педіатр",IF(AG590&lt;Законод!$C$18,0,(IF(AND(AG590&gt;=Законод!$I$18,AG590&lt;=Законод!$I$19),AG590-Законод!$H$19,IF('01_Доходи'!AG590&gt;=Законод!$I$18,Законод!$H$20,0)))),IF($B$586="Лікар-терапевт",IF(AG590&lt;Законод!$C$26,0,(IF(AND(AG590&gt;=Законод!$I$26,AG590&lt;=Законод!$I$27),AG590-Законод!$H$27,IF('01_Доходи'!AG590&gt;=Законод!$I$26,Законод!$H$28,0)))),0)))</f>
        <v>0</v>
      </c>
      <c r="AH596" s="930"/>
      <c r="AI596" s="201"/>
      <c r="AJ596" s="933"/>
      <c r="AK596" s="927"/>
      <c r="AL596" s="927"/>
      <c r="AM596" s="899"/>
      <c r="AN596" s="210">
        <f ca="1">IF(B586="Лікар загальної практики - сімейний лікар",L596*Законод!$C$9/4*Законод!$I$16,IF(B586="Лікар-педіатр",L596*Законод!$C$9/4*Законод!$I$16,IF(B586="Лікар-терапевт",L596*Законод!$C$9/4*Законод!$I$16,0)))</f>
        <v>0</v>
      </c>
      <c r="AO596" s="210">
        <f ca="1">IF(B586="Лікар загальної практики - сімейний лікар",S596*Законод!$C$9/4*Законод!$I$16,IF(B586="Лікар-педіатр",S596*Законод!$C$9/4*Законод!$I$16,IF(B586="Лікар-терапевт",S596*Законод!$C$9/4*Законод!$I$16,0)))</f>
        <v>0</v>
      </c>
      <c r="AP596" s="210">
        <f ca="1">IF(B586="Лікар загальної практики - сімейний лікар",Z596*Законод!$C$9/4*Законод!$I$16,IF(B586="Лікар-педіатр",Z596*Законод!$C$9/4*Законод!$I$16,IF(B586="Лікар-терапевт",Z596*Законод!$C$9/4*Законод!$I$16,0)))</f>
        <v>0</v>
      </c>
      <c r="AQ596" s="210">
        <f ca="1">IF(B586="Лікар загальної практики - сімейний лікар",AG596*Законод!$C$9/4*Законод!$I$16,IF(B586="Лікар-педіатр",AG596*Законод!$C$9/4*Законод!$I$16,IF(B586="Лікар-терапевт",AG596*Законод!$C$9/4*Законод!$I$16,0)))</f>
        <v>0</v>
      </c>
      <c r="AR596" s="211">
        <f t="shared" si="72"/>
        <v>0</v>
      </c>
    </row>
    <row r="597" spans="1:44" s="218" customFormat="1" ht="31.9" hidden="1" customHeight="1" thickBot="1">
      <c r="A597" s="213"/>
      <c r="B597" s="894"/>
      <c r="C597" s="897"/>
      <c r="D597" s="913"/>
      <c r="E597" s="910"/>
      <c r="F597" s="239" t="str">
        <f ca="1">IF(B586="Лікар-педіатр",Законод!$J$17,IF(B586="Лікар загальної практики - сімейний лікар",Законод!$J$21,IF(B586="Лікар-терапевт",Законод!$J$25,"х")))</f>
        <v>х</v>
      </c>
      <c r="G597" s="935" t="s">
        <v>346</v>
      </c>
      <c r="H597" s="936"/>
      <c r="I597" s="936"/>
      <c r="J597" s="936"/>
      <c r="K597" s="937"/>
      <c r="L597" s="196">
        <f ca="1">IF($B$586="Лікар загальної практики - сімейний лікар",IF(L590&gt;=Законод!$J$22,'01_Доходи'!L590-('01_Доходи'!L591+'01_Доходи'!L592+'01_Доходи'!L593+'01_Доходи'!L594+'01_Доходи'!L595+'01_Доходи'!L596),0),IF($B$586="Лікар-педіатр",IF(L590&gt;=Законод!$J$18,'01_Доходи'!L590-('01_Доходи'!L591+'01_Доходи'!L592+'01_Доходи'!L593+'01_Доходи'!L594+'01_Доходи'!L595+'01_Доходи'!L596),0),IF($B$586="Лікар-терапевт",IF('01_Доходи'!L590&gt;=Законод!$J$26,L590-Законод!$I$27,0),0)))</f>
        <v>0</v>
      </c>
      <c r="M597" s="931"/>
      <c r="N597" s="935" t="s">
        <v>346</v>
      </c>
      <c r="O597" s="936"/>
      <c r="P597" s="936"/>
      <c r="Q597" s="936"/>
      <c r="R597" s="937"/>
      <c r="S597" s="196">
        <f ca="1">IF($B$586="Лікар загальної практики - сімейний лікар",IF(S590&gt;=Законод!$J$22,'01_Доходи'!S590-('01_Доходи'!S591+'01_Доходи'!S592+'01_Доходи'!S593+'01_Доходи'!S594+'01_Доходи'!S595+'01_Доходи'!S596),0),IF($B$586="Лікар-педіатр",IF(S590&gt;=Законод!$J$18,'01_Доходи'!S590-('01_Доходи'!S591+'01_Доходи'!S592+'01_Доходи'!S593+'01_Доходи'!S594+'01_Доходи'!S595+'01_Доходи'!S596),0),IF($B$586="Лікар-терапевт",IF('01_Доходи'!S590&gt;=Законод!$J$26,S590-Законод!$I$27,0),0)))</f>
        <v>0</v>
      </c>
      <c r="T597" s="931"/>
      <c r="U597" s="935" t="s">
        <v>346</v>
      </c>
      <c r="V597" s="936"/>
      <c r="W597" s="936"/>
      <c r="X597" s="936"/>
      <c r="Y597" s="937"/>
      <c r="Z597" s="196">
        <f ca="1">IF($B$586="Лікар загальної практики - сімейний лікар",IF(Z590&gt;=Законод!$J$22,'01_Доходи'!Z590-('01_Доходи'!Z591+'01_Доходи'!Z592+'01_Доходи'!Z593+'01_Доходи'!Z594+'01_Доходи'!Z595+'01_Доходи'!Z596),0),IF($B$586="Лікар-педіатр",IF(Z590&gt;=Законод!$J$18,'01_Доходи'!Z590-('01_Доходи'!Z591+'01_Доходи'!Z592+'01_Доходи'!Z593+'01_Доходи'!Z594+'01_Доходи'!Z595+'01_Доходи'!Z596),0),IF($B$586="Лікар-терапевт",IF('01_Доходи'!Z590&gt;=Законод!$J$26,Z590-Законод!$I$27,0),0)))</f>
        <v>0</v>
      </c>
      <c r="AA597" s="931"/>
      <c r="AB597" s="935" t="s">
        <v>346</v>
      </c>
      <c r="AC597" s="936"/>
      <c r="AD597" s="936"/>
      <c r="AE597" s="936"/>
      <c r="AF597" s="937"/>
      <c r="AG597" s="196">
        <f ca="1">IF($B$586="Лікар загальної практики - сімейний лікар",IF(AG590&gt;=Законод!$J$22,'01_Доходи'!AG590-('01_Доходи'!AG591+'01_Доходи'!AG592+'01_Доходи'!AG593+'01_Доходи'!AG594+'01_Доходи'!AG595+'01_Доходи'!AG596),0),IF($B$586="Лікар-педіатр",IF(AG590&gt;=Законод!$J$18,'01_Доходи'!AG590-('01_Доходи'!AG591+'01_Доходи'!AG592+'01_Доходи'!AG593+'01_Доходи'!AG594+'01_Доходи'!AG595+'01_Доходи'!AG596),0),IF($B$586="Лікар-терапевт",IF('01_Доходи'!AG590&gt;=Законод!$J$26,AG590-Законод!$I$27,0),0)))</f>
        <v>0</v>
      </c>
      <c r="AH597" s="931"/>
      <c r="AI597" s="215"/>
      <c r="AJ597" s="934"/>
      <c r="AK597" s="928"/>
      <c r="AL597" s="928"/>
      <c r="AM597" s="900"/>
      <c r="AN597" s="216">
        <f ca="1">IF(B586="Лікар загальної практики - сімейний лікар",L597*Законод!$C$9/4*Законод!$J$16,IF(B586="Лікар-педіатр",L597*Законод!$C$9/4*Законод!$J$16,IF(B586="Лікар-терапевт",L597*Законод!$C$9/4*Законод!$J$16,0)))</f>
        <v>0</v>
      </c>
      <c r="AO597" s="216">
        <f ca="1">IF(B586="Лікар загальної практики - сімейний лікар",S597*Законод!$C$9/4*Законод!$J$16,IF(B586="Лікар-педіатр",S597*Законод!$C$9/4*Законод!$J$16,IF(B586="Лікар-терапевт",S597*Законод!$C$9/4*Законод!$J$16,0)))</f>
        <v>0</v>
      </c>
      <c r="AP597" s="216">
        <f ca="1">IF(B586="Лікар загальної практики - сімейний лікар",S597*Законод!$C$9/4*Законод!$J$16,IF(B586="Лікар-педіатр",S597*Законод!$C$9/4*Законод!$J$16,IF(B586="Лікар-терапевт",S597*Законод!$C$9/4*Законод!$J$16,0)))</f>
        <v>0</v>
      </c>
      <c r="AQ597" s="216">
        <f ca="1">IF(B586="Лікар загальної практики - сімейний лікар",AG597*Законод!$C$9/4*Законод!$J$16,IF(B586="Лікар-педіатр",AG597*Законод!$C$9/4*Законод!$J$16,IF(B586="Лікар-терапевт",AG597*Законод!$C$9/4*Законод!$J$16,0)))</f>
        <v>0</v>
      </c>
      <c r="AR597" s="217">
        <f t="shared" si="72"/>
        <v>0</v>
      </c>
    </row>
    <row r="598" spans="1:44" s="247" customFormat="1" ht="23.45" hidden="1" customHeight="1" thickBot="1">
      <c r="A598" s="243"/>
      <c r="B598" s="244"/>
      <c r="C598" s="244"/>
      <c r="D598" s="244"/>
      <c r="E598" s="244"/>
      <c r="F598" s="245"/>
      <c r="G598" s="246"/>
      <c r="H598" s="246"/>
      <c r="L598" s="248"/>
      <c r="S598" s="248"/>
      <c r="Z598" s="248"/>
      <c r="AG598" s="248"/>
      <c r="AM598" s="249"/>
      <c r="AR598" s="250"/>
    </row>
    <row r="599" spans="1:44" s="191" customFormat="1" ht="24.6" hidden="1" customHeight="1">
      <c r="A599" s="194">
        <f>A586+1</f>
        <v>44</v>
      </c>
      <c r="B599" s="892"/>
      <c r="C599" s="895"/>
      <c r="D599" s="911"/>
      <c r="E599" s="908"/>
      <c r="F599" s="234" t="s">
        <v>582</v>
      </c>
      <c r="G599" s="196">
        <f>IF($B$599="Лікар-педіатр",G602*L599,IF($B$599="Лікар-терапевт","х",IF($B$599="Лікар загальної практики - сімейний лікар",G602*L599,0)))</f>
        <v>0</v>
      </c>
      <c r="H599" s="196">
        <f>IF($B$599="Лікар-педіатр",H602*L599,IF($B$599="Лікар-терапевт","х",IF($B$599="Лікар загальної практики - сімейний лікар",H602*L599,0)))</f>
        <v>0</v>
      </c>
      <c r="I599" s="196">
        <f>IF($B$599="Лікар-педіатр","x",IF($B$599="Лікар-терапевт",I602*L599,IF($B$599="Лікар загальної практики - сімейний лікар",I602*L599,0)))</f>
        <v>0</v>
      </c>
      <c r="J599" s="196">
        <f>IF($B$599="Лікар-педіатр","x",IF($B$599="Лікар-терапевт",J602*L599,IF($B$599="Лікар загальної практики - сімейний лікар",J602*L599,0)))</f>
        <v>0</v>
      </c>
      <c r="K599" s="196">
        <f>IF($B$599="Лікар-педіатр","x",IF($B$599="Лікар-терапевт",K602*L599,IF($B$599="Лікар загальної практики - сімейний лікар",K602*L599,0)))</f>
        <v>0</v>
      </c>
      <c r="L599" s="558"/>
      <c r="M599" s="929"/>
      <c r="N599" s="196">
        <f>IF($B$599="Лікар-педіатр",N602*S599,IF($B$599="Лікар-терапевт","х",IF($B$599="Лікар загальної практики - сімейний лікар",N602*S599,0)))</f>
        <v>0</v>
      </c>
      <c r="O599" s="196">
        <f>IF($B$599="Лікар-педіатр",O602*S599,IF($B$599="Лікар-терапевт","х",IF($B$599="Лікар загальної практики - сімейний лікар",O602*S599,0)))</f>
        <v>0</v>
      </c>
      <c r="P599" s="196">
        <f>IF($B$599="Лікар-педіатр","x",IF($B$599="Лікар-терапевт",P602*S599,IF($B$599="Лікар загальної практики - сімейний лікар",P602*S599,0)))</f>
        <v>0</v>
      </c>
      <c r="Q599" s="196">
        <f>IF($B$599="Лікар-педіатр","x",IF($B$599="Лікар-терапевт",Q602*S599,IF($B$599="Лікар загальної практики - сімейний лікар",Q602*S599,0)))</f>
        <v>0</v>
      </c>
      <c r="R599" s="196">
        <f>IF($B$599="Лікар-педіатр","x",IF($B$599="Лікар-терапевт",R602*S599,IF($B$599="Лікар загальної практики - сімейний лікар",R602*S599,0)))</f>
        <v>0</v>
      </c>
      <c r="S599" s="558"/>
      <c r="T599" s="929"/>
      <c r="U599" s="196">
        <f>IF($B$599="Лікар-педіатр",U602*Z599,IF($B$599="Лікар-терапевт","х",IF($B$599="Лікар загальної практики - сімейний лікар",U602*Z599,0)))</f>
        <v>0</v>
      </c>
      <c r="V599" s="196">
        <f>IF($B$599="Лікар-педіатр",V602*Z599,IF($B$599="Лікар-терапевт","х",IF($B$599="Лікар загальної практики - сімейний лікар",V602*Z599,0)))</f>
        <v>0</v>
      </c>
      <c r="W599" s="196">
        <f>IF($B$599="Лікар-педіатр","x",IF($B$599="Лікар-терапевт",W602*Z599,IF($B$599="Лікар загальної практики - сімейний лікар",W602*Z599,0)))</f>
        <v>0</v>
      </c>
      <c r="X599" s="196">
        <f>IF($B$599="Лікар-педіатр","x",IF($B$599="Лікар-терапевт",X602*Z599,IF($B$599="Лікар загальної практики - сімейний лікар",X602*Z599,0)))</f>
        <v>0</v>
      </c>
      <c r="Y599" s="196">
        <f>IF($B$599="Лікар-педіатр","x",IF($B$599="Лікар-терапевт",Y602*Z599,IF($B$599="Лікар загальної практики - сімейний лікар",Y602*Z599,0)))</f>
        <v>0</v>
      </c>
      <c r="Z599" s="558"/>
      <c r="AA599" s="929"/>
      <c r="AB599" s="196">
        <f>IF($B$599="Лікар-педіатр",AB602*AG599,IF($B$599="Лікар-терапевт","х",IF($B$599="Лікар загальної практики - сімейний лікар",AB602*AG599,0)))</f>
        <v>0</v>
      </c>
      <c r="AC599" s="196">
        <f>IF($B$599="Лікар-педіатр",AC602*AG599,IF($B$599="Лікар-терапевт","х",IF($B$599="Лікар загальної практики - сімейний лікар",AC602*AG599,0)))</f>
        <v>0</v>
      </c>
      <c r="AD599" s="196">
        <f>IF($B$599="Лікар-педіатр","x",IF($B$599="Лікар-терапевт",AD602*AG599,IF($B$599="Лікар загальної практики - сімейний лікар",AD602*AG599,0)))</f>
        <v>0</v>
      </c>
      <c r="AE599" s="196">
        <f>IF($B$599="Лікар-педіатр","x",IF($B$599="Лікар-терапевт",AE602*AG599,IF($B$599="Лікар загальної практики - сімейний лікар",AE602*AG599,0)))</f>
        <v>0</v>
      </c>
      <c r="AF599" s="196">
        <f>IF($B$599="Лікар-педіатр","x",IF($B$599="Лікар-терапевт",AF602*AG599,IF($B$599="Лікар загальної практики - сімейний лікар",AF602*AG599,0)))</f>
        <v>0</v>
      </c>
      <c r="AG599" s="558"/>
      <c r="AH599" s="929"/>
      <c r="AI599" s="541">
        <f>A599</f>
        <v>44</v>
      </c>
      <c r="AJ599" s="932">
        <f>B599</f>
        <v>0</v>
      </c>
      <c r="AK599" s="926">
        <f>C599</f>
        <v>0</v>
      </c>
      <c r="AL599" s="926">
        <f>D599</f>
        <v>0</v>
      </c>
      <c r="AM599" s="901" t="s">
        <v>785</v>
      </c>
      <c r="AN599" s="923">
        <f>SUM(AN604:AN610)</f>
        <v>0</v>
      </c>
      <c r="AO599" s="923">
        <f>SUM(AO604:AO610)</f>
        <v>0</v>
      </c>
      <c r="AP599" s="923">
        <f>SUM(AP604:AP610)</f>
        <v>0</v>
      </c>
      <c r="AQ599" s="923">
        <f>SUM(AQ604:AQ610)</f>
        <v>0</v>
      </c>
      <c r="AR599" s="914">
        <f>SUM(AN599:AQ603)</f>
        <v>0</v>
      </c>
    </row>
    <row r="600" spans="1:44" s="50" customFormat="1" ht="28.15" hidden="1" customHeight="1">
      <c r="A600" s="197"/>
      <c r="B600" s="893"/>
      <c r="C600" s="896"/>
      <c r="D600" s="912"/>
      <c r="E600" s="909"/>
      <c r="F600" s="234" t="s">
        <v>583</v>
      </c>
      <c r="G600" s="196">
        <f>IF($B$599="Лікар-педіатр",G602*L600,IF($B$599="Лікар-терапевт","х",IF($B$599="Лікар загальної практики - сімейний лікар",G602*L600,0)))</f>
        <v>0</v>
      </c>
      <c r="H600" s="196">
        <f>IF($B$599="Лікар-педіатр",H602*L600,IF($B$599="Лікар-терапевт","х",IF($B$599="Лікар загальної практики - сімейний лікар",H602*L600,0)))</f>
        <v>0</v>
      </c>
      <c r="I600" s="196">
        <f>IF($B$599="Лікар-педіатр","x",IF($B$599="Лікар-терапевт",I602*L600,IF($B$599="Лікар загальної практики - сімейний лікар",I602*L600,0)))</f>
        <v>0</v>
      </c>
      <c r="J600" s="196">
        <f>IF($B$599="Лікар-педіатр","x",IF($B$599="Лікар-терапевт",J602*L600,IF($B$599="Лікар загальної практики - сімейний лікар",J602*L600,0)))</f>
        <v>0</v>
      </c>
      <c r="K600" s="196">
        <f>IF($B$599="Лікар-педіатр","x",IF($B$599="Лікар-терапевт",K602*L600,IF($B$599="Лікар загальної практики - сімейний лікар",K602*L600,0)))</f>
        <v>0</v>
      </c>
      <c r="L600" s="558"/>
      <c r="M600" s="930"/>
      <c r="N600" s="196">
        <f>IF($B$599="Лікар-педіатр",N602*S600,IF($B$599="Лікар-терапевт","х",IF($B$599="Лікар загальної практики - сімейний лікар",N602*S600,0)))</f>
        <v>0</v>
      </c>
      <c r="O600" s="196">
        <f>IF($B$599="Лікар-педіатр",O602*S600,IF($B$599="Лікар-терапевт","х",IF($B$599="Лікар загальної практики - сімейний лікар",O602*S600,0)))</f>
        <v>0</v>
      </c>
      <c r="P600" s="196">
        <f>IF($B$599="Лікар-педіатр","x",IF($B$599="Лікар-терапевт",P602*S600,IF($B$599="Лікар загальної практики - сімейний лікар",P602*S600,0)))</f>
        <v>0</v>
      </c>
      <c r="Q600" s="196">
        <f>IF($B$599="Лікар-педіатр","x",IF($B$599="Лікар-терапевт",Q602*S600,IF($B$599="Лікар загальної практики - сімейний лікар",Q602*S600,0)))</f>
        <v>0</v>
      </c>
      <c r="R600" s="196">
        <f>IF($B$599="Лікар-педіатр","x",IF($B$599="Лікар-терапевт",R602*S600,IF($B$599="Лікар загальної практики - сімейний лікар",R602*S600,0)))</f>
        <v>0</v>
      </c>
      <c r="S600" s="558"/>
      <c r="T600" s="930"/>
      <c r="U600" s="196">
        <f>IF($B$599="Лікар-педіатр",U602*Z600,IF($B$599="Лікар-терапевт","х",IF($B$599="Лікар загальної практики - сімейний лікар",U602*Z600,0)))</f>
        <v>0</v>
      </c>
      <c r="V600" s="196">
        <f>IF($B$599="Лікар-педіатр",V602*Z600,IF($B$599="Лікар-терапевт","х",IF($B$599="Лікар загальної практики - сімейний лікар",V602*Z600,0)))</f>
        <v>0</v>
      </c>
      <c r="W600" s="196">
        <f>IF($B$599="Лікар-педіатр","x",IF($B$599="Лікар-терапевт",W602*Z600,IF($B$599="Лікар загальної практики - сімейний лікар",W602*Z600,0)))</f>
        <v>0</v>
      </c>
      <c r="X600" s="196">
        <f>IF($B$599="Лікар-педіатр","x",IF($B$599="Лікар-терапевт",X602*Z600,IF($B$599="Лікар загальної практики - сімейний лікар",X602*Z600,0)))</f>
        <v>0</v>
      </c>
      <c r="Y600" s="196">
        <f>IF($B$599="Лікар-педіатр","x",IF($B$599="Лікар-терапевт",Y602*Z600,IF($B$599="Лікар загальної практики - сімейний лікар",Y602*Z600,0)))</f>
        <v>0</v>
      </c>
      <c r="Z600" s="558"/>
      <c r="AA600" s="930"/>
      <c r="AB600" s="196">
        <f>IF($B$599="Лікар-педіатр",AB602*AG600,IF($B$599="Лікар-терапевт","х",IF($B$599="Лікар загальної практики - сімейний лікар",AB602*AG600,0)))</f>
        <v>0</v>
      </c>
      <c r="AC600" s="196">
        <f>IF($B$599="Лікар-педіатр",AC602*AG600,IF($B$599="Лікар-терапевт","х",IF($B$599="Лікар загальної практики - сімейний лікар",AC602*AG600,0)))</f>
        <v>0</v>
      </c>
      <c r="AD600" s="196">
        <f>IF($B$599="Лікар-педіатр","x",IF($B$599="Лікар-терапевт",AD602*AG600,IF($B$599="Лікар загальної практики - сімейний лікар",AD602*AG600,0)))</f>
        <v>0</v>
      </c>
      <c r="AE600" s="196">
        <f>IF($B$599="Лікар-педіатр","x",IF($B$599="Лікар-терапевт",AE602*AG600,IF($B$599="Лікар загальної практики - сімейний лікар",AE602*AG600,0)))</f>
        <v>0</v>
      </c>
      <c r="AF600" s="196">
        <f>IF($B$599="Лікар-педіатр","x",IF($B$599="Лікар-терапевт",AF602*AG600,IF($B$599="Лікар загальної практики - сімейний лікар",AF602*AG600,0)))</f>
        <v>0</v>
      </c>
      <c r="AG600" s="558"/>
      <c r="AH600" s="930"/>
      <c r="AI600" s="198"/>
      <c r="AJ600" s="933"/>
      <c r="AK600" s="927"/>
      <c r="AL600" s="927"/>
      <c r="AM600" s="902"/>
      <c r="AN600" s="924"/>
      <c r="AO600" s="924"/>
      <c r="AP600" s="924"/>
      <c r="AQ600" s="924"/>
      <c r="AR600" s="915"/>
    </row>
    <row r="601" spans="1:44" s="90" customFormat="1" ht="31.15" hidden="1" customHeight="1">
      <c r="A601" s="240"/>
      <c r="B601" s="893"/>
      <c r="C601" s="896"/>
      <c r="D601" s="912"/>
      <c r="E601" s="909"/>
      <c r="F601" s="241" t="s">
        <v>584</v>
      </c>
      <c r="G601" s="199">
        <f>IF(B599="Лікар загальної практики - сімейний лікар"," ",IF(B599="Лікар-педіатр"," ",IF(B599="Лікар-терапевт","х",0)))</f>
        <v>0</v>
      </c>
      <c r="H601" s="199">
        <f>IF(B599="Лікар загальної практики - сімейний лікар"," ",IF(B599="Лікар-педіатр"," ",IF(B599="Лікар-терапевт","х",0)))</f>
        <v>0</v>
      </c>
      <c r="I601" s="199">
        <f>IF(B599="Лікар загальної практики - сімейний лікар"," ",IF(B599="Лікар-педіатр","х",IF(B599="Лікар-терапевт"," ",0)))</f>
        <v>0</v>
      </c>
      <c r="J601" s="199">
        <f>IF(B599="Лікар загальної практики - сімейний лікар"," ",IF(B599="Лікар-педіатр","х",IF(B599="Лікар-терапевт"," ",0)))</f>
        <v>0</v>
      </c>
      <c r="K601" s="199">
        <f>IF(B599="Лікар загальної практики - сімейний лікар"," ",IF(B599="Лікар-педіатр","х",IF(B599="Лікар-терапевт"," ",0)))</f>
        <v>0</v>
      </c>
      <c r="L601" s="200">
        <f>SUM(G601:K601)</f>
        <v>0</v>
      </c>
      <c r="M601" s="930"/>
      <c r="N601" s="199">
        <f>IF(B599="Лікар загальної практики - сімейний лікар"," ",IF(B599="Лікар-педіатр"," ",IF(B599="Лікар-терапевт","х",0)))</f>
        <v>0</v>
      </c>
      <c r="O601" s="199">
        <f>IF(B599="Лікар загальної практики - сімейний лікар"," ",IF(B599="Лікар-педіатр"," ",IF(B599="Лікар-терапевт","х",0)))</f>
        <v>0</v>
      </c>
      <c r="P601" s="199">
        <f>IF(B599="Лікар загальної практики - сімейний лікар"," ",IF(B599="Лікар-педіатр","х",IF(B599="Лікар-терапевт"," ",0)))</f>
        <v>0</v>
      </c>
      <c r="Q601" s="199">
        <f>IF(B599="Лікар загальної практики - сімейний лікар"," ",IF(B599="Лікар-педіатр","х",IF(B599="Лікар-терапевт"," ",0)))</f>
        <v>0</v>
      </c>
      <c r="R601" s="199">
        <f>IF(B599="Лікар загальної практики - сімейний лікар"," ",IF(B599="Лікар-педіатр","х",IF(B599="Лікар-терапевт"," ",0)))</f>
        <v>0</v>
      </c>
      <c r="S601" s="200">
        <f>SUM(N601:R601)</f>
        <v>0</v>
      </c>
      <c r="T601" s="930"/>
      <c r="U601" s="199">
        <f>IF(B599="Лікар загальної практики - сімейний лікар"," ",IF(B599="Лікар-педіатр"," ",IF(B599="Лікар-терапевт","х",0)))</f>
        <v>0</v>
      </c>
      <c r="V601" s="199">
        <f>IF(B599="Лікар загальної практики - сімейний лікар"," ",IF(B599="Лікар-педіатр"," ",IF(B599="Лікар-терапевт","х",0)))</f>
        <v>0</v>
      </c>
      <c r="W601" s="199">
        <f>IF(B599="Лікар загальної практики - сімейний лікар"," ",IF(B599="Лікар-педіатр","х",IF(B599="Лікар-терапевт"," ",0)))</f>
        <v>0</v>
      </c>
      <c r="X601" s="199">
        <f>IF(B599="Лікар загальної практики - сімейний лікар"," ",IF(B599="Лікар-педіатр","х",IF(B599="Лікар-терапевт"," ",0)))</f>
        <v>0</v>
      </c>
      <c r="Y601" s="199">
        <f>IF(B599="Лікар загальної практики - сімейний лікар"," ",IF(B599="Лікар-педіатр","х",IF(B599="Лікар-терапевт"," ",0)))</f>
        <v>0</v>
      </c>
      <c r="Z601" s="200">
        <f>SUM(U601:Y601)</f>
        <v>0</v>
      </c>
      <c r="AA601" s="930"/>
      <c r="AB601" s="199">
        <f>IF(B599="Лікар загальної практики - сімейний лікар"," ",IF(B599="Лікар-педіатр"," ",IF(B599="Лікар-терапевт","х",0)))</f>
        <v>0</v>
      </c>
      <c r="AC601" s="199">
        <f>IF(B599="Лікар загальної практики - сімейний лікар"," ",IF(B599="Лікар-педіатр"," ",IF(B599="Лікар-терапевт","х",0)))</f>
        <v>0</v>
      </c>
      <c r="AD601" s="199">
        <f>IF(B599="Лікар загальної практики - сімейний лікар"," ",IF(B599="Лікар-педіатр","х",IF(B599="Лікар-терапевт"," ",0)))</f>
        <v>0</v>
      </c>
      <c r="AE601" s="199">
        <f>IF(B599="Лікар загальної практики - сімейний лікар"," ",IF(B599="Лікар-педіатр","х",IF(B599="Лікар-терапевт"," ",0)))</f>
        <v>0</v>
      </c>
      <c r="AF601" s="199">
        <f>IF(B599="Лікар загальної практики - сімейний лікар"," ",IF(B599="Лікар-педіатр","х",IF(B599="Лікар-терапевт"," ",0)))</f>
        <v>0</v>
      </c>
      <c r="AG601" s="200">
        <f>SUM(AB601:AF601)</f>
        <v>0</v>
      </c>
      <c r="AH601" s="930"/>
      <c r="AI601" s="242"/>
      <c r="AJ601" s="933"/>
      <c r="AK601" s="927"/>
      <c r="AL601" s="927"/>
      <c r="AM601" s="902"/>
      <c r="AN601" s="924"/>
      <c r="AO601" s="924"/>
      <c r="AP601" s="924"/>
      <c r="AQ601" s="924"/>
      <c r="AR601" s="915"/>
    </row>
    <row r="602" spans="1:44" s="50" customFormat="1" ht="31.9" hidden="1" customHeight="1" thickBot="1">
      <c r="A602" s="197"/>
      <c r="B602" s="893"/>
      <c r="C602" s="896"/>
      <c r="D602" s="912"/>
      <c r="E602" s="909"/>
      <c r="F602" s="236" t="s">
        <v>349</v>
      </c>
      <c r="G602" s="203">
        <f>IF($B$599="Лікар-педіатр",G601/L601,IF($B$599="Лікар-терапевт","х",IF($B$599="Лікар загальної практики - сімейний лікар",G601/L601,0)))</f>
        <v>0</v>
      </c>
      <c r="H602" s="203">
        <f>IF($B$599="Лікар-педіатр",H601/L601,IF($B$599="Лікар-терапевт","х",IF($B$599="Лікар загальної практики - сімейний лікар",H601/L601,0)))</f>
        <v>0</v>
      </c>
      <c r="I602" s="203">
        <f>IF($B$599="Лікар-педіатр","x",IF($B$599="Лікар-терапевт",I601/L601,IF($B$599="Лікар загальної практики - сімейний лікар",I601/L601,0)))</f>
        <v>0</v>
      </c>
      <c r="J602" s="203">
        <f>IF($B$599="Лікар-педіатр","x",IF($B$599="Лікар-терапевт",J601/L601,IF($B$599="Лікар загальної практики - сімейний лікар",J601/L601,0)))</f>
        <v>0</v>
      </c>
      <c r="K602" s="203">
        <f>IF($B$599="Лікар-педіатр","x",IF($B$599="Лікар-терапевт",K601/L601,IF($B$599="Лікар загальної практики - сімейний лікар",K601/L601,0)))</f>
        <v>0</v>
      </c>
      <c r="L602" s="203">
        <f>SUM(G602:K602)</f>
        <v>0</v>
      </c>
      <c r="M602" s="930"/>
      <c r="N602" s="203">
        <f>IF($B$599="Лікар-педіатр",N601/S601,IF($B$599="Лікар-терапевт","х",IF($B$599="Лікар загальної практики - сімейний лікар",N601/S601,0)))</f>
        <v>0</v>
      </c>
      <c r="O602" s="203">
        <f>IF($B$599="Лікар-педіатр",O601/S601,IF($B$599="Лікар-терапевт","х",IF($B$599="Лікар загальної практики - сімейний лікар",O601/S601,0)))</f>
        <v>0</v>
      </c>
      <c r="P602" s="203">
        <f>IF($B$599="Лікар-педіатр","x",IF($B$599="Лікар-терапевт",P601/S601,IF($B$599="Лікар загальної практики - сімейний лікар",P601/S601,0)))</f>
        <v>0</v>
      </c>
      <c r="Q602" s="203">
        <f>IF($B$599="Лікар-педіатр","x",IF($B$599="Лікар-терапевт",Q601/S601,IF($B$599="Лікар загальної практики - сімейний лікар",Q601/S601,0)))</f>
        <v>0</v>
      </c>
      <c r="R602" s="203">
        <f>IF($B$599="Лікар-педіатр","x",IF($B$599="Лікар-терапевт",R601/S601,IF($B$599="Лікар загальної практики - сімейний лікар",R601/S601,0)))</f>
        <v>0</v>
      </c>
      <c r="S602" s="203">
        <f>SUM(N602:R602)</f>
        <v>0</v>
      </c>
      <c r="T602" s="930"/>
      <c r="U602" s="203">
        <f>IF($B$599="Лікар-педіатр",U601/Z601,IF($B$599="Лікар-терапевт","х",IF($B$599="Лікар загальної практики - сімейний лікар",U601/Z601,0)))</f>
        <v>0</v>
      </c>
      <c r="V602" s="203">
        <f>IF($B$599="Лікар-педіатр",V601/Z601,IF($B$599="Лікар-терапевт","х",IF($B$599="Лікар загальної практики - сімейний лікар",V601/Z601,0)))</f>
        <v>0</v>
      </c>
      <c r="W602" s="203">
        <f>IF($B$599="Лікар-педіатр","x",IF($B$599="Лікар-терапевт",W601/Z601,IF($B$599="Лікар загальної практики - сімейний лікар",W601/Z601,0)))</f>
        <v>0</v>
      </c>
      <c r="X602" s="203">
        <f>IF($B$599="Лікар-педіатр","x",IF($B$599="Лікар-терапевт",X601/Z601,IF($B$599="Лікар загальної практики - сімейний лікар",X601/Z601,0)))</f>
        <v>0</v>
      </c>
      <c r="Y602" s="203">
        <f>IF($B$599="Лікар-педіатр","x",IF($B$599="Лікар-терапевт",Y601/Z601,IF($B$599="Лікар загальної практики - сімейний лікар",Y601/Z601,0)))</f>
        <v>0</v>
      </c>
      <c r="Z602" s="203">
        <f>SUM(U602:Y602)</f>
        <v>0</v>
      </c>
      <c r="AA602" s="930"/>
      <c r="AB602" s="203">
        <f>IF($B$599="Лікар-педіатр",AB601/AG601,IF($B$599="Лікар-терапевт","х",IF($B$599="Лікар загальної практики - сімейний лікар",AB601/AG601,0)))</f>
        <v>0</v>
      </c>
      <c r="AC602" s="203">
        <f>IF($B$599="Лікар-педіатр",AC601/AG601,IF($B$599="Лікар-терапевт","х",IF($B$599="Лікар загальної практики - сімейний лікар",AC601/AG601,0)))</f>
        <v>0</v>
      </c>
      <c r="AD602" s="203">
        <f>IF($B$599="Лікар-педіатр","x",IF($B$599="Лікар-терапевт",AD601/AG601,IF($B$599="Лікар загальної практики - сімейний лікар",AD601/AG601,0)))</f>
        <v>0</v>
      </c>
      <c r="AE602" s="203">
        <f>IF($B$599="Лікар-педіатр","x",IF($B$599="Лікар-терапевт",AE601/AG601,IF($B$599="Лікар загальної практики - сімейний лікар",AE601/AG601,0)))</f>
        <v>0</v>
      </c>
      <c r="AF602" s="203">
        <f>IF($B$599="Лікар-педіатр","x",IF($B$599="Лікар-терапевт",AF601/AG601,IF($B$599="Лікар загальної практики - сімейний лікар",AF601/AG601,0)))</f>
        <v>0</v>
      </c>
      <c r="AG602" s="203">
        <f>SUM(AB602:AF602)</f>
        <v>0</v>
      </c>
      <c r="AH602" s="930"/>
      <c r="AI602" s="201"/>
      <c r="AJ602" s="933"/>
      <c r="AK602" s="927"/>
      <c r="AL602" s="927"/>
      <c r="AM602" s="902"/>
      <c r="AN602" s="924"/>
      <c r="AO602" s="924"/>
      <c r="AP602" s="924"/>
      <c r="AQ602" s="924"/>
      <c r="AR602" s="915"/>
    </row>
    <row r="603" spans="1:44" s="50" customFormat="1" ht="45" hidden="1" customHeight="1" thickBot="1">
      <c r="A603" s="197"/>
      <c r="B603" s="893"/>
      <c r="C603" s="896"/>
      <c r="D603" s="912"/>
      <c r="E603" s="909"/>
      <c r="F603" s="204" t="s">
        <v>585</v>
      </c>
      <c r="G603" s="205">
        <f>IF($B$599="Лікар загальної практики - сімейний лікар",AVERAGE(G599:G601),IF($B$599="Лікар-педіатр",AVERAGE(G599:G601),IF($B$599="Лікар-терапевт","х",0)))</f>
        <v>0</v>
      </c>
      <c r="H603" s="205">
        <f>IF($B$599="Лікар загальної практики - сімейний лікар",AVERAGE(H599:H601),IF($B$599="Лікар-педіатр",AVERAGE(H599:H601),IF($B$599="Лікар-терапевт","х",0)))</f>
        <v>0</v>
      </c>
      <c r="I603" s="205">
        <f>IF($B$599="Лікар загальної практики - сімейний лікар",AVERAGE(I599:I601),IF($B$599="Лікар-педіатр","x",IF($B$599="Лікар-терапевт",AVERAGE(I599:I601),0)))</f>
        <v>0</v>
      </c>
      <c r="J603" s="205">
        <f>IF($B$599="Лікар загальної практики - сімейний лікар",AVERAGE(J599:J601),IF($B$599="Лікар-педіатр","x",IF($B$599="Лікар-терапевт",AVERAGE(J599:J601),0)))</f>
        <v>0</v>
      </c>
      <c r="K603" s="205">
        <f>IF($B$599="Лікар загальної практики - сімейний лікар",AVERAGE(K599:K601),IF($B$599="Лікар-педіатр","x",IF($B$599="Лікар-терапевт",AVERAGE(K599:K601),0)))</f>
        <v>0</v>
      </c>
      <c r="L603" s="206">
        <f>SUM(G603:K603)</f>
        <v>0</v>
      </c>
      <c r="M603" s="930"/>
      <c r="N603" s="205">
        <f>IF($B$599="Лікар загальної практики - сімейний лікар",AVERAGE(N599:N601),IF($B$599="Лікар-педіатр",AVERAGE(N599:N601),IF($B$599="Лікар-терапевт","х",0)))</f>
        <v>0</v>
      </c>
      <c r="O603" s="205">
        <f>IF($B$599="Лікар загальної практики - сімейний лікар",AVERAGE(O599:O601),IF($B$599="Лікар-педіатр",AVERAGE(O599:O601),IF($B$599="Лікар-терапевт","х",0)))</f>
        <v>0</v>
      </c>
      <c r="P603" s="205">
        <f>IF($B$599="Лікар загальної практики - сімейний лікар",AVERAGE(P599:P601),IF($B$599="Лікар-педіатр","x",IF($B$599="Лікар-терапевт",AVERAGE(P599:P601),0)))</f>
        <v>0</v>
      </c>
      <c r="Q603" s="205">
        <f>IF($B$599="Лікар загальної практики - сімейний лікар",AVERAGE(Q599:Q601),IF($B$599="Лікар-педіатр","x",IF($B$599="Лікар-терапевт",AVERAGE(Q599:Q601),0)))</f>
        <v>0</v>
      </c>
      <c r="R603" s="205">
        <f>IF($B$599="Лікар загальної практики - сімейний лікар",AVERAGE(R599:R601),IF($B$599="Лікар-педіатр","x",IF($B$599="Лікар-терапевт",AVERAGE(R599:R601),0)))</f>
        <v>0</v>
      </c>
      <c r="S603" s="206">
        <f>SUM(N603:R603)</f>
        <v>0</v>
      </c>
      <c r="T603" s="930"/>
      <c r="U603" s="205">
        <f>IF($B$599="Лікар загальної практики - сімейний лікар",AVERAGE(U599:U601),IF($B$599="Лікар-педіатр",AVERAGE(U599:U601),IF($B$599="Лікар-терапевт","х",0)))</f>
        <v>0</v>
      </c>
      <c r="V603" s="205">
        <f>IF($B$599="Лікар загальної практики - сімейний лікар",AVERAGE(V599:V601),IF($B$599="Лікар-педіатр",AVERAGE(V599:V601),IF($B$599="Лікар-терапевт","х",0)))</f>
        <v>0</v>
      </c>
      <c r="W603" s="205">
        <f>IF($B$599="Лікар загальної практики - сімейний лікар",AVERAGE(W599:W601),IF($B$599="Лікар-педіатр","x",IF($B$599="Лікар-терапевт",AVERAGE(W599:W601),0)))</f>
        <v>0</v>
      </c>
      <c r="X603" s="205">
        <f>IF($B$599="Лікар загальної практики - сімейний лікар",AVERAGE(X599:X601),IF($B$599="Лікар-педіатр","x",IF($B$599="Лікар-терапевт",AVERAGE(X599:X601),0)))</f>
        <v>0</v>
      </c>
      <c r="Y603" s="205">
        <f>IF($B$599="Лікар загальної практики - сімейний лікар",AVERAGE(Y599:Y601),IF($B$599="Лікар-педіатр","x",IF($B$599="Лікар-терапевт",AVERAGE(Y599:Y601),0)))</f>
        <v>0</v>
      </c>
      <c r="Z603" s="206">
        <f>SUM(U603:Y603)</f>
        <v>0</v>
      </c>
      <c r="AA603" s="930"/>
      <c r="AB603" s="205">
        <f>IF($B$599="Лікар загальної практики - сімейний лікар",AVERAGE(AB599:AB601),IF($B$599="Лікар-педіатр",AVERAGE(AB599:AB601),IF($B$599="Лікар-терапевт","х",0)))</f>
        <v>0</v>
      </c>
      <c r="AC603" s="205">
        <f>IF($B$599="Лікар загальної практики - сімейний лікар",AVERAGE(AC599:AC601),IF($B$599="Лікар-педіатр",AVERAGE(AC599:AC601),IF($B$599="Лікар-терапевт","х",0)))</f>
        <v>0</v>
      </c>
      <c r="AD603" s="205">
        <f>IF($B$599="Лікар загальної практики - сімейний лікар",AVERAGE(AD599:AD601),IF($B$599="Лікар-педіатр","x",IF($B$599="Лікар-терапевт",AVERAGE(AD599:AD601),0)))</f>
        <v>0</v>
      </c>
      <c r="AE603" s="205">
        <f>IF($B$599="Лікар загальної практики - сімейний лікар",AVERAGE(AE599:AE601),IF($B$599="Лікар-педіатр","x",IF($B$599="Лікар-терапевт",AVERAGE(AE599:AE601),0)))</f>
        <v>0</v>
      </c>
      <c r="AF603" s="205">
        <f>IF($B$599="Лікар загальної практики - сімейний лікар",AVERAGE(AF599:AF601),IF($B$599="Лікар-педіатр","x",IF($B$599="Лікар-терапевт",AVERAGE(AF599:AF601),0)))</f>
        <v>0</v>
      </c>
      <c r="AG603" s="206">
        <f>SUM(AB603:AF603)</f>
        <v>0</v>
      </c>
      <c r="AH603" s="930"/>
      <c r="AI603" s="201"/>
      <c r="AJ603" s="933"/>
      <c r="AK603" s="927"/>
      <c r="AL603" s="927"/>
      <c r="AM603" s="903"/>
      <c r="AN603" s="925"/>
      <c r="AO603" s="925"/>
      <c r="AP603" s="925"/>
      <c r="AQ603" s="925"/>
      <c r="AR603" s="916"/>
    </row>
    <row r="604" spans="1:44" s="50" customFormat="1" ht="40.5" hidden="1">
      <c r="A604" s="197"/>
      <c r="B604" s="893"/>
      <c r="C604" s="896"/>
      <c r="D604" s="912"/>
      <c r="E604" s="909"/>
      <c r="F604" s="237" t="str">
        <f ca="1">IF(B599="Лікар-педіатр",Законод!$C$17,IF(B599="Лікар загальної практики - сімейний лікар",Законод!$C$21,IF(B599="Лікар-терапевт",Законод!$C$25,"х")))</f>
        <v>х</v>
      </c>
      <c r="G604" s="208">
        <f ca="1">IF($B$599="Лікар загальної практики - сімейний лікар",IF(L603&lt;=Законод!$C$22,G603,Законод!$C$22*'01_Доходи'!G602),IF($B$599="Лікар-педіатр",IF(L603&lt;=Законод!$C$18,G603,Законод!$C$18*'01_Доходи'!G602),IF($B$599="Лікар-терапевт","x",0)))</f>
        <v>0</v>
      </c>
      <c r="H604" s="208">
        <f ca="1">IF($B$599="Лікар загальної практики - сімейний лікар",IF(L603&lt;=Законод!$C$22,H603,Законод!$C$22*'01_Доходи'!H602),IF($B$599="Лікар-педіатр",IF(L603&lt;=Законод!$C$18,H603,Законод!$C$18*'01_Доходи'!H602),IF($B$599="Лікар-терапевт","x",0)))</f>
        <v>0</v>
      </c>
      <c r="I604" s="208">
        <f ca="1">IF($B$599="Лікар загальної практики - сімейний лікар",IF(L603&lt;=Законод!$C$22,I603,Законод!$C$22*'01_Доходи'!I602),IF($B$599="Лікар-педіатр","x",IF($B$599="Лікар-терапевт",IF(L603&lt;=Законод!$C$26,I603,Законод!$C$26*'01_Доходи'!I602),0)))</f>
        <v>0</v>
      </c>
      <c r="J604" s="208">
        <f ca="1">IF($B$599="Лікар загальної практики - сімейний лікар",IF(L603&lt;=Законод!$C$22,J603,Законод!$C$22*'01_Доходи'!J602),IF($B$599="Лікар-педіатр","x",IF($B$599="Лікар-терапевт",IF(L603&lt;=Законод!$C$26,J603,Законод!$C$26*'01_Доходи'!J602),0)))</f>
        <v>0</v>
      </c>
      <c r="K604" s="208">
        <f ca="1">IF($B$599="Лікар загальної практики - сімейний лікар",IF(L603&lt;=Законод!$C$22,K603,Законод!$C$22*'01_Доходи'!K602),IF($B$599="Лікар-педіатр","x",IF($B$599="Лікар-терапевт",IF(L603&lt;=Законод!$C$26,K603,Законод!$C$26*'01_Доходи'!K602),0)))</f>
        <v>0</v>
      </c>
      <c r="L604" s="209">
        <f ca="1">SUM(G604:K604)</f>
        <v>0</v>
      </c>
      <c r="M604" s="930"/>
      <c r="N604" s="208">
        <f ca="1">IF($B$599="Лікар загальної практики - сімейний лікар",IF(S603&lt;=Законод!$C$22,N603,Законод!$C$22*'01_Доходи'!N602),IF($B$599="Лікар-педіатр",IF(S603&lt;=Законод!$C$18,N603,Законод!$C$18*'01_Доходи'!N602),IF($B$599="Лікар-терапевт","x",0)))</f>
        <v>0</v>
      </c>
      <c r="O604" s="208">
        <f ca="1">IF($B$599="Лікар загальної практики - сімейний лікар",IF(S603&lt;=Законод!$C$22,O603,Законод!$C$22*'01_Доходи'!O602),IF($B$599="Лікар-педіатр",IF(S603&lt;=Законод!$C$18,O603,Законод!$C$18*'01_Доходи'!O602),IF($B$599="Лікар-терапевт","x",0)))</f>
        <v>0</v>
      </c>
      <c r="P604" s="208">
        <f ca="1">IF($B$599="Лікар загальної практики - сімейний лікар",IF(S603&lt;=Законод!$C$22,P603,Законод!$C$22*'01_Доходи'!P602),IF($B$599="Лікар-педіатр","x",IF($B$599="Лікар-терапевт",IF(S603&lt;=Законод!$C$26,P603,Законод!$C$26*'01_Доходи'!P602),0)))</f>
        <v>0</v>
      </c>
      <c r="Q604" s="208">
        <f ca="1">IF($B$599="Лікар загальної практики - сімейний лікар",IF(S603&lt;=Законод!$C$22,Q603,Законод!$C$22*'01_Доходи'!Q602),IF($B$599="Лікар-педіатр","x",IF($B$599="Лікар-терапевт",IF(S603&lt;=Законод!$C$26,Q603,Законод!$C$26*'01_Доходи'!Q602),0)))</f>
        <v>0</v>
      </c>
      <c r="R604" s="208">
        <f ca="1">IF($B$599="Лікар загальної практики - сімейний лікар",IF(S603&lt;=Законод!$C$22,R603,Законод!$C$22*'01_Доходи'!R602),IF($B$599="Лікар-педіатр","x",IF($B$599="Лікар-терапевт",IF(S603&lt;=Законод!$C$26,R603,Законод!$C$26*'01_Доходи'!R602),0)))</f>
        <v>0</v>
      </c>
      <c r="S604" s="209">
        <f ca="1">SUM(N604:R604)</f>
        <v>0</v>
      </c>
      <c r="T604" s="930"/>
      <c r="U604" s="208">
        <f ca="1">IF($B$599="Лікар загальної практики - сімейний лікар",IF(Z603&lt;=Законод!$C$22,U603,Законод!$C$22*'01_Доходи'!U602),IF($B$599="Лікар-педіатр",IF(Z603&lt;=Законод!$C$18,U603,Законод!$C$18*'01_Доходи'!U602),IF($B$599="Лікар-терапевт","x",0)))</f>
        <v>0</v>
      </c>
      <c r="V604" s="208">
        <f ca="1">IF($B$599="Лікар загальної практики - сімейний лікар",IF(Z603&lt;=Законод!$C$22,V603,Законод!$C$22*'01_Доходи'!V602),IF($B$599="Лікар-педіатр",IF(Z603&lt;=Законод!$C$18,V603,Законод!$C$18*'01_Доходи'!V602),IF($B$599="Лікар-терапевт","x",0)))</f>
        <v>0</v>
      </c>
      <c r="W604" s="208">
        <f ca="1">IF($B$599="Лікар загальної практики - сімейний лікар",IF(Z603&lt;=Законод!$C$22,W603,Законод!$C$22*'01_Доходи'!W602),IF($B$599="Лікар-педіатр","x",IF($B$599="Лікар-терапевт",IF(Z603&lt;=Законод!$C$26,W603,Законод!$C$26*'01_Доходи'!W602),0)))</f>
        <v>0</v>
      </c>
      <c r="X604" s="208">
        <f ca="1">IF($B$599="Лікар загальної практики - сімейний лікар",IF(Z603&lt;=Законод!$C$22,X603,Законод!$C$22*'01_Доходи'!X602),IF($B$599="Лікар-педіатр","x",IF($B$599="Лікар-терапевт",IF(Z603&lt;=Законод!$C$26,X603,Законод!$C$26*'01_Доходи'!X602),0)))</f>
        <v>0</v>
      </c>
      <c r="Y604" s="208">
        <f ca="1">IF($B$599="Лікар загальної практики - сімейний лікар",IF(Z603&lt;=Законод!$C$22,Y603,Законод!$C$22*'01_Доходи'!Y602),IF($B$599="Лікар-педіатр","x",IF($B$599="Лікар-терапевт",IF(Z603&lt;=Законод!$C$26,Y603,Законод!$C$26*'01_Доходи'!Y602),0)))</f>
        <v>0</v>
      </c>
      <c r="Z604" s="209">
        <f ca="1">SUM(U604:Y604)</f>
        <v>0</v>
      </c>
      <c r="AA604" s="930"/>
      <c r="AB604" s="208">
        <f ca="1">IF($B$599="Лікар загальної практики - сімейний лікар",IF(AG603&lt;=Законод!$C$22,AB603,Законод!$C$22*'01_Доходи'!AB602),IF($B$599="Лікар-педіатр",IF(AG603&lt;=Законод!$C$18,AB603,Законод!$C$18*'01_Доходи'!AB602),IF($B$599="Лікар-терапевт","x",0)))</f>
        <v>0</v>
      </c>
      <c r="AC604" s="208">
        <f ca="1">IF($B$599="Лікар загальної практики - сімейний лікар",IF(AG603&lt;=Законод!$C$22,AC603,Законод!$C$22*'01_Доходи'!AC602),IF($B$599="Лікар-педіатр",IF(AG603&lt;=Законод!$C$18,AC603,Законод!$C$18*'01_Доходи'!AC602),IF($B$599="Лікар-терапевт","x",0)))</f>
        <v>0</v>
      </c>
      <c r="AD604" s="208">
        <f ca="1">IF($B$599="Лікар загальної практики - сімейний лікар",IF(AG603&lt;=Законод!$C$22,AD603,Законод!$C$22*'01_Доходи'!AD602),IF($B$599="Лікар-педіатр","x",IF($B$599="Лікар-терапевт",IF(AG603&lt;=Законод!$C$26,AD603,Законод!$C$26*'01_Доходи'!AD602),0)))</f>
        <v>0</v>
      </c>
      <c r="AE604" s="208">
        <f ca="1">IF($B$599="Лікар загальної практики - сімейний лікар",IF(AG603&lt;=Законод!$C$22,AE603,Законод!$C$22*'01_Доходи'!AE602),IF($B$599="Лікар-педіатр","x",IF($B$599="Лікар-терапевт",IF(AG603&lt;=Законод!$C$26,AE603,Законод!$C$26*'01_Доходи'!AE602),0)))</f>
        <v>0</v>
      </c>
      <c r="AF604" s="208">
        <f ca="1">IF($B$599="Лікар загальної практики - сімейний лікар",IF(AG603&lt;=Законод!$C$22,AF603,Законод!$C$22*'01_Доходи'!AF602),IF($B$599="Лікар-педіатр","x",IF($B$599="Лікар-терапевт",IF(AG603&lt;=Законод!$C$26,AF603,Законод!$C$26*'01_Доходи'!AF602),0)))</f>
        <v>0</v>
      </c>
      <c r="AG604" s="209">
        <f ca="1">SUM(AB604:AF604)</f>
        <v>0</v>
      </c>
      <c r="AH604" s="930"/>
      <c r="AI604" s="201"/>
      <c r="AJ604" s="933"/>
      <c r="AK604" s="927"/>
      <c r="AL604" s="927"/>
      <c r="AM604" s="348" t="s">
        <v>374</v>
      </c>
      <c r="AN604" s="210">
        <f ca="1">IF(B599="Лікар загальної практики - сімейний лікар",G604*Законод!$C$11+'01_Доходи'!H604*Законод!$D$11+'01_Доходи'!I604*Законод!$E$11+'01_Доходи'!J604*Законод!$F$11+'01_Доходи'!K604*Законод!$G$11,IF(B599="Лікар-педіатр",G604*Законод!$C$11+'01_Доходи'!H604*Законод!$D$11,IF(B599="Лікар-терапевт",'01_Доходи'!I604*Законод!$E$11+'01_Доходи'!J604*Законод!$F$11+'01_Доходи'!K604*Законод!$G$11,0)))</f>
        <v>0</v>
      </c>
      <c r="AO604" s="210">
        <f ca="1">IF(B599="Лікар загальної практики - сімейний лікар",N604*Законод!$C$11+'01_Доходи'!O604*Законод!$D$11+'01_Доходи'!P604*Законод!$E$11+'01_Доходи'!Q604*Законод!$F$11+'01_Доходи'!R604*Законод!$G$11,IF(B599="Лікар-педіатр",N604*Законод!$C$11+'01_Доходи'!O604*Законод!$D$11,IF(B599="Лікар-терапевт",'01_Доходи'!P604*Законод!$E$11+'01_Доходи'!Q604*Законод!$F$11+'01_Доходи'!R604*Законод!$G$11,0)))</f>
        <v>0</v>
      </c>
      <c r="AP604" s="210">
        <f ca="1">IF(B599="Лікар загальної практики - сімейний лікар",U604*Законод!$C$11+'01_Доходи'!V604*Законод!$D$11+'01_Доходи'!W604*Законод!$E$11+'01_Доходи'!X604*Законод!$F$11+'01_Доходи'!Y604*Законод!$G$11,IF(B599="Лікар-педіатр",U604*Законод!$C$11+'01_Доходи'!V604*Законод!$D$11,IF(B599="Лікар-терапевт",'01_Доходи'!W604*Законод!$E$11+'01_Доходи'!X604*Законод!$F$11+'01_Доходи'!Y604*Законод!$G$11,0)))</f>
        <v>0</v>
      </c>
      <c r="AQ604" s="210">
        <f ca="1">IF(B599="Лікар загальної практики - сімейний лікар",AB604*Законод!$C$11+'01_Доходи'!AC604*Законод!$D$11+'01_Доходи'!AD604*Законод!$E$11+'01_Доходи'!AE604*Законод!$F$11+'01_Доходи'!AF604*Законод!$G$11,IF(B599="Лікар-педіатр",AB604*Законод!$C$11+'01_Доходи'!AC604*Законод!$D$11,IF(B599="Лікар-терапевт",'01_Доходи'!AD604*Законод!$E$11+'01_Доходи'!AE604*Законод!$F$11+'01_Доходи'!AF604*Законод!$G$11,0)))</f>
        <v>0</v>
      </c>
      <c r="AR604" s="211">
        <f t="shared" ref="AR604:AR610" si="73">SUM(AN604:AQ604)</f>
        <v>0</v>
      </c>
    </row>
    <row r="605" spans="1:44" s="50" customFormat="1" ht="31.9" hidden="1" customHeight="1">
      <c r="A605" s="197"/>
      <c r="B605" s="893"/>
      <c r="C605" s="896"/>
      <c r="D605" s="912"/>
      <c r="E605" s="909"/>
      <c r="F605" s="238" t="str">
        <f ca="1">IF(B599="Лікар-педіатр",Законод!$E$17,IF(B599="Лікар загальної практики - сімейний лікар",Законод!$E$21,IF(B599="Лікар-терапевт",Законод!$E$25,"х")))</f>
        <v>х</v>
      </c>
      <c r="G605" s="889" t="s">
        <v>346</v>
      </c>
      <c r="H605" s="890"/>
      <c r="I605" s="890"/>
      <c r="J605" s="890"/>
      <c r="K605" s="891"/>
      <c r="L605" s="196">
        <f ca="1">IF($B$599="Лікар загальної практики - сімейний лікар",IF(L603&lt;Законод!$C$22,0,(IF(AND(L603&gt;=Законод!$E$22,L603&lt;=Законод!$E$23),L603-Законод!$C$22,IF('01_Доходи'!L603&gt;=Законод!$F$22,Законод!$E$24,0)))),IF($B$599="Лікар-педіатр",IF(L603&lt;Законод!$C$18,0,(IF(AND(L603&gt;=Законод!$E$18,L603&lt;=Законод!$E$19),L603-Законод!$C$18,IF('01_Доходи'!L603&gt;=Законод!$F$18,Законод!$E$20,0)))),IF($B$599="Лікар-терапевт",IF(L603&lt;Законод!$C$26,0,(IF(AND(L603&gt;=Законод!$E$26,L603&lt;=Законод!$E$27),L603-Законод!$C$26,IF('01_Доходи'!L603&gt;=Законод!$F$26,Законод!$E$28,0)))),0)))</f>
        <v>0</v>
      </c>
      <c r="M605" s="930"/>
      <c r="N605" s="889" t="s">
        <v>346</v>
      </c>
      <c r="O605" s="890"/>
      <c r="P605" s="890"/>
      <c r="Q605" s="890"/>
      <c r="R605" s="891"/>
      <c r="S605" s="196">
        <f ca="1">IF($B$599="Лікар загальної практики - сімейний лікар",IF(S603&lt;Законод!$C$22,0,(IF(AND(S603&gt;=Законод!$E$22,S603&lt;=Законод!$E$23),S603-Законод!$C$22,IF('01_Доходи'!S603&gt;=Законод!$F$22,Законод!$E$24,0)))),IF($B$599="Лікар-педіатр",IF(S603&lt;Законод!$C$18,0,(IF(AND(S603&gt;=Законод!$E$18,S603&lt;=Законод!$E$19),S603-Законод!$C$18,IF('01_Доходи'!S603&gt;=Законод!$F$18,Законод!$E$20,0)))),IF($B$599="Лікар-терапевт",IF(S603&lt;Законод!$C$26,0,(IF(AND(S603&gt;=Законод!$E$26,S603&lt;=Законод!$E$27),S603-Законод!$C$26,IF('01_Доходи'!S603&gt;=Законод!$F$26,Законод!$E$28,0)))),0)))</f>
        <v>0</v>
      </c>
      <c r="T605" s="930"/>
      <c r="U605" s="889" t="s">
        <v>346</v>
      </c>
      <c r="V605" s="890"/>
      <c r="W605" s="890"/>
      <c r="X605" s="890"/>
      <c r="Y605" s="891"/>
      <c r="Z605" s="196">
        <f ca="1">IF($B$599="Лікар загальної практики - сімейний лікар",IF(Z603&lt;Законод!$C$22,0,(IF(AND(Z603&gt;=Законод!$E$22,Z603&lt;=Законод!$E$23),Z603-Законод!$C$22,IF('01_Доходи'!Z603&gt;=Законод!$F$22,Законод!$E$24,0)))),IF($B$599="Лікар-педіатр",IF(Z603&lt;Законод!$C$18,0,(IF(AND(Z603&gt;=Законод!$E$18,Z603&lt;=Законод!$E$19),Z603-Законод!$C$18,IF('01_Доходи'!Z603&gt;=Законод!$F$18,Законод!$E$20,0)))),IF($B$599="Лікар-терапевт",IF(Z603&lt;Законод!$C$26,0,(IF(AND(Z603&gt;=Законод!$E$26,Z603&lt;=Законод!$E$27),Z603-Законод!$C$26,IF('01_Доходи'!Z603&gt;=Законод!$F$26,Законод!$E$28,0)))),0)))</f>
        <v>0</v>
      </c>
      <c r="AA605" s="930"/>
      <c r="AB605" s="889" t="s">
        <v>346</v>
      </c>
      <c r="AC605" s="890"/>
      <c r="AD605" s="890"/>
      <c r="AE605" s="890"/>
      <c r="AF605" s="891"/>
      <c r="AG605" s="196">
        <f ca="1">IF($B$599="Лікар загальної практики - сімейний лікар",IF(AG603&lt;Законод!$C$22,0,(IF(AND(AG603&gt;=Законод!$E$22,AG603&lt;=Законод!$E$23),AG603-Законод!$C$22,IF('01_Доходи'!AG603&gt;=Законод!$F$22,Законод!$E$24,0)))),IF($B$599="Лікар-педіатр",IF(AG603&lt;Законод!$C$18,0,(IF(AND(AG603&gt;=Законод!$E$18,AG603&lt;=Законод!$E$19),AG603-Законод!$C$18,IF('01_Доходи'!AG603&gt;=Законод!$F$18,Законод!$E$20,0)))),IF($B$599="Лікар-терапевт",IF(AG603&lt;Законод!$C$26,0,(IF(AND(AG603&gt;=Законод!$E$26,AG603&lt;=Законод!$E$27),AG603-Законод!$C$26,IF('01_Доходи'!AG603&gt;=Законод!$F$26,Законод!$E$28,0)))),0)))</f>
        <v>0</v>
      </c>
      <c r="AH605" s="930"/>
      <c r="AI605" s="201"/>
      <c r="AJ605" s="933"/>
      <c r="AK605" s="927"/>
      <c r="AL605" s="927"/>
      <c r="AM605" s="898" t="s">
        <v>375</v>
      </c>
      <c r="AN605" s="210">
        <f ca="1">IF(B599="Лікар загальної практики - сімейний лікар",L605*Законод!$C$9/4*Законод!$E$16,IF(B599="Лікар-педіатр",L605*Законод!$C$9/4*Законод!$E$16,IF(B599="Лікар-терапевт",L605*Законод!$C$9/4*Законод!$E$16,0)))</f>
        <v>0</v>
      </c>
      <c r="AO605" s="210">
        <f ca="1">IF(B599="Лікар загальної практики - сімейний лікар",S605*Законод!$C$9/4*Законод!$E$16,IF(B599="Лікар-педіатр",S605*Законод!$C$9/4*Законод!$E$16,IF(B599="Лікар-терапевт",S605*Законод!$C$9/4*Законод!$E$16,0)))</f>
        <v>0</v>
      </c>
      <c r="AP605" s="210">
        <f ca="1">IF(B599="Лікар загальної практики - сімейний лікар",Z605*Законод!$C$9/4*Законод!$E$16,IF(B599="Лікар-педіатр",Z605*Законод!$C$9/4*Законод!$E$16,IF(B599="Лікар-терапевт",Z605*Законод!$C$9/4*Законод!$E$16,0)))</f>
        <v>0</v>
      </c>
      <c r="AQ605" s="210">
        <f ca="1">IF(B599="Лікар загальної практики - сімейний лікар",AG605*Законод!$C$9/4*Законод!$E$16,IF(B599="Лікар-педіатр",AG605*Законод!$C$9/4*Законод!$E$16,IF(B599="Лікар-терапевт",AG605*Законод!$C$9/4*Законод!$E$16,0)))</f>
        <v>0</v>
      </c>
      <c r="AR605" s="211">
        <f t="shared" si="73"/>
        <v>0</v>
      </c>
    </row>
    <row r="606" spans="1:44" s="50" customFormat="1" ht="31.9" hidden="1" customHeight="1">
      <c r="A606" s="197"/>
      <c r="B606" s="893"/>
      <c r="C606" s="896"/>
      <c r="D606" s="912"/>
      <c r="E606" s="909"/>
      <c r="F606" s="238" t="str">
        <f ca="1">IF(B599="Лікар-педіатр",Законод!$F$17,IF(B599="Лікар загальної практики - сімейний лікар",Законод!$F$21,IF(B599="Лікар-терапевт",Законод!$F$25,"х")))</f>
        <v>х</v>
      </c>
      <c r="G606" s="889" t="s">
        <v>346</v>
      </c>
      <c r="H606" s="890"/>
      <c r="I606" s="890"/>
      <c r="J606" s="890"/>
      <c r="K606" s="891"/>
      <c r="L606" s="196">
        <f ca="1">IF($B$599="Лікар загальної практики - сімейний лікар",IF(L603&lt;Законод!$C$22,0,(IF(AND(L603&gt;=Законод!$F$22,L603&lt;=Законод!$F$23),L603-Законод!$E$23,IF('01_Доходи'!L603&gt;=Законод!$G$22,Законод!$F$24,0)))),IF($B$599="Лікар-педіатр",IF(L603&lt;Законод!$C$18,0,(IF(AND(L603&gt;=Законод!$F$18,L603&lt;=Законод!$F$19),L603-Законод!$E$19,IF('01_Доходи'!L603&gt;=Законод!$G$18,Законод!$F$20,0)))),IF($B$599="Лікар-терапевт",IF(L603&lt;Законод!$C$26,0,(IF(AND(L603&gt;=Законод!$F$26,L603&lt;=Законод!$F$27),L603-Законод!$E$27,IF('01_Доходи'!L603&gt;=Законод!$G$26,Законод!$F$28,0)))),0)))</f>
        <v>0</v>
      </c>
      <c r="M606" s="930"/>
      <c r="N606" s="889" t="s">
        <v>346</v>
      </c>
      <c r="O606" s="890"/>
      <c r="P606" s="890"/>
      <c r="Q606" s="890"/>
      <c r="R606" s="891"/>
      <c r="S606" s="196">
        <f ca="1">IF($B$599="Лікар загальної практики - сімейний лікар",IF(S603&lt;Законод!$C$22,0,(IF(AND(S603&gt;=Законод!$F$22,S603&lt;=Законод!$F$23),S603-Законод!$E$23,IF('01_Доходи'!S603&gt;=Законод!$G$22,Законод!$F$24,0)))),IF($B$599="Лікар-педіатр",IF(S603&lt;Законод!$C$18,0,(IF(AND(S603&gt;=Законод!$F$18,S603&lt;=Законод!$F$19),S603-Законод!$E$19,IF('01_Доходи'!S603&gt;=Законод!$G$18,Законод!$F$20,0)))),IF($B$599="Лікар-терапевт",IF(S603&lt;Законод!$C$26,0,(IF(AND(S603&gt;=Законод!$F$26,S603&lt;=Законод!$F$27),S603-Законод!$E$27,IF('01_Доходи'!S603&gt;=Законод!$G$26,Законод!$F$28,0)))),0)))</f>
        <v>0</v>
      </c>
      <c r="T606" s="930"/>
      <c r="U606" s="889" t="s">
        <v>346</v>
      </c>
      <c r="V606" s="890"/>
      <c r="W606" s="890"/>
      <c r="X606" s="890"/>
      <c r="Y606" s="891"/>
      <c r="Z606" s="196">
        <f ca="1">IF($B$599="Лікар загальної практики - сімейний лікар",IF(Z603&lt;Законод!$C$22,0,(IF(AND(Z603&gt;=Законод!$F$22,Z603&lt;=Законод!$F$23),Z603-Законод!$E$23,IF('01_Доходи'!Z603&gt;=Законод!$G$22,Законод!$F$24,0)))),IF($B$599="Лікар-педіатр",IF(Z603&lt;Законод!$C$18,0,(IF(AND(Z603&gt;=Законод!$F$18,Z603&lt;=Законод!$F$19),Z603-Законод!$E$19,IF('01_Доходи'!Z603&gt;=Законод!$G$18,Законод!$F$20,0)))),IF($B$599="Лікар-терапевт",IF(Z603&lt;Законод!$C$26,0,(IF(AND(Z603&gt;=Законод!$F$26,Z603&lt;=Законод!$F$27),Z603-Законод!$E$27,IF('01_Доходи'!Z603&gt;=Законод!$G$26,Законод!$F$28,0)))),0)))</f>
        <v>0</v>
      </c>
      <c r="AA606" s="930"/>
      <c r="AB606" s="889" t="s">
        <v>346</v>
      </c>
      <c r="AC606" s="890"/>
      <c r="AD606" s="890"/>
      <c r="AE606" s="890"/>
      <c r="AF606" s="891"/>
      <c r="AG606" s="196">
        <f ca="1">IF($B$599="Лікар загальної практики - сімейний лікар",IF(AG603&lt;Законод!$C$22,0,(IF(AND(AG603&gt;=Законод!$F$22,AG603&lt;=Законод!$F$23),AG603-Законод!$E$23,IF('01_Доходи'!AG603&gt;=Законод!$G$22,Законод!$F$24,0)))),IF($B$599="Лікар-педіатр",IF(AG603&lt;Законод!$C$18,0,(IF(AND(AG603&gt;=Законод!$F$18,AG603&lt;=Законод!$F$19),AG603-Законод!$E$19,IF('01_Доходи'!AG603&gt;=Законод!$G$18,Законод!$F$20,0)))),IF($B$599="Лікар-терапевт",IF(AG603&lt;Законод!$C$26,0,(IF(AND(AG603&gt;=Законод!$F$26,AG603&lt;=Законод!$F$27),AG603-Законод!$E$27,IF('01_Доходи'!AG603&gt;=Законод!$G$26,Законод!$F$28,0)))),0)))</f>
        <v>0</v>
      </c>
      <c r="AH606" s="930"/>
      <c r="AI606" s="201"/>
      <c r="AJ606" s="933"/>
      <c r="AK606" s="927"/>
      <c r="AL606" s="927"/>
      <c r="AM606" s="899"/>
      <c r="AN606" s="210">
        <f ca="1">IF(B599="Лікар загальної практики - сімейний лікар",L606*Законод!$C$9/4*Законод!$F$16,IF(B599="Лікар-педіатр",L606*Законод!$C$9/4*Законод!$F$16,IF(B599="Лікар-терапевт",L606*Законод!$C$9/4*Законод!$F$16,0)))</f>
        <v>0</v>
      </c>
      <c r="AO606" s="210">
        <f ca="1">IF(B599="Лікар загальної практики - сімейний лікар",S606*Законод!$C$9/4*Законод!$F$16,IF(B599="Лікар-педіатр",S606*Законод!$C$9/4*Законод!$F$16,IF(B599="Лікар-терапевт",S606*Законод!$C$9/4*Законод!$F$16,0)))</f>
        <v>0</v>
      </c>
      <c r="AP606" s="210">
        <f ca="1">IF(B599="Лікар загальної практики - сімейний лікар",Z606*Законод!$C$9/4*Законод!$F$16,IF(B599="Лікар-педіатр",Z606*Законод!$C$9/4*Законод!$F$16,IF(B599="Лікар-терапевт",Z606*Законод!$C$9/4*Законод!$F$16,0)))</f>
        <v>0</v>
      </c>
      <c r="AQ606" s="210">
        <f ca="1">IF(B599="Лікар загальної практики - сімейний лікар",AG606*Законод!$C$9/4*Законод!$F$16,IF(B599="Лікар-педіатр",AG606*Законод!$C$9/4*Законод!$F$16,IF(B599="Лікар-терапевт",AG606*Законод!$C$9/4*Законод!$F$16,0)))</f>
        <v>0</v>
      </c>
      <c r="AR606" s="211">
        <f t="shared" si="73"/>
        <v>0</v>
      </c>
    </row>
    <row r="607" spans="1:44" s="50" customFormat="1" ht="31.9" hidden="1" customHeight="1">
      <c r="A607" s="197"/>
      <c r="B607" s="893"/>
      <c r="C607" s="896"/>
      <c r="D607" s="912"/>
      <c r="E607" s="909"/>
      <c r="F607" s="238" t="str">
        <f ca="1">IF(B599="Лікар-педіатр",Законод!$G$17,IF(B599="Лікар загальної практики - сімейний лікар",Законод!$G$21,IF(B599="Лікар-терапевт",Законод!$G$25,"х")))</f>
        <v>х</v>
      </c>
      <c r="G607" s="889" t="s">
        <v>346</v>
      </c>
      <c r="H607" s="890"/>
      <c r="I607" s="890"/>
      <c r="J607" s="890"/>
      <c r="K607" s="891"/>
      <c r="L607" s="196">
        <f ca="1">IF($B$599="Лікар загальної практики - сімейний лікар",IF(L603&lt;Законод!$C$22,0,(IF(AND(L603&gt;=Законод!$G$22,L603&lt;=Законод!$G$23),L603-Законод!$F$23,IF('01_Доходи'!L603&gt;=Законод!$H$22,Законод!$G$24,0)))),IF($B$599="Лікар-педіатр",IF(L603&lt;Законод!$C$18,0,(IF(AND(L603&gt;=Законод!$G$18,L603&lt;=Законод!$G$19),L603-Законод!$F$19,IF('01_Доходи'!L603&gt;=Законод!$H$18,Законод!$G$20,0)))),IF($B$599="Лікар-терапевт",IF(L603&lt;Законод!$C$26,0,(IF(AND(L603&gt;=Законод!$G$26,L603&lt;=Законод!$G$27),L603-Законод!$F$27,IF('01_Доходи'!L603&gt;=Законод!$H$26,Законод!$G$28,0)))),0)))</f>
        <v>0</v>
      </c>
      <c r="M607" s="930"/>
      <c r="N607" s="889" t="s">
        <v>346</v>
      </c>
      <c r="O607" s="890"/>
      <c r="P607" s="890"/>
      <c r="Q607" s="890"/>
      <c r="R607" s="891"/>
      <c r="S607" s="196">
        <f ca="1">IF($B$599="Лікар загальної практики - сімейний лікар",IF(S603&lt;Законод!$C$22,0,(IF(AND(S603&gt;=Законод!$G$22,S603&lt;=Законод!$G$23),S603-Законод!$F$23,IF('01_Доходи'!S603&gt;=Законод!$H$22,Законод!$G$24,0)))),IF($B$599="Лікар-педіатр",IF(S603&lt;Законод!$C$18,0,(IF(AND(S603&gt;=Законод!$G$18,S603&lt;=Законод!$G$19),S603-Законод!$F$19,IF('01_Доходи'!S603&gt;=Законод!$H$18,Законод!$G$20,0)))),IF($B$599="Лікар-терапевт",IF(S603&lt;Законод!$C$26,0,(IF(AND(S603&gt;=Законод!$G$26,S603&lt;=Законод!$G$27),S603-Законод!$F$27,IF('01_Доходи'!S603&gt;=Законод!$H$26,Законод!$G$28,0)))),0)))</f>
        <v>0</v>
      </c>
      <c r="T607" s="930"/>
      <c r="U607" s="889" t="s">
        <v>346</v>
      </c>
      <c r="V607" s="890"/>
      <c r="W607" s="890"/>
      <c r="X607" s="890"/>
      <c r="Y607" s="891"/>
      <c r="Z607" s="196">
        <f ca="1">IF($B$599="Лікар загальної практики - сімейний лікар",IF(Z603&lt;Законод!$C$22,0,(IF(AND(Z603&gt;=Законод!$G$22,Z603&lt;=Законод!$G$23),Z603-Законод!$F$23,IF('01_Доходи'!Z603&gt;=Законод!$H$22,Законод!$G$24,0)))),IF($B$599="Лікар-педіатр",IF(Z603&lt;Законод!$C$18,0,(IF(AND(Z603&gt;=Законод!$G$18,Z603&lt;=Законод!$G$19),Z603-Законод!$F$19,IF('01_Доходи'!Z603&gt;=Законод!$H$18,Законод!$G$20,0)))),IF($B$599="Лікар-терапевт",IF(Z603&lt;Законод!$C$26,0,(IF(AND(Z603&gt;=Законод!$G$26,Z603&lt;=Законод!$G$27),Z603-Законод!$F$27,IF('01_Доходи'!Z603&gt;=Законод!$H$26,Законод!$G$28,0)))),0)))</f>
        <v>0</v>
      </c>
      <c r="AA607" s="930"/>
      <c r="AB607" s="889" t="s">
        <v>346</v>
      </c>
      <c r="AC607" s="890"/>
      <c r="AD607" s="890"/>
      <c r="AE607" s="890"/>
      <c r="AF607" s="891"/>
      <c r="AG607" s="196">
        <f ca="1">IF($B$599="Лікар загальної практики - сімейний лікар",IF(AG603&lt;Законод!$C$22,0,(IF(AND(AG603&gt;=Законод!$G$22,AG603&lt;=Законод!$G$23),AG603-Законод!$F$23,IF('01_Доходи'!AG603&gt;=Законод!$H$22,Законод!$G$24,0)))),IF($B$599="Лікар-педіатр",IF(AG603&lt;Законод!$C$18,0,(IF(AND(AG603&gt;=Законод!$G$18,AG603&lt;=Законод!$G$19),AG603-Законод!$F$19,IF('01_Доходи'!AG603&gt;=Законод!$H$18,Законод!$G$20,0)))),IF($B$599="Лікар-терапевт",IF(AG603&lt;Законод!$C$26,0,(IF(AND(AG603&gt;=Законод!$G$26,AG603&lt;=Законод!$G$27),AG603-Законод!$F$27,IF('01_Доходи'!AG603&gt;=Законод!$H$26,Законод!$G$28,0)))),0)))</f>
        <v>0</v>
      </c>
      <c r="AH607" s="930"/>
      <c r="AI607" s="201"/>
      <c r="AJ607" s="933"/>
      <c r="AK607" s="927"/>
      <c r="AL607" s="927"/>
      <c r="AM607" s="899"/>
      <c r="AN607" s="210">
        <f ca="1">IF(B599="Лікар загальної практики - сімейний лікар",L607*Законод!$C$9/4*Законод!$G$16,IF(B599="Лікар-педіатр",L607*Законод!$C$9/4*Законод!$G$16,IF(B599="Лікар-терапевт",L607*Законод!$C$9/4*Законод!$G$16,0)))</f>
        <v>0</v>
      </c>
      <c r="AO607" s="210">
        <f ca="1">IF(B599="Лікар загальної практики - сімейний лікар",S607*Законод!$C$9/4*Законод!$G$16,IF(B599="Лікар-педіатр",S607*Законод!$C$9/4*Законод!$G$16,IF(B599="Лікар-терапевт",S607*Законод!$C$9/4*Законод!$G$16,0)))</f>
        <v>0</v>
      </c>
      <c r="AP607" s="210">
        <f ca="1">IF(B599="Лікар загальної практики - сімейний лікар",Z607*Законод!$C$9/4*Законод!$G$16,IF(B599="Лікар-педіатр",Z607*Законод!$C$9/4*Законод!$G$16,IF(B599="Лікар-терапевт",Z607*Законод!$C$9/4*Законод!$G$16,0)))</f>
        <v>0</v>
      </c>
      <c r="AQ607" s="210">
        <f ca="1">IF(B599="Лікар загальної практики - сімейний лікар",AG607*Законод!$C$9/4*Законод!$G$16,IF(B599="Лікар-педіатр",AG607*Законод!$C$9/4*Законод!$G$16,IF(B599="Лікар-терапевт",AG607*Законод!$C$9/4*Законод!$G$16,0)))</f>
        <v>0</v>
      </c>
      <c r="AR607" s="211">
        <f t="shared" si="73"/>
        <v>0</v>
      </c>
    </row>
    <row r="608" spans="1:44" s="50" customFormat="1" ht="31.9" hidden="1" customHeight="1">
      <c r="A608" s="197"/>
      <c r="B608" s="893"/>
      <c r="C608" s="896"/>
      <c r="D608" s="912"/>
      <c r="E608" s="909"/>
      <c r="F608" s="238" t="str">
        <f ca="1">IF(B599="Лікар-педіатр",Законод!$H$17,IF(B599="Лікар загальної практики - сімейний лікар",Законод!$H$21,IF(B599="Лікар-терапевт",Законод!$H$25,"х")))</f>
        <v>х</v>
      </c>
      <c r="G608" s="889" t="s">
        <v>346</v>
      </c>
      <c r="H608" s="890"/>
      <c r="I608" s="890"/>
      <c r="J608" s="890"/>
      <c r="K608" s="891"/>
      <c r="L608" s="196">
        <f ca="1">IF($B$599="Лікар загальної практики - сімейний лікар",IF(L603&lt;Законод!$C$22,0,(IF(AND(L603&gt;=Законод!$H$22,L603&lt;=Законод!$H$23),L603-Законод!$G$23,IF('01_Доходи'!L603&gt;=Законод!$I$22,Законод!$H$24,0)))),IF($B$599="Лікар-педіатр",IF(L603&lt;Законод!$C$18,0,(IF(AND(L603&gt;=Законод!$H$18,L603&lt;=Законод!$H$19),L603-Законод!$G$19,IF('01_Доходи'!L603&gt;=Законод!$I$18,Законод!$H$20,0)))),IF($B$599="Лікар-терапевт",IF(L603&lt;Законод!$C$26,0,(IF(AND(L603&gt;=Законод!$H$26,L603&lt;=Законод!$H$27),L603-Законод!$G$27,IF(L603&gt;=Законод!$I$26,Законод!$H$28,0)))),0)))</f>
        <v>0</v>
      </c>
      <c r="M608" s="930"/>
      <c r="N608" s="889" t="s">
        <v>346</v>
      </c>
      <c r="O608" s="890"/>
      <c r="P608" s="890"/>
      <c r="Q608" s="890"/>
      <c r="R608" s="891"/>
      <c r="S608" s="196">
        <f ca="1">IF($B$599="Лікар загальної практики - сімейний лікар",IF(S603&lt;Законод!$C$22,0,(IF(AND(S603&gt;=Законод!$H$22,S603&lt;=Законод!$H$23),S603-Законод!$G$23,IF('01_Доходи'!S603&gt;=Законод!$I$22,Законод!$H$24,0)))),IF($B$599="Лікар-педіатр",IF(S603&lt;Законод!$C$18,0,(IF(AND(S603&gt;=Законод!$H$18,S603&lt;=Законод!$H$19),S603-Законод!$G$19,IF('01_Доходи'!S603&gt;=Законод!$I$18,Законод!$H$20,0)))),IF($B$599="Лікар-терапевт",IF(S603&lt;Законод!$C$26,0,(IF(AND(S603&gt;=Законод!$H$26,S603&lt;=Законод!$H$27),S603-Законод!$G$27,IF(S603&gt;=Законод!$I$26,Законод!$H$28,0)))),0)))</f>
        <v>0</v>
      </c>
      <c r="T608" s="930"/>
      <c r="U608" s="889" t="s">
        <v>346</v>
      </c>
      <c r="V608" s="890"/>
      <c r="W608" s="890"/>
      <c r="X608" s="890"/>
      <c r="Y608" s="891"/>
      <c r="Z608" s="196">
        <f ca="1">IF($B$599="Лікар загальної практики - сімейний лікар",IF(Z603&lt;Законод!$C$22,0,(IF(AND(Z603&gt;=Законод!$H$22,Z603&lt;=Законод!$H$23),Z603-Законод!$G$23,IF('01_Доходи'!Z603&gt;=Законод!$I$22,Законод!$H$24,0)))),IF($B$599="Лікар-педіатр",IF(Z603&lt;Законод!$C$18,0,(IF(AND(Z603&gt;=Законод!$H$18,Z603&lt;=Законод!$H$19),Z603-Законод!$G$19,IF('01_Доходи'!Z603&gt;=Законод!$I$18,Законод!$H$20,0)))),IF($B$599="Лікар-терапевт",IF(Z603&lt;Законод!$C$26,0,(IF(AND(Z603&gt;=Законод!$H$26,Z603&lt;=Законод!$H$27),Z603-Законод!$G$27,IF(Z603&gt;=Законод!$I$26,Законод!$H$28,0)))),0)))</f>
        <v>0</v>
      </c>
      <c r="AA608" s="930"/>
      <c r="AB608" s="889" t="s">
        <v>346</v>
      </c>
      <c r="AC608" s="890"/>
      <c r="AD608" s="890"/>
      <c r="AE608" s="890"/>
      <c r="AF608" s="891"/>
      <c r="AG608" s="196">
        <f ca="1">IF($B$599="Лікар загальної практики - сімейний лікар",IF(AG603&lt;Законод!$C$22,0,(IF(AND(AG603&gt;=Законод!$H$22,AG603&lt;=Законод!$H$23),AG603-Законод!$G$23,IF('01_Доходи'!AG603&gt;=Законод!$I$22,Законод!$H$24,0)))),IF($B$599="Лікар-педіатр",IF(AG603&lt;Законод!$C$18,0,(IF(AND(AG603&gt;=Законод!$H$18,AG603&lt;=Законод!$H$19),AG603-Законод!$G$19,IF('01_Доходи'!AG603&gt;=Законод!$I$18,Законод!$H$20,0)))),IF($B$599="Лікар-терапевт",IF(AG603&lt;Законод!$C$26,0,(IF(AND(AG603&gt;=Законод!$H$26,AG603&lt;=Законод!$H$27),AG603-Законод!$G$27,IF(AG603&gt;=Законод!$I$26,Законод!$H$28,0)))),0)))</f>
        <v>0</v>
      </c>
      <c r="AH608" s="930"/>
      <c r="AI608" s="201"/>
      <c r="AJ608" s="933"/>
      <c r="AK608" s="927"/>
      <c r="AL608" s="927"/>
      <c r="AM608" s="899"/>
      <c r="AN608" s="210">
        <f ca="1">IF(B599="Лікар загальної практики - сімейний лікар",L608*Законод!$C$9/4*Законод!$H$16,IF(B599="Лікар-педіатр",L608*Законод!$C$9/4*Законод!$H$16,IF(B599="Лікар-терапевт",L608*Законод!$C$9/4*Законод!$H$16,0)))</f>
        <v>0</v>
      </c>
      <c r="AO608" s="210">
        <f ca="1">IF(B599="Лікар загальної практики - сімейний лікар",S608*Законод!$C$9/4*Законод!$H$16,IF(B599="Лікар-педіатр",S608*Законод!$C$9/4*Законод!$H$16,IF(B599="Лікар-терапевт",S608*Законод!$C$9/4*Законод!$H$16,0)))</f>
        <v>0</v>
      </c>
      <c r="AP608" s="210">
        <f ca="1">IF(B599="Лікар загальної практики - сімейний лікар",Z608*Законод!$C$9/4*Законод!$H$16,IF(B599="Лікар-педіатр",Z608*Законод!$C$9/4*Законод!$H$16,IF(B599="Лікар-терапевт",Z608*Законод!$C$9/4*Законод!$H$16,0)))</f>
        <v>0</v>
      </c>
      <c r="AQ608" s="210">
        <f ca="1">IF(B599="Лікар загальної практики - сімейний лікар",AG608*Законод!$C$9/4*Законод!$H$16,IF(B599="Лікар-педіатр",AG608*Законод!$C$9/4*Законод!$H$16,IF(B599="Лікар-терапевт",AG608*Законод!$C$9/4*Законод!$H$16,0)))</f>
        <v>0</v>
      </c>
      <c r="AR608" s="211">
        <f t="shared" si="73"/>
        <v>0</v>
      </c>
    </row>
    <row r="609" spans="1:44" s="50" customFormat="1" ht="31.9" hidden="1" customHeight="1">
      <c r="A609" s="197"/>
      <c r="B609" s="893"/>
      <c r="C609" s="896"/>
      <c r="D609" s="912"/>
      <c r="E609" s="909"/>
      <c r="F609" s="238" t="str">
        <f ca="1">IF(B599="Лікар-педіатр",Законод!$I$17,IF(B599="Лікар загальної практики - сімейний лікар",Законод!$I$21,IF(B599="Лікар-терапевт",Законод!$I$25,"х")))</f>
        <v>х</v>
      </c>
      <c r="G609" s="889" t="s">
        <v>346</v>
      </c>
      <c r="H609" s="890"/>
      <c r="I609" s="890"/>
      <c r="J609" s="890"/>
      <c r="K609" s="891"/>
      <c r="L609" s="196">
        <f ca="1">IF($B$599="Лікар загальної практики - сімейний лікар",IF(L603&lt;Законод!$C$22,0,(IF(AND(L603&gt;=Законод!$I$22,L603&lt;=Законод!$I$23),L603-Законод!$H$23,IF('01_Доходи'!L603&gt;=Законод!$I$22,Законод!$I$24,0)))),IF($B$599="Лікар-педіатр",IF(L603&lt;Законод!$C$18,0,(IF(AND(L603&gt;=Законод!$I$18,L603&lt;=Законод!$I$19),L603-Законод!$H$19,IF('01_Доходи'!L603&gt;=Законод!$I$18,Законод!$H$20,0)))),IF($B$599="Лікар-терапевт",IF(L603&lt;Законод!$C$26,0,(IF(AND(L603&gt;=Законод!$I$26,L603&lt;=Законод!$I$27),L603-Законод!$H$27,IF('01_Доходи'!L603&gt;=Законод!$I$26,Законод!$H$28,0)))),0)))</f>
        <v>0</v>
      </c>
      <c r="M609" s="930"/>
      <c r="N609" s="889" t="s">
        <v>346</v>
      </c>
      <c r="O609" s="890"/>
      <c r="P609" s="890"/>
      <c r="Q609" s="890"/>
      <c r="R609" s="891"/>
      <c r="S609" s="196">
        <f ca="1">IF($B$599="Лікар загальної практики - сімейний лікар",IF(S603&lt;Законод!$C$22,0,(IF(AND(S603&gt;=Законод!$I$22,S603&lt;=Законод!$I$23),S603-Законод!$H$23,IF('01_Доходи'!S603&gt;=Законод!$I$22,Законод!$I$24,0)))),IF($B$599="Лікар-педіатр",IF(S603&lt;Законод!$C$18,0,(IF(AND(S603&gt;=Законод!$I$18,S603&lt;=Законод!$I$19),S603-Законод!$H$19,IF('01_Доходи'!S603&gt;=Законод!$I$18,Законод!$H$20,0)))),IF($B$599="Лікар-терапевт",IF(S603&lt;Законод!$C$26,0,(IF(AND(S603&gt;=Законод!$I$26,S603&lt;=Законод!$I$27),S603-Законод!$H$27,IF('01_Доходи'!S603&gt;=Законод!$I$26,Законод!$H$28,0)))),0)))</f>
        <v>0</v>
      </c>
      <c r="T609" s="930"/>
      <c r="U609" s="889" t="s">
        <v>346</v>
      </c>
      <c r="V609" s="890"/>
      <c r="W609" s="890"/>
      <c r="X609" s="890"/>
      <c r="Y609" s="891"/>
      <c r="Z609" s="196">
        <f ca="1">IF($B$599="Лікар загальної практики - сімейний лікар",IF(Z603&lt;Законод!$C$22,0,(IF(AND(Z603&gt;=Законод!$I$22,Z603&lt;=Законод!$I$23),Z603-Законод!$H$23,IF('01_Доходи'!Z603&gt;=Законод!$I$22,Законод!$I$24,0)))),IF($B$599="Лікар-педіатр",IF(Z603&lt;Законод!$C$18,0,(IF(AND(Z603&gt;=Законод!$I$18,Z603&lt;=Законод!$I$19),Z603-Законод!$H$19,IF('01_Доходи'!Z603&gt;=Законод!$I$18,Законод!$H$20,0)))),IF($B$599="Лікар-терапевт",IF(Z603&lt;Законод!$C$26,0,(IF(AND(Z603&gt;=Законод!$I$26,Z603&lt;=Законод!$I$27),Z603-Законод!$H$27,IF('01_Доходи'!Z603&gt;=Законод!$I$26,Законод!$H$28,0)))),0)))</f>
        <v>0</v>
      </c>
      <c r="AA609" s="930"/>
      <c r="AB609" s="889" t="s">
        <v>346</v>
      </c>
      <c r="AC609" s="890"/>
      <c r="AD609" s="890"/>
      <c r="AE609" s="890"/>
      <c r="AF609" s="891"/>
      <c r="AG609" s="196">
        <f ca="1">IF($B$599="Лікар загальної практики - сімейний лікар",IF(AG603&lt;Законод!$C$22,0,(IF(AND(AG603&gt;=Законод!$I$22,AG603&lt;=Законод!$I$23),AG603-Законод!$H$23,IF('01_Доходи'!AG603&gt;=Законод!$I$22,Законод!$I$24,0)))),IF($B$599="Лікар-педіатр",IF(AG603&lt;Законод!$C$18,0,(IF(AND(AG603&gt;=Законод!$I$18,AG603&lt;=Законод!$I$19),AG603-Законод!$H$19,IF('01_Доходи'!AG603&gt;=Законод!$I$18,Законод!$H$20,0)))),IF($B$599="Лікар-терапевт",IF(AG603&lt;Законод!$C$26,0,(IF(AND(AG603&gt;=Законод!$I$26,AG603&lt;=Законод!$I$27),AG603-Законод!$H$27,IF('01_Доходи'!AG603&gt;=Законод!$I$26,Законод!$H$28,0)))),0)))</f>
        <v>0</v>
      </c>
      <c r="AH609" s="930"/>
      <c r="AI609" s="201"/>
      <c r="AJ609" s="933"/>
      <c r="AK609" s="927"/>
      <c r="AL609" s="927"/>
      <c r="AM609" s="899"/>
      <c r="AN609" s="210">
        <f ca="1">IF(B599="Лікар загальної практики - сімейний лікар",L609*Законод!$C$9/4*Законод!$I$16,IF(B599="Лікар-педіатр",L609*Законод!$C$9/4*Законод!$I$16,IF(B599="Лікар-терапевт",L609*Законод!$C$9/4*Законод!$I$16,0)))</f>
        <v>0</v>
      </c>
      <c r="AO609" s="210">
        <f ca="1">IF(B599="Лікар загальної практики - сімейний лікар",S609*Законод!$C$9/4*Законод!$I$16,IF(B599="Лікар-педіатр",S609*Законод!$C$9/4*Законод!$I$16,IF(B599="Лікар-терапевт",S609*Законод!$C$9/4*Законод!$I$16,0)))</f>
        <v>0</v>
      </c>
      <c r="AP609" s="210">
        <f ca="1">IF(B599="Лікар загальної практики - сімейний лікар",Z609*Законод!$C$9/4*Законод!$I$16,IF(B599="Лікар-педіатр",Z609*Законод!$C$9/4*Законод!$I$16,IF(B599="Лікар-терапевт",Z609*Законод!$C$9/4*Законод!$I$16,0)))</f>
        <v>0</v>
      </c>
      <c r="AQ609" s="210">
        <f ca="1">IF(B599="Лікар загальної практики - сімейний лікар",AG609*Законод!$C$9/4*Законод!$I$16,IF(B599="Лікар-педіатр",AG609*Законод!$C$9/4*Законод!$I$16,IF(B599="Лікар-терапевт",AG609*Законод!$C$9/4*Законод!$I$16,0)))</f>
        <v>0</v>
      </c>
      <c r="AR609" s="211">
        <f t="shared" si="73"/>
        <v>0</v>
      </c>
    </row>
    <row r="610" spans="1:44" s="218" customFormat="1" ht="31.9" hidden="1" customHeight="1" thickBot="1">
      <c r="A610" s="213"/>
      <c r="B610" s="894"/>
      <c r="C610" s="897"/>
      <c r="D610" s="913"/>
      <c r="E610" s="910"/>
      <c r="F610" s="239" t="str">
        <f ca="1">IF(B599="Лікар-педіатр",Законод!$J$17,IF(B599="Лікар загальної практики - сімейний лікар",Законод!$J$21,IF(B599="Лікар-терапевт",Законод!$J$25,"х")))</f>
        <v>х</v>
      </c>
      <c r="G610" s="935" t="s">
        <v>346</v>
      </c>
      <c r="H610" s="936"/>
      <c r="I610" s="936"/>
      <c r="J610" s="936"/>
      <c r="K610" s="937"/>
      <c r="L610" s="196">
        <f ca="1">IF($B$599="Лікар загальної практики - сімейний лікар",IF(L603&gt;=Законод!$J$22,'01_Доходи'!L603-('01_Доходи'!L604+'01_Доходи'!L605+'01_Доходи'!L606+'01_Доходи'!L607+'01_Доходи'!L608+'01_Доходи'!L609),0),IF($B$599="Лікар-педіатр",IF(L603&gt;=Законод!$J$18,'01_Доходи'!L603-('01_Доходи'!L604+'01_Доходи'!L605+'01_Доходи'!L606+'01_Доходи'!L607+'01_Доходи'!L608+'01_Доходи'!L609),0),IF($B$599="Лікар-терапевт",IF('01_Доходи'!L603&gt;=Законод!$J$26,L603-Законод!$I$27,0),0)))</f>
        <v>0</v>
      </c>
      <c r="M610" s="931"/>
      <c r="N610" s="935" t="s">
        <v>346</v>
      </c>
      <c r="O610" s="936"/>
      <c r="P610" s="936"/>
      <c r="Q610" s="936"/>
      <c r="R610" s="937"/>
      <c r="S610" s="196">
        <f ca="1">IF($B$599="Лікар загальної практики - сімейний лікар",IF(S603&gt;=Законод!$J$22,'01_Доходи'!S603-('01_Доходи'!S604+'01_Доходи'!S605+'01_Доходи'!S606+'01_Доходи'!S607+'01_Доходи'!S608+'01_Доходи'!S609),0),IF($B$599="Лікар-педіатр",IF(S603&gt;=Законод!$J$18,'01_Доходи'!S603-('01_Доходи'!S604+'01_Доходи'!S605+'01_Доходи'!S606+'01_Доходи'!S607+'01_Доходи'!S608+'01_Доходи'!S609),0),IF($B$599="Лікар-терапевт",IF('01_Доходи'!S603&gt;=Законод!$J$26,S603-Законод!$I$27,0),0)))</f>
        <v>0</v>
      </c>
      <c r="T610" s="931"/>
      <c r="U610" s="935" t="s">
        <v>346</v>
      </c>
      <c r="V610" s="936"/>
      <c r="W610" s="936"/>
      <c r="X610" s="936"/>
      <c r="Y610" s="937"/>
      <c r="Z610" s="196">
        <f ca="1">IF($B$599="Лікар загальної практики - сімейний лікар",IF(Z603&gt;=Законод!$J$22,'01_Доходи'!Z603-('01_Доходи'!Z604+'01_Доходи'!Z605+'01_Доходи'!Z606+'01_Доходи'!Z607+'01_Доходи'!Z608+'01_Доходи'!Z609),0),IF($B$599="Лікар-педіатр",IF(Z603&gt;=Законод!$J$18,'01_Доходи'!Z603-('01_Доходи'!Z604+'01_Доходи'!Z605+'01_Доходи'!Z606+'01_Доходи'!Z607+'01_Доходи'!Z608+'01_Доходи'!Z609),0),IF($B$599="Лікар-терапевт",IF('01_Доходи'!Z603&gt;=Законод!$J$26,Z603-Законод!$I$27,0),0)))</f>
        <v>0</v>
      </c>
      <c r="AA610" s="931"/>
      <c r="AB610" s="935" t="s">
        <v>346</v>
      </c>
      <c r="AC610" s="936"/>
      <c r="AD610" s="936"/>
      <c r="AE610" s="936"/>
      <c r="AF610" s="937"/>
      <c r="AG610" s="196">
        <f ca="1">IF($B$599="Лікар загальної практики - сімейний лікар",IF(AG603&gt;=Законод!$J$22,'01_Доходи'!AG603-('01_Доходи'!AG604+'01_Доходи'!AG605+'01_Доходи'!AG606+'01_Доходи'!AG607+'01_Доходи'!AG608+'01_Доходи'!AG609),0),IF($B$599="Лікар-педіатр",IF(AG603&gt;=Законод!$J$18,'01_Доходи'!AG603-('01_Доходи'!AG604+'01_Доходи'!AG605+'01_Доходи'!AG606+'01_Доходи'!AG607+'01_Доходи'!AG608+'01_Доходи'!AG609),0),IF($B$599="Лікар-терапевт",IF('01_Доходи'!AG603&gt;=Законод!$J$26,AG603-Законод!$I$27,0),0)))</f>
        <v>0</v>
      </c>
      <c r="AH610" s="931"/>
      <c r="AI610" s="215"/>
      <c r="AJ610" s="934"/>
      <c r="AK610" s="928"/>
      <c r="AL610" s="928"/>
      <c r="AM610" s="900"/>
      <c r="AN610" s="216">
        <f ca="1">IF(B599="Лікар загальної практики - сімейний лікар",L610*Законод!$C$9/4*Законод!$J$16,IF(B599="Лікар-педіатр",L610*Законод!$C$9/4*Законод!$J$16,IF(B599="Лікар-терапевт",L610*Законод!$C$9/4*Законод!$J$16,0)))</f>
        <v>0</v>
      </c>
      <c r="AO610" s="216">
        <f ca="1">IF(B599="Лікар загальної практики - сімейний лікар",S610*Законод!$C$9/4*Законод!$J$16,IF(B599="Лікар-педіатр",S610*Законод!$C$9/4*Законод!$J$16,IF(B599="Лікар-терапевт",S610*Законод!$C$9/4*Законод!$J$16,0)))</f>
        <v>0</v>
      </c>
      <c r="AP610" s="216">
        <f ca="1">IF(B599="Лікар загальної практики - сімейний лікар",S610*Законод!$C$9/4*Законод!$J$16,IF(B599="Лікар-педіатр",S610*Законод!$C$9/4*Законод!$J$16,IF(B599="Лікар-терапевт",S610*Законод!$C$9/4*Законод!$J$16,0)))</f>
        <v>0</v>
      </c>
      <c r="AQ610" s="216">
        <f ca="1">IF(B599="Лікар загальної практики - сімейний лікар",AG610*Законод!$C$9/4*Законод!$J$16,IF(B599="Лікар-педіатр",AG610*Законод!$C$9/4*Законод!$J$16,IF(B599="Лікар-терапевт",AG610*Законод!$C$9/4*Законод!$J$16,0)))</f>
        <v>0</v>
      </c>
      <c r="AR610" s="217">
        <f t="shared" si="73"/>
        <v>0</v>
      </c>
    </row>
    <row r="611" spans="1:44" s="247" customFormat="1" ht="23.45" hidden="1" customHeight="1" thickBot="1">
      <c r="A611" s="243"/>
      <c r="B611" s="244"/>
      <c r="C611" s="244"/>
      <c r="D611" s="244"/>
      <c r="E611" s="244"/>
      <c r="F611" s="245"/>
      <c r="G611" s="246"/>
      <c r="H611" s="246"/>
      <c r="L611" s="248"/>
      <c r="S611" s="248"/>
      <c r="Z611" s="248"/>
      <c r="AG611" s="248"/>
      <c r="AM611" s="249"/>
      <c r="AR611" s="250"/>
    </row>
    <row r="612" spans="1:44" s="191" customFormat="1" ht="24.6" hidden="1" customHeight="1">
      <c r="A612" s="194">
        <f>A599+1</f>
        <v>45</v>
      </c>
      <c r="B612" s="892"/>
      <c r="C612" s="895"/>
      <c r="D612" s="911"/>
      <c r="E612" s="908"/>
      <c r="F612" s="234" t="s">
        <v>582</v>
      </c>
      <c r="G612" s="196">
        <f>IF($B$612="Лікар-педіатр",G615*L612,IF($B$612="Лікар-терапевт","х",IF($B$612="Лікар загальної практики - сімейний лікар",G615*L612,0)))</f>
        <v>0</v>
      </c>
      <c r="H612" s="196">
        <f>IF($B$612="Лікар-педіатр",H615*L612,IF($B$612="Лікар-терапевт","х",IF($B$612="Лікар загальної практики - сімейний лікар",H615*L612,0)))</f>
        <v>0</v>
      </c>
      <c r="I612" s="196">
        <f>IF($B$612="Лікар-педіатр","x",IF($B$612="Лікар-терапевт",I615*L612,IF($B$612="Лікар загальної практики - сімейний лікар",I615*L612,0)))</f>
        <v>0</v>
      </c>
      <c r="J612" s="196">
        <f>IF($B$612="Лікар-педіатр","x",IF($B$612="Лікар-терапевт",J615*L612,IF($B$612="Лікар загальної практики - сімейний лікар",J615*L612,0)))</f>
        <v>0</v>
      </c>
      <c r="K612" s="196">
        <f>IF($B$612="Лікар-педіатр","x",IF($B$612="Лікар-терапевт",K615*L612,IF($B$612="Лікар загальної практики - сімейний лікар",K615*L612,0)))</f>
        <v>0</v>
      </c>
      <c r="L612" s="558"/>
      <c r="M612" s="929"/>
      <c r="N612" s="196">
        <f>IF($B$612="Лікар-педіатр",N615*S612,IF($B$612="Лікар-терапевт","х",IF($B$612="Лікар загальної практики - сімейний лікар",N615*S612,0)))</f>
        <v>0</v>
      </c>
      <c r="O612" s="196">
        <f>IF($B$612="Лікар-педіатр",O615*S612,IF($B$612="Лікар-терапевт","х",IF($B$612="Лікар загальної практики - сімейний лікар",O615*S612,0)))</f>
        <v>0</v>
      </c>
      <c r="P612" s="196">
        <f>IF($B$612="Лікар-педіатр","x",IF($B$612="Лікар-терапевт",P615*S612,IF($B$612="Лікар загальної практики - сімейний лікар",P615*S612,0)))</f>
        <v>0</v>
      </c>
      <c r="Q612" s="196">
        <f>IF($B$612="Лікар-педіатр","x",IF($B$612="Лікар-терапевт",Q615*S612,IF($B$612="Лікар загальної практики - сімейний лікар",Q615*S612,0)))</f>
        <v>0</v>
      </c>
      <c r="R612" s="196">
        <f>IF($B$612="Лікар-педіатр","x",IF($B$612="Лікар-терапевт",R615*S612,IF($B$612="Лікар загальної практики - сімейний лікар",R615*S612,0)))</f>
        <v>0</v>
      </c>
      <c r="S612" s="558"/>
      <c r="T612" s="929"/>
      <c r="U612" s="196">
        <f>IF($B$612="Лікар-педіатр",U615*Z612,IF($B$612="Лікар-терапевт","х",IF($B$612="Лікар загальної практики - сімейний лікар",U615*Z612,0)))</f>
        <v>0</v>
      </c>
      <c r="V612" s="196">
        <f>IF($B$612="Лікар-педіатр",V615*Z612,IF($B$612="Лікар-терапевт","х",IF($B$612="Лікар загальної практики - сімейний лікар",V615*Z612,0)))</f>
        <v>0</v>
      </c>
      <c r="W612" s="196">
        <f>IF($B$612="Лікар-педіатр","x",IF($B$612="Лікар-терапевт",W615*Z612,IF($B$612="Лікар загальної практики - сімейний лікар",W615*Z612,0)))</f>
        <v>0</v>
      </c>
      <c r="X612" s="196">
        <f>IF($B$612="Лікар-педіатр","x",IF($B$612="Лікар-терапевт",X615*Z612,IF($B$612="Лікар загальної практики - сімейний лікар",X615*Z612,0)))</f>
        <v>0</v>
      </c>
      <c r="Y612" s="196">
        <f>IF($B$612="Лікар-педіатр","x",IF($B$612="Лікар-терапевт",Y615*Z612,IF($B$612="Лікар загальної практики - сімейний лікар",Y615*Z612,0)))</f>
        <v>0</v>
      </c>
      <c r="Z612" s="558"/>
      <c r="AA612" s="929"/>
      <c r="AB612" s="196">
        <f>IF($B$612="Лікар-педіатр",AB615*AG612,IF($B$612="Лікар-терапевт","х",IF($B$612="Лікар загальної практики - сімейний лікар",AB615*AG612,0)))</f>
        <v>0</v>
      </c>
      <c r="AC612" s="196">
        <f>IF($B$612="Лікар-педіатр",AC615*AG612,IF($B$612="Лікар-терапевт","х",IF($B$612="Лікар загальної практики - сімейний лікар",AC615*AG612,0)))</f>
        <v>0</v>
      </c>
      <c r="AD612" s="196">
        <f>IF($B$612="Лікар-педіатр","x",IF($B$612="Лікар-терапевт",AD615*AG612,IF($B$612="Лікар загальної практики - сімейний лікар",AD615*AG612,0)))</f>
        <v>0</v>
      </c>
      <c r="AE612" s="196">
        <f>IF($B$612="Лікар-педіатр","x",IF($B$612="Лікар-терапевт",AE615*AG612,IF($B$612="Лікар загальної практики - сімейний лікар",AE615*AG612,0)))</f>
        <v>0</v>
      </c>
      <c r="AF612" s="196">
        <f>IF($B$612="Лікар-педіатр","x",IF($B$612="Лікар-терапевт",AF615*AG612,IF($B$612="Лікар загальної практики - сімейний лікар",AF615*AG612,0)))</f>
        <v>0</v>
      </c>
      <c r="AG612" s="558"/>
      <c r="AH612" s="929"/>
      <c r="AI612" s="541">
        <f>A612</f>
        <v>45</v>
      </c>
      <c r="AJ612" s="932">
        <f>B612</f>
        <v>0</v>
      </c>
      <c r="AK612" s="926">
        <f>C612</f>
        <v>0</v>
      </c>
      <c r="AL612" s="926">
        <f>D612</f>
        <v>0</v>
      </c>
      <c r="AM612" s="901" t="s">
        <v>785</v>
      </c>
      <c r="AN612" s="923">
        <f>SUM(AN617:AN623)</f>
        <v>0</v>
      </c>
      <c r="AO612" s="923">
        <f>SUM(AO617:AO623)</f>
        <v>0</v>
      </c>
      <c r="AP612" s="923">
        <f>SUM(AP617:AP623)</f>
        <v>0</v>
      </c>
      <c r="AQ612" s="923">
        <f>SUM(AQ617:AQ623)</f>
        <v>0</v>
      </c>
      <c r="AR612" s="914">
        <f>SUM(AN612:AQ616)</f>
        <v>0</v>
      </c>
    </row>
    <row r="613" spans="1:44" s="50" customFormat="1" ht="28.15" hidden="1" customHeight="1">
      <c r="A613" s="197"/>
      <c r="B613" s="893"/>
      <c r="C613" s="896"/>
      <c r="D613" s="912"/>
      <c r="E613" s="909"/>
      <c r="F613" s="234" t="s">
        <v>583</v>
      </c>
      <c r="G613" s="196">
        <f>IF($B$612="Лікар-педіатр",G615*L613,IF($B$612="Лікар-терапевт","х",IF($B$612="Лікар загальної практики - сімейний лікар",G615*L613,0)))</f>
        <v>0</v>
      </c>
      <c r="H613" s="196">
        <f>IF($B$612="Лікар-педіатр",H615*L613,IF($B$612="Лікар-терапевт","х",IF($B$612="Лікар загальної практики - сімейний лікар",H615*L613,0)))</f>
        <v>0</v>
      </c>
      <c r="I613" s="196">
        <f>IF($B$612="Лікар-педіатр","x",IF($B$612="Лікар-терапевт",I615*L613,IF($B$612="Лікар загальної практики - сімейний лікар",I615*L613,0)))</f>
        <v>0</v>
      </c>
      <c r="J613" s="196">
        <f>IF($B$612="Лікар-педіатр","x",IF($B$612="Лікар-терапевт",J615*L613,IF($B$612="Лікар загальної практики - сімейний лікар",J615*L613,0)))</f>
        <v>0</v>
      </c>
      <c r="K613" s="196">
        <f>IF($B$612="Лікар-педіатр","x",IF($B$612="Лікар-терапевт",K615*L613,IF($B$612="Лікар загальної практики - сімейний лікар",K615*L613,0)))</f>
        <v>0</v>
      </c>
      <c r="L613" s="558"/>
      <c r="M613" s="930"/>
      <c r="N613" s="196">
        <f>IF($B$612="Лікар-педіатр",N615*S613,IF($B$612="Лікар-терапевт","х",IF($B$612="Лікар загальної практики - сімейний лікар",N615*S613,0)))</f>
        <v>0</v>
      </c>
      <c r="O613" s="196">
        <f>IF($B$612="Лікар-педіатр",O615*S613,IF($B$612="Лікар-терапевт","х",IF($B$612="Лікар загальної практики - сімейний лікар",O615*S613,0)))</f>
        <v>0</v>
      </c>
      <c r="P613" s="196">
        <f>IF($B$612="Лікар-педіатр","x",IF($B$612="Лікар-терапевт",P615*S613,IF($B$612="Лікар загальної практики - сімейний лікар",P615*S613,0)))</f>
        <v>0</v>
      </c>
      <c r="Q613" s="196">
        <f>IF($B$612="Лікар-педіатр","x",IF($B$612="Лікар-терапевт",Q615*S613,IF($B$612="Лікар загальної практики - сімейний лікар",Q615*S613,0)))</f>
        <v>0</v>
      </c>
      <c r="R613" s="196">
        <f>IF($B$612="Лікар-педіатр","x",IF($B$612="Лікар-терапевт",R615*S613,IF($B$612="Лікар загальної практики - сімейний лікар",R615*S613,0)))</f>
        <v>0</v>
      </c>
      <c r="S613" s="558"/>
      <c r="T613" s="930"/>
      <c r="U613" s="196">
        <f>IF($B$612="Лікар-педіатр",U615*Z613,IF($B$612="Лікар-терапевт","х",IF($B$612="Лікар загальної практики - сімейний лікар",U615*Z613,0)))</f>
        <v>0</v>
      </c>
      <c r="V613" s="196">
        <f>IF($B$612="Лікар-педіатр",V615*Z613,IF($B$612="Лікар-терапевт","х",IF($B$612="Лікар загальної практики - сімейний лікар",V615*Z613,0)))</f>
        <v>0</v>
      </c>
      <c r="W613" s="196">
        <f>IF($B$612="Лікар-педіатр","x",IF($B$612="Лікар-терапевт",W615*Z613,IF($B$612="Лікар загальної практики - сімейний лікар",W615*Z613,0)))</f>
        <v>0</v>
      </c>
      <c r="X613" s="196">
        <f>IF($B$612="Лікар-педіатр","x",IF($B$612="Лікар-терапевт",X615*Z613,IF($B$612="Лікар загальної практики - сімейний лікар",X615*Z613,0)))</f>
        <v>0</v>
      </c>
      <c r="Y613" s="196">
        <f>IF($B$612="Лікар-педіатр","x",IF($B$612="Лікар-терапевт",Y615*Z613,IF($B$612="Лікар загальної практики - сімейний лікар",Y615*Z613,0)))</f>
        <v>0</v>
      </c>
      <c r="Z613" s="558"/>
      <c r="AA613" s="930"/>
      <c r="AB613" s="196">
        <f>IF($B$612="Лікар-педіатр",AB615*AG613,IF($B$612="Лікар-терапевт","х",IF($B$612="Лікар загальної практики - сімейний лікар",AB615*AG613,0)))</f>
        <v>0</v>
      </c>
      <c r="AC613" s="196">
        <f>IF($B$612="Лікар-педіатр",AC615*AG613,IF($B$612="Лікар-терапевт","х",IF($B$612="Лікар загальної практики - сімейний лікар",AC615*AG613,0)))</f>
        <v>0</v>
      </c>
      <c r="AD613" s="196">
        <f>IF($B$612="Лікар-педіатр","x",IF($B$612="Лікар-терапевт",AD615*AG613,IF($B$612="Лікар загальної практики - сімейний лікар",AD615*AG613,0)))</f>
        <v>0</v>
      </c>
      <c r="AE613" s="196">
        <f>IF($B$612="Лікар-педіатр","x",IF($B$612="Лікар-терапевт",AE615*AG613,IF($B$612="Лікар загальної практики - сімейний лікар",AE615*AG613,0)))</f>
        <v>0</v>
      </c>
      <c r="AF613" s="196">
        <f>IF($B$612="Лікар-педіатр","x",IF($B$612="Лікар-терапевт",AF615*AG613,IF($B$612="Лікар загальної практики - сімейний лікар",AF615*AG613,0)))</f>
        <v>0</v>
      </c>
      <c r="AG613" s="558"/>
      <c r="AH613" s="930"/>
      <c r="AI613" s="198"/>
      <c r="AJ613" s="933"/>
      <c r="AK613" s="927"/>
      <c r="AL613" s="927"/>
      <c r="AM613" s="902"/>
      <c r="AN613" s="924"/>
      <c r="AO613" s="924"/>
      <c r="AP613" s="924"/>
      <c r="AQ613" s="924"/>
      <c r="AR613" s="915"/>
    </row>
    <row r="614" spans="1:44" s="90" customFormat="1" ht="31.15" hidden="1" customHeight="1">
      <c r="A614" s="240"/>
      <c r="B614" s="893"/>
      <c r="C614" s="896"/>
      <c r="D614" s="912"/>
      <c r="E614" s="909"/>
      <c r="F614" s="241" t="s">
        <v>584</v>
      </c>
      <c r="G614" s="199">
        <f>IF(B612="Лікар загальної практики - сімейний лікар"," ",IF(B612="Лікар-педіатр"," ",IF(B612="Лікар-терапевт","х",0)))</f>
        <v>0</v>
      </c>
      <c r="H614" s="199">
        <f>IF(B612="Лікар загальної практики - сімейний лікар"," ",IF(B612="Лікар-педіатр"," ",IF(B612="Лікар-терапевт","х",0)))</f>
        <v>0</v>
      </c>
      <c r="I614" s="199">
        <f>IF(B612="Лікар загальної практики - сімейний лікар"," ",IF(B612="Лікар-педіатр","х",IF(B612="Лікар-терапевт"," ",0)))</f>
        <v>0</v>
      </c>
      <c r="J614" s="199">
        <f>IF(B612="Лікар загальної практики - сімейний лікар"," ",IF(B612="Лікар-педіатр","х",IF(B612="Лікар-терапевт"," ",0)))</f>
        <v>0</v>
      </c>
      <c r="K614" s="199">
        <f>IF(B612="Лікар загальної практики - сімейний лікар"," ",IF(B612="Лікар-педіатр","х",IF(B612="Лікар-терапевт"," ",0)))</f>
        <v>0</v>
      </c>
      <c r="L614" s="200">
        <f>SUM(G614:K614)</f>
        <v>0</v>
      </c>
      <c r="M614" s="930"/>
      <c r="N614" s="199">
        <f>IF(B612="Лікар загальної практики - сімейний лікар"," ",IF(B612="Лікар-педіатр"," ",IF(B612="Лікар-терапевт","х",0)))</f>
        <v>0</v>
      </c>
      <c r="O614" s="199">
        <f>IF(B612="Лікар загальної практики - сімейний лікар"," ",IF(B612="Лікар-педіатр"," ",IF(B612="Лікар-терапевт","х",0)))</f>
        <v>0</v>
      </c>
      <c r="P614" s="199">
        <f>IF(B612="Лікар загальної практики - сімейний лікар"," ",IF(B612="Лікар-педіатр","х",IF(B612="Лікар-терапевт"," ",0)))</f>
        <v>0</v>
      </c>
      <c r="Q614" s="199">
        <f>IF(B612="Лікар загальної практики - сімейний лікар"," ",IF(B612="Лікар-педіатр","х",IF(B612="Лікар-терапевт"," ",0)))</f>
        <v>0</v>
      </c>
      <c r="R614" s="199">
        <f>IF(B612="Лікар загальної практики - сімейний лікар"," ",IF(B612="Лікар-педіатр","х",IF(B612="Лікар-терапевт"," ",0)))</f>
        <v>0</v>
      </c>
      <c r="S614" s="200">
        <f>SUM(N614:R614)</f>
        <v>0</v>
      </c>
      <c r="T614" s="930"/>
      <c r="U614" s="199">
        <f>IF(B612="Лікар загальної практики - сімейний лікар"," ",IF(B612="Лікар-педіатр"," ",IF(B612="Лікар-терапевт","х",0)))</f>
        <v>0</v>
      </c>
      <c r="V614" s="199">
        <f>IF(B612="Лікар загальної практики - сімейний лікар"," ",IF(B612="Лікар-педіатр"," ",IF(B612="Лікар-терапевт","х",0)))</f>
        <v>0</v>
      </c>
      <c r="W614" s="199">
        <f>IF(B612="Лікар загальної практики - сімейний лікар"," ",IF(B612="Лікар-педіатр","х",IF(B612="Лікар-терапевт"," ",0)))</f>
        <v>0</v>
      </c>
      <c r="X614" s="199">
        <f>IF(B612="Лікар загальної практики - сімейний лікар"," ",IF(B612="Лікар-педіатр","х",IF(B612="Лікар-терапевт"," ",0)))</f>
        <v>0</v>
      </c>
      <c r="Y614" s="199">
        <f>IF(B612="Лікар загальної практики - сімейний лікар"," ",IF(B612="Лікар-педіатр","х",IF(B612="Лікар-терапевт"," ",0)))</f>
        <v>0</v>
      </c>
      <c r="Z614" s="200">
        <f>SUM(U614:Y614)</f>
        <v>0</v>
      </c>
      <c r="AA614" s="930"/>
      <c r="AB614" s="199">
        <f>IF(B612="Лікар загальної практики - сімейний лікар"," ",IF(B612="Лікар-педіатр"," ",IF(B612="Лікар-терапевт","х",0)))</f>
        <v>0</v>
      </c>
      <c r="AC614" s="199">
        <f>IF(B612="Лікар загальної практики - сімейний лікар"," ",IF(B612="Лікар-педіатр"," ",IF(B612="Лікар-терапевт","х",0)))</f>
        <v>0</v>
      </c>
      <c r="AD614" s="199">
        <f>IF(B612="Лікар загальної практики - сімейний лікар"," ",IF(B612="Лікар-педіатр","х",IF(B612="Лікар-терапевт"," ",0)))</f>
        <v>0</v>
      </c>
      <c r="AE614" s="199">
        <f>IF(B612="Лікар загальної практики - сімейний лікар"," ",IF(B612="Лікар-педіатр","х",IF(B612="Лікар-терапевт"," ",0)))</f>
        <v>0</v>
      </c>
      <c r="AF614" s="199">
        <f>IF(B612="Лікар загальної практики - сімейний лікар"," ",IF(B612="Лікар-педіатр","х",IF(B612="Лікар-терапевт"," ",0)))</f>
        <v>0</v>
      </c>
      <c r="AG614" s="200">
        <f>SUM(AB614:AF614)</f>
        <v>0</v>
      </c>
      <c r="AH614" s="930"/>
      <c r="AI614" s="242"/>
      <c r="AJ614" s="933"/>
      <c r="AK614" s="927"/>
      <c r="AL614" s="927"/>
      <c r="AM614" s="902"/>
      <c r="AN614" s="924"/>
      <c r="AO614" s="924"/>
      <c r="AP614" s="924"/>
      <c r="AQ614" s="924"/>
      <c r="AR614" s="915"/>
    </row>
    <row r="615" spans="1:44" s="50" customFormat="1" ht="31.9" hidden="1" customHeight="1" thickBot="1">
      <c r="A615" s="197"/>
      <c r="B615" s="893"/>
      <c r="C615" s="896"/>
      <c r="D615" s="912"/>
      <c r="E615" s="909"/>
      <c r="F615" s="236" t="s">
        <v>349</v>
      </c>
      <c r="G615" s="203">
        <f>IF($B$612="Лікар-педіатр",G614/L614,IF($B$612="Лікар-терапевт","х",IF($B$612="Лікар загальної практики - сімейний лікар",G614/L614,0)))</f>
        <v>0</v>
      </c>
      <c r="H615" s="203">
        <f>IF($B$612="Лікар-педіатр",H614/L614,IF($B$612="Лікар-терапевт","х",IF($B$612="Лікар загальної практики - сімейний лікар",H614/L614,0)))</f>
        <v>0</v>
      </c>
      <c r="I615" s="203">
        <f>IF($B$612="Лікар-педіатр","x",IF($B$612="Лікар-терапевт",I614/L614,IF($B$612="Лікар загальної практики - сімейний лікар",I614/L614,0)))</f>
        <v>0</v>
      </c>
      <c r="J615" s="203">
        <f>IF($B$612="Лікар-педіатр","x",IF($B$612="Лікар-терапевт",J614/L614,IF($B$612="Лікар загальної практики - сімейний лікар",J614/L614,0)))</f>
        <v>0</v>
      </c>
      <c r="K615" s="203">
        <f>IF($B$612="Лікар-педіатр","x",IF($B$612="Лікар-терапевт",K614/L614,IF($B$612="Лікар загальної практики - сімейний лікар",K614/L614,0)))</f>
        <v>0</v>
      </c>
      <c r="L615" s="203">
        <f>SUM(G615:K615)</f>
        <v>0</v>
      </c>
      <c r="M615" s="930"/>
      <c r="N615" s="203">
        <f>IF($B$612="Лікар-педіатр",N614/S614,IF($B$612="Лікар-терапевт","х",IF($B$612="Лікар загальної практики - сімейний лікар",N614/S614,0)))</f>
        <v>0</v>
      </c>
      <c r="O615" s="203">
        <f>IF($B$612="Лікар-педіатр",O614/S614,IF($B$612="Лікар-терапевт","х",IF($B$612="Лікар загальної практики - сімейний лікар",O614/S614,0)))</f>
        <v>0</v>
      </c>
      <c r="P615" s="203">
        <f>IF($B$612="Лікар-педіатр","x",IF($B$612="Лікар-терапевт",P614/S614,IF($B$612="Лікар загальної практики - сімейний лікар",P614/S614,0)))</f>
        <v>0</v>
      </c>
      <c r="Q615" s="203">
        <f>IF($B$612="Лікар-педіатр","x",IF($B$612="Лікар-терапевт",Q614/S614,IF($B$612="Лікар загальної практики - сімейний лікар",Q614/S614,0)))</f>
        <v>0</v>
      </c>
      <c r="R615" s="203">
        <f>IF($B$612="Лікар-педіатр","x",IF($B$612="Лікар-терапевт",R614/S614,IF($B$612="Лікар загальної практики - сімейний лікар",R614/S614,0)))</f>
        <v>0</v>
      </c>
      <c r="S615" s="203">
        <f>SUM(N615:R615)</f>
        <v>0</v>
      </c>
      <c r="T615" s="930"/>
      <c r="U615" s="203">
        <f>IF($B$612="Лікар-педіатр",U614/Z614,IF($B$612="Лікар-терапевт","х",IF($B$612="Лікар загальної практики - сімейний лікар",U614/Z614,0)))</f>
        <v>0</v>
      </c>
      <c r="V615" s="203">
        <f>IF($B$612="Лікар-педіатр",V614/Z614,IF($B$612="Лікар-терапевт","х",IF($B$612="Лікар загальної практики - сімейний лікар",V614/Z614,0)))</f>
        <v>0</v>
      </c>
      <c r="W615" s="203">
        <f>IF($B$612="Лікар-педіатр","x",IF($B$612="Лікар-терапевт",W614/Z614,IF($B$612="Лікар загальної практики - сімейний лікар",W614/Z614,0)))</f>
        <v>0</v>
      </c>
      <c r="X615" s="203">
        <f>IF($B$612="Лікар-педіатр","x",IF($B$612="Лікар-терапевт",X614/Z614,IF($B$612="Лікар загальної практики - сімейний лікар",X614/Z614,0)))</f>
        <v>0</v>
      </c>
      <c r="Y615" s="203">
        <f>IF($B$612="Лікар-педіатр","x",IF($B$612="Лікар-терапевт",Y614/Z614,IF($B$612="Лікар загальної практики - сімейний лікар",Y614/Z614,0)))</f>
        <v>0</v>
      </c>
      <c r="Z615" s="203">
        <f>SUM(U615:Y615)</f>
        <v>0</v>
      </c>
      <c r="AA615" s="930"/>
      <c r="AB615" s="203">
        <f>IF($B$612="Лікар-педіатр",AB614/AG614,IF($B$612="Лікар-терапевт","х",IF($B$612="Лікар загальної практики - сімейний лікар",AB614/AG614,0)))</f>
        <v>0</v>
      </c>
      <c r="AC615" s="203">
        <f>IF($B$612="Лікар-педіатр",AC614/AG614,IF($B$612="Лікар-терапевт","х",IF($B$612="Лікар загальної практики - сімейний лікар",AC614/AG614,0)))</f>
        <v>0</v>
      </c>
      <c r="AD615" s="203">
        <f>IF($B$612="Лікар-педіатр","x",IF($B$612="Лікар-терапевт",AD614/AG614,IF($B$612="Лікар загальної практики - сімейний лікар",AD614/AG614,0)))</f>
        <v>0</v>
      </c>
      <c r="AE615" s="203">
        <f>IF($B$612="Лікар-педіатр","x",IF($B$612="Лікар-терапевт",AE614/AG614,IF($B$612="Лікар загальної практики - сімейний лікар",AE614/AG614,0)))</f>
        <v>0</v>
      </c>
      <c r="AF615" s="203">
        <f>IF($B$612="Лікар-педіатр","x",IF($B$612="Лікар-терапевт",AF614/AG614,IF($B$612="Лікар загальної практики - сімейний лікар",AF614/AG614,0)))</f>
        <v>0</v>
      </c>
      <c r="AG615" s="203">
        <f>SUM(AB615:AF615)</f>
        <v>0</v>
      </c>
      <c r="AH615" s="930"/>
      <c r="AI615" s="201"/>
      <c r="AJ615" s="933"/>
      <c r="AK615" s="927"/>
      <c r="AL615" s="927"/>
      <c r="AM615" s="902"/>
      <c r="AN615" s="924"/>
      <c r="AO615" s="924"/>
      <c r="AP615" s="924"/>
      <c r="AQ615" s="924"/>
      <c r="AR615" s="915"/>
    </row>
    <row r="616" spans="1:44" s="50" customFormat="1" ht="45" hidden="1" customHeight="1" thickBot="1">
      <c r="A616" s="197"/>
      <c r="B616" s="893"/>
      <c r="C616" s="896"/>
      <c r="D616" s="912"/>
      <c r="E616" s="909"/>
      <c r="F616" s="204" t="s">
        <v>585</v>
      </c>
      <c r="G616" s="205">
        <f>IF($B$612="Лікар загальної практики - сімейний лікар",AVERAGE(G612:G614),IF($B$612="Лікар-педіатр",AVERAGE(G612:G614),IF($B$612="Лікар-терапевт","х",0)))</f>
        <v>0</v>
      </c>
      <c r="H616" s="205">
        <f>IF($B$612="Лікар загальної практики - сімейний лікар",AVERAGE(H612:H614),IF($B$612="Лікар-педіатр",AVERAGE(H612:H614),IF($B$612="Лікар-терапевт","х",0)))</f>
        <v>0</v>
      </c>
      <c r="I616" s="205">
        <f>IF($B$612="Лікар загальної практики - сімейний лікар",AVERAGE(I612:I614),IF($B$612="Лікар-педіатр","x",IF($B$612="Лікар-терапевт",AVERAGE(I612:I614),0)))</f>
        <v>0</v>
      </c>
      <c r="J616" s="205">
        <f>IF($B$612="Лікар загальної практики - сімейний лікар",AVERAGE(J612:J614),IF($B$612="Лікар-педіатр","x",IF($B$612="Лікар-терапевт",AVERAGE(J612:J614),0)))</f>
        <v>0</v>
      </c>
      <c r="K616" s="205">
        <f>IF($B$612="Лікар загальної практики - сімейний лікар",AVERAGE(K612:K614),IF($B$612="Лікар-педіатр","x",IF($B$612="Лікар-терапевт",AVERAGE(K612:K614),0)))</f>
        <v>0</v>
      </c>
      <c r="L616" s="206">
        <f>SUM(G616:K616)</f>
        <v>0</v>
      </c>
      <c r="M616" s="930"/>
      <c r="N616" s="205">
        <f>IF($B$612="Лікар загальної практики - сімейний лікар",AVERAGE(N612:N614),IF($B$612="Лікар-педіатр",AVERAGE(N612:N614),IF($B$612="Лікар-терапевт","х",0)))</f>
        <v>0</v>
      </c>
      <c r="O616" s="205">
        <f>IF($B$612="Лікар загальної практики - сімейний лікар",AVERAGE(O612:O614),IF($B$612="Лікар-педіатр",AVERAGE(O612:O614),IF($B$612="Лікар-терапевт","х",0)))</f>
        <v>0</v>
      </c>
      <c r="P616" s="205">
        <f>IF($B$612="Лікар загальної практики - сімейний лікар",AVERAGE(P612:P614),IF($B$612="Лікар-педіатр","x",IF($B$612="Лікар-терапевт",AVERAGE(P612:P614),0)))</f>
        <v>0</v>
      </c>
      <c r="Q616" s="205">
        <f>IF($B$612="Лікар загальної практики - сімейний лікар",AVERAGE(Q612:Q614),IF($B$612="Лікар-педіатр","x",IF($B$612="Лікар-терапевт",AVERAGE(Q612:Q614),0)))</f>
        <v>0</v>
      </c>
      <c r="R616" s="205">
        <f>IF($B$612="Лікар загальної практики - сімейний лікар",AVERAGE(R612:R614),IF($B$612="Лікар-педіатр","x",IF($B$612="Лікар-терапевт",AVERAGE(R612:R614),0)))</f>
        <v>0</v>
      </c>
      <c r="S616" s="206">
        <f>SUM(N616:R616)</f>
        <v>0</v>
      </c>
      <c r="T616" s="930"/>
      <c r="U616" s="205">
        <f>IF($B$612="Лікар загальної практики - сімейний лікар",AVERAGE(U612:U614),IF($B$612="Лікар-педіатр",AVERAGE(U612:U614),IF($B$612="Лікар-терапевт","х",0)))</f>
        <v>0</v>
      </c>
      <c r="V616" s="205">
        <f>IF($B$612="Лікар загальної практики - сімейний лікар",AVERAGE(V612:V614),IF($B$612="Лікар-педіатр",AVERAGE(V612:V614),IF($B$612="Лікар-терапевт","х",0)))</f>
        <v>0</v>
      </c>
      <c r="W616" s="205">
        <f>IF($B$612="Лікар загальної практики - сімейний лікар",AVERAGE(W612:W614),IF($B$612="Лікар-педіатр","x",IF($B$612="Лікар-терапевт",AVERAGE(W612:W614),0)))</f>
        <v>0</v>
      </c>
      <c r="X616" s="205">
        <f>IF($B$612="Лікар загальної практики - сімейний лікар",AVERAGE(X612:X614),IF($B$612="Лікар-педіатр","x",IF($B$612="Лікар-терапевт",AVERAGE(X612:X614),0)))</f>
        <v>0</v>
      </c>
      <c r="Y616" s="205">
        <f>IF($B$612="Лікар загальної практики - сімейний лікар",AVERAGE(Y612:Y614),IF($B$612="Лікар-педіатр","x",IF($B$612="Лікар-терапевт",AVERAGE(Y612:Y614),0)))</f>
        <v>0</v>
      </c>
      <c r="Z616" s="206">
        <f>SUM(U616:Y616)</f>
        <v>0</v>
      </c>
      <c r="AA616" s="930"/>
      <c r="AB616" s="205">
        <f>IF($B$612="Лікар загальної практики - сімейний лікар",AVERAGE(AB612:AB614),IF($B$612="Лікар-педіатр",AVERAGE(AB612:AB614),IF($B$612="Лікар-терапевт","х",0)))</f>
        <v>0</v>
      </c>
      <c r="AC616" s="205">
        <f>IF($B$612="Лікар загальної практики - сімейний лікар",AVERAGE(AC612:AC614),IF($B$612="Лікар-педіатр",AVERAGE(AC612:AC614),IF($B$612="Лікар-терапевт","х",0)))</f>
        <v>0</v>
      </c>
      <c r="AD616" s="205">
        <f>IF($B$612="Лікар загальної практики - сімейний лікар",AVERAGE(AD612:AD614),IF($B$612="Лікар-педіатр","x",IF($B$612="Лікар-терапевт",AVERAGE(AD612:AD614),0)))</f>
        <v>0</v>
      </c>
      <c r="AE616" s="205">
        <f>IF($B$612="Лікар загальної практики - сімейний лікар",AVERAGE(AE612:AE614),IF($B$612="Лікар-педіатр","x",IF($B$612="Лікар-терапевт",AVERAGE(AE612:AE614),0)))</f>
        <v>0</v>
      </c>
      <c r="AF616" s="205">
        <f>IF($B$612="Лікар загальної практики - сімейний лікар",AVERAGE(AF612:AF614),IF($B$612="Лікар-педіатр","x",IF($B$612="Лікар-терапевт",AVERAGE(AF612:AF614),0)))</f>
        <v>0</v>
      </c>
      <c r="AG616" s="206">
        <f>SUM(AB616:AF616)</f>
        <v>0</v>
      </c>
      <c r="AH616" s="930"/>
      <c r="AI616" s="201"/>
      <c r="AJ616" s="933"/>
      <c r="AK616" s="927"/>
      <c r="AL616" s="927"/>
      <c r="AM616" s="903"/>
      <c r="AN616" s="925"/>
      <c r="AO616" s="925"/>
      <c r="AP616" s="925"/>
      <c r="AQ616" s="925"/>
      <c r="AR616" s="916"/>
    </row>
    <row r="617" spans="1:44" s="50" customFormat="1" ht="40.5" hidden="1">
      <c r="A617" s="197"/>
      <c r="B617" s="893"/>
      <c r="C617" s="896"/>
      <c r="D617" s="912"/>
      <c r="E617" s="909"/>
      <c r="F617" s="237" t="str">
        <f ca="1">IF(B612="Лікар-педіатр",Законод!$C$17,IF(B612="Лікар загальної практики - сімейний лікар",Законод!$C$21,IF(B612="Лікар-терапевт",Законод!$C$25,"х")))</f>
        <v>х</v>
      </c>
      <c r="G617" s="208">
        <f ca="1">IF($B$612="Лікар загальної практики - сімейний лікар",IF(L616&lt;=Законод!$C$22,G616,Законод!$C$22*'01_Доходи'!G615),IF($B$612="Лікар-педіатр",IF(L616&lt;=Законод!$C$18,G616,Законод!$C$18*'01_Доходи'!G615),IF($B$612="Лікар-терапевт","x",0)))</f>
        <v>0</v>
      </c>
      <c r="H617" s="208">
        <f ca="1">IF($B$612="Лікар загальної практики - сімейний лікар",IF(L616&lt;=Законод!$C$22,H616,Законод!$C$22*'01_Доходи'!H615),IF($B$612="Лікар-педіатр",IF(L616&lt;=Законод!$C$18,H616,Законод!$C$18*'01_Доходи'!H615),IF($B$612="Лікар-терапевт","x",0)))</f>
        <v>0</v>
      </c>
      <c r="I617" s="208">
        <f ca="1">IF($B$612="Лікар загальної практики - сімейний лікар",IF(L616&lt;=Законод!$C$22,I616,Законод!$C$22*'01_Доходи'!I615),IF($B$612="Лікар-педіатр","x",IF($B$612="Лікар-терапевт",IF(L616&lt;=Законод!$C$26,I616,Законод!$C$26*'01_Доходи'!I615),0)))</f>
        <v>0</v>
      </c>
      <c r="J617" s="208">
        <f ca="1">IF($B$612="Лікар загальної практики - сімейний лікар",IF(L616&lt;=Законод!$C$22,J616,Законод!$C$22*'01_Доходи'!J615),IF($B$612="Лікар-педіатр","x",IF($B$612="Лікар-терапевт",IF(L616&lt;=Законод!$C$26,J616,Законод!$C$26*'01_Доходи'!J615),0)))</f>
        <v>0</v>
      </c>
      <c r="K617" s="208">
        <f ca="1">IF($B$612="Лікар загальної практики - сімейний лікар",IF(L616&lt;=Законод!$C$22,K616,Законод!$C$22*'01_Доходи'!K615),IF($B$612="Лікар-педіатр","x",IF($B$612="Лікар-терапевт",IF(L616&lt;=Законод!$C$26,K616,Законод!$C$26*'01_Доходи'!K615),0)))</f>
        <v>0</v>
      </c>
      <c r="L617" s="209">
        <f ca="1">SUM(G617:K617)</f>
        <v>0</v>
      </c>
      <c r="M617" s="930"/>
      <c r="N617" s="208">
        <f ca="1">IF($B$612="Лікар загальної практики - сімейний лікар",IF(S616&lt;=Законод!$C$22,N616,Законод!$C$22*'01_Доходи'!N615),IF($B$612="Лікар-педіатр",IF(S616&lt;=Законод!$C$18,N616,Законод!$C$18*'01_Доходи'!N615),IF($B$612="Лікар-терапевт","x",0)))</f>
        <v>0</v>
      </c>
      <c r="O617" s="208">
        <f ca="1">IF($B$612="Лікар загальної практики - сімейний лікар",IF(S616&lt;=Законод!$C$22,O616,Законод!$C$22*'01_Доходи'!O615),IF($B$612="Лікар-педіатр",IF(S616&lt;=Законод!$C$18,O616,Законод!$C$18*'01_Доходи'!O615),IF($B$612="Лікар-терапевт","x",0)))</f>
        <v>0</v>
      </c>
      <c r="P617" s="208">
        <f ca="1">IF($B$612="Лікар загальної практики - сімейний лікар",IF(S616&lt;=Законод!$C$22,P616,Законод!$C$22*'01_Доходи'!P615),IF($B$612="Лікар-педіатр","x",IF($B$612="Лікар-терапевт",IF(S616&lt;=Законод!$C$26,P616,Законод!$C$26*'01_Доходи'!P615),0)))</f>
        <v>0</v>
      </c>
      <c r="Q617" s="208">
        <f ca="1">IF($B$612="Лікар загальної практики - сімейний лікар",IF(S616&lt;=Законод!$C$22,Q616,Законод!$C$22*'01_Доходи'!Q615),IF($B$612="Лікар-педіатр","x",IF($B$612="Лікар-терапевт",IF(S616&lt;=Законод!$C$26,Q616,Законод!$C$26*'01_Доходи'!Q615),0)))</f>
        <v>0</v>
      </c>
      <c r="R617" s="208">
        <f ca="1">IF($B$612="Лікар загальної практики - сімейний лікар",IF(S616&lt;=Законод!$C$22,R616,Законод!$C$22*'01_Доходи'!R615),IF($B$612="Лікар-педіатр","x",IF($B$612="Лікар-терапевт",IF(S616&lt;=Законод!$C$26,R616,Законод!$C$26*'01_Доходи'!R615),0)))</f>
        <v>0</v>
      </c>
      <c r="S617" s="209">
        <f ca="1">SUM(N617:R617)</f>
        <v>0</v>
      </c>
      <c r="T617" s="930"/>
      <c r="U617" s="208">
        <f ca="1">IF($B$612="Лікар загальної практики - сімейний лікар",IF(Z616&lt;=Законод!$C$22,U616,Законод!$C$22*'01_Доходи'!U615),IF($B$612="Лікар-педіатр",IF(Z616&lt;=Законод!$C$18,U616,Законод!$C$18*'01_Доходи'!U615),IF($B$612="Лікар-терапевт","x",0)))</f>
        <v>0</v>
      </c>
      <c r="V617" s="208">
        <f ca="1">IF($B$612="Лікар загальної практики - сімейний лікар",IF(Z616&lt;=Законод!$C$22,V616,Законод!$C$22*'01_Доходи'!V615),IF($B$612="Лікар-педіатр",IF(Z616&lt;=Законод!$C$18,V616,Законод!$C$18*'01_Доходи'!V615),IF($B$612="Лікар-терапевт","x",0)))</f>
        <v>0</v>
      </c>
      <c r="W617" s="208">
        <f ca="1">IF($B$612="Лікар загальної практики - сімейний лікар",IF(Z616&lt;=Законод!$C$22,W616,Законод!$C$22*'01_Доходи'!W615),IF($B$612="Лікар-педіатр","x",IF($B$612="Лікар-терапевт",IF(Z616&lt;=Законод!$C$26,W616,Законод!$C$26*'01_Доходи'!W615),0)))</f>
        <v>0</v>
      </c>
      <c r="X617" s="208">
        <f ca="1">IF($B$612="Лікар загальної практики - сімейний лікар",IF(Z616&lt;=Законод!$C$22,X616,Законод!$C$22*'01_Доходи'!X615),IF($B$612="Лікар-педіатр","x",IF($B$612="Лікар-терапевт",IF(Z616&lt;=Законод!$C$26,X616,Законод!$C$26*'01_Доходи'!X615),0)))</f>
        <v>0</v>
      </c>
      <c r="Y617" s="208">
        <f ca="1">IF($B$612="Лікар загальної практики - сімейний лікар",IF(Z616&lt;=Законод!$C$22,Y616,Законод!$C$22*'01_Доходи'!Y615),IF($B$612="Лікар-педіатр","x",IF($B$612="Лікар-терапевт",IF(Z616&lt;=Законод!$C$26,Y616,Законод!$C$26*'01_Доходи'!Y615),0)))</f>
        <v>0</v>
      </c>
      <c r="Z617" s="209">
        <f ca="1">SUM(U617:Y617)</f>
        <v>0</v>
      </c>
      <c r="AA617" s="930"/>
      <c r="AB617" s="208">
        <f ca="1">IF($B$612="Лікар загальної практики - сімейний лікар",IF(AG616&lt;=Законод!$C$22,AB616,Законод!$C$22*'01_Доходи'!AB615),IF($B$612="Лікар-педіатр",IF(AG616&lt;=Законод!$C$18,AB616,Законод!$C$18*'01_Доходи'!AB615),IF($B$612="Лікар-терапевт","x",0)))</f>
        <v>0</v>
      </c>
      <c r="AC617" s="208">
        <f ca="1">IF($B$612="Лікар загальної практики - сімейний лікар",IF(AG616&lt;=Законод!$C$22,AC616,Законод!$C$22*'01_Доходи'!AC615),IF($B$612="Лікар-педіатр",IF(AG616&lt;=Законод!$C$18,AC616,Законод!$C$18*'01_Доходи'!AC615),IF($B$612="Лікар-терапевт","x",0)))</f>
        <v>0</v>
      </c>
      <c r="AD617" s="208">
        <f ca="1">IF($B$612="Лікар загальної практики - сімейний лікар",IF(AG616&lt;=Законод!$C$22,AD616,Законод!$C$22*'01_Доходи'!AD615),IF($B$612="Лікар-педіатр","x",IF($B$612="Лікар-терапевт",IF(AG616&lt;=Законод!$C$26,AD616,Законод!$C$26*'01_Доходи'!AD615),0)))</f>
        <v>0</v>
      </c>
      <c r="AE617" s="208">
        <f ca="1">IF($B$612="Лікар загальної практики - сімейний лікар",IF(AG616&lt;=Законод!$C$22,AE616,Законод!$C$22*'01_Доходи'!AE615),IF($B$612="Лікар-педіатр","x",IF($B$612="Лікар-терапевт",IF(AG616&lt;=Законод!$C$26,AE616,Законод!$C$26*'01_Доходи'!AE615),0)))</f>
        <v>0</v>
      </c>
      <c r="AF617" s="208">
        <f ca="1">IF($B$612="Лікар загальної практики - сімейний лікар",IF(AG616&lt;=Законод!$C$22,AF616,Законод!$C$22*'01_Доходи'!AF615),IF($B$612="Лікар-педіатр","x",IF($B$612="Лікар-терапевт",IF(AG616&lt;=Законод!$C$26,AF616,Законод!$C$26*'01_Доходи'!AF615),0)))</f>
        <v>0</v>
      </c>
      <c r="AG617" s="209">
        <f ca="1">SUM(AB617:AF617)</f>
        <v>0</v>
      </c>
      <c r="AH617" s="930"/>
      <c r="AI617" s="201"/>
      <c r="AJ617" s="933"/>
      <c r="AK617" s="927"/>
      <c r="AL617" s="927"/>
      <c r="AM617" s="348" t="s">
        <v>374</v>
      </c>
      <c r="AN617" s="210">
        <f ca="1">IF(B612="Лікар загальної практики - сімейний лікар",G617*Законод!$C$11+'01_Доходи'!H617*Законод!$D$11+'01_Доходи'!I617*Законод!$E$11+'01_Доходи'!J617*Законод!$F$11+'01_Доходи'!K617*Законод!$G$11,IF(B612="Лікар-педіатр",G617*Законод!$C$11+'01_Доходи'!H617*Законод!$D$11,IF(B612="Лікар-терапевт",'01_Доходи'!I617*Законод!$E$11+'01_Доходи'!J617*Законод!$F$11+'01_Доходи'!K617*Законод!$G$11,0)))</f>
        <v>0</v>
      </c>
      <c r="AO617" s="210">
        <f ca="1">IF(B612="Лікар загальної практики - сімейний лікар",N617*Законод!$C$11+'01_Доходи'!O617*Законод!$D$11+'01_Доходи'!P617*Законод!$E$11+'01_Доходи'!Q617*Законод!$F$11+'01_Доходи'!R617*Законод!$G$11,IF(B612="Лікар-педіатр",N617*Законод!$C$11+'01_Доходи'!O617*Законод!$D$11,IF(B612="Лікар-терапевт",'01_Доходи'!P617*Законод!$E$11+'01_Доходи'!Q617*Законод!$F$11+'01_Доходи'!R617*Законод!$G$11,0)))</f>
        <v>0</v>
      </c>
      <c r="AP617" s="210">
        <f ca="1">IF(B612="Лікар загальної практики - сімейний лікар",U617*Законод!$C$11+'01_Доходи'!V617*Законод!$D$11+'01_Доходи'!W617*Законод!$E$11+'01_Доходи'!X617*Законод!$F$11+'01_Доходи'!Y617*Законод!$G$11,IF(B612="Лікар-педіатр",U617*Законод!$C$11+'01_Доходи'!V617*Законод!$D$11,IF(B612="Лікар-терапевт",'01_Доходи'!W617*Законод!$E$11+'01_Доходи'!X617*Законод!$F$11+'01_Доходи'!Y617*Законод!$G$11,0)))</f>
        <v>0</v>
      </c>
      <c r="AQ617" s="210">
        <f ca="1">IF(B612="Лікар загальної практики - сімейний лікар",AB617*Законод!$C$11+'01_Доходи'!AC617*Законод!$D$11+'01_Доходи'!AD617*Законод!$E$11+'01_Доходи'!AE617*Законод!$F$11+'01_Доходи'!AF617*Законод!$G$11,IF(B612="Лікар-педіатр",AB617*Законод!$C$11+'01_Доходи'!AC617*Законод!$D$11,IF(B612="Лікар-терапевт",'01_Доходи'!AD617*Законод!$E$11+'01_Доходи'!AE617*Законод!$F$11+'01_Доходи'!AF617*Законод!$G$11,0)))</f>
        <v>0</v>
      </c>
      <c r="AR617" s="211">
        <f t="shared" ref="AR617:AR623" si="74">SUM(AN617:AQ617)</f>
        <v>0</v>
      </c>
    </row>
    <row r="618" spans="1:44" s="50" customFormat="1" ht="31.9" hidden="1" customHeight="1">
      <c r="A618" s="197"/>
      <c r="B618" s="893"/>
      <c r="C618" s="896"/>
      <c r="D618" s="912"/>
      <c r="E618" s="909"/>
      <c r="F618" s="238" t="str">
        <f ca="1">IF(B612="Лікар-педіатр",Законод!$E$17,IF(B612="Лікар загальної практики - сімейний лікар",Законод!$E$21,IF(B612="Лікар-терапевт",Законод!$E$25,"х")))</f>
        <v>х</v>
      </c>
      <c r="G618" s="889" t="s">
        <v>346</v>
      </c>
      <c r="H618" s="890"/>
      <c r="I618" s="890"/>
      <c r="J618" s="890"/>
      <c r="K618" s="891"/>
      <c r="L618" s="196">
        <f ca="1">IF($B$612="Лікар загальної практики - сімейний лікар",IF(L616&lt;Законод!$C$22,0,(IF(AND(L616&gt;=Законод!$E$22,L616&lt;=Законод!$E$23),L616-Законод!$C$22,IF('01_Доходи'!L616&gt;=Законод!$F$22,Законод!$E$24,0)))),IF($B$612="Лікар-педіатр",IF(L616&lt;Законод!$C$18,0,(IF(AND(L616&gt;=Законод!$E$18,L616&lt;=Законод!$E$19),L616-Законод!$C$18,IF('01_Доходи'!L616&gt;=Законод!$F$18,Законод!$E$20,0)))),IF($B$612="Лікар-терапевт",IF(L616&lt;Законод!$C$26,0,(IF(AND(L616&gt;=Законод!$E$26,L616&lt;=Законод!$E$27),L616-Законод!$C$26,IF('01_Доходи'!L616&gt;=Законод!$F$26,Законод!$E$28,0)))),0)))</f>
        <v>0</v>
      </c>
      <c r="M618" s="930"/>
      <c r="N618" s="889" t="s">
        <v>346</v>
      </c>
      <c r="O618" s="890"/>
      <c r="P618" s="890"/>
      <c r="Q618" s="890"/>
      <c r="R618" s="891"/>
      <c r="S618" s="196">
        <f ca="1">IF($B$612="Лікар загальної практики - сімейний лікар",IF(S616&lt;Законод!$C$22,0,(IF(AND(S616&gt;=Законод!$E$22,S616&lt;=Законод!$E$23),S616-Законод!$C$22,IF('01_Доходи'!S616&gt;=Законод!$F$22,Законод!$E$24,0)))),IF($B$612="Лікар-педіатр",IF(S616&lt;Законод!$C$18,0,(IF(AND(S616&gt;=Законод!$E$18,S616&lt;=Законод!$E$19),S616-Законод!$C$18,IF('01_Доходи'!S616&gt;=Законод!$F$18,Законод!$E$20,0)))),IF($B$612="Лікар-терапевт",IF(S616&lt;Законод!$C$26,0,(IF(AND(S616&gt;=Законод!$E$26,S616&lt;=Законод!$E$27),S616-Законод!$C$26,IF('01_Доходи'!S616&gt;=Законод!$F$26,Законод!$E$28,0)))),0)))</f>
        <v>0</v>
      </c>
      <c r="T618" s="930"/>
      <c r="U618" s="889" t="s">
        <v>346</v>
      </c>
      <c r="V618" s="890"/>
      <c r="W618" s="890"/>
      <c r="X618" s="890"/>
      <c r="Y618" s="891"/>
      <c r="Z618" s="196">
        <f ca="1">IF($B$612="Лікар загальної практики - сімейний лікар",IF(Z616&lt;Законод!$C$22,0,(IF(AND(Z616&gt;=Законод!$E$22,Z616&lt;=Законод!$E$23),Z616-Законод!$C$22,IF('01_Доходи'!Z616&gt;=Законод!$F$22,Законод!$E$24,0)))),IF($B$612="Лікар-педіатр",IF(Z616&lt;Законод!$C$18,0,(IF(AND(Z616&gt;=Законод!$E$18,Z616&lt;=Законод!$E$19),Z616-Законод!$C$18,IF('01_Доходи'!Z616&gt;=Законод!$F$18,Законод!$E$20,0)))),IF($B$612="Лікар-терапевт",IF(Z616&lt;Законод!$C$26,0,(IF(AND(Z616&gt;=Законод!$E$26,Z616&lt;=Законод!$E$27),Z616-Законод!$C$26,IF('01_Доходи'!Z616&gt;=Законод!$F$26,Законод!$E$28,0)))),0)))</f>
        <v>0</v>
      </c>
      <c r="AA618" s="930"/>
      <c r="AB618" s="889" t="s">
        <v>346</v>
      </c>
      <c r="AC618" s="890"/>
      <c r="AD618" s="890"/>
      <c r="AE618" s="890"/>
      <c r="AF618" s="891"/>
      <c r="AG618" s="196">
        <f ca="1">IF($B$612="Лікар загальної практики - сімейний лікар",IF(AG616&lt;Законод!$C$22,0,(IF(AND(AG616&gt;=Законод!$E$22,AG616&lt;=Законод!$E$23),AG616-Законод!$C$22,IF('01_Доходи'!AG616&gt;=Законод!$F$22,Законод!$E$24,0)))),IF($B$612="Лікар-педіатр",IF(AG616&lt;Законод!$C$18,0,(IF(AND(AG616&gt;=Законод!$E$18,AG616&lt;=Законод!$E$19),AG616-Законод!$C$18,IF('01_Доходи'!AG616&gt;=Законод!$F$18,Законод!$E$20,0)))),IF($B$612="Лікар-терапевт",IF(AG616&lt;Законод!$C$26,0,(IF(AND(AG616&gt;=Законод!$E$26,AG616&lt;=Законод!$E$27),AG616-Законод!$C$26,IF('01_Доходи'!AG616&gt;=Законод!$F$26,Законод!$E$28,0)))),0)))</f>
        <v>0</v>
      </c>
      <c r="AH618" s="930"/>
      <c r="AI618" s="201"/>
      <c r="AJ618" s="933"/>
      <c r="AK618" s="927"/>
      <c r="AL618" s="927"/>
      <c r="AM618" s="898" t="s">
        <v>375</v>
      </c>
      <c r="AN618" s="210">
        <f ca="1">IF(B612="Лікар загальної практики - сімейний лікар",L618*Законод!$C$9/4*Законод!$E$16,IF(B612="Лікар-педіатр",L618*Законод!$C$9/4*Законод!$E$16,IF(B612="Лікар-терапевт",L618*Законод!$C$9/4*Законод!$E$16,0)))</f>
        <v>0</v>
      </c>
      <c r="AO618" s="210">
        <f ca="1">IF(B612="Лікар загальної практики - сімейний лікар",S618*Законод!$C$9/4*Законод!$E$16,IF(B612="Лікар-педіатр",S618*Законод!$C$9/4*Законод!$E$16,IF(B612="Лікар-терапевт",S618*Законод!$C$9/4*Законод!$E$16,0)))</f>
        <v>0</v>
      </c>
      <c r="AP618" s="210">
        <f ca="1">IF(B612="Лікар загальної практики - сімейний лікар",Z618*Законод!$C$9/4*Законод!$E$16,IF(B612="Лікар-педіатр",Z618*Законод!$C$9/4*Законод!$E$16,IF(B612="Лікар-терапевт",Z618*Законод!$C$9/4*Законод!$E$16,0)))</f>
        <v>0</v>
      </c>
      <c r="AQ618" s="210">
        <f ca="1">IF(B612="Лікар загальної практики - сімейний лікар",AG618*Законод!$C$9/4*Законод!$E$16,IF(B612="Лікар-педіатр",AG618*Законод!$C$9/4*Законод!$E$16,IF(B612="Лікар-терапевт",AG618*Законод!$C$9/4*Законод!$E$16,0)))</f>
        <v>0</v>
      </c>
      <c r="AR618" s="211">
        <f t="shared" si="74"/>
        <v>0</v>
      </c>
    </row>
    <row r="619" spans="1:44" s="50" customFormat="1" ht="31.9" hidden="1" customHeight="1">
      <c r="A619" s="197"/>
      <c r="B619" s="893"/>
      <c r="C619" s="896"/>
      <c r="D619" s="912"/>
      <c r="E619" s="909"/>
      <c r="F619" s="238" t="str">
        <f ca="1">IF(B612="Лікар-педіатр",Законод!$F$17,IF(B612="Лікар загальної практики - сімейний лікар",Законод!$F$21,IF(B612="Лікар-терапевт",Законод!$F$25,"х")))</f>
        <v>х</v>
      </c>
      <c r="G619" s="889" t="s">
        <v>346</v>
      </c>
      <c r="H619" s="890"/>
      <c r="I619" s="890"/>
      <c r="J619" s="890"/>
      <c r="K619" s="891"/>
      <c r="L619" s="196">
        <f ca="1">IF($B$612="Лікар загальної практики - сімейний лікар",IF(L616&lt;Законод!$C$22,0,(IF(AND(L616&gt;=Законод!$F$22,L616&lt;=Законод!$F$23),L616-Законод!$E$23,IF('01_Доходи'!L616&gt;=Законод!$G$22,Законод!$F$24,0)))),IF($B$612="Лікар-педіатр",IF(L616&lt;Законод!$C$18,0,(IF(AND(L616&gt;=Законод!$F$18,L616&lt;=Законод!$F$19),L616-Законод!$E$19,IF('01_Доходи'!L616&gt;=Законод!$G$18,Законод!$F$20,0)))),IF($B$612="Лікар-терапевт",IF(L616&lt;Законод!$C$26,0,(IF(AND(L616&gt;=Законод!$F$26,L616&lt;=Законод!$F$27),L616-Законод!$E$27,IF('01_Доходи'!L616&gt;=Законод!$G$26,Законод!$F$28,0)))),0)))</f>
        <v>0</v>
      </c>
      <c r="M619" s="930"/>
      <c r="N619" s="889" t="s">
        <v>346</v>
      </c>
      <c r="O619" s="890"/>
      <c r="P619" s="890"/>
      <c r="Q619" s="890"/>
      <c r="R619" s="891"/>
      <c r="S619" s="196">
        <f ca="1">IF($B$612="Лікар загальної практики - сімейний лікар",IF(S616&lt;Законод!$C$22,0,(IF(AND(S616&gt;=Законод!$F$22,S616&lt;=Законод!$F$23),S616-Законод!$E$23,IF('01_Доходи'!S616&gt;=Законод!$G$22,Законод!$F$24,0)))),IF($B$612="Лікар-педіатр",IF(S616&lt;Законод!$C$18,0,(IF(AND(S616&gt;=Законод!$F$18,S616&lt;=Законод!$F$19),S616-Законод!$E$19,IF('01_Доходи'!S616&gt;=Законод!$G$18,Законод!$F$20,0)))),IF($B$612="Лікар-терапевт",IF(S616&lt;Законод!$C$26,0,(IF(AND(S616&gt;=Законод!$F$26,S616&lt;=Законод!$F$27),S616-Законод!$E$27,IF('01_Доходи'!S616&gt;=Законод!$G$26,Законод!$F$28,0)))),0)))</f>
        <v>0</v>
      </c>
      <c r="T619" s="930"/>
      <c r="U619" s="889" t="s">
        <v>346</v>
      </c>
      <c r="V619" s="890"/>
      <c r="W619" s="890"/>
      <c r="X619" s="890"/>
      <c r="Y619" s="891"/>
      <c r="Z619" s="196">
        <f ca="1">IF($B$612="Лікар загальної практики - сімейний лікар",IF(Z616&lt;Законод!$C$22,0,(IF(AND(Z616&gt;=Законод!$F$22,Z616&lt;=Законод!$F$23),Z616-Законод!$E$23,IF('01_Доходи'!Z616&gt;=Законод!$G$22,Законод!$F$24,0)))),IF($B$612="Лікар-педіатр",IF(Z616&lt;Законод!$C$18,0,(IF(AND(Z616&gt;=Законод!$F$18,Z616&lt;=Законод!$F$19),Z616-Законод!$E$19,IF('01_Доходи'!Z616&gt;=Законод!$G$18,Законод!$F$20,0)))),IF($B$612="Лікар-терапевт",IF(Z616&lt;Законод!$C$26,0,(IF(AND(Z616&gt;=Законод!$F$26,Z616&lt;=Законод!$F$27),Z616-Законод!$E$27,IF('01_Доходи'!Z616&gt;=Законод!$G$26,Законод!$F$28,0)))),0)))</f>
        <v>0</v>
      </c>
      <c r="AA619" s="930"/>
      <c r="AB619" s="889" t="s">
        <v>346</v>
      </c>
      <c r="AC619" s="890"/>
      <c r="AD619" s="890"/>
      <c r="AE619" s="890"/>
      <c r="AF619" s="891"/>
      <c r="AG619" s="196">
        <f ca="1">IF($B$612="Лікар загальної практики - сімейний лікар",IF(AG616&lt;Законод!$C$22,0,(IF(AND(AG616&gt;=Законод!$F$22,AG616&lt;=Законод!$F$23),AG616-Законод!$E$23,IF('01_Доходи'!AG616&gt;=Законод!$G$22,Законод!$F$24,0)))),IF($B$612="Лікар-педіатр",IF(AG616&lt;Законод!$C$18,0,(IF(AND(AG616&gt;=Законод!$F$18,AG616&lt;=Законод!$F$19),AG616-Законод!$E$19,IF('01_Доходи'!AG616&gt;=Законод!$G$18,Законод!$F$20,0)))),IF($B$612="Лікар-терапевт",IF(AG616&lt;Законод!$C$26,0,(IF(AND(AG616&gt;=Законод!$F$26,AG616&lt;=Законод!$F$27),AG616-Законод!$E$27,IF('01_Доходи'!AG616&gt;=Законод!$G$26,Законод!$F$28,0)))),0)))</f>
        <v>0</v>
      </c>
      <c r="AH619" s="930"/>
      <c r="AI619" s="201"/>
      <c r="AJ619" s="933"/>
      <c r="AK619" s="927"/>
      <c r="AL619" s="927"/>
      <c r="AM619" s="899"/>
      <c r="AN619" s="210">
        <f ca="1">IF(B612="Лікар загальної практики - сімейний лікар",L619*Законод!$C$9/4*Законод!$F$16,IF(B612="Лікар-педіатр",L619*Законод!$C$9/4*Законод!$F$16,IF(B612="Лікар-терапевт",L619*Законод!$C$9/4*Законод!$F$16,0)))</f>
        <v>0</v>
      </c>
      <c r="AO619" s="210">
        <f ca="1">IF(B612="Лікар загальної практики - сімейний лікар",S619*Законод!$C$9/4*Законод!$F$16,IF(B612="Лікар-педіатр",S619*Законод!$C$9/4*Законод!$F$16,IF(B612="Лікар-терапевт",S619*Законод!$C$9/4*Законод!$F$16,0)))</f>
        <v>0</v>
      </c>
      <c r="AP619" s="210">
        <f ca="1">IF(B612="Лікар загальної практики - сімейний лікар",Z619*Законод!$C$9/4*Законод!$F$16,IF(B612="Лікар-педіатр",Z619*Законод!$C$9/4*Законод!$F$16,IF(B612="Лікар-терапевт",Z619*Законод!$C$9/4*Законод!$F$16,0)))</f>
        <v>0</v>
      </c>
      <c r="AQ619" s="210">
        <f ca="1">IF(B612="Лікар загальної практики - сімейний лікар",AG619*Законод!$C$9/4*Законод!$F$16,IF(B612="Лікар-педіатр",AG619*Законод!$C$9/4*Законод!$F$16,IF(B612="Лікар-терапевт",AG619*Законод!$C$9/4*Законод!$F$16,0)))</f>
        <v>0</v>
      </c>
      <c r="AR619" s="211">
        <f t="shared" si="74"/>
        <v>0</v>
      </c>
    </row>
    <row r="620" spans="1:44" s="50" customFormat="1" ht="31.9" hidden="1" customHeight="1">
      <c r="A620" s="197"/>
      <c r="B620" s="893"/>
      <c r="C620" s="896"/>
      <c r="D620" s="912"/>
      <c r="E620" s="909"/>
      <c r="F620" s="238" t="str">
        <f ca="1">IF(B612="Лікар-педіатр",Законод!$G$17,IF(B612="Лікар загальної практики - сімейний лікар",Законод!$G$21,IF(B612="Лікар-терапевт",Законод!$G$25,"х")))</f>
        <v>х</v>
      </c>
      <c r="G620" s="889" t="s">
        <v>346</v>
      </c>
      <c r="H620" s="890"/>
      <c r="I620" s="890"/>
      <c r="J620" s="890"/>
      <c r="K620" s="891"/>
      <c r="L620" s="196">
        <f ca="1">IF($B$612="Лікар загальної практики - сімейний лікар",IF(L616&lt;Законод!$C$22,0,(IF(AND(L616&gt;=Законод!$G$22,L616&lt;=Законод!$G$23),L616-Законод!$F$23,IF('01_Доходи'!L616&gt;=Законод!$H$22,Законод!$G$24,0)))),IF($B$612="Лікар-педіатр",IF(L616&lt;Законод!$C$18,0,(IF(AND(L616&gt;=Законод!$G$18,L616&lt;=Законод!$G$19),L616-Законод!$F$19,IF('01_Доходи'!L616&gt;=Законод!$H$18,Законод!$G$20,0)))),IF($B$612="Лікар-терапевт",IF(L616&lt;Законод!$C$26,0,(IF(AND(L616&gt;=Законод!$G$26,L616&lt;=Законод!$G$27),L616-Законод!$F$27,IF('01_Доходи'!L616&gt;=Законод!$H$26,Законод!$G$28,0)))),0)))</f>
        <v>0</v>
      </c>
      <c r="M620" s="930"/>
      <c r="N620" s="889" t="s">
        <v>346</v>
      </c>
      <c r="O620" s="890"/>
      <c r="P620" s="890"/>
      <c r="Q620" s="890"/>
      <c r="R620" s="891"/>
      <c r="S620" s="196">
        <f ca="1">IF($B$612="Лікар загальної практики - сімейний лікар",IF(S616&lt;Законод!$C$22,0,(IF(AND(S616&gt;=Законод!$G$22,S616&lt;=Законод!$G$23),S616-Законод!$F$23,IF('01_Доходи'!S616&gt;=Законод!$H$22,Законод!$G$24,0)))),IF($B$612="Лікар-педіатр",IF(S616&lt;Законод!$C$18,0,(IF(AND(S616&gt;=Законод!$G$18,S616&lt;=Законод!$G$19),S616-Законод!$F$19,IF('01_Доходи'!S616&gt;=Законод!$H$18,Законод!$G$20,0)))),IF($B$612="Лікар-терапевт",IF(S616&lt;Законод!$C$26,0,(IF(AND(S616&gt;=Законод!$G$26,S616&lt;=Законод!$G$27),S616-Законод!$F$27,IF('01_Доходи'!S616&gt;=Законод!$H$26,Законод!$G$28,0)))),0)))</f>
        <v>0</v>
      </c>
      <c r="T620" s="930"/>
      <c r="U620" s="889" t="s">
        <v>346</v>
      </c>
      <c r="V620" s="890"/>
      <c r="W620" s="890"/>
      <c r="X620" s="890"/>
      <c r="Y620" s="891"/>
      <c r="Z620" s="196">
        <f ca="1">IF($B$612="Лікар загальної практики - сімейний лікар",IF(Z616&lt;Законод!$C$22,0,(IF(AND(Z616&gt;=Законод!$G$22,Z616&lt;=Законод!$G$23),Z616-Законод!$F$23,IF('01_Доходи'!Z616&gt;=Законод!$H$22,Законод!$G$24,0)))),IF($B$612="Лікар-педіатр",IF(Z616&lt;Законод!$C$18,0,(IF(AND(Z616&gt;=Законод!$G$18,Z616&lt;=Законод!$G$19),Z616-Законод!$F$19,IF('01_Доходи'!Z616&gt;=Законод!$H$18,Законод!$G$20,0)))),IF($B$612="Лікар-терапевт",IF(Z616&lt;Законод!$C$26,0,(IF(AND(Z616&gt;=Законод!$G$26,Z616&lt;=Законод!$G$27),Z616-Законод!$F$27,IF('01_Доходи'!Z616&gt;=Законод!$H$26,Законод!$G$28,0)))),0)))</f>
        <v>0</v>
      </c>
      <c r="AA620" s="930"/>
      <c r="AB620" s="889" t="s">
        <v>346</v>
      </c>
      <c r="AC620" s="890"/>
      <c r="AD620" s="890"/>
      <c r="AE620" s="890"/>
      <c r="AF620" s="891"/>
      <c r="AG620" s="196">
        <f ca="1">IF($B$612="Лікар загальної практики - сімейний лікар",IF(AG616&lt;Законод!$C$22,0,(IF(AND(AG616&gt;=Законод!$G$22,AG616&lt;=Законод!$G$23),AG616-Законод!$F$23,IF('01_Доходи'!AG616&gt;=Законод!$H$22,Законод!$G$24,0)))),IF($B$612="Лікар-педіатр",IF(AG616&lt;Законод!$C$18,0,(IF(AND(AG616&gt;=Законод!$G$18,AG616&lt;=Законод!$G$19),AG616-Законод!$F$19,IF('01_Доходи'!AG616&gt;=Законод!$H$18,Законод!$G$20,0)))),IF($B$612="Лікар-терапевт",IF(AG616&lt;Законод!$C$26,0,(IF(AND(AG616&gt;=Законод!$G$26,AG616&lt;=Законод!$G$27),AG616-Законод!$F$27,IF('01_Доходи'!AG616&gt;=Законод!$H$26,Законод!$G$28,0)))),0)))</f>
        <v>0</v>
      </c>
      <c r="AH620" s="930"/>
      <c r="AI620" s="201"/>
      <c r="AJ620" s="933"/>
      <c r="AK620" s="927"/>
      <c r="AL620" s="927"/>
      <c r="AM620" s="899"/>
      <c r="AN620" s="210">
        <f ca="1">IF(B612="Лікар загальної практики - сімейний лікар",L620*Законод!$C$9/4*Законод!$G$16,IF(B612="Лікар-педіатр",L620*Законод!$C$9/4*Законод!$G$16,IF(B612="Лікар-терапевт",L620*Законод!$C$9/4*Законод!$G$16,0)))</f>
        <v>0</v>
      </c>
      <c r="AO620" s="210">
        <f ca="1">IF(B612="Лікар загальної практики - сімейний лікар",S620*Законод!$C$9/4*Законод!$G$16,IF(B612="Лікар-педіатр",S620*Законод!$C$9/4*Законод!$G$16,IF(B612="Лікар-терапевт",S620*Законод!$C$9/4*Законод!$G$16,0)))</f>
        <v>0</v>
      </c>
      <c r="AP620" s="210">
        <f ca="1">IF(B612="Лікар загальної практики - сімейний лікар",Z620*Законод!$C$9/4*Законод!$G$16,IF(B612="Лікар-педіатр",Z620*Законод!$C$9/4*Законод!$G$16,IF(B612="Лікар-терапевт",Z620*Законод!$C$9/4*Законод!$G$16,0)))</f>
        <v>0</v>
      </c>
      <c r="AQ620" s="210">
        <f ca="1">IF(B612="Лікар загальної практики - сімейний лікар",AG620*Законод!$C$9/4*Законод!$G$16,IF(B612="Лікар-педіатр",AG620*Законод!$C$9/4*Законод!$G$16,IF(B612="Лікар-терапевт",AG620*Законод!$C$9/4*Законод!$G$16,0)))</f>
        <v>0</v>
      </c>
      <c r="AR620" s="211">
        <f t="shared" si="74"/>
        <v>0</v>
      </c>
    </row>
    <row r="621" spans="1:44" s="50" customFormat="1" ht="31.9" hidden="1" customHeight="1">
      <c r="A621" s="197"/>
      <c r="B621" s="893"/>
      <c r="C621" s="896"/>
      <c r="D621" s="912"/>
      <c r="E621" s="909"/>
      <c r="F621" s="238" t="str">
        <f ca="1">IF(B612="Лікар-педіатр",Законод!$H$17,IF(B612="Лікар загальної практики - сімейний лікар",Законод!$H$21,IF(B612="Лікар-терапевт",Законод!$H$25,"х")))</f>
        <v>х</v>
      </c>
      <c r="G621" s="889" t="s">
        <v>346</v>
      </c>
      <c r="H621" s="890"/>
      <c r="I621" s="890"/>
      <c r="J621" s="890"/>
      <c r="K621" s="891"/>
      <c r="L621" s="196">
        <f ca="1">IF($B$612="Лікар загальної практики - сімейний лікар",IF(L616&lt;Законод!$C$22,0,(IF(AND(L616&gt;=Законод!$H$22,L616&lt;=Законод!$H$23),L616-Законод!$G$23,IF('01_Доходи'!L616&gt;=Законод!$I$22,Законод!$H$24,0)))),IF($B$612="Лікар-педіатр",IF(L616&lt;Законод!$C$18,0,(IF(AND(L616&gt;=Законод!$H$18,L616&lt;=Законод!$H$19),L616-Законод!$G$19,IF('01_Доходи'!L616&gt;=Законод!$I$18,Законод!$H$20,0)))),IF($B$612="Лікар-терапевт",IF(L616&lt;Законод!$C$26,0,(IF(AND(L616&gt;=Законод!$H$26,L616&lt;=Законод!$H$27),L616-Законод!$G$27,IF(L616&gt;=Законод!$I$26,Законод!$H$28,0)))),0)))</f>
        <v>0</v>
      </c>
      <c r="M621" s="930"/>
      <c r="N621" s="889" t="s">
        <v>346</v>
      </c>
      <c r="O621" s="890"/>
      <c r="P621" s="890"/>
      <c r="Q621" s="890"/>
      <c r="R621" s="891"/>
      <c r="S621" s="196">
        <f ca="1">IF($B$612="Лікар загальної практики - сімейний лікар",IF(S616&lt;Законод!$C$22,0,(IF(AND(S616&gt;=Законод!$H$22,S616&lt;=Законод!$H$23),S616-Законод!$G$23,IF('01_Доходи'!S616&gt;=Законод!$I$22,Законод!$H$24,0)))),IF($B$612="Лікар-педіатр",IF(S616&lt;Законод!$C$18,0,(IF(AND(S616&gt;=Законод!$H$18,S616&lt;=Законод!$H$19),S616-Законод!$G$19,IF('01_Доходи'!S616&gt;=Законод!$I$18,Законод!$H$20,0)))),IF($B$612="Лікар-терапевт",IF(S616&lt;Законод!$C$26,0,(IF(AND(S616&gt;=Законод!$H$26,S616&lt;=Законод!$H$27),S616-Законод!$G$27,IF(S616&gt;=Законод!$I$26,Законод!$H$28,0)))),0)))</f>
        <v>0</v>
      </c>
      <c r="T621" s="930"/>
      <c r="U621" s="889" t="s">
        <v>346</v>
      </c>
      <c r="V621" s="890"/>
      <c r="W621" s="890"/>
      <c r="X621" s="890"/>
      <c r="Y621" s="891"/>
      <c r="Z621" s="196">
        <f ca="1">IF($B$612="Лікар загальної практики - сімейний лікар",IF(Z616&lt;Законод!$C$22,0,(IF(AND(Z616&gt;=Законод!$H$22,Z616&lt;=Законод!$H$23),Z616-Законод!$G$23,IF('01_Доходи'!Z616&gt;=Законод!$I$22,Законод!$H$24,0)))),IF($B$612="Лікар-педіатр",IF(Z616&lt;Законод!$C$18,0,(IF(AND(Z616&gt;=Законод!$H$18,Z616&lt;=Законод!$H$19),Z616-Законод!$G$19,IF('01_Доходи'!Z616&gt;=Законод!$I$18,Законод!$H$20,0)))),IF($B$612="Лікар-терапевт",IF(Z616&lt;Законод!$C$26,0,(IF(AND(Z616&gt;=Законод!$H$26,Z616&lt;=Законод!$H$27),Z616-Законод!$G$27,IF(Z616&gt;=Законод!$I$26,Законод!$H$28,0)))),0)))</f>
        <v>0</v>
      </c>
      <c r="AA621" s="930"/>
      <c r="AB621" s="889" t="s">
        <v>346</v>
      </c>
      <c r="AC621" s="890"/>
      <c r="AD621" s="890"/>
      <c r="AE621" s="890"/>
      <c r="AF621" s="891"/>
      <c r="AG621" s="196">
        <f ca="1">IF($B$612="Лікар загальної практики - сімейний лікар",IF(AG616&lt;Законод!$C$22,0,(IF(AND(AG616&gt;=Законод!$H$22,AG616&lt;=Законод!$H$23),AG616-Законод!$G$23,IF('01_Доходи'!AG616&gt;=Законод!$I$22,Законод!$H$24,0)))),IF($B$612="Лікар-педіатр",IF(AG616&lt;Законод!$C$18,0,(IF(AND(AG616&gt;=Законод!$H$18,AG616&lt;=Законод!$H$19),AG616-Законод!$G$19,IF('01_Доходи'!AG616&gt;=Законод!$I$18,Законод!$H$20,0)))),IF($B$612="Лікар-терапевт",IF(AG616&lt;Законод!$C$26,0,(IF(AND(AG616&gt;=Законод!$H$26,AG616&lt;=Законод!$H$27),AG616-Законод!$G$27,IF(AG616&gt;=Законод!$I$26,Законод!$H$28,0)))),0)))</f>
        <v>0</v>
      </c>
      <c r="AH621" s="930"/>
      <c r="AI621" s="201"/>
      <c r="AJ621" s="933"/>
      <c r="AK621" s="927"/>
      <c r="AL621" s="927"/>
      <c r="AM621" s="899"/>
      <c r="AN621" s="210">
        <f ca="1">IF(B612="Лікар загальної практики - сімейний лікар",L621*Законод!$C$9/4*Законод!$H$16,IF(B612="Лікар-педіатр",L621*Законод!$C$9/4*Законод!$H$16,IF(B612="Лікар-терапевт",L621*Законод!$C$9/4*Законод!$H$16,0)))</f>
        <v>0</v>
      </c>
      <c r="AO621" s="210">
        <f ca="1">IF(B612="Лікар загальної практики - сімейний лікар",S621*Законод!$C$9/4*Законод!$H$16,IF(B612="Лікар-педіатр",S621*Законод!$C$9/4*Законод!$H$16,IF(B612="Лікар-терапевт",S621*Законод!$C$9/4*Законод!$H$16,0)))</f>
        <v>0</v>
      </c>
      <c r="AP621" s="210">
        <f ca="1">IF(B612="Лікар загальної практики - сімейний лікар",Z621*Законод!$C$9/4*Законод!$H$16,IF(B612="Лікар-педіатр",Z621*Законод!$C$9/4*Законод!$H$16,IF(B612="Лікар-терапевт",Z621*Законод!$C$9/4*Законод!$H$16,0)))</f>
        <v>0</v>
      </c>
      <c r="AQ621" s="210">
        <f ca="1">IF(B612="Лікар загальної практики - сімейний лікар",AG621*Законод!$C$9/4*Законод!$H$16,IF(B612="Лікар-педіатр",AG621*Законод!$C$9/4*Законод!$H$16,IF(B612="Лікар-терапевт",AG621*Законод!$C$9/4*Законод!$H$16,0)))</f>
        <v>0</v>
      </c>
      <c r="AR621" s="211">
        <f t="shared" si="74"/>
        <v>0</v>
      </c>
    </row>
    <row r="622" spans="1:44" s="50" customFormat="1" ht="31.9" hidden="1" customHeight="1">
      <c r="A622" s="197"/>
      <c r="B622" s="893"/>
      <c r="C622" s="896"/>
      <c r="D622" s="912"/>
      <c r="E622" s="909"/>
      <c r="F622" s="238" t="str">
        <f ca="1">IF(B612="Лікар-педіатр",Законод!$I$17,IF(B612="Лікар загальної практики - сімейний лікар",Законод!$I$21,IF(B612="Лікар-терапевт",Законод!$I$25,"х")))</f>
        <v>х</v>
      </c>
      <c r="G622" s="889" t="s">
        <v>346</v>
      </c>
      <c r="H622" s="890"/>
      <c r="I622" s="890"/>
      <c r="J622" s="890"/>
      <c r="K622" s="891"/>
      <c r="L622" s="196">
        <f ca="1">IF($B$612="Лікар загальної практики - сімейний лікар",IF(L616&lt;Законод!$C$22,0,(IF(AND(L616&gt;=Законод!$I$22,L616&lt;=Законод!$I$23),L616-Законод!$H$23,IF('01_Доходи'!L616&gt;=Законод!$I$22,Законод!$I$24,0)))),IF($B$612="Лікар-педіатр",IF(L616&lt;Законод!$C$18,0,(IF(AND(L616&gt;=Законод!$I$18,L616&lt;=Законод!$I$19),L616-Законод!$H$19,IF('01_Доходи'!L616&gt;=Законод!$I$18,Законод!$H$20,0)))),IF($B$612="Лікар-терапевт",IF(L616&lt;Законод!$C$26,0,(IF(AND(L616&gt;=Законод!$I$26,L616&lt;=Законод!$I$27),L616-Законод!$H$27,IF('01_Доходи'!L616&gt;=Законод!$I$26,Законод!$H$28,0)))),0)))</f>
        <v>0</v>
      </c>
      <c r="M622" s="930"/>
      <c r="N622" s="889" t="s">
        <v>346</v>
      </c>
      <c r="O622" s="890"/>
      <c r="P622" s="890"/>
      <c r="Q622" s="890"/>
      <c r="R622" s="891"/>
      <c r="S622" s="196">
        <f ca="1">IF($B$612="Лікар загальної практики - сімейний лікар",IF(S616&lt;Законод!$C$22,0,(IF(AND(S616&gt;=Законод!$I$22,S616&lt;=Законод!$I$23),S616-Законод!$H$23,IF('01_Доходи'!S616&gt;=Законод!$I$22,Законод!$I$24,0)))),IF($B$612="Лікар-педіатр",IF(S616&lt;Законод!$C$18,0,(IF(AND(S616&gt;=Законод!$I$18,S616&lt;=Законод!$I$19),S616-Законод!$H$19,IF('01_Доходи'!S616&gt;=Законод!$I$18,Законод!$H$20,0)))),IF($B$612="Лікар-терапевт",IF(S616&lt;Законод!$C$26,0,(IF(AND(S616&gt;=Законод!$I$26,S616&lt;=Законод!$I$27),S616-Законод!$H$27,IF('01_Доходи'!S616&gt;=Законод!$I$26,Законод!$H$28,0)))),0)))</f>
        <v>0</v>
      </c>
      <c r="T622" s="930"/>
      <c r="U622" s="889" t="s">
        <v>346</v>
      </c>
      <c r="V622" s="890"/>
      <c r="W622" s="890"/>
      <c r="X622" s="890"/>
      <c r="Y622" s="891"/>
      <c r="Z622" s="196">
        <f ca="1">IF($B$612="Лікар загальної практики - сімейний лікар",IF(Z616&lt;Законод!$C$22,0,(IF(AND(Z616&gt;=Законод!$I$22,Z616&lt;=Законод!$I$23),Z616-Законод!$H$23,IF('01_Доходи'!Z616&gt;=Законод!$I$22,Законод!$I$24,0)))),IF($B$612="Лікар-педіатр",IF(Z616&lt;Законод!$C$18,0,(IF(AND(Z616&gt;=Законод!$I$18,Z616&lt;=Законод!$I$19),Z616-Законод!$H$19,IF('01_Доходи'!Z616&gt;=Законод!$I$18,Законод!$H$20,0)))),IF($B$612="Лікар-терапевт",IF(Z616&lt;Законод!$C$26,0,(IF(AND(Z616&gt;=Законод!$I$26,Z616&lt;=Законод!$I$27),Z616-Законод!$H$27,IF('01_Доходи'!Z616&gt;=Законод!$I$26,Законод!$H$28,0)))),0)))</f>
        <v>0</v>
      </c>
      <c r="AA622" s="930"/>
      <c r="AB622" s="889" t="s">
        <v>346</v>
      </c>
      <c r="AC622" s="890"/>
      <c r="AD622" s="890"/>
      <c r="AE622" s="890"/>
      <c r="AF622" s="891"/>
      <c r="AG622" s="196">
        <f ca="1">IF($B$612="Лікар загальної практики - сімейний лікар",IF(AG616&lt;Законод!$C$22,0,(IF(AND(AG616&gt;=Законод!$I$22,AG616&lt;=Законод!$I$23),AG616-Законод!$H$23,IF('01_Доходи'!AG616&gt;=Законод!$I$22,Законод!$I$24,0)))),IF($B$612="Лікар-педіатр",IF(AG616&lt;Законод!$C$18,0,(IF(AND(AG616&gt;=Законод!$I$18,AG616&lt;=Законод!$I$19),AG616-Законод!$H$19,IF('01_Доходи'!AG616&gt;=Законод!$I$18,Законод!$H$20,0)))),IF($B$612="Лікар-терапевт",IF(AG616&lt;Законод!$C$26,0,(IF(AND(AG616&gt;=Законод!$I$26,AG616&lt;=Законод!$I$27),AG616-Законод!$H$27,IF('01_Доходи'!AG616&gt;=Законод!$I$26,Законод!$H$28,0)))),0)))</f>
        <v>0</v>
      </c>
      <c r="AH622" s="930"/>
      <c r="AI622" s="201"/>
      <c r="AJ622" s="933"/>
      <c r="AK622" s="927"/>
      <c r="AL622" s="927"/>
      <c r="AM622" s="899"/>
      <c r="AN622" s="210">
        <f ca="1">IF(B612="Лікар загальної практики - сімейний лікар",L622*Законод!$C$9/4*Законод!$I$16,IF(B612="Лікар-педіатр",L622*Законод!$C$9/4*Законод!$I$16,IF(B612="Лікар-терапевт",L622*Законод!$C$9/4*Законод!$I$16,0)))</f>
        <v>0</v>
      </c>
      <c r="AO622" s="210">
        <f ca="1">IF(B612="Лікар загальної практики - сімейний лікар",S622*Законод!$C$9/4*Законод!$I$16,IF(B612="Лікар-педіатр",S622*Законод!$C$9/4*Законод!$I$16,IF(B612="Лікар-терапевт",S622*Законод!$C$9/4*Законод!$I$16,0)))</f>
        <v>0</v>
      </c>
      <c r="AP622" s="210">
        <f ca="1">IF(B612="Лікар загальної практики - сімейний лікар",Z622*Законод!$C$9/4*Законод!$I$16,IF(B612="Лікар-педіатр",Z622*Законод!$C$9/4*Законод!$I$16,IF(B612="Лікар-терапевт",Z622*Законод!$C$9/4*Законод!$I$16,0)))</f>
        <v>0</v>
      </c>
      <c r="AQ622" s="210">
        <f ca="1">IF(B612="Лікар загальної практики - сімейний лікар",AG622*Законод!$C$9/4*Законод!$I$16,IF(B612="Лікар-педіатр",AG622*Законод!$C$9/4*Законод!$I$16,IF(B612="Лікар-терапевт",AG622*Законод!$C$9/4*Законод!$I$16,0)))</f>
        <v>0</v>
      </c>
      <c r="AR622" s="211">
        <f t="shared" si="74"/>
        <v>0</v>
      </c>
    </row>
    <row r="623" spans="1:44" s="218" customFormat="1" ht="31.9" hidden="1" customHeight="1" thickBot="1">
      <c r="A623" s="213"/>
      <c r="B623" s="894"/>
      <c r="C623" s="897"/>
      <c r="D623" s="913"/>
      <c r="E623" s="910"/>
      <c r="F623" s="239" t="str">
        <f ca="1">IF(B612="Лікар-педіатр",Законод!$J$17,IF(B612="Лікар загальної практики - сімейний лікар",Законод!$J$21,IF(B612="Лікар-терапевт",Законод!$J$25,"х")))</f>
        <v>х</v>
      </c>
      <c r="G623" s="935" t="s">
        <v>346</v>
      </c>
      <c r="H623" s="936"/>
      <c r="I623" s="936"/>
      <c r="J623" s="936"/>
      <c r="K623" s="937"/>
      <c r="L623" s="196">
        <f ca="1">IF($B$612="Лікар загальної практики - сімейний лікар",IF(L616&gt;=Законод!$J$22,'01_Доходи'!L616-('01_Доходи'!L617+'01_Доходи'!L618+'01_Доходи'!L619+'01_Доходи'!L620+'01_Доходи'!L621+'01_Доходи'!L622),0),IF($B$612="Лікар-педіатр",IF(L616&gt;=Законод!$J$18,'01_Доходи'!L616-('01_Доходи'!L617+'01_Доходи'!L618+'01_Доходи'!L619+'01_Доходи'!L620+'01_Доходи'!L621+'01_Доходи'!L622),0),IF($B$612="Лікар-терапевт",IF('01_Доходи'!L616&gt;=Законод!$J$26,L616-Законод!$I$27,0),0)))</f>
        <v>0</v>
      </c>
      <c r="M623" s="931"/>
      <c r="N623" s="935" t="s">
        <v>346</v>
      </c>
      <c r="O623" s="936"/>
      <c r="P623" s="936"/>
      <c r="Q623" s="936"/>
      <c r="R623" s="937"/>
      <c r="S623" s="196">
        <f ca="1">IF($B$612="Лікар загальної практики - сімейний лікар",IF(S616&gt;=Законод!$J$22,'01_Доходи'!S616-('01_Доходи'!S617+'01_Доходи'!S618+'01_Доходи'!S619+'01_Доходи'!S620+'01_Доходи'!S621+'01_Доходи'!S622),0),IF($B$612="Лікар-педіатр",IF(S616&gt;=Законод!$J$18,'01_Доходи'!S616-('01_Доходи'!S617+'01_Доходи'!S618+'01_Доходи'!S619+'01_Доходи'!S620+'01_Доходи'!S621+'01_Доходи'!S622),0),IF($B$612="Лікар-терапевт",IF('01_Доходи'!S616&gt;=Законод!$J$26,S616-Законод!$I$27,0),0)))</f>
        <v>0</v>
      </c>
      <c r="T623" s="931"/>
      <c r="U623" s="935" t="s">
        <v>346</v>
      </c>
      <c r="V623" s="936"/>
      <c r="W623" s="936"/>
      <c r="X623" s="936"/>
      <c r="Y623" s="937"/>
      <c r="Z623" s="196">
        <f ca="1">IF($B$612="Лікар загальної практики - сімейний лікар",IF(Z616&gt;=Законод!$J$22,'01_Доходи'!Z616-('01_Доходи'!Z617+'01_Доходи'!Z618+'01_Доходи'!Z619+'01_Доходи'!Z620+'01_Доходи'!Z621+'01_Доходи'!Z622),0),IF($B$612="Лікар-педіатр",IF(Z616&gt;=Законод!$J$18,'01_Доходи'!Z616-('01_Доходи'!Z617+'01_Доходи'!Z618+'01_Доходи'!Z619+'01_Доходи'!Z620+'01_Доходи'!Z621+'01_Доходи'!Z622),0),IF($B$612="Лікар-терапевт",IF('01_Доходи'!Z616&gt;=Законод!$J$26,Z616-Законод!$I$27,0),0)))</f>
        <v>0</v>
      </c>
      <c r="AA623" s="931"/>
      <c r="AB623" s="935" t="s">
        <v>346</v>
      </c>
      <c r="AC623" s="936"/>
      <c r="AD623" s="936"/>
      <c r="AE623" s="936"/>
      <c r="AF623" s="937"/>
      <c r="AG623" s="196">
        <f ca="1">IF($B$612="Лікар загальної практики - сімейний лікар",IF(AG616&gt;=Законод!$J$22,'01_Доходи'!AG616-('01_Доходи'!AG617+'01_Доходи'!AG618+'01_Доходи'!AG619+'01_Доходи'!AG620+'01_Доходи'!AG621+'01_Доходи'!AG622),0),IF($B$612="Лікар-педіатр",IF(AG616&gt;=Законод!$J$18,'01_Доходи'!AG616-('01_Доходи'!AG617+'01_Доходи'!AG618+'01_Доходи'!AG619+'01_Доходи'!AG620+'01_Доходи'!AG621+'01_Доходи'!AG622),0),IF($B$612="Лікар-терапевт",IF('01_Доходи'!AG616&gt;=Законод!$J$26,AG616-Законод!$I$27,0),0)))</f>
        <v>0</v>
      </c>
      <c r="AH623" s="931"/>
      <c r="AI623" s="215"/>
      <c r="AJ623" s="934"/>
      <c r="AK623" s="928"/>
      <c r="AL623" s="928"/>
      <c r="AM623" s="900"/>
      <c r="AN623" s="216">
        <f ca="1">IF(B612="Лікар загальної практики - сімейний лікар",L623*Законод!$C$9/4*Законод!$J$16,IF(B612="Лікар-педіатр",L623*Законод!$C$9/4*Законод!$J$16,IF(B612="Лікар-терапевт",L623*Законод!$C$9/4*Законод!$J$16,0)))</f>
        <v>0</v>
      </c>
      <c r="AO623" s="216">
        <f ca="1">IF(B612="Лікар загальної практики - сімейний лікар",S623*Законод!$C$9/4*Законод!$J$16,IF(B612="Лікар-педіатр",S623*Законод!$C$9/4*Законод!$J$16,IF(B612="Лікар-терапевт",S623*Законод!$C$9/4*Законод!$J$16,0)))</f>
        <v>0</v>
      </c>
      <c r="AP623" s="216">
        <f ca="1">IF(B612="Лікар загальної практики - сімейний лікар",S623*Законод!$C$9/4*Законод!$J$16,IF(B612="Лікар-педіатр",S623*Законод!$C$9/4*Законод!$J$16,IF(B612="Лікар-терапевт",S623*Законод!$C$9/4*Законод!$J$16,0)))</f>
        <v>0</v>
      </c>
      <c r="AQ623" s="216">
        <f ca="1">IF(B612="Лікар загальної практики - сімейний лікар",AG623*Законод!$C$9/4*Законод!$J$16,IF(B612="Лікар-педіатр",AG623*Законод!$C$9/4*Законод!$J$16,IF(B612="Лікар-терапевт",AG623*Законод!$C$9/4*Законод!$J$16,0)))</f>
        <v>0</v>
      </c>
      <c r="AR623" s="217">
        <f t="shared" si="74"/>
        <v>0</v>
      </c>
    </row>
    <row r="624" spans="1:44" s="247" customFormat="1" ht="23.45" hidden="1" customHeight="1" thickBot="1">
      <c r="A624" s="243"/>
      <c r="B624" s="244"/>
      <c r="C624" s="244"/>
      <c r="D624" s="244"/>
      <c r="E624" s="244"/>
      <c r="F624" s="245"/>
      <c r="G624" s="246"/>
      <c r="H624" s="246"/>
      <c r="L624" s="248"/>
      <c r="S624" s="248"/>
      <c r="Z624" s="248"/>
      <c r="AG624" s="248"/>
      <c r="AM624" s="249"/>
      <c r="AR624" s="250"/>
    </row>
    <row r="625" spans="1:44" s="191" customFormat="1" ht="24.6" hidden="1" customHeight="1">
      <c r="A625" s="194">
        <f>A612+1</f>
        <v>46</v>
      </c>
      <c r="B625" s="892"/>
      <c r="C625" s="895"/>
      <c r="D625" s="911"/>
      <c r="E625" s="908"/>
      <c r="F625" s="234" t="s">
        <v>582</v>
      </c>
      <c r="G625" s="196">
        <f>IF($B$625="Лікар-педіатр",G628*L625,IF($B$625="Лікар-терапевт","х",IF($B$625="Лікар загальної практики - сімейний лікар",G628*L625,0)))</f>
        <v>0</v>
      </c>
      <c r="H625" s="196">
        <f>IF($B$625="Лікар-педіатр",H628*L625,IF($B$625="Лікар-терапевт","х",IF($B$625="Лікар загальної практики - сімейний лікар",H628*L625,0)))</f>
        <v>0</v>
      </c>
      <c r="I625" s="196">
        <f>IF($B$625="Лікар-педіатр","x",IF($B$625="Лікар-терапевт",I628*L625,IF($B$625="Лікар загальної практики - сімейний лікар",I628*L625,0)))</f>
        <v>0</v>
      </c>
      <c r="J625" s="196">
        <f>IF($B$625="Лікар-педіатр","x",IF($B$625="Лікар-терапевт",J628*L625,IF($B$625="Лікар загальної практики - сімейний лікар",J628*L625,0)))</f>
        <v>0</v>
      </c>
      <c r="K625" s="196">
        <f>IF($B$625="Лікар-педіатр","x",IF($B$625="Лікар-терапевт",K628*L625,IF($B$625="Лікар загальної практики - сімейний лікар",K628*L625,0)))</f>
        <v>0</v>
      </c>
      <c r="L625" s="558"/>
      <c r="M625" s="929"/>
      <c r="N625" s="196">
        <f>IF($B$625="Лікар-педіатр",N628*S625,IF($B$625="Лікар-терапевт","х",IF($B$625="Лікар загальної практики - сімейний лікар",N628*S625,0)))</f>
        <v>0</v>
      </c>
      <c r="O625" s="196">
        <f>IF($B$625="Лікар-педіатр",O628*S625,IF($B$625="Лікар-терапевт","х",IF($B$625="Лікар загальної практики - сімейний лікар",O628*S625,0)))</f>
        <v>0</v>
      </c>
      <c r="P625" s="196">
        <f>IF($B$625="Лікар-педіатр","x",IF($B$625="Лікар-терапевт",P628*S625,IF($B$625="Лікар загальної практики - сімейний лікар",P628*S625,0)))</f>
        <v>0</v>
      </c>
      <c r="Q625" s="196">
        <f>IF($B$625="Лікар-педіатр","x",IF($B$625="Лікар-терапевт",Q628*S625,IF($B$625="Лікар загальної практики - сімейний лікар",Q628*S625,0)))</f>
        <v>0</v>
      </c>
      <c r="R625" s="196">
        <f>IF($B$625="Лікар-педіатр","x",IF($B$625="Лікар-терапевт",R628*S625,IF($B$625="Лікар загальної практики - сімейний лікар",R628*S625,0)))</f>
        <v>0</v>
      </c>
      <c r="S625" s="558"/>
      <c r="T625" s="929"/>
      <c r="U625" s="196">
        <f>IF($B$625="Лікар-педіатр",U628*Z625,IF($B$625="Лікар-терапевт","х",IF($B$625="Лікар загальної практики - сімейний лікар",U628*Z625,0)))</f>
        <v>0</v>
      </c>
      <c r="V625" s="196">
        <f>IF($B$625="Лікар-педіатр",V628*Z625,IF($B$625="Лікар-терапевт","х",IF($B$625="Лікар загальної практики - сімейний лікар",V628*Z625,0)))</f>
        <v>0</v>
      </c>
      <c r="W625" s="196">
        <f>IF($B$625="Лікар-педіатр","x",IF($B$625="Лікар-терапевт",W628*Z625,IF($B$625="Лікар загальної практики - сімейний лікар",W628*Z625,0)))</f>
        <v>0</v>
      </c>
      <c r="X625" s="196">
        <f>IF($B$625="Лікар-педіатр","x",IF($B$625="Лікар-терапевт",X628*Z625,IF($B$625="Лікар загальної практики - сімейний лікар",X628*Z625,0)))</f>
        <v>0</v>
      </c>
      <c r="Y625" s="196">
        <f>IF($B$625="Лікар-педіатр","x",IF($B$625="Лікар-терапевт",Y628*Z625,IF($B$625="Лікар загальної практики - сімейний лікар",Y628*Z625,0)))</f>
        <v>0</v>
      </c>
      <c r="Z625" s="558"/>
      <c r="AA625" s="929"/>
      <c r="AB625" s="196">
        <f>IF($B$625="Лікар-педіатр",AB628*AG625,IF($B$625="Лікар-терапевт","х",IF($B$625="Лікар загальної практики - сімейний лікар",AB628*AG625,0)))</f>
        <v>0</v>
      </c>
      <c r="AC625" s="196">
        <f>IF($B$625="Лікар-педіатр",AC628*AG625,IF($B$625="Лікар-терапевт","х",IF($B$625="Лікар загальної практики - сімейний лікар",AC628*AG625,0)))</f>
        <v>0</v>
      </c>
      <c r="AD625" s="196">
        <f>IF($B$625="Лікар-педіатр","x",IF($B$625="Лікар-терапевт",AD628*AG625,IF($B$625="Лікар загальної практики - сімейний лікар",AD628*AG625,0)))</f>
        <v>0</v>
      </c>
      <c r="AE625" s="196">
        <f>IF($B$625="Лікар-педіатр","x",IF($B$625="Лікар-терапевт",AE628*AG625,IF($B$625="Лікар загальної практики - сімейний лікар",AE628*AG625,0)))</f>
        <v>0</v>
      </c>
      <c r="AF625" s="196">
        <f>IF($B$625="Лікар-педіатр","x",IF($B$625="Лікар-терапевт",AF628*AG625,IF($B$625="Лікар загальної практики - сімейний лікар",AF628*AG625,0)))</f>
        <v>0</v>
      </c>
      <c r="AG625" s="558"/>
      <c r="AH625" s="929"/>
      <c r="AI625" s="541">
        <f>A625</f>
        <v>46</v>
      </c>
      <c r="AJ625" s="932">
        <f>B625</f>
        <v>0</v>
      </c>
      <c r="AK625" s="926">
        <f>C625</f>
        <v>0</v>
      </c>
      <c r="AL625" s="926">
        <f>D625</f>
        <v>0</v>
      </c>
      <c r="AM625" s="901" t="s">
        <v>785</v>
      </c>
      <c r="AN625" s="923">
        <f>SUM(AN630:AN636)</f>
        <v>0</v>
      </c>
      <c r="AO625" s="923">
        <f>SUM(AO630:AO636)</f>
        <v>0</v>
      </c>
      <c r="AP625" s="923">
        <f>SUM(AP630:AP636)</f>
        <v>0</v>
      </c>
      <c r="AQ625" s="923">
        <f>SUM(AQ630:AQ636)</f>
        <v>0</v>
      </c>
      <c r="AR625" s="914">
        <f>SUM(AN625:AQ629)</f>
        <v>0</v>
      </c>
    </row>
    <row r="626" spans="1:44" s="50" customFormat="1" ht="28.15" hidden="1" customHeight="1">
      <c r="A626" s="197"/>
      <c r="B626" s="893"/>
      <c r="C626" s="896"/>
      <c r="D626" s="912"/>
      <c r="E626" s="909"/>
      <c r="F626" s="234" t="s">
        <v>583</v>
      </c>
      <c r="G626" s="196">
        <f>IF($B$625="Лікар-педіатр",G628*L626,IF($B$625="Лікар-терапевт","х",IF($B$625="Лікар загальної практики - сімейний лікар",G628*L626,0)))</f>
        <v>0</v>
      </c>
      <c r="H626" s="196">
        <f>IF($B$625="Лікар-педіатр",H628*L626,IF($B$625="Лікар-терапевт","х",IF($B$625="Лікар загальної практики - сімейний лікар",H628*L626,0)))</f>
        <v>0</v>
      </c>
      <c r="I626" s="196">
        <f>IF($B$625="Лікар-педіатр","x",IF($B$625="Лікар-терапевт",I628*L626,IF($B$625="Лікар загальної практики - сімейний лікар",I628*L626,0)))</f>
        <v>0</v>
      </c>
      <c r="J626" s="196">
        <f>IF($B$625="Лікар-педіатр","x",IF($B$625="Лікар-терапевт",J628*L626,IF($B$625="Лікар загальної практики - сімейний лікар",J628*L626,0)))</f>
        <v>0</v>
      </c>
      <c r="K626" s="196">
        <f>IF($B$625="Лікар-педіатр","x",IF($B$625="Лікар-терапевт",K628*L626,IF($B$625="Лікар загальної практики - сімейний лікар",K628*L626,0)))</f>
        <v>0</v>
      </c>
      <c r="L626" s="558"/>
      <c r="M626" s="930"/>
      <c r="N626" s="196">
        <f>IF($B$625="Лікар-педіатр",N628*S626,IF($B$625="Лікар-терапевт","х",IF($B$625="Лікар загальної практики - сімейний лікар",N628*S626,0)))</f>
        <v>0</v>
      </c>
      <c r="O626" s="196">
        <f>IF($B$625="Лікар-педіатр",O628*S626,IF($B$625="Лікар-терапевт","х",IF($B$625="Лікар загальної практики - сімейний лікар",O628*S626,0)))</f>
        <v>0</v>
      </c>
      <c r="P626" s="196">
        <f>IF($B$625="Лікар-педіатр","x",IF($B$625="Лікар-терапевт",P628*S626,IF($B$625="Лікар загальної практики - сімейний лікар",P628*S626,0)))</f>
        <v>0</v>
      </c>
      <c r="Q626" s="196">
        <f>IF($B$625="Лікар-педіатр","x",IF($B$625="Лікар-терапевт",Q628*S626,IF($B$625="Лікар загальної практики - сімейний лікар",Q628*S626,0)))</f>
        <v>0</v>
      </c>
      <c r="R626" s="196">
        <f>IF($B$625="Лікар-педіатр","x",IF($B$625="Лікар-терапевт",R628*S626,IF($B$625="Лікар загальної практики - сімейний лікар",R628*S626,0)))</f>
        <v>0</v>
      </c>
      <c r="S626" s="558"/>
      <c r="T626" s="930"/>
      <c r="U626" s="196">
        <f>IF($B$625="Лікар-педіатр",U628*Z626,IF($B$625="Лікар-терапевт","х",IF($B$625="Лікар загальної практики - сімейний лікар",U628*Z626,0)))</f>
        <v>0</v>
      </c>
      <c r="V626" s="196">
        <f>IF($B$625="Лікар-педіатр",V628*Z626,IF($B$625="Лікар-терапевт","х",IF($B$625="Лікар загальної практики - сімейний лікар",V628*Z626,0)))</f>
        <v>0</v>
      </c>
      <c r="W626" s="196">
        <f>IF($B$625="Лікар-педіатр","x",IF($B$625="Лікар-терапевт",W628*Z626,IF($B$625="Лікар загальної практики - сімейний лікар",W628*Z626,0)))</f>
        <v>0</v>
      </c>
      <c r="X626" s="196">
        <f>IF($B$625="Лікар-педіатр","x",IF($B$625="Лікар-терапевт",X628*Z626,IF($B$625="Лікар загальної практики - сімейний лікар",X628*Z626,0)))</f>
        <v>0</v>
      </c>
      <c r="Y626" s="196">
        <f>IF($B$625="Лікар-педіатр","x",IF($B$625="Лікар-терапевт",Y628*Z626,IF($B$625="Лікар загальної практики - сімейний лікар",Y628*Z626,0)))</f>
        <v>0</v>
      </c>
      <c r="Z626" s="558"/>
      <c r="AA626" s="930"/>
      <c r="AB626" s="196">
        <f>IF($B$625="Лікар-педіатр",AB628*AG626,IF($B$625="Лікар-терапевт","х",IF($B$625="Лікар загальної практики - сімейний лікар",AB628*AG626,0)))</f>
        <v>0</v>
      </c>
      <c r="AC626" s="196">
        <f>IF($B$625="Лікар-педіатр",AC628*AG626,IF($B$625="Лікар-терапевт","х",IF($B$625="Лікар загальної практики - сімейний лікар",AC628*AG626,0)))</f>
        <v>0</v>
      </c>
      <c r="AD626" s="196">
        <f>IF($B$625="Лікар-педіатр","x",IF($B$625="Лікар-терапевт",AD628*AG626,IF($B$625="Лікар загальної практики - сімейний лікар",AD628*AG626,0)))</f>
        <v>0</v>
      </c>
      <c r="AE626" s="196">
        <f>IF($B$625="Лікар-педіатр","x",IF($B$625="Лікар-терапевт",AE628*AG626,IF($B$625="Лікар загальної практики - сімейний лікар",AE628*AG626,0)))</f>
        <v>0</v>
      </c>
      <c r="AF626" s="196">
        <f>IF($B$625="Лікар-педіатр","x",IF($B$625="Лікар-терапевт",AF628*AG626,IF($B$625="Лікар загальної практики - сімейний лікар",AF628*AG626,0)))</f>
        <v>0</v>
      </c>
      <c r="AG626" s="558"/>
      <c r="AH626" s="930"/>
      <c r="AI626" s="198"/>
      <c r="AJ626" s="933"/>
      <c r="AK626" s="927"/>
      <c r="AL626" s="927"/>
      <c r="AM626" s="902"/>
      <c r="AN626" s="924"/>
      <c r="AO626" s="924"/>
      <c r="AP626" s="924"/>
      <c r="AQ626" s="924"/>
      <c r="AR626" s="915"/>
    </row>
    <row r="627" spans="1:44" s="90" customFormat="1" ht="31.15" hidden="1" customHeight="1">
      <c r="A627" s="240"/>
      <c r="B627" s="893"/>
      <c r="C627" s="896"/>
      <c r="D627" s="912"/>
      <c r="E627" s="909"/>
      <c r="F627" s="241" t="s">
        <v>584</v>
      </c>
      <c r="G627" s="199">
        <f>IF(B625="Лікар загальної практики - сімейний лікар"," ",IF(B625="Лікар-педіатр"," ",IF(B625="Лікар-терапевт","х",0)))</f>
        <v>0</v>
      </c>
      <c r="H627" s="199">
        <f>IF(B625="Лікар загальної практики - сімейний лікар"," ",IF(B625="Лікар-педіатр"," ",IF(B625="Лікар-терапевт","х",0)))</f>
        <v>0</v>
      </c>
      <c r="I627" s="199">
        <f>IF(B625="Лікар загальної практики - сімейний лікар"," ",IF(B625="Лікар-педіатр","х",IF(B625="Лікар-терапевт"," ",0)))</f>
        <v>0</v>
      </c>
      <c r="J627" s="199">
        <f>IF(B625="Лікар загальної практики - сімейний лікар"," ",IF(B625="Лікар-педіатр","х",IF(B625="Лікар-терапевт"," ",0)))</f>
        <v>0</v>
      </c>
      <c r="K627" s="199">
        <f>IF(B625="Лікар загальної практики - сімейний лікар"," ",IF(B625="Лікар-педіатр","х",IF(B625="Лікар-терапевт"," ",0)))</f>
        <v>0</v>
      </c>
      <c r="L627" s="200">
        <f>SUM(G627:K627)</f>
        <v>0</v>
      </c>
      <c r="M627" s="930"/>
      <c r="N627" s="199">
        <f>IF(B625="Лікар загальної практики - сімейний лікар"," ",IF(B625="Лікар-педіатр"," ",IF(B625="Лікар-терапевт","х",0)))</f>
        <v>0</v>
      </c>
      <c r="O627" s="199">
        <f>IF(B625="Лікар загальної практики - сімейний лікар"," ",IF(B625="Лікар-педіатр"," ",IF(B625="Лікар-терапевт","х",0)))</f>
        <v>0</v>
      </c>
      <c r="P627" s="199">
        <f>IF(B625="Лікар загальної практики - сімейний лікар"," ",IF(B625="Лікар-педіатр","х",IF(B625="Лікар-терапевт"," ",0)))</f>
        <v>0</v>
      </c>
      <c r="Q627" s="199">
        <f>IF(B625="Лікар загальної практики - сімейний лікар"," ",IF(B625="Лікар-педіатр","х",IF(B625="Лікар-терапевт"," ",0)))</f>
        <v>0</v>
      </c>
      <c r="R627" s="199">
        <f>IF(B625="Лікар загальної практики - сімейний лікар"," ",IF(B625="Лікар-педіатр","х",IF(B625="Лікар-терапевт"," ",0)))</f>
        <v>0</v>
      </c>
      <c r="S627" s="200">
        <f>SUM(N627:R627)</f>
        <v>0</v>
      </c>
      <c r="T627" s="930"/>
      <c r="U627" s="199">
        <f>IF(B625="Лікар загальної практики - сімейний лікар"," ",IF(B625="Лікар-педіатр"," ",IF(B625="Лікар-терапевт","х",0)))</f>
        <v>0</v>
      </c>
      <c r="V627" s="199">
        <f>IF(B625="Лікар загальної практики - сімейний лікар"," ",IF(B625="Лікар-педіатр"," ",IF(B625="Лікар-терапевт","х",0)))</f>
        <v>0</v>
      </c>
      <c r="W627" s="199">
        <f>IF(B625="Лікар загальної практики - сімейний лікар"," ",IF(B625="Лікар-педіатр","х",IF(B625="Лікар-терапевт"," ",0)))</f>
        <v>0</v>
      </c>
      <c r="X627" s="199">
        <f>IF(B625="Лікар загальної практики - сімейний лікар"," ",IF(B625="Лікар-педіатр","х",IF(B625="Лікар-терапевт"," ",0)))</f>
        <v>0</v>
      </c>
      <c r="Y627" s="199">
        <f>IF(B625="Лікар загальної практики - сімейний лікар"," ",IF(B625="Лікар-педіатр","х",IF(B625="Лікар-терапевт"," ",0)))</f>
        <v>0</v>
      </c>
      <c r="Z627" s="200">
        <f>SUM(U627:Y627)</f>
        <v>0</v>
      </c>
      <c r="AA627" s="930"/>
      <c r="AB627" s="199">
        <f>IF(B625="Лікар загальної практики - сімейний лікар"," ",IF(B625="Лікар-педіатр"," ",IF(B625="Лікар-терапевт","х",0)))</f>
        <v>0</v>
      </c>
      <c r="AC627" s="199">
        <f>IF(B625="Лікар загальної практики - сімейний лікар"," ",IF(B625="Лікар-педіатр"," ",IF(B625="Лікар-терапевт","х",0)))</f>
        <v>0</v>
      </c>
      <c r="AD627" s="199">
        <f>IF(B625="Лікар загальної практики - сімейний лікар"," ",IF(B625="Лікар-педіатр","х",IF(B625="Лікар-терапевт"," ",0)))</f>
        <v>0</v>
      </c>
      <c r="AE627" s="199">
        <f>IF(B625="Лікар загальної практики - сімейний лікар"," ",IF(B625="Лікар-педіатр","х",IF(B625="Лікар-терапевт"," ",0)))</f>
        <v>0</v>
      </c>
      <c r="AF627" s="199">
        <f>IF(B625="Лікар загальної практики - сімейний лікар"," ",IF(B625="Лікар-педіатр","х",IF(B625="Лікар-терапевт"," ",0)))</f>
        <v>0</v>
      </c>
      <c r="AG627" s="200">
        <f>SUM(AB627:AF627)</f>
        <v>0</v>
      </c>
      <c r="AH627" s="930"/>
      <c r="AI627" s="242"/>
      <c r="AJ627" s="933"/>
      <c r="AK627" s="927"/>
      <c r="AL627" s="927"/>
      <c r="AM627" s="902"/>
      <c r="AN627" s="924"/>
      <c r="AO627" s="924"/>
      <c r="AP627" s="924"/>
      <c r="AQ627" s="924"/>
      <c r="AR627" s="915"/>
    </row>
    <row r="628" spans="1:44" s="50" customFormat="1" ht="31.9" hidden="1" customHeight="1" thickBot="1">
      <c r="A628" s="197"/>
      <c r="B628" s="893"/>
      <c r="C628" s="896"/>
      <c r="D628" s="912"/>
      <c r="E628" s="909"/>
      <c r="F628" s="236" t="s">
        <v>349</v>
      </c>
      <c r="G628" s="203">
        <f>IF($B$625="Лікар-педіатр",G627/L627,IF($B$625="Лікар-терапевт","х",IF($B$625="Лікар загальної практики - сімейний лікар",G627/L627,0)))</f>
        <v>0</v>
      </c>
      <c r="H628" s="203">
        <f>IF($B$625="Лікар-педіатр",H627/L627,IF($B$625="Лікар-терапевт","х",IF($B$625="Лікар загальної практики - сімейний лікар",H627/L627,0)))</f>
        <v>0</v>
      </c>
      <c r="I628" s="203">
        <f>IF($B$625="Лікар-педіатр","x",IF($B$625="Лікар-терапевт",I627/L627,IF($B$625="Лікар загальної практики - сімейний лікар",I627/L627,0)))</f>
        <v>0</v>
      </c>
      <c r="J628" s="203">
        <f>IF($B$625="Лікар-педіатр","x",IF($B$625="Лікар-терапевт",J627/L627,IF($B$625="Лікар загальної практики - сімейний лікар",J627/L627,0)))</f>
        <v>0</v>
      </c>
      <c r="K628" s="203">
        <f>IF($B$625="Лікар-педіатр","x",IF($B$625="Лікар-терапевт",K627/L627,IF($B$625="Лікар загальної практики - сімейний лікар",K627/L627,0)))</f>
        <v>0</v>
      </c>
      <c r="L628" s="203">
        <f>SUM(G628:K628)</f>
        <v>0</v>
      </c>
      <c r="M628" s="930"/>
      <c r="N628" s="203">
        <f>IF($B$625="Лікар-педіатр",N627/S627,IF($B$625="Лікар-терапевт","х",IF($B$625="Лікар загальної практики - сімейний лікар",N627/S627,0)))</f>
        <v>0</v>
      </c>
      <c r="O628" s="203">
        <f>IF($B$625="Лікар-педіатр",O627/S627,IF($B$625="Лікар-терапевт","х",IF($B$625="Лікар загальної практики - сімейний лікар",O627/S627,0)))</f>
        <v>0</v>
      </c>
      <c r="P628" s="203">
        <f>IF($B$625="Лікар-педіатр","x",IF($B$625="Лікар-терапевт",P627/S627,IF($B$625="Лікар загальної практики - сімейний лікар",P627/S627,0)))</f>
        <v>0</v>
      </c>
      <c r="Q628" s="203">
        <f>IF($B$625="Лікар-педіатр","x",IF($B$625="Лікар-терапевт",Q627/S627,IF($B$625="Лікар загальної практики - сімейний лікар",Q627/S627,0)))</f>
        <v>0</v>
      </c>
      <c r="R628" s="203">
        <f>IF($B$625="Лікар-педіатр","x",IF($B$625="Лікар-терапевт",R627/S627,IF($B$625="Лікар загальної практики - сімейний лікар",R627/S627,0)))</f>
        <v>0</v>
      </c>
      <c r="S628" s="203">
        <f>SUM(N628:R628)</f>
        <v>0</v>
      </c>
      <c r="T628" s="930"/>
      <c r="U628" s="203">
        <f>IF($B$625="Лікар-педіатр",U627/Z627,IF($B$625="Лікар-терапевт","х",IF($B$625="Лікар загальної практики - сімейний лікар",U627/Z627,0)))</f>
        <v>0</v>
      </c>
      <c r="V628" s="203">
        <f>IF($B$625="Лікар-педіатр",V627/Z627,IF($B$625="Лікар-терапевт","х",IF($B$625="Лікар загальної практики - сімейний лікар",V627/Z627,0)))</f>
        <v>0</v>
      </c>
      <c r="W628" s="203">
        <f>IF($B$625="Лікар-педіатр","x",IF($B$625="Лікар-терапевт",W627/Z627,IF($B$625="Лікар загальної практики - сімейний лікар",W627/Z627,0)))</f>
        <v>0</v>
      </c>
      <c r="X628" s="203">
        <f>IF($B$625="Лікар-педіатр","x",IF($B$625="Лікар-терапевт",X627/Z627,IF($B$625="Лікар загальної практики - сімейний лікар",X627/Z627,0)))</f>
        <v>0</v>
      </c>
      <c r="Y628" s="203">
        <f>IF($B$625="Лікар-педіатр","x",IF($B$625="Лікар-терапевт",Y627/Z627,IF($B$625="Лікар загальної практики - сімейний лікар",Y627/Z627,0)))</f>
        <v>0</v>
      </c>
      <c r="Z628" s="203">
        <f>SUM(U628:Y628)</f>
        <v>0</v>
      </c>
      <c r="AA628" s="930"/>
      <c r="AB628" s="203">
        <f>IF($B$625="Лікар-педіатр",AB627/AG627,IF($B$625="Лікар-терапевт","х",IF($B$625="Лікар загальної практики - сімейний лікар",AB627/AG627,0)))</f>
        <v>0</v>
      </c>
      <c r="AC628" s="203">
        <f>IF($B$625="Лікар-педіатр",AC627/AG627,IF($B$625="Лікар-терапевт","х",IF($B$625="Лікар загальної практики - сімейний лікар",AC627/AG627,0)))</f>
        <v>0</v>
      </c>
      <c r="AD628" s="203">
        <f>IF($B$625="Лікар-педіатр","x",IF($B$625="Лікар-терапевт",AD627/AG627,IF($B$625="Лікар загальної практики - сімейний лікар",AD627/AG627,0)))</f>
        <v>0</v>
      </c>
      <c r="AE628" s="203">
        <f>IF($B$625="Лікар-педіатр","x",IF($B$625="Лікар-терапевт",AE627/AG627,IF($B$625="Лікар загальної практики - сімейний лікар",AE627/AG627,0)))</f>
        <v>0</v>
      </c>
      <c r="AF628" s="203">
        <f>IF($B$625="Лікар-педіатр","x",IF($B$625="Лікар-терапевт",AF627/AG627,IF($B$625="Лікар загальної практики - сімейний лікар",AF627/AG627,0)))</f>
        <v>0</v>
      </c>
      <c r="AG628" s="203">
        <f>SUM(AB628:AF628)</f>
        <v>0</v>
      </c>
      <c r="AH628" s="930"/>
      <c r="AI628" s="201"/>
      <c r="AJ628" s="933"/>
      <c r="AK628" s="927"/>
      <c r="AL628" s="927"/>
      <c r="AM628" s="902"/>
      <c r="AN628" s="924"/>
      <c r="AO628" s="924"/>
      <c r="AP628" s="924"/>
      <c r="AQ628" s="924"/>
      <c r="AR628" s="915"/>
    </row>
    <row r="629" spans="1:44" s="50" customFormat="1" ht="45" hidden="1" customHeight="1" thickBot="1">
      <c r="A629" s="197"/>
      <c r="B629" s="893"/>
      <c r="C629" s="896"/>
      <c r="D629" s="912"/>
      <c r="E629" s="909"/>
      <c r="F629" s="204" t="s">
        <v>585</v>
      </c>
      <c r="G629" s="205">
        <f>IF($B$625="Лікар загальної практики - сімейний лікар",AVERAGE(G625:G627),IF($B$625="Лікар-педіатр",AVERAGE(G625:G627),IF($B$625="Лікар-терапевт","х",0)))</f>
        <v>0</v>
      </c>
      <c r="H629" s="205">
        <f>IF($B$625="Лікар загальної практики - сімейний лікар",AVERAGE(H625:H627),IF($B$625="Лікар-педіатр",AVERAGE(H625:H627),IF($B$625="Лікар-терапевт","х",0)))</f>
        <v>0</v>
      </c>
      <c r="I629" s="205">
        <f>IF($B$625="Лікар загальної практики - сімейний лікар",AVERAGE(I625:I627),IF($B$625="Лікар-педіатр","x",IF($B$625="Лікар-терапевт",AVERAGE(I625:I627),0)))</f>
        <v>0</v>
      </c>
      <c r="J629" s="205">
        <f>IF($B$625="Лікар загальної практики - сімейний лікар",AVERAGE(J625:J627),IF($B$625="Лікар-педіатр","x",IF($B$625="Лікар-терапевт",AVERAGE(J625:J627),0)))</f>
        <v>0</v>
      </c>
      <c r="K629" s="205">
        <f>IF($B$625="Лікар загальної практики - сімейний лікар",AVERAGE(K625:K627),IF($B$625="Лікар-педіатр","x",IF($B$625="Лікар-терапевт",AVERAGE(K625:K627),0)))</f>
        <v>0</v>
      </c>
      <c r="L629" s="206">
        <f>SUM(G629:K629)</f>
        <v>0</v>
      </c>
      <c r="M629" s="930"/>
      <c r="N629" s="205">
        <f>IF($B$625="Лікар загальної практики - сімейний лікар",AVERAGE(N625:N627),IF($B$625="Лікар-педіатр",AVERAGE(N625:N627),IF($B$625="Лікар-терапевт","х",0)))</f>
        <v>0</v>
      </c>
      <c r="O629" s="205">
        <f>IF($B$625="Лікар загальної практики - сімейний лікар",AVERAGE(O625:O627),IF($B$625="Лікар-педіатр",AVERAGE(O625:O627),IF($B$625="Лікар-терапевт","х",0)))</f>
        <v>0</v>
      </c>
      <c r="P629" s="205">
        <f>IF($B$625="Лікар загальної практики - сімейний лікар",AVERAGE(P625:P627),IF($B$625="Лікар-педіатр","x",IF($B$625="Лікар-терапевт",AVERAGE(P625:P627),0)))</f>
        <v>0</v>
      </c>
      <c r="Q629" s="205">
        <f>IF($B$625="Лікар загальної практики - сімейний лікар",AVERAGE(Q625:Q627),IF($B$625="Лікар-педіатр","x",IF($B$625="Лікар-терапевт",AVERAGE(Q625:Q627),0)))</f>
        <v>0</v>
      </c>
      <c r="R629" s="205">
        <f>IF($B$625="Лікар загальної практики - сімейний лікар",AVERAGE(R625:R627),IF($B$625="Лікар-педіатр","x",IF($B$625="Лікар-терапевт",AVERAGE(R625:R627),0)))</f>
        <v>0</v>
      </c>
      <c r="S629" s="206">
        <f>SUM(N629:R629)</f>
        <v>0</v>
      </c>
      <c r="T629" s="930"/>
      <c r="U629" s="205">
        <f>IF($B$625="Лікар загальної практики - сімейний лікар",AVERAGE(U625:U627),IF($B$625="Лікар-педіатр",AVERAGE(U625:U627),IF($B$625="Лікар-терапевт","х",0)))</f>
        <v>0</v>
      </c>
      <c r="V629" s="205">
        <f>IF($B$625="Лікар загальної практики - сімейний лікар",AVERAGE(V625:V627),IF($B$625="Лікар-педіатр",AVERAGE(V625:V627),IF($B$625="Лікар-терапевт","х",0)))</f>
        <v>0</v>
      </c>
      <c r="W629" s="205">
        <f>IF($B$625="Лікар загальної практики - сімейний лікар",AVERAGE(W625:W627),IF($B$625="Лікар-педіатр","x",IF($B$625="Лікар-терапевт",AVERAGE(W625:W627),0)))</f>
        <v>0</v>
      </c>
      <c r="X629" s="205">
        <f>IF($B$625="Лікар загальної практики - сімейний лікар",AVERAGE(X625:X627),IF($B$625="Лікар-педіатр","x",IF($B$625="Лікар-терапевт",AVERAGE(X625:X627),0)))</f>
        <v>0</v>
      </c>
      <c r="Y629" s="205">
        <f>IF($B$625="Лікар загальної практики - сімейний лікар",AVERAGE(Y625:Y627),IF($B$625="Лікар-педіатр","x",IF($B$625="Лікар-терапевт",AVERAGE(Y625:Y627),0)))</f>
        <v>0</v>
      </c>
      <c r="Z629" s="206">
        <f>SUM(U629:Y629)</f>
        <v>0</v>
      </c>
      <c r="AA629" s="930"/>
      <c r="AB629" s="205">
        <f>IF($B$625="Лікар загальної практики - сімейний лікар",AVERAGE(AB625:AB627),IF($B$625="Лікар-педіатр",AVERAGE(AB625:AB627),IF($B$625="Лікар-терапевт","х",0)))</f>
        <v>0</v>
      </c>
      <c r="AC629" s="205">
        <f>IF($B$625="Лікар загальної практики - сімейний лікар",AVERAGE(AC625:AC627),IF($B$625="Лікар-педіатр",AVERAGE(AC625:AC627),IF($B$625="Лікар-терапевт","х",0)))</f>
        <v>0</v>
      </c>
      <c r="AD629" s="205">
        <f>IF($B$625="Лікар загальної практики - сімейний лікар",AVERAGE(AD625:AD627),IF($B$625="Лікар-педіатр","x",IF($B$625="Лікар-терапевт",AVERAGE(AD625:AD627),0)))</f>
        <v>0</v>
      </c>
      <c r="AE629" s="205">
        <f>IF($B$625="Лікар загальної практики - сімейний лікар",AVERAGE(AE625:AE627),IF($B$625="Лікар-педіатр","x",IF($B$625="Лікар-терапевт",AVERAGE(AE625:AE627),0)))</f>
        <v>0</v>
      </c>
      <c r="AF629" s="205">
        <f>IF($B$625="Лікар загальної практики - сімейний лікар",AVERAGE(AF625:AF627),IF($B$625="Лікар-педіатр","x",IF($B$625="Лікар-терапевт",AVERAGE(AF625:AF627),0)))</f>
        <v>0</v>
      </c>
      <c r="AG629" s="206">
        <f>SUM(AB629:AF629)</f>
        <v>0</v>
      </c>
      <c r="AH629" s="930"/>
      <c r="AI629" s="201"/>
      <c r="AJ629" s="933"/>
      <c r="AK629" s="927"/>
      <c r="AL629" s="927"/>
      <c r="AM629" s="903"/>
      <c r="AN629" s="925"/>
      <c r="AO629" s="925"/>
      <c r="AP629" s="925"/>
      <c r="AQ629" s="925"/>
      <c r="AR629" s="916"/>
    </row>
    <row r="630" spans="1:44" s="50" customFormat="1" ht="40.5" hidden="1">
      <c r="A630" s="197"/>
      <c r="B630" s="893"/>
      <c r="C630" s="896"/>
      <c r="D630" s="912"/>
      <c r="E630" s="909"/>
      <c r="F630" s="237" t="str">
        <f ca="1">IF(B625="Лікар-педіатр",Законод!$C$17,IF(B625="Лікар загальної практики - сімейний лікар",Законод!$C$21,IF(B625="Лікар-терапевт",Законод!$C$25,"х")))</f>
        <v>х</v>
      </c>
      <c r="G630" s="208">
        <f ca="1">IF($B$625="Лікар загальної практики - сімейний лікар",IF(L629&lt;=Законод!$C$22,G629,Законод!$C$22*'01_Доходи'!G628),IF($B$625="Лікар-педіатр",IF(L629&lt;=Законод!$C$18,G629,Законод!$C$18*'01_Доходи'!G628),IF($B$625="Лікар-терапевт","x",0)))</f>
        <v>0</v>
      </c>
      <c r="H630" s="208">
        <f ca="1">IF($B$625="Лікар загальної практики - сімейний лікар",IF(L629&lt;=Законод!$C$22,H629,Законод!$C$22*'01_Доходи'!H628),IF($B$625="Лікар-педіатр",IF(L629&lt;=Законод!$C$18,H629,Законод!$C$18*'01_Доходи'!H628),IF($B$625="Лікар-терапевт","x",0)))</f>
        <v>0</v>
      </c>
      <c r="I630" s="208">
        <f ca="1">IF($B$625="Лікар загальної практики - сімейний лікар",IF(L629&lt;=Законод!$C$22,I629,Законод!$C$22*'01_Доходи'!I628),IF($B$625="Лікар-педіатр","x",IF($B$625="Лікар-терапевт",IF(L629&lt;=Законод!$C$26,I629,Законод!$C$26*'01_Доходи'!I628),0)))</f>
        <v>0</v>
      </c>
      <c r="J630" s="208">
        <f ca="1">IF($B$625="Лікар загальної практики - сімейний лікар",IF(L629&lt;=Законод!$C$22,J629,Законод!$C$22*'01_Доходи'!J628),IF($B$625="Лікар-педіатр","x",IF($B$625="Лікар-терапевт",IF(L629&lt;=Законод!$C$26,J629,Законод!$C$26*'01_Доходи'!J628),0)))</f>
        <v>0</v>
      </c>
      <c r="K630" s="208">
        <f ca="1">IF($B$625="Лікар загальної практики - сімейний лікар",IF(L629&lt;=Законод!$C$22,K629,Законод!$C$22*'01_Доходи'!K628),IF($B$625="Лікар-педіатр","x",IF($B$625="Лікар-терапевт",IF(L629&lt;=Законод!$C$26,K629,Законод!$C$26*'01_Доходи'!K628),0)))</f>
        <v>0</v>
      </c>
      <c r="L630" s="209">
        <f ca="1">SUM(G630:K630)</f>
        <v>0</v>
      </c>
      <c r="M630" s="930"/>
      <c r="N630" s="208">
        <f ca="1">IF($B$625="Лікар загальної практики - сімейний лікар",IF(S629&lt;=Законод!$C$22,N629,Законод!$C$22*'01_Доходи'!N628),IF($B$625="Лікар-педіатр",IF(S629&lt;=Законод!$C$18,N629,Законод!$C$18*'01_Доходи'!N628),IF($B$625="Лікар-терапевт","x",0)))</f>
        <v>0</v>
      </c>
      <c r="O630" s="208">
        <f ca="1">IF($B$625="Лікар загальної практики - сімейний лікар",IF(S629&lt;=Законод!$C$22,O629,Законод!$C$22*'01_Доходи'!O628),IF($B$625="Лікар-педіатр",IF(S629&lt;=Законод!$C$18,O629,Законод!$C$18*'01_Доходи'!O628),IF($B$625="Лікар-терапевт","x",0)))</f>
        <v>0</v>
      </c>
      <c r="P630" s="208">
        <f ca="1">IF($B$625="Лікар загальної практики - сімейний лікар",IF(S629&lt;=Законод!$C$22,P629,Законод!$C$22*'01_Доходи'!P628),IF($B$625="Лікар-педіатр","x",IF($B$625="Лікар-терапевт",IF(S629&lt;=Законод!$C$26,P629,Законод!$C$26*'01_Доходи'!P628),0)))</f>
        <v>0</v>
      </c>
      <c r="Q630" s="208">
        <f ca="1">IF($B$625="Лікар загальної практики - сімейний лікар",IF(S629&lt;=Законод!$C$22,Q629,Законод!$C$22*'01_Доходи'!Q628),IF($B$625="Лікар-педіатр","x",IF($B$625="Лікар-терапевт",IF(S629&lt;=Законод!$C$26,Q629,Законод!$C$26*'01_Доходи'!Q628),0)))</f>
        <v>0</v>
      </c>
      <c r="R630" s="208">
        <f ca="1">IF($B$625="Лікар загальної практики - сімейний лікар",IF(S629&lt;=Законод!$C$22,R629,Законод!$C$22*'01_Доходи'!R628),IF($B$625="Лікар-педіатр","x",IF($B$625="Лікар-терапевт",IF(S629&lt;=Законод!$C$26,R629,Законод!$C$26*'01_Доходи'!R628),0)))</f>
        <v>0</v>
      </c>
      <c r="S630" s="209">
        <f ca="1">SUM(N630:R630)</f>
        <v>0</v>
      </c>
      <c r="T630" s="930"/>
      <c r="U630" s="208">
        <f ca="1">IF($B$625="Лікар загальної практики - сімейний лікар",IF(Z629&lt;=Законод!$C$22,U629,Законод!$C$22*'01_Доходи'!U628),IF($B$625="Лікар-педіатр",IF(Z629&lt;=Законод!$C$18,U629,Законод!$C$18*'01_Доходи'!U628),IF($B$625="Лікар-терапевт","x",0)))</f>
        <v>0</v>
      </c>
      <c r="V630" s="208">
        <f ca="1">IF($B$625="Лікар загальної практики - сімейний лікар",IF(Z629&lt;=Законод!$C$22,V629,Законод!$C$22*'01_Доходи'!V628),IF($B$625="Лікар-педіатр",IF(Z629&lt;=Законод!$C$18,V629,Законод!$C$18*'01_Доходи'!V628),IF($B$625="Лікар-терапевт","x",0)))</f>
        <v>0</v>
      </c>
      <c r="W630" s="208">
        <f ca="1">IF($B$625="Лікар загальної практики - сімейний лікар",IF(Z629&lt;=Законод!$C$22,W629,Законод!$C$22*'01_Доходи'!W628),IF($B$625="Лікар-педіатр","x",IF($B$625="Лікар-терапевт",IF(Z629&lt;=Законод!$C$26,W629,Законод!$C$26*'01_Доходи'!W628),0)))</f>
        <v>0</v>
      </c>
      <c r="X630" s="208">
        <f ca="1">IF($B$625="Лікар загальної практики - сімейний лікар",IF(Z629&lt;=Законод!$C$22,X629,Законод!$C$22*'01_Доходи'!X628),IF($B$625="Лікар-педіатр","x",IF($B$625="Лікар-терапевт",IF(Z629&lt;=Законод!$C$26,X629,Законод!$C$26*'01_Доходи'!X628),0)))</f>
        <v>0</v>
      </c>
      <c r="Y630" s="208">
        <f ca="1">IF($B$625="Лікар загальної практики - сімейний лікар",IF(Z629&lt;=Законод!$C$22,Y629,Законод!$C$22*'01_Доходи'!Y628),IF($B$625="Лікар-педіатр","x",IF($B$625="Лікар-терапевт",IF(Z629&lt;=Законод!$C$26,Y629,Законод!$C$26*'01_Доходи'!Y628),0)))</f>
        <v>0</v>
      </c>
      <c r="Z630" s="209">
        <f ca="1">SUM(U630:Y630)</f>
        <v>0</v>
      </c>
      <c r="AA630" s="930"/>
      <c r="AB630" s="208">
        <f ca="1">IF($B$625="Лікар загальної практики - сімейний лікар",IF(AG629&lt;=Законод!$C$22,AB629,Законод!$C$22*'01_Доходи'!AB628),IF($B$625="Лікар-педіатр",IF(AG629&lt;=Законод!$C$18,AB629,Законод!$C$18*'01_Доходи'!AB628),IF($B$625="Лікар-терапевт","x",0)))</f>
        <v>0</v>
      </c>
      <c r="AC630" s="208">
        <f ca="1">IF($B$625="Лікар загальної практики - сімейний лікар",IF(AG629&lt;=Законод!$C$22,AC629,Законод!$C$22*'01_Доходи'!AC628),IF($B$625="Лікар-педіатр",IF(AG629&lt;=Законод!$C$18,AC629,Законод!$C$18*'01_Доходи'!AC628),IF($B$625="Лікар-терапевт","x",0)))</f>
        <v>0</v>
      </c>
      <c r="AD630" s="208">
        <f ca="1">IF($B$625="Лікар загальної практики - сімейний лікар",IF(AG629&lt;=Законод!$C$22,AD629,Законод!$C$22*'01_Доходи'!AD628),IF($B$625="Лікар-педіатр","x",IF($B$625="Лікар-терапевт",IF(AG629&lt;=Законод!$C$26,AD629,Законод!$C$26*'01_Доходи'!AD628),0)))</f>
        <v>0</v>
      </c>
      <c r="AE630" s="208">
        <f ca="1">IF($B$625="Лікар загальної практики - сімейний лікар",IF(AG629&lt;=Законод!$C$22,AE629,Законод!$C$22*'01_Доходи'!AE628),IF($B$625="Лікар-педіатр","x",IF($B$625="Лікар-терапевт",IF(AG629&lt;=Законод!$C$26,AE629,Законод!$C$26*'01_Доходи'!AE628),0)))</f>
        <v>0</v>
      </c>
      <c r="AF630" s="208">
        <f ca="1">IF($B$625="Лікар загальної практики - сімейний лікар",IF(AG629&lt;=Законод!$C$22,AF629,Законод!$C$22*'01_Доходи'!AF628),IF($B$625="Лікар-педіатр","x",IF($B$625="Лікар-терапевт",IF(AG629&lt;=Законод!$C$26,AF629,Законод!$C$26*'01_Доходи'!AF628),0)))</f>
        <v>0</v>
      </c>
      <c r="AG630" s="209">
        <f ca="1">SUM(AB630:AF630)</f>
        <v>0</v>
      </c>
      <c r="AH630" s="930"/>
      <c r="AI630" s="201"/>
      <c r="AJ630" s="933"/>
      <c r="AK630" s="927"/>
      <c r="AL630" s="927"/>
      <c r="AM630" s="348" t="s">
        <v>374</v>
      </c>
      <c r="AN630" s="210">
        <f ca="1">IF(B625="Лікар загальної практики - сімейний лікар",G630*Законод!$C$11+'01_Доходи'!H630*Законод!$D$11+'01_Доходи'!I630*Законод!$E$11+'01_Доходи'!J630*Законод!$F$11+'01_Доходи'!K630*Законод!$G$11,IF(B625="Лікар-педіатр",G630*Законод!$C$11+'01_Доходи'!H630*Законод!$D$11,IF(B625="Лікар-терапевт",'01_Доходи'!I630*Законод!$E$11+'01_Доходи'!J630*Законод!$F$11+'01_Доходи'!K630*Законод!$G$11,0)))</f>
        <v>0</v>
      </c>
      <c r="AO630" s="210">
        <f ca="1">IF(B625="Лікар загальної практики - сімейний лікар",N630*Законод!$C$11+'01_Доходи'!O630*Законод!$D$11+'01_Доходи'!P630*Законод!$E$11+'01_Доходи'!Q630*Законод!$F$11+'01_Доходи'!R630*Законод!$G$11,IF(B625="Лікар-педіатр",N630*Законод!$C$11+'01_Доходи'!O630*Законод!$D$11,IF(B625="Лікар-терапевт",'01_Доходи'!P630*Законод!$E$11+'01_Доходи'!Q630*Законод!$F$11+'01_Доходи'!R630*Законод!$G$11,0)))</f>
        <v>0</v>
      </c>
      <c r="AP630" s="210">
        <f ca="1">IF(B625="Лікар загальної практики - сімейний лікар",U630*Законод!$C$11+'01_Доходи'!V630*Законод!$D$11+'01_Доходи'!W630*Законод!$E$11+'01_Доходи'!X630*Законод!$F$11+'01_Доходи'!Y630*Законод!$G$11,IF(B625="Лікар-педіатр",U630*Законод!$C$11+'01_Доходи'!V630*Законод!$D$11,IF(B625="Лікар-терапевт",'01_Доходи'!W630*Законод!$E$11+'01_Доходи'!X630*Законод!$F$11+'01_Доходи'!Y630*Законод!$G$11,0)))</f>
        <v>0</v>
      </c>
      <c r="AQ630" s="210">
        <f ca="1">IF(B625="Лікар загальної практики - сімейний лікар",AB630*Законод!$C$11+'01_Доходи'!AC630*Законод!$D$11+'01_Доходи'!AD630*Законод!$E$11+'01_Доходи'!AE630*Законод!$F$11+'01_Доходи'!AF630*Законод!$G$11,IF(B625="Лікар-педіатр",AB630*Законод!$C$11+'01_Доходи'!AC630*Законод!$D$11,IF(B625="Лікар-терапевт",'01_Доходи'!AD630*Законод!$E$11+'01_Доходи'!AE630*Законод!$F$11+'01_Доходи'!AF630*Законод!$G$11,0)))</f>
        <v>0</v>
      </c>
      <c r="AR630" s="211">
        <f t="shared" ref="AR630:AR636" si="75">SUM(AN630:AQ630)</f>
        <v>0</v>
      </c>
    </row>
    <row r="631" spans="1:44" s="50" customFormat="1" ht="31.9" hidden="1" customHeight="1">
      <c r="A631" s="197"/>
      <c r="B631" s="893"/>
      <c r="C631" s="896"/>
      <c r="D631" s="912"/>
      <c r="E631" s="909"/>
      <c r="F631" s="238" t="str">
        <f ca="1">IF(B625="Лікар-педіатр",Законод!$E$17,IF(B625="Лікар загальної практики - сімейний лікар",Законод!$E$21,IF(B625="Лікар-терапевт",Законод!$E$25,"х")))</f>
        <v>х</v>
      </c>
      <c r="G631" s="889" t="s">
        <v>346</v>
      </c>
      <c r="H631" s="890"/>
      <c r="I631" s="890"/>
      <c r="J631" s="890"/>
      <c r="K631" s="891"/>
      <c r="L631" s="196">
        <f ca="1">IF($B$625="Лікар загальної практики - сімейний лікар",IF(L629&lt;Законод!$C$22,0,(IF(AND(L629&gt;=Законод!$E$22,L629&lt;=Законод!$E$23),L629-Законод!$C$22,IF('01_Доходи'!L629&gt;=Законод!$F$22,Законод!$E$24,0)))),IF($B$625="Лікар-педіатр",IF(L629&lt;Законод!$C$18,0,(IF(AND(L629&gt;=Законод!$E$18,L629&lt;=Законод!$E$19),L629-Законод!$C$18,IF('01_Доходи'!L629&gt;=Законод!$F$18,Законод!$E$20,0)))),IF($B$625="Лікар-терапевт",IF(L629&lt;Законод!$C$26,0,(IF(AND(L629&gt;=Законод!$E$26,L629&lt;=Законод!$E$27),L629-Законод!$C$26,IF('01_Доходи'!L629&gt;=Законод!$F$26,Законод!$E$28,0)))),0)))</f>
        <v>0</v>
      </c>
      <c r="M631" s="930"/>
      <c r="N631" s="889" t="s">
        <v>346</v>
      </c>
      <c r="O631" s="890"/>
      <c r="P631" s="890"/>
      <c r="Q631" s="890"/>
      <c r="R631" s="891"/>
      <c r="S631" s="196">
        <f ca="1">IF($B$625="Лікар загальної практики - сімейний лікар",IF(S629&lt;Законод!$C$22,0,(IF(AND(S629&gt;=Законод!$E$22,S629&lt;=Законод!$E$23),S629-Законод!$C$22,IF('01_Доходи'!S629&gt;=Законод!$F$22,Законод!$E$24,0)))),IF($B$625="Лікар-педіатр",IF(S629&lt;Законод!$C$18,0,(IF(AND(S629&gt;=Законод!$E$18,S629&lt;=Законод!$E$19),S629-Законод!$C$18,IF('01_Доходи'!S629&gt;=Законод!$F$18,Законод!$E$20,0)))),IF($B$625="Лікар-терапевт",IF(S629&lt;Законод!$C$26,0,(IF(AND(S629&gt;=Законод!$E$26,S629&lt;=Законод!$E$27),S629-Законод!$C$26,IF('01_Доходи'!S629&gt;=Законод!$F$26,Законод!$E$28,0)))),0)))</f>
        <v>0</v>
      </c>
      <c r="T631" s="930"/>
      <c r="U631" s="889" t="s">
        <v>346</v>
      </c>
      <c r="V631" s="890"/>
      <c r="W631" s="890"/>
      <c r="X631" s="890"/>
      <c r="Y631" s="891"/>
      <c r="Z631" s="196">
        <f ca="1">IF($B$625="Лікар загальної практики - сімейний лікар",IF(Z629&lt;Законод!$C$22,0,(IF(AND(Z629&gt;=Законод!$E$22,Z629&lt;=Законод!$E$23),Z629-Законод!$C$22,IF('01_Доходи'!Z629&gt;=Законод!$F$22,Законод!$E$24,0)))),IF($B$625="Лікар-педіатр",IF(Z629&lt;Законод!$C$18,0,(IF(AND(Z629&gt;=Законод!$E$18,Z629&lt;=Законод!$E$19),Z629-Законод!$C$18,IF('01_Доходи'!Z629&gt;=Законод!$F$18,Законод!$E$20,0)))),IF($B$625="Лікар-терапевт",IF(Z629&lt;Законод!$C$26,0,(IF(AND(Z629&gt;=Законод!$E$26,Z629&lt;=Законод!$E$27),Z629-Законод!$C$26,IF('01_Доходи'!Z629&gt;=Законод!$F$26,Законод!$E$28,0)))),0)))</f>
        <v>0</v>
      </c>
      <c r="AA631" s="930"/>
      <c r="AB631" s="889" t="s">
        <v>346</v>
      </c>
      <c r="AC631" s="890"/>
      <c r="AD631" s="890"/>
      <c r="AE631" s="890"/>
      <c r="AF631" s="891"/>
      <c r="AG631" s="196">
        <f ca="1">IF($B$625="Лікар загальної практики - сімейний лікар",IF(AG629&lt;Законод!$C$22,0,(IF(AND(AG629&gt;=Законод!$E$22,AG629&lt;=Законод!$E$23),AG629-Законод!$C$22,IF('01_Доходи'!AG629&gt;=Законод!$F$22,Законод!$E$24,0)))),IF($B$625="Лікар-педіатр",IF(AG629&lt;Законод!$C$18,0,(IF(AND(AG629&gt;=Законод!$E$18,AG629&lt;=Законод!$E$19),AG629-Законод!$C$18,IF('01_Доходи'!AG629&gt;=Законод!$F$18,Законод!$E$20,0)))),IF($B$625="Лікар-терапевт",IF(AG629&lt;Законод!$C$26,0,(IF(AND(AG629&gt;=Законод!$E$26,AG629&lt;=Законод!$E$27),AG629-Законод!$C$26,IF('01_Доходи'!AG629&gt;=Законод!$F$26,Законод!$E$28,0)))),0)))</f>
        <v>0</v>
      </c>
      <c r="AH631" s="930"/>
      <c r="AI631" s="201"/>
      <c r="AJ631" s="933"/>
      <c r="AK631" s="927"/>
      <c r="AL631" s="927"/>
      <c r="AM631" s="898" t="s">
        <v>375</v>
      </c>
      <c r="AN631" s="210">
        <f ca="1">IF(B625="Лікар загальної практики - сімейний лікар",L631*Законод!$C$9/4*Законод!$E$16,IF(B625="Лікар-педіатр",L631*Законод!$C$9/4*Законод!$E$16,IF(B625="Лікар-терапевт",L631*Законод!$C$9/4*Законод!$E$16,0)))</f>
        <v>0</v>
      </c>
      <c r="AO631" s="210">
        <f ca="1">IF(B625="Лікар загальної практики - сімейний лікар",S631*Законод!$C$9/4*Законод!$E$16,IF(B625="Лікар-педіатр",S631*Законод!$C$9/4*Законод!$E$16,IF(B625="Лікар-терапевт",S631*Законод!$C$9/4*Законод!$E$16,0)))</f>
        <v>0</v>
      </c>
      <c r="AP631" s="210">
        <f ca="1">IF(B625="Лікар загальної практики - сімейний лікар",Z631*Законод!$C$9/4*Законод!$E$16,IF(B625="Лікар-педіатр",Z631*Законод!$C$9/4*Законод!$E$16,IF(B625="Лікар-терапевт",Z631*Законод!$C$9/4*Законод!$E$16,0)))</f>
        <v>0</v>
      </c>
      <c r="AQ631" s="210">
        <f ca="1">IF(B625="Лікар загальної практики - сімейний лікар",AG631*Законод!$C$9/4*Законод!$E$16,IF(B625="Лікар-педіатр",AG631*Законод!$C$9/4*Законод!$E$16,IF(B625="Лікар-терапевт",AG631*Законод!$C$9/4*Законод!$E$16,0)))</f>
        <v>0</v>
      </c>
      <c r="AR631" s="211">
        <f t="shared" si="75"/>
        <v>0</v>
      </c>
    </row>
    <row r="632" spans="1:44" s="50" customFormat="1" ht="31.9" hidden="1" customHeight="1">
      <c r="A632" s="197"/>
      <c r="B632" s="893"/>
      <c r="C632" s="896"/>
      <c r="D632" s="912"/>
      <c r="E632" s="909"/>
      <c r="F632" s="238" t="str">
        <f ca="1">IF(B625="Лікар-педіатр",Законод!$F$17,IF(B625="Лікар загальної практики - сімейний лікар",Законод!$F$21,IF(B625="Лікар-терапевт",Законод!$F$25,"х")))</f>
        <v>х</v>
      </c>
      <c r="G632" s="889" t="s">
        <v>346</v>
      </c>
      <c r="H632" s="890"/>
      <c r="I632" s="890"/>
      <c r="J632" s="890"/>
      <c r="K632" s="891"/>
      <c r="L632" s="196">
        <f ca="1">IF($B$625="Лікар загальної практики - сімейний лікар",IF(L629&lt;Законод!$C$22,0,(IF(AND(L629&gt;=Законод!$F$22,L629&lt;=Законод!$F$23),L629-Законод!$E$23,IF('01_Доходи'!L629&gt;=Законод!$G$22,Законод!$F$24,0)))),IF($B$625="Лікар-педіатр",IF(L629&lt;Законод!$C$18,0,(IF(AND(L629&gt;=Законод!$F$18,L629&lt;=Законод!$F$19),L629-Законод!$E$19,IF('01_Доходи'!L629&gt;=Законод!$G$18,Законод!$F$20,0)))),IF($B$625="Лікар-терапевт",IF(L629&lt;Законод!$C$26,0,(IF(AND(L629&gt;=Законод!$F$26,L629&lt;=Законод!$F$27),L629-Законод!$E$27,IF('01_Доходи'!L629&gt;=Законод!$G$26,Законод!$F$28,0)))),0)))</f>
        <v>0</v>
      </c>
      <c r="M632" s="930"/>
      <c r="N632" s="889" t="s">
        <v>346</v>
      </c>
      <c r="O632" s="890"/>
      <c r="P632" s="890"/>
      <c r="Q632" s="890"/>
      <c r="R632" s="891"/>
      <c r="S632" s="196">
        <f ca="1">IF($B$625="Лікар загальної практики - сімейний лікар",IF(S629&lt;Законод!$C$22,0,(IF(AND(S629&gt;=Законод!$F$22,S629&lt;=Законод!$F$23),S629-Законод!$E$23,IF('01_Доходи'!S629&gt;=Законод!$G$22,Законод!$F$24,0)))),IF($B$625="Лікар-педіатр",IF(S629&lt;Законод!$C$18,0,(IF(AND(S629&gt;=Законод!$F$18,S629&lt;=Законод!$F$19),S629-Законод!$E$19,IF('01_Доходи'!S629&gt;=Законод!$G$18,Законод!$F$20,0)))),IF($B$625="Лікар-терапевт",IF(S629&lt;Законод!$C$26,0,(IF(AND(S629&gt;=Законод!$F$26,S629&lt;=Законод!$F$27),S629-Законод!$E$27,IF('01_Доходи'!S629&gt;=Законод!$G$26,Законод!$F$28,0)))),0)))</f>
        <v>0</v>
      </c>
      <c r="T632" s="930"/>
      <c r="U632" s="889" t="s">
        <v>346</v>
      </c>
      <c r="V632" s="890"/>
      <c r="W632" s="890"/>
      <c r="X632" s="890"/>
      <c r="Y632" s="891"/>
      <c r="Z632" s="196">
        <f ca="1">IF($B$625="Лікар загальної практики - сімейний лікар",IF(Z629&lt;Законод!$C$22,0,(IF(AND(Z629&gt;=Законод!$F$22,Z629&lt;=Законод!$F$23),Z629-Законод!$E$23,IF('01_Доходи'!Z629&gt;=Законод!$G$22,Законод!$F$24,0)))),IF($B$625="Лікар-педіатр",IF(Z629&lt;Законод!$C$18,0,(IF(AND(Z629&gt;=Законод!$F$18,Z629&lt;=Законод!$F$19),Z629-Законод!$E$19,IF('01_Доходи'!Z629&gt;=Законод!$G$18,Законод!$F$20,0)))),IF($B$625="Лікар-терапевт",IF(Z629&lt;Законод!$C$26,0,(IF(AND(Z629&gt;=Законод!$F$26,Z629&lt;=Законод!$F$27),Z629-Законод!$E$27,IF('01_Доходи'!Z629&gt;=Законод!$G$26,Законод!$F$28,0)))),0)))</f>
        <v>0</v>
      </c>
      <c r="AA632" s="930"/>
      <c r="AB632" s="889" t="s">
        <v>346</v>
      </c>
      <c r="AC632" s="890"/>
      <c r="AD632" s="890"/>
      <c r="AE632" s="890"/>
      <c r="AF632" s="891"/>
      <c r="AG632" s="196">
        <f ca="1">IF($B$625="Лікар загальної практики - сімейний лікар",IF(AG629&lt;Законод!$C$22,0,(IF(AND(AG629&gt;=Законод!$F$22,AG629&lt;=Законод!$F$23),AG629-Законод!$E$23,IF('01_Доходи'!AG629&gt;=Законод!$G$22,Законод!$F$24,0)))),IF($B$625="Лікар-педіатр",IF(AG629&lt;Законод!$C$18,0,(IF(AND(AG629&gt;=Законод!$F$18,AG629&lt;=Законод!$F$19),AG629-Законод!$E$19,IF('01_Доходи'!AG629&gt;=Законод!$G$18,Законод!$F$20,0)))),IF($B$625="Лікар-терапевт",IF(AG629&lt;Законод!$C$26,0,(IF(AND(AG629&gt;=Законод!$F$26,AG629&lt;=Законод!$F$27),AG629-Законод!$E$27,IF('01_Доходи'!AG629&gt;=Законод!$G$26,Законод!$F$28,0)))),0)))</f>
        <v>0</v>
      </c>
      <c r="AH632" s="930"/>
      <c r="AI632" s="201"/>
      <c r="AJ632" s="933"/>
      <c r="AK632" s="927"/>
      <c r="AL632" s="927"/>
      <c r="AM632" s="899"/>
      <c r="AN632" s="210">
        <f ca="1">IF(B625="Лікар загальної практики - сімейний лікар",L632*Законод!$C$9/4*Законод!$F$16,IF(B625="Лікар-педіатр",L632*Законод!$C$9/4*Законод!$F$16,IF(B625="Лікар-терапевт",L632*Законод!$C$9/4*Законод!$F$16,0)))</f>
        <v>0</v>
      </c>
      <c r="AO632" s="210">
        <f ca="1">IF(B625="Лікар загальної практики - сімейний лікар",S632*Законод!$C$9/4*Законод!$F$16,IF(B625="Лікар-педіатр",S632*Законод!$C$9/4*Законод!$F$16,IF(B625="Лікар-терапевт",S632*Законод!$C$9/4*Законод!$F$16,0)))</f>
        <v>0</v>
      </c>
      <c r="AP632" s="210">
        <f ca="1">IF(B625="Лікар загальної практики - сімейний лікар",Z632*Законод!$C$9/4*Законод!$F$16,IF(B625="Лікар-педіатр",Z632*Законод!$C$9/4*Законод!$F$16,IF(B625="Лікар-терапевт",Z632*Законод!$C$9/4*Законод!$F$16,0)))</f>
        <v>0</v>
      </c>
      <c r="AQ632" s="210">
        <f ca="1">IF(B625="Лікар загальної практики - сімейний лікар",AG632*Законод!$C$9/4*Законод!$F$16,IF(B625="Лікар-педіатр",AG632*Законод!$C$9/4*Законод!$F$16,IF(B625="Лікар-терапевт",AG632*Законод!$C$9/4*Законод!$F$16,0)))</f>
        <v>0</v>
      </c>
      <c r="AR632" s="211">
        <f t="shared" si="75"/>
        <v>0</v>
      </c>
    </row>
    <row r="633" spans="1:44" s="50" customFormat="1" ht="31.9" hidden="1" customHeight="1">
      <c r="A633" s="197"/>
      <c r="B633" s="893"/>
      <c r="C633" s="896"/>
      <c r="D633" s="912"/>
      <c r="E633" s="909"/>
      <c r="F633" s="238" t="str">
        <f ca="1">IF(B625="Лікар-педіатр",Законод!$G$17,IF(B625="Лікар загальної практики - сімейний лікар",Законод!$G$21,IF(B625="Лікар-терапевт",Законод!$G$25,"х")))</f>
        <v>х</v>
      </c>
      <c r="G633" s="889" t="s">
        <v>346</v>
      </c>
      <c r="H633" s="890"/>
      <c r="I633" s="890"/>
      <c r="J633" s="890"/>
      <c r="K633" s="891"/>
      <c r="L633" s="196">
        <f ca="1">IF($B$625="Лікар загальної практики - сімейний лікар",IF(L629&lt;Законод!$C$22,0,(IF(AND(L629&gt;=Законод!$G$22,L629&lt;=Законод!$G$23),L629-Законод!$F$23,IF('01_Доходи'!L629&gt;=Законод!$H$22,Законод!$G$24,0)))),IF($B$625="Лікар-педіатр",IF(L629&lt;Законод!$C$18,0,(IF(AND(L629&gt;=Законод!$G$18,L629&lt;=Законод!$G$19),L629-Законод!$F$19,IF('01_Доходи'!L629&gt;=Законод!$H$18,Законод!$G$20,0)))),IF($B$625="Лікар-терапевт",IF(L629&lt;Законод!$C$26,0,(IF(AND(L629&gt;=Законод!$G$26,L629&lt;=Законод!$G$27),L629-Законод!$F$27,IF('01_Доходи'!L629&gt;=Законод!$H$26,Законод!$G$28,0)))),0)))</f>
        <v>0</v>
      </c>
      <c r="M633" s="930"/>
      <c r="N633" s="889" t="s">
        <v>346</v>
      </c>
      <c r="O633" s="890"/>
      <c r="P633" s="890"/>
      <c r="Q633" s="890"/>
      <c r="R633" s="891"/>
      <c r="S633" s="196">
        <f ca="1">IF($B$625="Лікар загальної практики - сімейний лікар",IF(S629&lt;Законод!$C$22,0,(IF(AND(S629&gt;=Законод!$G$22,S629&lt;=Законод!$G$23),S629-Законод!$F$23,IF('01_Доходи'!S629&gt;=Законод!$H$22,Законод!$G$24,0)))),IF($B$625="Лікар-педіатр",IF(S629&lt;Законод!$C$18,0,(IF(AND(S629&gt;=Законод!$G$18,S629&lt;=Законод!$G$19),S629-Законод!$F$19,IF('01_Доходи'!S629&gt;=Законод!$H$18,Законод!$G$20,0)))),IF($B$625="Лікар-терапевт",IF(S629&lt;Законод!$C$26,0,(IF(AND(S629&gt;=Законод!$G$26,S629&lt;=Законод!$G$27),S629-Законод!$F$27,IF('01_Доходи'!S629&gt;=Законод!$H$26,Законод!$G$28,0)))),0)))</f>
        <v>0</v>
      </c>
      <c r="T633" s="930"/>
      <c r="U633" s="889" t="s">
        <v>346</v>
      </c>
      <c r="V633" s="890"/>
      <c r="W633" s="890"/>
      <c r="X633" s="890"/>
      <c r="Y633" s="891"/>
      <c r="Z633" s="196">
        <f ca="1">IF($B$625="Лікар загальної практики - сімейний лікар",IF(Z629&lt;Законод!$C$22,0,(IF(AND(Z629&gt;=Законод!$G$22,Z629&lt;=Законод!$G$23),Z629-Законод!$F$23,IF('01_Доходи'!Z629&gt;=Законод!$H$22,Законод!$G$24,0)))),IF($B$625="Лікар-педіатр",IF(Z629&lt;Законод!$C$18,0,(IF(AND(Z629&gt;=Законод!$G$18,Z629&lt;=Законод!$G$19),Z629-Законод!$F$19,IF('01_Доходи'!Z629&gt;=Законод!$H$18,Законод!$G$20,0)))),IF($B$625="Лікар-терапевт",IF(Z629&lt;Законод!$C$26,0,(IF(AND(Z629&gt;=Законод!$G$26,Z629&lt;=Законод!$G$27),Z629-Законод!$F$27,IF('01_Доходи'!Z629&gt;=Законод!$H$26,Законод!$G$28,0)))),0)))</f>
        <v>0</v>
      </c>
      <c r="AA633" s="930"/>
      <c r="AB633" s="889" t="s">
        <v>346</v>
      </c>
      <c r="AC633" s="890"/>
      <c r="AD633" s="890"/>
      <c r="AE633" s="890"/>
      <c r="AF633" s="891"/>
      <c r="AG633" s="196">
        <f ca="1">IF($B$625="Лікар загальної практики - сімейний лікар",IF(AG629&lt;Законод!$C$22,0,(IF(AND(AG629&gt;=Законод!$G$22,AG629&lt;=Законод!$G$23),AG629-Законод!$F$23,IF('01_Доходи'!AG629&gt;=Законод!$H$22,Законод!$G$24,0)))),IF($B$625="Лікар-педіатр",IF(AG629&lt;Законод!$C$18,0,(IF(AND(AG629&gt;=Законод!$G$18,AG629&lt;=Законод!$G$19),AG629-Законод!$F$19,IF('01_Доходи'!AG629&gt;=Законод!$H$18,Законод!$G$20,0)))),IF($B$625="Лікар-терапевт",IF(AG629&lt;Законод!$C$26,0,(IF(AND(AG629&gt;=Законод!$G$26,AG629&lt;=Законод!$G$27),AG629-Законод!$F$27,IF('01_Доходи'!AG629&gt;=Законод!$H$26,Законод!$G$28,0)))),0)))</f>
        <v>0</v>
      </c>
      <c r="AH633" s="930"/>
      <c r="AI633" s="201"/>
      <c r="AJ633" s="933"/>
      <c r="AK633" s="927"/>
      <c r="AL633" s="927"/>
      <c r="AM633" s="899"/>
      <c r="AN633" s="210">
        <f ca="1">IF(B625="Лікар загальної практики - сімейний лікар",L633*Законод!$C$9/4*Законод!$G$16,IF(B625="Лікар-педіатр",L633*Законод!$C$9/4*Законод!$G$16,IF(B625="Лікар-терапевт",L633*Законод!$C$9/4*Законод!$G$16,0)))</f>
        <v>0</v>
      </c>
      <c r="AO633" s="210">
        <f ca="1">IF(B625="Лікар загальної практики - сімейний лікар",S633*Законод!$C$9/4*Законод!$G$16,IF(B625="Лікар-педіатр",S633*Законод!$C$9/4*Законод!$G$16,IF(B625="Лікар-терапевт",S633*Законод!$C$9/4*Законод!$G$16,0)))</f>
        <v>0</v>
      </c>
      <c r="AP633" s="210">
        <f ca="1">IF(B625="Лікар загальної практики - сімейний лікар",Z633*Законод!$C$9/4*Законод!$G$16,IF(B625="Лікар-педіатр",Z633*Законод!$C$9/4*Законод!$G$16,IF(B625="Лікар-терапевт",Z633*Законод!$C$9/4*Законод!$G$16,0)))</f>
        <v>0</v>
      </c>
      <c r="AQ633" s="210">
        <f ca="1">IF(B625="Лікар загальної практики - сімейний лікар",AG633*Законод!$C$9/4*Законод!$G$16,IF(B625="Лікар-педіатр",AG633*Законод!$C$9/4*Законод!$G$16,IF(B625="Лікар-терапевт",AG633*Законод!$C$9/4*Законод!$G$16,0)))</f>
        <v>0</v>
      </c>
      <c r="AR633" s="211">
        <f t="shared" si="75"/>
        <v>0</v>
      </c>
    </row>
    <row r="634" spans="1:44" s="50" customFormat="1" ht="31.9" hidden="1" customHeight="1">
      <c r="A634" s="197"/>
      <c r="B634" s="893"/>
      <c r="C634" s="896"/>
      <c r="D634" s="912"/>
      <c r="E634" s="909"/>
      <c r="F634" s="238" t="str">
        <f ca="1">IF(B625="Лікар-педіатр",Законод!$H$17,IF(B625="Лікар загальної практики - сімейний лікар",Законод!$H$21,IF(B625="Лікар-терапевт",Законод!$H$25,"х")))</f>
        <v>х</v>
      </c>
      <c r="G634" s="889" t="s">
        <v>346</v>
      </c>
      <c r="H634" s="890"/>
      <c r="I634" s="890"/>
      <c r="J634" s="890"/>
      <c r="K634" s="891"/>
      <c r="L634" s="196">
        <f ca="1">IF($B$625="Лікар загальної практики - сімейний лікар",IF(L629&lt;Законод!$C$22,0,(IF(AND(L629&gt;=Законод!$H$22,L629&lt;=Законод!$H$23),L629-Законод!$G$23,IF('01_Доходи'!L629&gt;=Законод!$I$22,Законод!$H$24,0)))),IF($B$625="Лікар-педіатр",IF(L629&lt;Законод!$C$18,0,(IF(AND(L629&gt;=Законод!$H$18,L629&lt;=Законод!$H$19),L629-Законод!$G$19,IF('01_Доходи'!L629&gt;=Законод!$I$18,Законод!$H$20,0)))),IF($B$625="Лікар-терапевт",IF(L629&lt;Законод!$C$26,0,(IF(AND(L629&gt;=Законод!$H$26,L629&lt;=Законод!$H$27),L629-Законод!$G$27,IF(L629&gt;=Законод!$I$26,Законод!$H$28,0)))),0)))</f>
        <v>0</v>
      </c>
      <c r="M634" s="930"/>
      <c r="N634" s="889" t="s">
        <v>346</v>
      </c>
      <c r="O634" s="890"/>
      <c r="P634" s="890"/>
      <c r="Q634" s="890"/>
      <c r="R634" s="891"/>
      <c r="S634" s="196">
        <f ca="1">IF($B$625="Лікар загальної практики - сімейний лікар",IF(S629&lt;Законод!$C$22,0,(IF(AND(S629&gt;=Законод!$H$22,S629&lt;=Законод!$H$23),S629-Законод!$G$23,IF('01_Доходи'!S629&gt;=Законод!$I$22,Законод!$H$24,0)))),IF($B$625="Лікар-педіатр",IF(S629&lt;Законод!$C$18,0,(IF(AND(S629&gt;=Законод!$H$18,S629&lt;=Законод!$H$19),S629-Законод!$G$19,IF('01_Доходи'!S629&gt;=Законод!$I$18,Законод!$H$20,0)))),IF($B$625="Лікар-терапевт",IF(S629&lt;Законод!$C$26,0,(IF(AND(S629&gt;=Законод!$H$26,S629&lt;=Законод!$H$27),S629-Законод!$G$27,IF(S629&gt;=Законод!$I$26,Законод!$H$28,0)))),0)))</f>
        <v>0</v>
      </c>
      <c r="T634" s="930"/>
      <c r="U634" s="889" t="s">
        <v>346</v>
      </c>
      <c r="V634" s="890"/>
      <c r="W634" s="890"/>
      <c r="X634" s="890"/>
      <c r="Y634" s="891"/>
      <c r="Z634" s="196">
        <f ca="1">IF($B$625="Лікар загальної практики - сімейний лікар",IF(Z629&lt;Законод!$C$22,0,(IF(AND(Z629&gt;=Законод!$H$22,Z629&lt;=Законод!$H$23),Z629-Законод!$G$23,IF('01_Доходи'!Z629&gt;=Законод!$I$22,Законод!$H$24,0)))),IF($B$625="Лікар-педіатр",IF(Z629&lt;Законод!$C$18,0,(IF(AND(Z629&gt;=Законод!$H$18,Z629&lt;=Законод!$H$19),Z629-Законод!$G$19,IF('01_Доходи'!Z629&gt;=Законод!$I$18,Законод!$H$20,0)))),IF($B$625="Лікар-терапевт",IF(Z629&lt;Законод!$C$26,0,(IF(AND(Z629&gt;=Законод!$H$26,Z629&lt;=Законод!$H$27),Z629-Законод!$G$27,IF(Z629&gt;=Законод!$I$26,Законод!$H$28,0)))),0)))</f>
        <v>0</v>
      </c>
      <c r="AA634" s="930"/>
      <c r="AB634" s="889" t="s">
        <v>346</v>
      </c>
      <c r="AC634" s="890"/>
      <c r="AD634" s="890"/>
      <c r="AE634" s="890"/>
      <c r="AF634" s="891"/>
      <c r="AG634" s="196">
        <f ca="1">IF($B$625="Лікар загальної практики - сімейний лікар",IF(AG629&lt;Законод!$C$22,0,(IF(AND(AG629&gt;=Законод!$H$22,AG629&lt;=Законод!$H$23),AG629-Законод!$G$23,IF('01_Доходи'!AG629&gt;=Законод!$I$22,Законод!$H$24,0)))),IF($B$625="Лікар-педіатр",IF(AG629&lt;Законод!$C$18,0,(IF(AND(AG629&gt;=Законод!$H$18,AG629&lt;=Законод!$H$19),AG629-Законод!$G$19,IF('01_Доходи'!AG629&gt;=Законод!$I$18,Законод!$H$20,0)))),IF($B$625="Лікар-терапевт",IF(AG629&lt;Законод!$C$26,0,(IF(AND(AG629&gt;=Законод!$H$26,AG629&lt;=Законод!$H$27),AG629-Законод!$G$27,IF(AG629&gt;=Законод!$I$26,Законод!$H$28,0)))),0)))</f>
        <v>0</v>
      </c>
      <c r="AH634" s="930"/>
      <c r="AI634" s="201"/>
      <c r="AJ634" s="933"/>
      <c r="AK634" s="927"/>
      <c r="AL634" s="927"/>
      <c r="AM634" s="899"/>
      <c r="AN634" s="210">
        <f ca="1">IF(B625="Лікар загальної практики - сімейний лікар",L634*Законод!$C$9/4*Законод!$H$16,IF(B625="Лікар-педіатр",L634*Законод!$C$9/4*Законод!$H$16,IF(B625="Лікар-терапевт",L634*Законод!$C$9/4*Законод!$H$16,0)))</f>
        <v>0</v>
      </c>
      <c r="AO634" s="210">
        <f ca="1">IF(B625="Лікар загальної практики - сімейний лікар",S634*Законод!$C$9/4*Законод!$H$16,IF(B625="Лікар-педіатр",S634*Законод!$C$9/4*Законод!$H$16,IF(B625="Лікар-терапевт",S634*Законод!$C$9/4*Законод!$H$16,0)))</f>
        <v>0</v>
      </c>
      <c r="AP634" s="210">
        <f ca="1">IF(B625="Лікар загальної практики - сімейний лікар",Z634*Законод!$C$9/4*Законод!$H$16,IF(B625="Лікар-педіатр",Z634*Законод!$C$9/4*Законод!$H$16,IF(B625="Лікар-терапевт",Z634*Законод!$C$9/4*Законод!$H$16,0)))</f>
        <v>0</v>
      </c>
      <c r="AQ634" s="210">
        <f ca="1">IF(B625="Лікар загальної практики - сімейний лікар",AG634*Законод!$C$9/4*Законод!$H$16,IF(B625="Лікар-педіатр",AG634*Законод!$C$9/4*Законод!$H$16,IF(B625="Лікар-терапевт",AG634*Законод!$C$9/4*Законод!$H$16,0)))</f>
        <v>0</v>
      </c>
      <c r="AR634" s="211">
        <f t="shared" si="75"/>
        <v>0</v>
      </c>
    </row>
    <row r="635" spans="1:44" s="50" customFormat="1" ht="31.9" hidden="1" customHeight="1">
      <c r="A635" s="197"/>
      <c r="B635" s="893"/>
      <c r="C635" s="896"/>
      <c r="D635" s="912"/>
      <c r="E635" s="909"/>
      <c r="F635" s="238" t="str">
        <f ca="1">IF(B625="Лікар-педіатр",Законод!$I$17,IF(B625="Лікар загальної практики - сімейний лікар",Законод!$I$21,IF(B625="Лікар-терапевт",Законод!$I$25,"х")))</f>
        <v>х</v>
      </c>
      <c r="G635" s="889" t="s">
        <v>346</v>
      </c>
      <c r="H635" s="890"/>
      <c r="I635" s="890"/>
      <c r="J635" s="890"/>
      <c r="K635" s="891"/>
      <c r="L635" s="196">
        <f ca="1">IF($B$625="Лікар загальної практики - сімейний лікар",IF(L629&lt;Законод!$C$22,0,(IF(AND(L629&gt;=Законод!$I$22,L629&lt;=Законод!$I$23),L629-Законод!$H$23,IF('01_Доходи'!L629&gt;=Законод!$I$22,Законод!$I$24,0)))),IF($B$625="Лікар-педіатр",IF(L629&lt;Законод!$C$18,0,(IF(AND(L629&gt;=Законод!$I$18,L629&lt;=Законод!$I$19),L629-Законод!$H$19,IF('01_Доходи'!L629&gt;=Законод!$I$18,Законод!$H$20,0)))),IF($B$625="Лікар-терапевт",IF(L629&lt;Законод!$C$26,0,(IF(AND(L629&gt;=Законод!$I$26,L629&lt;=Законод!$I$27),L629-Законод!$H$27,IF('01_Доходи'!L629&gt;=Законод!$I$26,Законод!$H$28,0)))),0)))</f>
        <v>0</v>
      </c>
      <c r="M635" s="930"/>
      <c r="N635" s="889" t="s">
        <v>346</v>
      </c>
      <c r="O635" s="890"/>
      <c r="P635" s="890"/>
      <c r="Q635" s="890"/>
      <c r="R635" s="891"/>
      <c r="S635" s="196">
        <f ca="1">IF($B$625="Лікар загальної практики - сімейний лікар",IF(S629&lt;Законод!$C$22,0,(IF(AND(S629&gt;=Законод!$I$22,S629&lt;=Законод!$I$23),S629-Законод!$H$23,IF('01_Доходи'!S629&gt;=Законод!$I$22,Законод!$I$24,0)))),IF($B$625="Лікар-педіатр",IF(S629&lt;Законод!$C$18,0,(IF(AND(S629&gt;=Законод!$I$18,S629&lt;=Законод!$I$19),S629-Законод!$H$19,IF('01_Доходи'!S629&gt;=Законод!$I$18,Законод!$H$20,0)))),IF($B$625="Лікар-терапевт",IF(S629&lt;Законод!$C$26,0,(IF(AND(S629&gt;=Законод!$I$26,S629&lt;=Законод!$I$27),S629-Законод!$H$27,IF('01_Доходи'!S629&gt;=Законод!$I$26,Законод!$H$28,0)))),0)))</f>
        <v>0</v>
      </c>
      <c r="T635" s="930"/>
      <c r="U635" s="889" t="s">
        <v>346</v>
      </c>
      <c r="V635" s="890"/>
      <c r="W635" s="890"/>
      <c r="X635" s="890"/>
      <c r="Y635" s="891"/>
      <c r="Z635" s="196">
        <f ca="1">IF($B$625="Лікар загальної практики - сімейний лікар",IF(Z629&lt;Законод!$C$22,0,(IF(AND(Z629&gt;=Законод!$I$22,Z629&lt;=Законод!$I$23),Z629-Законод!$H$23,IF('01_Доходи'!Z629&gt;=Законод!$I$22,Законод!$I$24,0)))),IF($B$625="Лікар-педіатр",IF(Z629&lt;Законод!$C$18,0,(IF(AND(Z629&gt;=Законод!$I$18,Z629&lt;=Законод!$I$19),Z629-Законод!$H$19,IF('01_Доходи'!Z629&gt;=Законод!$I$18,Законод!$H$20,0)))),IF($B$625="Лікар-терапевт",IF(Z629&lt;Законод!$C$26,0,(IF(AND(Z629&gt;=Законод!$I$26,Z629&lt;=Законод!$I$27),Z629-Законод!$H$27,IF('01_Доходи'!Z629&gt;=Законод!$I$26,Законод!$H$28,0)))),0)))</f>
        <v>0</v>
      </c>
      <c r="AA635" s="930"/>
      <c r="AB635" s="889" t="s">
        <v>346</v>
      </c>
      <c r="AC635" s="890"/>
      <c r="AD635" s="890"/>
      <c r="AE635" s="890"/>
      <c r="AF635" s="891"/>
      <c r="AG635" s="196">
        <f ca="1">IF($B$625="Лікар загальної практики - сімейний лікар",IF(AG629&lt;Законод!$C$22,0,(IF(AND(AG629&gt;=Законод!$I$22,AG629&lt;=Законод!$I$23),AG629-Законод!$H$23,IF('01_Доходи'!AG629&gt;=Законод!$I$22,Законод!$I$24,0)))),IF($B$625="Лікар-педіатр",IF(AG629&lt;Законод!$C$18,0,(IF(AND(AG629&gt;=Законод!$I$18,AG629&lt;=Законод!$I$19),AG629-Законод!$H$19,IF('01_Доходи'!AG629&gt;=Законод!$I$18,Законод!$H$20,0)))),IF($B$625="Лікар-терапевт",IF(AG629&lt;Законод!$C$26,0,(IF(AND(AG629&gt;=Законод!$I$26,AG629&lt;=Законод!$I$27),AG629-Законод!$H$27,IF('01_Доходи'!AG629&gt;=Законод!$I$26,Законод!$H$28,0)))),0)))</f>
        <v>0</v>
      </c>
      <c r="AH635" s="930"/>
      <c r="AI635" s="201"/>
      <c r="AJ635" s="933"/>
      <c r="AK635" s="927"/>
      <c r="AL635" s="927"/>
      <c r="AM635" s="899"/>
      <c r="AN635" s="210">
        <f ca="1">IF(B625="Лікар загальної практики - сімейний лікар",L635*Законод!$C$9/4*Законод!$I$16,IF(B625="Лікар-педіатр",L635*Законод!$C$9/4*Законод!$I$16,IF(B625="Лікар-терапевт",L635*Законод!$C$9/4*Законод!$I$16,0)))</f>
        <v>0</v>
      </c>
      <c r="AO635" s="210">
        <f ca="1">IF(B625="Лікар загальної практики - сімейний лікар",S635*Законод!$C$9/4*Законод!$I$16,IF(B625="Лікар-педіатр",S635*Законод!$C$9/4*Законод!$I$16,IF(B625="Лікар-терапевт",S635*Законод!$C$9/4*Законод!$I$16,0)))</f>
        <v>0</v>
      </c>
      <c r="AP635" s="210">
        <f ca="1">IF(B625="Лікар загальної практики - сімейний лікар",Z635*Законод!$C$9/4*Законод!$I$16,IF(B625="Лікар-педіатр",Z635*Законод!$C$9/4*Законод!$I$16,IF(B625="Лікар-терапевт",Z635*Законод!$C$9/4*Законод!$I$16,0)))</f>
        <v>0</v>
      </c>
      <c r="AQ635" s="210">
        <f ca="1">IF(B625="Лікар загальної практики - сімейний лікар",AG635*Законод!$C$9/4*Законод!$I$16,IF(B625="Лікар-педіатр",AG635*Законод!$C$9/4*Законод!$I$16,IF(B625="Лікар-терапевт",AG635*Законод!$C$9/4*Законод!$I$16,0)))</f>
        <v>0</v>
      </c>
      <c r="AR635" s="211">
        <f t="shared" si="75"/>
        <v>0</v>
      </c>
    </row>
    <row r="636" spans="1:44" s="218" customFormat="1" ht="31.9" hidden="1" customHeight="1" thickBot="1">
      <c r="A636" s="213"/>
      <c r="B636" s="894"/>
      <c r="C636" s="897"/>
      <c r="D636" s="913"/>
      <c r="E636" s="910"/>
      <c r="F636" s="239" t="str">
        <f ca="1">IF(B625="Лікар-педіатр",Законод!$J$17,IF(B625="Лікар загальної практики - сімейний лікар",Законод!$J$21,IF(B625="Лікар-терапевт",Законод!$J$25,"х")))</f>
        <v>х</v>
      </c>
      <c r="G636" s="935" t="s">
        <v>346</v>
      </c>
      <c r="H636" s="936"/>
      <c r="I636" s="936"/>
      <c r="J636" s="936"/>
      <c r="K636" s="937"/>
      <c r="L636" s="196">
        <f ca="1">IF($B$625="Лікар загальної практики - сімейний лікар",IF(L629&gt;=Законод!$J$22,'01_Доходи'!L629-('01_Доходи'!L630+'01_Доходи'!L631+'01_Доходи'!L632+'01_Доходи'!L633+'01_Доходи'!L634+'01_Доходи'!L635),0),IF($B$625="Лікар-педіатр",IF(L629&gt;=Законод!$J$18,'01_Доходи'!L629-('01_Доходи'!L630+'01_Доходи'!L631+'01_Доходи'!L632+'01_Доходи'!L633+'01_Доходи'!L634+'01_Доходи'!L635),0),IF($B$625="Лікар-терапевт",IF('01_Доходи'!L629&gt;=Законод!$J$26,L629-Законод!$I$27,0),0)))</f>
        <v>0</v>
      </c>
      <c r="M636" s="931"/>
      <c r="N636" s="935" t="s">
        <v>346</v>
      </c>
      <c r="O636" s="936"/>
      <c r="P636" s="936"/>
      <c r="Q636" s="936"/>
      <c r="R636" s="937"/>
      <c r="S636" s="196">
        <f ca="1">IF($B$625="Лікар загальної практики - сімейний лікар",IF(S629&gt;=Законод!$J$22,'01_Доходи'!S629-('01_Доходи'!S630+'01_Доходи'!S631+'01_Доходи'!S632+'01_Доходи'!S633+'01_Доходи'!S634+'01_Доходи'!S635),0),IF($B$625="Лікар-педіатр",IF(S629&gt;=Законод!$J$18,'01_Доходи'!S629-('01_Доходи'!S630+'01_Доходи'!S631+'01_Доходи'!S632+'01_Доходи'!S633+'01_Доходи'!S634+'01_Доходи'!S635),0),IF($B$625="Лікар-терапевт",IF('01_Доходи'!S629&gt;=Законод!$J$26,S629-Законод!$I$27,0),0)))</f>
        <v>0</v>
      </c>
      <c r="T636" s="931"/>
      <c r="U636" s="935" t="s">
        <v>346</v>
      </c>
      <c r="V636" s="936"/>
      <c r="W636" s="936"/>
      <c r="X636" s="936"/>
      <c r="Y636" s="937"/>
      <c r="Z636" s="196">
        <f ca="1">IF($B$625="Лікар загальної практики - сімейний лікар",IF(Z629&gt;=Законод!$J$22,'01_Доходи'!Z629-('01_Доходи'!Z630+'01_Доходи'!Z631+'01_Доходи'!Z632+'01_Доходи'!Z633+'01_Доходи'!Z634+'01_Доходи'!Z635),0),IF($B$625="Лікар-педіатр",IF(Z629&gt;=Законод!$J$18,'01_Доходи'!Z629-('01_Доходи'!Z630+'01_Доходи'!Z631+'01_Доходи'!Z632+'01_Доходи'!Z633+'01_Доходи'!Z634+'01_Доходи'!Z635),0),IF($B$625="Лікар-терапевт",IF('01_Доходи'!Z629&gt;=Законод!$J$26,Z629-Законод!$I$27,0),0)))</f>
        <v>0</v>
      </c>
      <c r="AA636" s="931"/>
      <c r="AB636" s="935" t="s">
        <v>346</v>
      </c>
      <c r="AC636" s="936"/>
      <c r="AD636" s="936"/>
      <c r="AE636" s="936"/>
      <c r="AF636" s="937"/>
      <c r="AG636" s="196">
        <f ca="1">IF($B$625="Лікар загальної практики - сімейний лікар",IF(AG629&gt;=Законод!$J$22,'01_Доходи'!AG629-('01_Доходи'!AG630+'01_Доходи'!AG631+'01_Доходи'!AG632+'01_Доходи'!AG633+'01_Доходи'!AG634+'01_Доходи'!AG635),0),IF($B$625="Лікар-педіатр",IF(AG629&gt;=Законод!$J$18,'01_Доходи'!AG629-('01_Доходи'!AG630+'01_Доходи'!AG631+'01_Доходи'!AG632+'01_Доходи'!AG633+'01_Доходи'!AG634+'01_Доходи'!AG635),0),IF($B$625="Лікар-терапевт",IF('01_Доходи'!AG629&gt;=Законод!$J$26,AG629-Законод!$I$27,0),0)))</f>
        <v>0</v>
      </c>
      <c r="AH636" s="931"/>
      <c r="AI636" s="215"/>
      <c r="AJ636" s="934"/>
      <c r="AK636" s="928"/>
      <c r="AL636" s="928"/>
      <c r="AM636" s="900"/>
      <c r="AN636" s="216">
        <f ca="1">IF(B625="Лікар загальної практики - сімейний лікар",L636*Законод!$C$9/4*Законод!$J$16,IF(B625="Лікар-педіатр",L636*Законод!$C$9/4*Законод!$J$16,IF(B625="Лікар-терапевт",L636*Законод!$C$9/4*Законод!$J$16,0)))</f>
        <v>0</v>
      </c>
      <c r="AO636" s="216">
        <f ca="1">IF(B625="Лікар загальної практики - сімейний лікар",S636*Законод!$C$9/4*Законод!$J$16,IF(B625="Лікар-педіатр",S636*Законод!$C$9/4*Законод!$J$16,IF(B625="Лікар-терапевт",S636*Законод!$C$9/4*Законод!$J$16,0)))</f>
        <v>0</v>
      </c>
      <c r="AP636" s="216">
        <f ca="1">IF(B625="Лікар загальної практики - сімейний лікар",S636*Законод!$C$9/4*Законод!$J$16,IF(B625="Лікар-педіатр",S636*Законод!$C$9/4*Законод!$J$16,IF(B625="Лікар-терапевт",S636*Законод!$C$9/4*Законод!$J$16,0)))</f>
        <v>0</v>
      </c>
      <c r="AQ636" s="216">
        <f ca="1">IF(B625="Лікар загальної практики - сімейний лікар",AG636*Законод!$C$9/4*Законод!$J$16,IF(B625="Лікар-педіатр",AG636*Законод!$C$9/4*Законод!$J$16,IF(B625="Лікар-терапевт",AG636*Законод!$C$9/4*Законод!$J$16,0)))</f>
        <v>0</v>
      </c>
      <c r="AR636" s="217">
        <f t="shared" si="75"/>
        <v>0</v>
      </c>
    </row>
    <row r="637" spans="1:44" s="247" customFormat="1" ht="23.45" hidden="1" customHeight="1" thickBot="1">
      <c r="A637" s="243"/>
      <c r="B637" s="244"/>
      <c r="C637" s="244"/>
      <c r="D637" s="244"/>
      <c r="E637" s="244"/>
      <c r="F637" s="245"/>
      <c r="G637" s="246"/>
      <c r="H637" s="246"/>
      <c r="L637" s="248"/>
      <c r="S637" s="248"/>
      <c r="Z637" s="248"/>
      <c r="AG637" s="248"/>
      <c r="AM637" s="249"/>
      <c r="AR637" s="250"/>
    </row>
    <row r="638" spans="1:44" s="191" customFormat="1" ht="24.6" hidden="1" customHeight="1">
      <c r="A638" s="194">
        <f>A625+1</f>
        <v>47</v>
      </c>
      <c r="B638" s="892"/>
      <c r="C638" s="895"/>
      <c r="D638" s="911"/>
      <c r="E638" s="908"/>
      <c r="F638" s="234" t="s">
        <v>582</v>
      </c>
      <c r="G638" s="196">
        <f>IF($B$638="Лікар-педіатр",G641*L638,IF($B$638="Лікар-терапевт","х",IF($B$638="Лікар загальної практики - сімейний лікар",G641*L638,0)))</f>
        <v>0</v>
      </c>
      <c r="H638" s="196">
        <f>IF($B$638="Лікар-педіатр",H641*L638,IF($B$638="Лікар-терапевт","х",IF($B$638="Лікар загальної практики - сімейний лікар",H641*L638,0)))</f>
        <v>0</v>
      </c>
      <c r="I638" s="196">
        <f>IF($B$638="Лікар-педіатр","x",IF($B$638="Лікар-терапевт",I641*L638,IF($B$638="Лікар загальної практики - сімейний лікар",I641*L638,0)))</f>
        <v>0</v>
      </c>
      <c r="J638" s="196">
        <f>IF($B$638="Лікар-педіатр","x",IF($B$638="Лікар-терапевт",J641*L638,IF($B$638="Лікар загальної практики - сімейний лікар",J641*L638,0)))</f>
        <v>0</v>
      </c>
      <c r="K638" s="196">
        <f>IF($B$638="Лікар-педіатр","x",IF($B$638="Лікар-терапевт",K641*L638,IF($B$638="Лікар загальної практики - сімейний лікар",K641*L638,0)))</f>
        <v>0</v>
      </c>
      <c r="L638" s="558"/>
      <c r="M638" s="929"/>
      <c r="N638" s="196">
        <f>IF($B$638="Лікар-педіатр",N641*S638,IF($B$638="Лікар-терапевт","х",IF($B$638="Лікар загальної практики - сімейний лікар",N641*S638,0)))</f>
        <v>0</v>
      </c>
      <c r="O638" s="196">
        <f>IF($B$638="Лікар-педіатр",O641*S638,IF($B$638="Лікар-терапевт","х",IF($B$638="Лікар загальної практики - сімейний лікар",O641*S638,0)))</f>
        <v>0</v>
      </c>
      <c r="P638" s="196">
        <f>IF($B$638="Лікар-педіатр","x",IF($B$638="Лікар-терапевт",P641*S638,IF($B$638="Лікар загальної практики - сімейний лікар",P641*S638,0)))</f>
        <v>0</v>
      </c>
      <c r="Q638" s="196">
        <f>IF($B$638="Лікар-педіатр","x",IF($B$638="Лікар-терапевт",Q641*S638,IF($B$638="Лікар загальної практики - сімейний лікар",Q641*S638,0)))</f>
        <v>0</v>
      </c>
      <c r="R638" s="196">
        <f>IF($B$638="Лікар-педіатр","x",IF($B$638="Лікар-терапевт",R641*S638,IF($B$638="Лікар загальної практики - сімейний лікар",R641*S638,0)))</f>
        <v>0</v>
      </c>
      <c r="S638" s="558"/>
      <c r="T638" s="929"/>
      <c r="U638" s="196">
        <f>IF($B$638="Лікар-педіатр",U641*Z638,IF($B$638="Лікар-терапевт","х",IF($B$638="Лікар загальної практики - сімейний лікар",U641*Z638,0)))</f>
        <v>0</v>
      </c>
      <c r="V638" s="196">
        <f>IF($B$638="Лікар-педіатр",V641*Z638,IF($B$638="Лікар-терапевт","х",IF($B$638="Лікар загальної практики - сімейний лікар",V641*Z638,0)))</f>
        <v>0</v>
      </c>
      <c r="W638" s="196">
        <f>IF($B$638="Лікар-педіатр","x",IF($B$638="Лікар-терапевт",W641*Z638,IF($B$638="Лікар загальної практики - сімейний лікар",W641*Z638,0)))</f>
        <v>0</v>
      </c>
      <c r="X638" s="196">
        <f>IF($B$638="Лікар-педіатр","x",IF($B$638="Лікар-терапевт",X641*Z638,IF($B$638="Лікар загальної практики - сімейний лікар",X641*Z638,0)))</f>
        <v>0</v>
      </c>
      <c r="Y638" s="196">
        <f>IF($B$638="Лікар-педіатр","x",IF($B$638="Лікар-терапевт",Y641*Z638,IF($B$638="Лікар загальної практики - сімейний лікар",Y641*Z638,0)))</f>
        <v>0</v>
      </c>
      <c r="Z638" s="558"/>
      <c r="AA638" s="929"/>
      <c r="AB638" s="196">
        <f>IF($B$638="Лікар-педіатр",AB641*AG638,IF($B$638="Лікар-терапевт","х",IF($B$638="Лікар загальної практики - сімейний лікар",AB641*AG638,0)))</f>
        <v>0</v>
      </c>
      <c r="AC638" s="196">
        <f>IF($B$638="Лікар-педіатр",AC641*AG638,IF($B$638="Лікар-терапевт","х",IF($B$638="Лікар загальної практики - сімейний лікар",AC641*AG638,0)))</f>
        <v>0</v>
      </c>
      <c r="AD638" s="196">
        <f>IF($B$638="Лікар-педіатр","x",IF($B$638="Лікар-терапевт",AD641*AG638,IF($B$638="Лікар загальної практики - сімейний лікар",AD641*AG638,0)))</f>
        <v>0</v>
      </c>
      <c r="AE638" s="196">
        <f>IF($B$638="Лікар-педіатр","x",IF($B$638="Лікар-терапевт",AE641*AG638,IF($B$638="Лікар загальної практики - сімейний лікар",AE641*AG638,0)))</f>
        <v>0</v>
      </c>
      <c r="AF638" s="196">
        <f>IF($B$638="Лікар-педіатр","x",IF($B$638="Лікар-терапевт",AF641*AG638,IF($B$638="Лікар загальної практики - сімейний лікар",AF641*AG638,0)))</f>
        <v>0</v>
      </c>
      <c r="AG638" s="558"/>
      <c r="AH638" s="929"/>
      <c r="AI638" s="541">
        <f>A638</f>
        <v>47</v>
      </c>
      <c r="AJ638" s="932">
        <f>B638</f>
        <v>0</v>
      </c>
      <c r="AK638" s="926">
        <f>C638</f>
        <v>0</v>
      </c>
      <c r="AL638" s="926">
        <f>D638</f>
        <v>0</v>
      </c>
      <c r="AM638" s="901" t="s">
        <v>785</v>
      </c>
      <c r="AN638" s="923">
        <f>SUM(AN643:AN649)</f>
        <v>0</v>
      </c>
      <c r="AO638" s="923">
        <f>SUM(AO643:AO649)</f>
        <v>0</v>
      </c>
      <c r="AP638" s="923">
        <f>SUM(AP643:AP649)</f>
        <v>0</v>
      </c>
      <c r="AQ638" s="923">
        <f>SUM(AQ643:AQ649)</f>
        <v>0</v>
      </c>
      <c r="AR638" s="914">
        <f>SUM(AN638:AQ642)</f>
        <v>0</v>
      </c>
    </row>
    <row r="639" spans="1:44" s="50" customFormat="1" ht="28.15" hidden="1" customHeight="1">
      <c r="A639" s="197"/>
      <c r="B639" s="893"/>
      <c r="C639" s="896"/>
      <c r="D639" s="912"/>
      <c r="E639" s="909"/>
      <c r="F639" s="234" t="s">
        <v>583</v>
      </c>
      <c r="G639" s="196">
        <f>IF($B$638="Лікар-педіатр",G641*L639,IF($B$638="Лікар-терапевт","х",IF($B$638="Лікар загальної практики - сімейний лікар",G641*L639,0)))</f>
        <v>0</v>
      </c>
      <c r="H639" s="196">
        <f>IF($B$638="Лікар-педіатр",H641*L639,IF($B$638="Лікар-терапевт","х",IF($B$638="Лікар загальної практики - сімейний лікар",H641*L639,0)))</f>
        <v>0</v>
      </c>
      <c r="I639" s="196">
        <f>IF($B$638="Лікар-педіатр","x",IF($B$638="Лікар-терапевт",I641*L639,IF($B$638="Лікар загальної практики - сімейний лікар",I641*L639,0)))</f>
        <v>0</v>
      </c>
      <c r="J639" s="196">
        <f>IF($B$638="Лікар-педіатр","x",IF($B$638="Лікар-терапевт",J641*L639,IF($B$638="Лікар загальної практики - сімейний лікар",J641*L639,0)))</f>
        <v>0</v>
      </c>
      <c r="K639" s="196">
        <f>IF($B$638="Лікар-педіатр","x",IF($B$638="Лікар-терапевт",K641*L639,IF($B$638="Лікар загальної практики - сімейний лікар",K641*L639,0)))</f>
        <v>0</v>
      </c>
      <c r="L639" s="558"/>
      <c r="M639" s="930"/>
      <c r="N639" s="196">
        <f>IF($B$638="Лікар-педіатр",N641*S639,IF($B$638="Лікар-терапевт","х",IF($B$638="Лікар загальної практики - сімейний лікар",N641*S639,0)))</f>
        <v>0</v>
      </c>
      <c r="O639" s="196">
        <f>IF($B$638="Лікар-педіатр",O641*S639,IF($B$638="Лікар-терапевт","х",IF($B$638="Лікар загальної практики - сімейний лікар",O641*S639,0)))</f>
        <v>0</v>
      </c>
      <c r="P639" s="196">
        <f>IF($B$638="Лікар-педіатр","x",IF($B$638="Лікар-терапевт",P641*S639,IF($B$638="Лікар загальної практики - сімейний лікар",P641*S639,0)))</f>
        <v>0</v>
      </c>
      <c r="Q639" s="196">
        <f>IF($B$638="Лікар-педіатр","x",IF($B$638="Лікар-терапевт",Q641*S639,IF($B$638="Лікар загальної практики - сімейний лікар",Q641*S639,0)))</f>
        <v>0</v>
      </c>
      <c r="R639" s="196">
        <f>IF($B$638="Лікар-педіатр","x",IF($B$638="Лікар-терапевт",R641*S639,IF($B$638="Лікар загальної практики - сімейний лікар",R641*S639,0)))</f>
        <v>0</v>
      </c>
      <c r="S639" s="558"/>
      <c r="T639" s="930"/>
      <c r="U639" s="196">
        <f>IF($B$638="Лікар-педіатр",U641*Z639,IF($B$638="Лікар-терапевт","х",IF($B$638="Лікар загальної практики - сімейний лікар",U641*Z639,0)))</f>
        <v>0</v>
      </c>
      <c r="V639" s="196">
        <f>IF($B$638="Лікар-педіатр",V641*Z639,IF($B$638="Лікар-терапевт","х",IF($B$638="Лікар загальної практики - сімейний лікар",V641*Z639,0)))</f>
        <v>0</v>
      </c>
      <c r="W639" s="196">
        <f>IF($B$638="Лікар-педіатр","x",IF($B$638="Лікар-терапевт",W641*Z639,IF($B$638="Лікар загальної практики - сімейний лікар",W641*Z639,0)))</f>
        <v>0</v>
      </c>
      <c r="X639" s="196">
        <f>IF($B$638="Лікар-педіатр","x",IF($B$638="Лікар-терапевт",X641*Z639,IF($B$638="Лікар загальної практики - сімейний лікар",X641*Z639,0)))</f>
        <v>0</v>
      </c>
      <c r="Y639" s="196">
        <f>IF($B$638="Лікар-педіатр","x",IF($B$638="Лікар-терапевт",Y641*Z639,IF($B$638="Лікар загальної практики - сімейний лікар",Y641*Z639,0)))</f>
        <v>0</v>
      </c>
      <c r="Z639" s="558"/>
      <c r="AA639" s="930"/>
      <c r="AB639" s="196">
        <f>IF($B$638="Лікар-педіатр",AB641*AG639,IF($B$638="Лікар-терапевт","х",IF($B$638="Лікар загальної практики - сімейний лікар",AB641*AG639,0)))</f>
        <v>0</v>
      </c>
      <c r="AC639" s="196">
        <f>IF($B$638="Лікар-педіатр",AC641*AG639,IF($B$638="Лікар-терапевт","х",IF($B$638="Лікар загальної практики - сімейний лікар",AC641*AG639,0)))</f>
        <v>0</v>
      </c>
      <c r="AD639" s="196">
        <f>IF($B$638="Лікар-педіатр","x",IF($B$638="Лікар-терапевт",AD641*AG639,IF($B$638="Лікар загальної практики - сімейний лікар",AD641*AG639,0)))</f>
        <v>0</v>
      </c>
      <c r="AE639" s="196">
        <f>IF($B$638="Лікар-педіатр","x",IF($B$638="Лікар-терапевт",AE641*AG639,IF($B$638="Лікар загальної практики - сімейний лікар",AE641*AG639,0)))</f>
        <v>0</v>
      </c>
      <c r="AF639" s="196">
        <f>IF($B$638="Лікар-педіатр","x",IF($B$638="Лікар-терапевт",AF641*AG639,IF($B$638="Лікар загальної практики - сімейний лікар",AF641*AG639,0)))</f>
        <v>0</v>
      </c>
      <c r="AG639" s="558"/>
      <c r="AH639" s="930"/>
      <c r="AI639" s="198"/>
      <c r="AJ639" s="933"/>
      <c r="AK639" s="927"/>
      <c r="AL639" s="927"/>
      <c r="AM639" s="902"/>
      <c r="AN639" s="924"/>
      <c r="AO639" s="924"/>
      <c r="AP639" s="924"/>
      <c r="AQ639" s="924"/>
      <c r="AR639" s="915"/>
    </row>
    <row r="640" spans="1:44" s="90" customFormat="1" ht="31.15" hidden="1" customHeight="1">
      <c r="A640" s="240"/>
      <c r="B640" s="893"/>
      <c r="C640" s="896"/>
      <c r="D640" s="912"/>
      <c r="E640" s="909"/>
      <c r="F640" s="241" t="s">
        <v>584</v>
      </c>
      <c r="G640" s="199">
        <f>IF(B638="Лікар загальної практики - сімейний лікар"," ",IF(B638="Лікар-педіатр"," ",IF(B638="Лікар-терапевт","х",0)))</f>
        <v>0</v>
      </c>
      <c r="H640" s="199">
        <f>IF(B638="Лікар загальної практики - сімейний лікар"," ",IF(B638="Лікар-педіатр"," ",IF(B638="Лікар-терапевт","х",0)))</f>
        <v>0</v>
      </c>
      <c r="I640" s="199">
        <f>IF(B638="Лікар загальної практики - сімейний лікар"," ",IF(B638="Лікар-педіатр","х",IF(B638="Лікар-терапевт"," ",0)))</f>
        <v>0</v>
      </c>
      <c r="J640" s="199">
        <f>IF(B638="Лікар загальної практики - сімейний лікар"," ",IF(B638="Лікар-педіатр","х",IF(B638="Лікар-терапевт"," ",0)))</f>
        <v>0</v>
      </c>
      <c r="K640" s="199">
        <f>IF(B638="Лікар загальної практики - сімейний лікар"," ",IF(B638="Лікар-педіатр","х",IF(B638="Лікар-терапевт"," ",0)))</f>
        <v>0</v>
      </c>
      <c r="L640" s="200">
        <f>SUM(G640:K640)</f>
        <v>0</v>
      </c>
      <c r="M640" s="930"/>
      <c r="N640" s="199">
        <f>IF(B638="Лікар загальної практики - сімейний лікар"," ",IF(B638="Лікар-педіатр"," ",IF(B638="Лікар-терапевт","х",0)))</f>
        <v>0</v>
      </c>
      <c r="O640" s="199">
        <f>IF(B638="Лікар загальної практики - сімейний лікар"," ",IF(B638="Лікар-педіатр"," ",IF(B638="Лікар-терапевт","х",0)))</f>
        <v>0</v>
      </c>
      <c r="P640" s="199">
        <f>IF(B638="Лікар загальної практики - сімейний лікар"," ",IF(B638="Лікар-педіатр","х",IF(B638="Лікар-терапевт"," ",0)))</f>
        <v>0</v>
      </c>
      <c r="Q640" s="199">
        <f>IF(B638="Лікар загальної практики - сімейний лікар"," ",IF(B638="Лікар-педіатр","х",IF(B638="Лікар-терапевт"," ",0)))</f>
        <v>0</v>
      </c>
      <c r="R640" s="199">
        <f>IF(B638="Лікар загальної практики - сімейний лікар"," ",IF(B638="Лікар-педіатр","х",IF(B638="Лікар-терапевт"," ",0)))</f>
        <v>0</v>
      </c>
      <c r="S640" s="200">
        <f>SUM(N640:R640)</f>
        <v>0</v>
      </c>
      <c r="T640" s="930"/>
      <c r="U640" s="199">
        <f>IF(B638="Лікар загальної практики - сімейний лікар"," ",IF(B638="Лікар-педіатр"," ",IF(B638="Лікар-терапевт","х",0)))</f>
        <v>0</v>
      </c>
      <c r="V640" s="199">
        <f>IF(B638="Лікар загальної практики - сімейний лікар"," ",IF(B638="Лікар-педіатр"," ",IF(B638="Лікар-терапевт","х",0)))</f>
        <v>0</v>
      </c>
      <c r="W640" s="199">
        <f>IF(B638="Лікар загальної практики - сімейний лікар"," ",IF(B638="Лікар-педіатр","х",IF(B638="Лікар-терапевт"," ",0)))</f>
        <v>0</v>
      </c>
      <c r="X640" s="199">
        <f>IF(B638="Лікар загальної практики - сімейний лікар"," ",IF(B638="Лікар-педіатр","х",IF(B638="Лікар-терапевт"," ",0)))</f>
        <v>0</v>
      </c>
      <c r="Y640" s="199">
        <f>IF(B638="Лікар загальної практики - сімейний лікар"," ",IF(B638="Лікар-педіатр","х",IF(B638="Лікар-терапевт"," ",0)))</f>
        <v>0</v>
      </c>
      <c r="Z640" s="200">
        <f>SUM(U640:Y640)</f>
        <v>0</v>
      </c>
      <c r="AA640" s="930"/>
      <c r="AB640" s="199">
        <f>IF(B638="Лікар загальної практики - сімейний лікар"," ",IF(B638="Лікар-педіатр"," ",IF(B638="Лікар-терапевт","х",0)))</f>
        <v>0</v>
      </c>
      <c r="AC640" s="199">
        <f>IF(B638="Лікар загальної практики - сімейний лікар"," ",IF(B638="Лікар-педіатр"," ",IF(B638="Лікар-терапевт","х",0)))</f>
        <v>0</v>
      </c>
      <c r="AD640" s="199">
        <f>IF(B638="Лікар загальної практики - сімейний лікар"," ",IF(B638="Лікар-педіатр","х",IF(B638="Лікар-терапевт"," ",0)))</f>
        <v>0</v>
      </c>
      <c r="AE640" s="199">
        <f>IF(B638="Лікар загальної практики - сімейний лікар"," ",IF(B638="Лікар-педіатр","х",IF(B638="Лікар-терапевт"," ",0)))</f>
        <v>0</v>
      </c>
      <c r="AF640" s="199">
        <f>IF(B638="Лікар загальної практики - сімейний лікар"," ",IF(B638="Лікар-педіатр","х",IF(B638="Лікар-терапевт"," ",0)))</f>
        <v>0</v>
      </c>
      <c r="AG640" s="200">
        <f>SUM(AB640:AF640)</f>
        <v>0</v>
      </c>
      <c r="AH640" s="930"/>
      <c r="AI640" s="242"/>
      <c r="AJ640" s="933"/>
      <c r="AK640" s="927"/>
      <c r="AL640" s="927"/>
      <c r="AM640" s="902"/>
      <c r="AN640" s="924"/>
      <c r="AO640" s="924"/>
      <c r="AP640" s="924"/>
      <c r="AQ640" s="924"/>
      <c r="AR640" s="915"/>
    </row>
    <row r="641" spans="1:44" s="50" customFormat="1" ht="31.9" hidden="1" customHeight="1" thickBot="1">
      <c r="A641" s="197"/>
      <c r="B641" s="893"/>
      <c r="C641" s="896"/>
      <c r="D641" s="912"/>
      <c r="E641" s="909"/>
      <c r="F641" s="236" t="s">
        <v>349</v>
      </c>
      <c r="G641" s="203">
        <f>IF($B$638="Лікар-педіатр",G640/L640,IF($B$638="Лікар-терапевт","х",IF($B$638="Лікар загальної практики - сімейний лікар",G640/L640,0)))</f>
        <v>0</v>
      </c>
      <c r="H641" s="203">
        <f>IF($B$638="Лікар-педіатр",H640/L640,IF($B$638="Лікар-терапевт","х",IF($B$638="Лікар загальної практики - сімейний лікар",H640/L640,0)))</f>
        <v>0</v>
      </c>
      <c r="I641" s="203">
        <f>IF($B$638="Лікар-педіатр","x",IF($B$638="Лікар-терапевт",I640/L640,IF($B$638="Лікар загальної практики - сімейний лікар",I640/L640,0)))</f>
        <v>0</v>
      </c>
      <c r="J641" s="203">
        <f>IF($B$638="Лікар-педіатр","x",IF($B$638="Лікар-терапевт",J640/L640,IF($B$638="Лікар загальної практики - сімейний лікар",J640/L640,0)))</f>
        <v>0</v>
      </c>
      <c r="K641" s="203">
        <f>IF($B$638="Лікар-педіатр","x",IF($B$638="Лікар-терапевт",K640/L640,IF($B$638="Лікар загальної практики - сімейний лікар",K640/L640,0)))</f>
        <v>0</v>
      </c>
      <c r="L641" s="203">
        <f>SUM(G641:K641)</f>
        <v>0</v>
      </c>
      <c r="M641" s="930"/>
      <c r="N641" s="203">
        <f>IF($B$638="Лікар-педіатр",N640/S640,IF($B$638="Лікар-терапевт","х",IF($B$638="Лікар загальної практики - сімейний лікар",N640/S640,0)))</f>
        <v>0</v>
      </c>
      <c r="O641" s="203">
        <f>IF($B$638="Лікар-педіатр",O640/S640,IF($B$638="Лікар-терапевт","х",IF($B$638="Лікар загальної практики - сімейний лікар",O640/S640,0)))</f>
        <v>0</v>
      </c>
      <c r="P641" s="203">
        <f>IF($B$638="Лікар-педіатр","x",IF($B$638="Лікар-терапевт",P640/S640,IF($B$638="Лікар загальної практики - сімейний лікар",P640/S640,0)))</f>
        <v>0</v>
      </c>
      <c r="Q641" s="203">
        <f>IF($B$638="Лікар-педіатр","x",IF($B$638="Лікар-терапевт",Q640/S640,IF($B$638="Лікар загальної практики - сімейний лікар",Q640/S640,0)))</f>
        <v>0</v>
      </c>
      <c r="R641" s="203">
        <f>IF($B$638="Лікар-педіатр","x",IF($B$638="Лікар-терапевт",R640/S640,IF($B$638="Лікар загальної практики - сімейний лікар",R640/S640,0)))</f>
        <v>0</v>
      </c>
      <c r="S641" s="203">
        <f>SUM(N641:R641)</f>
        <v>0</v>
      </c>
      <c r="T641" s="930"/>
      <c r="U641" s="203">
        <f>IF($B$638="Лікар-педіатр",U640/Z640,IF($B$638="Лікар-терапевт","х",IF($B$638="Лікар загальної практики - сімейний лікар",U640/Z640,0)))</f>
        <v>0</v>
      </c>
      <c r="V641" s="203">
        <f>IF($B$638="Лікар-педіатр",V640/Z640,IF($B$638="Лікар-терапевт","х",IF($B$638="Лікар загальної практики - сімейний лікар",V640/Z640,0)))</f>
        <v>0</v>
      </c>
      <c r="W641" s="203">
        <f>IF($B$638="Лікар-педіатр","x",IF($B$638="Лікар-терапевт",W640/Z640,IF($B$638="Лікар загальної практики - сімейний лікар",W640/Z640,0)))</f>
        <v>0</v>
      </c>
      <c r="X641" s="203">
        <f>IF($B$638="Лікар-педіатр","x",IF($B$638="Лікар-терапевт",X640/Z640,IF($B$638="Лікар загальної практики - сімейний лікар",X640/Z640,0)))</f>
        <v>0</v>
      </c>
      <c r="Y641" s="203">
        <f>IF($B$638="Лікар-педіатр","x",IF($B$638="Лікар-терапевт",Y640/Z640,IF($B$638="Лікар загальної практики - сімейний лікар",Y640/Z640,0)))</f>
        <v>0</v>
      </c>
      <c r="Z641" s="203">
        <f>SUM(U641:Y641)</f>
        <v>0</v>
      </c>
      <c r="AA641" s="930"/>
      <c r="AB641" s="203">
        <f>IF($B$638="Лікар-педіатр",AB640/AG640,IF($B$638="Лікар-терапевт","х",IF($B$638="Лікар загальної практики - сімейний лікар",AB640/AG640,0)))</f>
        <v>0</v>
      </c>
      <c r="AC641" s="203">
        <f>IF($B$638="Лікар-педіатр",AC640/AG640,IF($B$638="Лікар-терапевт","х",IF($B$638="Лікар загальної практики - сімейний лікар",AC640/AG640,0)))</f>
        <v>0</v>
      </c>
      <c r="AD641" s="203">
        <f>IF($B$638="Лікар-педіатр","x",IF($B$638="Лікар-терапевт",AD640/AG640,IF($B$638="Лікар загальної практики - сімейний лікар",AD640/AG640,0)))</f>
        <v>0</v>
      </c>
      <c r="AE641" s="203">
        <f>IF($B$638="Лікар-педіатр","x",IF($B$638="Лікар-терапевт",AE640/AG640,IF($B$638="Лікар загальної практики - сімейний лікар",AE640/AG640,0)))</f>
        <v>0</v>
      </c>
      <c r="AF641" s="203">
        <f>IF($B$638="Лікар-педіатр","x",IF($B$638="Лікар-терапевт",AF640/AG640,IF($B$638="Лікар загальної практики - сімейний лікар",AF640/AG640,0)))</f>
        <v>0</v>
      </c>
      <c r="AG641" s="203">
        <f>SUM(AB641:AF641)</f>
        <v>0</v>
      </c>
      <c r="AH641" s="930"/>
      <c r="AI641" s="201"/>
      <c r="AJ641" s="933"/>
      <c r="AK641" s="927"/>
      <c r="AL641" s="927"/>
      <c r="AM641" s="902"/>
      <c r="AN641" s="924"/>
      <c r="AO641" s="924"/>
      <c r="AP641" s="924"/>
      <c r="AQ641" s="924"/>
      <c r="AR641" s="915"/>
    </row>
    <row r="642" spans="1:44" s="50" customFormat="1" ht="45" hidden="1" customHeight="1" thickBot="1">
      <c r="A642" s="197"/>
      <c r="B642" s="893"/>
      <c r="C642" s="896"/>
      <c r="D642" s="912"/>
      <c r="E642" s="909"/>
      <c r="F642" s="204" t="s">
        <v>585</v>
      </c>
      <c r="G642" s="205">
        <f>IF($B$638="Лікар загальної практики - сімейний лікар",AVERAGE(G638:G640),IF($B$638="Лікар-педіатр",AVERAGE(G638:G640),IF($B$638="Лікар-терапевт","х",0)))</f>
        <v>0</v>
      </c>
      <c r="H642" s="205">
        <f>IF($B$638="Лікар загальної практики - сімейний лікар",AVERAGE(H638:H640),IF($B$638="Лікар-педіатр",AVERAGE(H638:H640),IF($B$638="Лікар-терапевт","х",0)))</f>
        <v>0</v>
      </c>
      <c r="I642" s="205">
        <f>IF($B$638="Лікар загальної практики - сімейний лікар",AVERAGE(I638:I640),IF($B$638="Лікар-педіатр","x",IF($B$638="Лікар-терапевт",AVERAGE(I638:I640),0)))</f>
        <v>0</v>
      </c>
      <c r="J642" s="205">
        <f>IF($B$638="Лікар загальної практики - сімейний лікар",AVERAGE(J638:J640),IF($B$638="Лікар-педіатр","x",IF($B$638="Лікар-терапевт",AVERAGE(J638:J640),0)))</f>
        <v>0</v>
      </c>
      <c r="K642" s="205">
        <f>IF($B$638="Лікар загальної практики - сімейний лікар",AVERAGE(K638:K640),IF($B$638="Лікар-педіатр","x",IF($B$638="Лікар-терапевт",AVERAGE(K638:K640),0)))</f>
        <v>0</v>
      </c>
      <c r="L642" s="206">
        <f>SUM(G642:K642)</f>
        <v>0</v>
      </c>
      <c r="M642" s="930"/>
      <c r="N642" s="205">
        <f>IF($B$638="Лікар загальної практики - сімейний лікар",AVERAGE(N638:N640),IF($B$638="Лікар-педіатр",AVERAGE(N638:N640),IF($B$638="Лікар-терапевт","х",0)))</f>
        <v>0</v>
      </c>
      <c r="O642" s="205">
        <f>IF($B$638="Лікар загальної практики - сімейний лікар",AVERAGE(O638:O640),IF($B$638="Лікар-педіатр",AVERAGE(O638:O640),IF($B$638="Лікар-терапевт","х",0)))</f>
        <v>0</v>
      </c>
      <c r="P642" s="205">
        <f>IF($B$638="Лікар загальної практики - сімейний лікар",AVERAGE(P638:P640),IF($B$638="Лікар-педіатр","x",IF($B$638="Лікар-терапевт",AVERAGE(P638:P640),0)))</f>
        <v>0</v>
      </c>
      <c r="Q642" s="205">
        <f>IF($B$638="Лікар загальної практики - сімейний лікар",AVERAGE(Q638:Q640),IF($B$638="Лікар-педіатр","x",IF($B$638="Лікар-терапевт",AVERAGE(Q638:Q640),0)))</f>
        <v>0</v>
      </c>
      <c r="R642" s="205">
        <f>IF($B$638="Лікар загальної практики - сімейний лікар",AVERAGE(R638:R640),IF($B$638="Лікар-педіатр","x",IF($B$638="Лікар-терапевт",AVERAGE(R638:R640),0)))</f>
        <v>0</v>
      </c>
      <c r="S642" s="206">
        <f>SUM(N642:R642)</f>
        <v>0</v>
      </c>
      <c r="T642" s="930"/>
      <c r="U642" s="205">
        <f>IF($B$638="Лікар загальної практики - сімейний лікар",AVERAGE(U638:U640),IF($B$638="Лікар-педіатр",AVERAGE(U638:U640),IF($B$638="Лікар-терапевт","х",0)))</f>
        <v>0</v>
      </c>
      <c r="V642" s="205">
        <f>IF($B$638="Лікар загальної практики - сімейний лікар",AVERAGE(V638:V640),IF($B$638="Лікар-педіатр",AVERAGE(V638:V640),IF($B$638="Лікар-терапевт","х",0)))</f>
        <v>0</v>
      </c>
      <c r="W642" s="205">
        <f>IF($B$638="Лікар загальної практики - сімейний лікар",AVERAGE(W638:W640),IF($B$638="Лікар-педіатр","x",IF($B$638="Лікар-терапевт",AVERAGE(W638:W640),0)))</f>
        <v>0</v>
      </c>
      <c r="X642" s="205">
        <f>IF($B$638="Лікар загальної практики - сімейний лікар",AVERAGE(X638:X640),IF($B$638="Лікар-педіатр","x",IF($B$638="Лікар-терапевт",AVERAGE(X638:X640),0)))</f>
        <v>0</v>
      </c>
      <c r="Y642" s="205">
        <f>IF($B$638="Лікар загальної практики - сімейний лікар",AVERAGE(Y638:Y640),IF($B$638="Лікар-педіатр","x",IF($B$638="Лікар-терапевт",AVERAGE(Y638:Y640),0)))</f>
        <v>0</v>
      </c>
      <c r="Z642" s="206">
        <f>SUM(U642:Y642)</f>
        <v>0</v>
      </c>
      <c r="AA642" s="930"/>
      <c r="AB642" s="205">
        <f>IF($B$638="Лікар загальної практики - сімейний лікар",AVERAGE(AB638:AB640),IF($B$638="Лікар-педіатр",AVERAGE(AB638:AB640),IF($B$638="Лікар-терапевт","х",0)))</f>
        <v>0</v>
      </c>
      <c r="AC642" s="205">
        <f>IF($B$638="Лікар загальної практики - сімейний лікар",AVERAGE(AC638:AC640),IF($B$638="Лікар-педіатр",AVERAGE(AC638:AC640),IF($B$638="Лікар-терапевт","х",0)))</f>
        <v>0</v>
      </c>
      <c r="AD642" s="205">
        <f>IF($B$638="Лікар загальної практики - сімейний лікар",AVERAGE(AD638:AD640),IF($B$638="Лікар-педіатр","x",IF($B$638="Лікар-терапевт",AVERAGE(AD638:AD640),0)))</f>
        <v>0</v>
      </c>
      <c r="AE642" s="205">
        <f>IF($B$638="Лікар загальної практики - сімейний лікар",AVERAGE(AE638:AE640),IF($B$638="Лікар-педіатр","x",IF($B$638="Лікар-терапевт",AVERAGE(AE638:AE640),0)))</f>
        <v>0</v>
      </c>
      <c r="AF642" s="205">
        <f>IF($B$638="Лікар загальної практики - сімейний лікар",AVERAGE(AF638:AF640),IF($B$638="Лікар-педіатр","x",IF($B$638="Лікар-терапевт",AVERAGE(AF638:AF640),0)))</f>
        <v>0</v>
      </c>
      <c r="AG642" s="206">
        <f>SUM(AB642:AF642)</f>
        <v>0</v>
      </c>
      <c r="AH642" s="930"/>
      <c r="AI642" s="201"/>
      <c r="AJ642" s="933"/>
      <c r="AK642" s="927"/>
      <c r="AL642" s="927"/>
      <c r="AM642" s="903"/>
      <c r="AN642" s="925"/>
      <c r="AO642" s="925"/>
      <c r="AP642" s="925"/>
      <c r="AQ642" s="925"/>
      <c r="AR642" s="916"/>
    </row>
    <row r="643" spans="1:44" s="50" customFormat="1" ht="40.5" hidden="1">
      <c r="A643" s="197"/>
      <c r="B643" s="893"/>
      <c r="C643" s="896"/>
      <c r="D643" s="912"/>
      <c r="E643" s="909"/>
      <c r="F643" s="237" t="str">
        <f ca="1">IF(B638="Лікар-педіатр",Законод!$C$17,IF(B638="Лікар загальної практики - сімейний лікар",Законод!$C$21,IF(B638="Лікар-терапевт",Законод!$C$25,"х")))</f>
        <v>х</v>
      </c>
      <c r="G643" s="208">
        <f ca="1">IF($B$638="Лікар загальної практики - сімейний лікар",IF(L642&lt;=Законод!$C$22,G642,Законод!$C$22*'01_Доходи'!G641),IF($B$638="Лікар-педіатр",IF(L642&lt;=Законод!$C$18,G642,Законод!$C$18*'01_Доходи'!G641),IF($B$638="Лікар-терапевт","x",0)))</f>
        <v>0</v>
      </c>
      <c r="H643" s="208">
        <f ca="1">IF($B$638="Лікар загальної практики - сімейний лікар",IF(L642&lt;=Законод!$C$22,H642,Законод!$C$22*'01_Доходи'!H641),IF($B$638="Лікар-педіатр",IF(L642&lt;=Законод!$C$18,H642,Законод!$C$18*'01_Доходи'!H641),IF($B$638="Лікар-терапевт","x",0)))</f>
        <v>0</v>
      </c>
      <c r="I643" s="208">
        <f ca="1">IF($B$638="Лікар загальної практики - сімейний лікар",IF(L642&lt;=Законод!$C$22,I642,Законод!$C$22*'01_Доходи'!I641),IF($B$638="Лікар-педіатр","x",IF($B$638="Лікар-терапевт",IF(L642&lt;=Законод!$C$26,I642,Законод!$C$26*'01_Доходи'!I641),0)))</f>
        <v>0</v>
      </c>
      <c r="J643" s="208">
        <f ca="1">IF($B$638="Лікар загальної практики - сімейний лікар",IF(L642&lt;=Законод!$C$22,J642,Законод!$C$22*'01_Доходи'!J641),IF($B$638="Лікар-педіатр","x",IF($B$638="Лікар-терапевт",IF(L642&lt;=Законод!$C$26,J642,Законод!$C$26*'01_Доходи'!J641),0)))</f>
        <v>0</v>
      </c>
      <c r="K643" s="208">
        <f ca="1">IF($B$638="Лікар загальної практики - сімейний лікар",IF(L642&lt;=Законод!$C$22,K642,Законод!$C$22*'01_Доходи'!K641),IF($B$638="Лікар-педіатр","x",IF($B$638="Лікар-терапевт",IF(L642&lt;=Законод!$C$26,K642,Законод!$C$26*'01_Доходи'!K641),0)))</f>
        <v>0</v>
      </c>
      <c r="L643" s="209">
        <f ca="1">SUM(G643:K643)</f>
        <v>0</v>
      </c>
      <c r="M643" s="930"/>
      <c r="N643" s="208">
        <f ca="1">IF($B$638="Лікар загальної практики - сімейний лікар",IF(S642&lt;=Законод!$C$22,N642,Законод!$C$22*'01_Доходи'!N641),IF($B$638="Лікар-педіатр",IF(S642&lt;=Законод!$C$18,N642,Законод!$C$18*'01_Доходи'!N641),IF($B$638="Лікар-терапевт","x",0)))</f>
        <v>0</v>
      </c>
      <c r="O643" s="208">
        <f ca="1">IF($B$638="Лікар загальної практики - сімейний лікар",IF(S642&lt;=Законод!$C$22,O642,Законод!$C$22*'01_Доходи'!O641),IF($B$638="Лікар-педіатр",IF(S642&lt;=Законод!$C$18,O642,Законод!$C$18*'01_Доходи'!O641),IF($B$638="Лікар-терапевт","x",0)))</f>
        <v>0</v>
      </c>
      <c r="P643" s="208">
        <f ca="1">IF($B$638="Лікар загальної практики - сімейний лікар",IF(S642&lt;=Законод!$C$22,P642,Законод!$C$22*'01_Доходи'!P641),IF($B$638="Лікар-педіатр","x",IF($B$638="Лікар-терапевт",IF(S642&lt;=Законод!$C$26,P642,Законод!$C$26*'01_Доходи'!P641),0)))</f>
        <v>0</v>
      </c>
      <c r="Q643" s="208">
        <f ca="1">IF($B$638="Лікар загальної практики - сімейний лікар",IF(S642&lt;=Законод!$C$22,Q642,Законод!$C$22*'01_Доходи'!Q641),IF($B$638="Лікар-педіатр","x",IF($B$638="Лікар-терапевт",IF(S642&lt;=Законод!$C$26,Q642,Законод!$C$26*'01_Доходи'!Q641),0)))</f>
        <v>0</v>
      </c>
      <c r="R643" s="208">
        <f ca="1">IF($B$638="Лікар загальної практики - сімейний лікар",IF(S642&lt;=Законод!$C$22,R642,Законод!$C$22*'01_Доходи'!R641),IF($B$638="Лікар-педіатр","x",IF($B$638="Лікар-терапевт",IF(S642&lt;=Законод!$C$26,R642,Законод!$C$26*'01_Доходи'!R641),0)))</f>
        <v>0</v>
      </c>
      <c r="S643" s="209">
        <f ca="1">SUM(N643:R643)</f>
        <v>0</v>
      </c>
      <c r="T643" s="930"/>
      <c r="U643" s="208">
        <f ca="1">IF($B$638="Лікар загальної практики - сімейний лікар",IF(Z642&lt;=Законод!$C$22,U642,Законод!$C$22*'01_Доходи'!U641),IF($B$638="Лікар-педіатр",IF(Z642&lt;=Законод!$C$18,U642,Законод!$C$18*'01_Доходи'!U641),IF($B$638="Лікар-терапевт","x",0)))</f>
        <v>0</v>
      </c>
      <c r="V643" s="208">
        <f ca="1">IF($B$638="Лікар загальної практики - сімейний лікар",IF(Z642&lt;=Законод!$C$22,V642,Законод!$C$22*'01_Доходи'!V641),IF($B$638="Лікар-педіатр",IF(Z642&lt;=Законод!$C$18,V642,Законод!$C$18*'01_Доходи'!V641),IF($B$638="Лікар-терапевт","x",0)))</f>
        <v>0</v>
      </c>
      <c r="W643" s="208">
        <f ca="1">IF($B$638="Лікар загальної практики - сімейний лікар",IF(Z642&lt;=Законод!$C$22,W642,Законод!$C$22*'01_Доходи'!W641),IF($B$638="Лікар-педіатр","x",IF($B$638="Лікар-терапевт",IF(Z642&lt;=Законод!$C$26,W642,Законод!$C$26*'01_Доходи'!W641),0)))</f>
        <v>0</v>
      </c>
      <c r="X643" s="208">
        <f ca="1">IF($B$638="Лікар загальної практики - сімейний лікар",IF(Z642&lt;=Законод!$C$22,X642,Законод!$C$22*'01_Доходи'!X641),IF($B$638="Лікар-педіатр","x",IF($B$638="Лікар-терапевт",IF(Z642&lt;=Законод!$C$26,X642,Законод!$C$26*'01_Доходи'!X641),0)))</f>
        <v>0</v>
      </c>
      <c r="Y643" s="208">
        <f ca="1">IF($B$638="Лікар загальної практики - сімейний лікар",IF(Z642&lt;=Законод!$C$22,Y642,Законод!$C$22*'01_Доходи'!Y641),IF($B$638="Лікар-педіатр","x",IF($B$638="Лікар-терапевт",IF(Z642&lt;=Законод!$C$26,Y642,Законод!$C$26*'01_Доходи'!Y641),0)))</f>
        <v>0</v>
      </c>
      <c r="Z643" s="209">
        <f ca="1">SUM(U643:Y643)</f>
        <v>0</v>
      </c>
      <c r="AA643" s="930"/>
      <c r="AB643" s="208">
        <f ca="1">IF($B$638="Лікар загальної практики - сімейний лікар",IF(AG642&lt;=Законод!$C$22,AB642,Законод!$C$22*'01_Доходи'!AB641),IF($B$638="Лікар-педіатр",IF(AG642&lt;=Законод!$C$18,AB642,Законод!$C$18*'01_Доходи'!AB641),IF($B$638="Лікар-терапевт","x",0)))</f>
        <v>0</v>
      </c>
      <c r="AC643" s="208">
        <f ca="1">IF($B$638="Лікар загальної практики - сімейний лікар",IF(AG642&lt;=Законод!$C$22,AC642,Законод!$C$22*'01_Доходи'!AC641),IF($B$638="Лікар-педіатр",IF(AG642&lt;=Законод!$C$18,AC642,Законод!$C$18*'01_Доходи'!AC641),IF($B$638="Лікар-терапевт","x",0)))</f>
        <v>0</v>
      </c>
      <c r="AD643" s="208">
        <f ca="1">IF($B$638="Лікар загальної практики - сімейний лікар",IF(AG642&lt;=Законод!$C$22,AD642,Законод!$C$22*'01_Доходи'!AD641),IF($B$638="Лікар-педіатр","x",IF($B$638="Лікар-терапевт",IF(AG642&lt;=Законод!$C$26,AD642,Законод!$C$26*'01_Доходи'!AD641),0)))</f>
        <v>0</v>
      </c>
      <c r="AE643" s="208">
        <f ca="1">IF($B$638="Лікар загальної практики - сімейний лікар",IF(AG642&lt;=Законод!$C$22,AE642,Законод!$C$22*'01_Доходи'!AE641),IF($B$638="Лікар-педіатр","x",IF($B$638="Лікар-терапевт",IF(AG642&lt;=Законод!$C$26,AE642,Законод!$C$26*'01_Доходи'!AE641),0)))</f>
        <v>0</v>
      </c>
      <c r="AF643" s="208">
        <f ca="1">IF($B$638="Лікар загальної практики - сімейний лікар",IF(AG642&lt;=Законод!$C$22,AF642,Законод!$C$22*'01_Доходи'!AF641),IF($B$638="Лікар-педіатр","x",IF($B$638="Лікар-терапевт",IF(AG642&lt;=Законод!$C$26,AF642,Законод!$C$26*'01_Доходи'!AF641),0)))</f>
        <v>0</v>
      </c>
      <c r="AG643" s="209">
        <f ca="1">SUM(AB643:AF643)</f>
        <v>0</v>
      </c>
      <c r="AH643" s="930"/>
      <c r="AI643" s="201"/>
      <c r="AJ643" s="933"/>
      <c r="AK643" s="927"/>
      <c r="AL643" s="927"/>
      <c r="AM643" s="348" t="s">
        <v>374</v>
      </c>
      <c r="AN643" s="210">
        <f ca="1">IF(B638="Лікар загальної практики - сімейний лікар",G643*Законод!$C$11+'01_Доходи'!H643*Законод!$D$11+'01_Доходи'!I643*Законод!$E$11+'01_Доходи'!J643*Законод!$F$11+'01_Доходи'!K643*Законод!$G$11,IF(B638="Лікар-педіатр",G643*Законод!$C$11+'01_Доходи'!H643*Законод!$D$11,IF(B638="Лікар-терапевт",'01_Доходи'!I643*Законод!$E$11+'01_Доходи'!J643*Законод!$F$11+'01_Доходи'!K643*Законод!$G$11,0)))</f>
        <v>0</v>
      </c>
      <c r="AO643" s="210">
        <f ca="1">IF(B638="Лікар загальної практики - сімейний лікар",N643*Законод!$C$11+'01_Доходи'!O643*Законод!$D$11+'01_Доходи'!P643*Законод!$E$11+'01_Доходи'!Q643*Законод!$F$11+'01_Доходи'!R643*Законод!$G$11,IF(B638="Лікар-педіатр",N643*Законод!$C$11+'01_Доходи'!O643*Законод!$D$11,IF(B638="Лікар-терапевт",'01_Доходи'!P643*Законод!$E$11+'01_Доходи'!Q643*Законод!$F$11+'01_Доходи'!R643*Законод!$G$11,0)))</f>
        <v>0</v>
      </c>
      <c r="AP643" s="210">
        <f ca="1">IF(B638="Лікар загальної практики - сімейний лікар",U643*Законод!$C$11+'01_Доходи'!V643*Законод!$D$11+'01_Доходи'!W643*Законод!$E$11+'01_Доходи'!X643*Законод!$F$11+'01_Доходи'!Y643*Законод!$G$11,IF(B638="Лікар-педіатр",U643*Законод!$C$11+'01_Доходи'!V643*Законод!$D$11,IF(B638="Лікар-терапевт",'01_Доходи'!W643*Законод!$E$11+'01_Доходи'!X643*Законод!$F$11+'01_Доходи'!Y643*Законод!$G$11,0)))</f>
        <v>0</v>
      </c>
      <c r="AQ643" s="210">
        <f ca="1">IF(B638="Лікар загальної практики - сімейний лікар",AB643*Законод!$C$11+'01_Доходи'!AC643*Законод!$D$11+'01_Доходи'!AD643*Законод!$E$11+'01_Доходи'!AE643*Законод!$F$11+'01_Доходи'!AF643*Законод!$G$11,IF(B638="Лікар-педіатр",AB643*Законод!$C$11+'01_Доходи'!AC643*Законод!$D$11,IF(B638="Лікар-терапевт",'01_Доходи'!AD643*Законод!$E$11+'01_Доходи'!AE643*Законод!$F$11+'01_Доходи'!AF643*Законод!$G$11,0)))</f>
        <v>0</v>
      </c>
      <c r="AR643" s="211">
        <f t="shared" ref="AR643:AR649" si="76">SUM(AN643:AQ643)</f>
        <v>0</v>
      </c>
    </row>
    <row r="644" spans="1:44" s="50" customFormat="1" ht="31.9" hidden="1" customHeight="1">
      <c r="A644" s="197"/>
      <c r="B644" s="893"/>
      <c r="C644" s="896"/>
      <c r="D644" s="912"/>
      <c r="E644" s="909"/>
      <c r="F644" s="238" t="str">
        <f ca="1">IF(B638="Лікар-педіатр",Законод!$E$17,IF(B638="Лікар загальної практики - сімейний лікар",Законод!$E$21,IF(B638="Лікар-терапевт",Законод!$E$25,"х")))</f>
        <v>х</v>
      </c>
      <c r="G644" s="889" t="s">
        <v>346</v>
      </c>
      <c r="H644" s="890"/>
      <c r="I644" s="890"/>
      <c r="J644" s="890"/>
      <c r="K644" s="891"/>
      <c r="L644" s="196">
        <f ca="1">IF($B$638="Лікар загальної практики - сімейний лікар",IF(L642&lt;Законод!$C$22,0,(IF(AND(L642&gt;=Законод!$E$22,L642&lt;=Законод!$E$23),L642-Законод!$C$22,IF('01_Доходи'!L642&gt;=Законод!$F$22,Законод!$E$24,0)))),IF($B$638="Лікар-педіатр",IF(L642&lt;Законод!$C$18,0,(IF(AND(L642&gt;=Законод!$E$18,L642&lt;=Законод!$E$19),L642-Законод!$C$18,IF('01_Доходи'!L642&gt;=Законод!$F$18,Законод!$E$20,0)))),IF($B$638="Лікар-терапевт",IF(L642&lt;Законод!$C$26,0,(IF(AND(L642&gt;=Законод!$E$26,L642&lt;=Законод!$E$27),L642-Законод!$C$26,IF('01_Доходи'!L642&gt;=Законод!$F$26,Законод!$E$28,0)))),0)))</f>
        <v>0</v>
      </c>
      <c r="M644" s="930"/>
      <c r="N644" s="889" t="s">
        <v>346</v>
      </c>
      <c r="O644" s="890"/>
      <c r="P644" s="890"/>
      <c r="Q644" s="890"/>
      <c r="R644" s="891"/>
      <c r="S644" s="196">
        <f ca="1">IF($B$638="Лікар загальної практики - сімейний лікар",IF(S642&lt;Законод!$C$22,0,(IF(AND(S642&gt;=Законод!$E$22,S642&lt;=Законод!$E$23),S642-Законод!$C$22,IF('01_Доходи'!S642&gt;=Законод!$F$22,Законод!$E$24,0)))),IF($B$638="Лікар-педіатр",IF(S642&lt;Законод!$C$18,0,(IF(AND(S642&gt;=Законод!$E$18,S642&lt;=Законод!$E$19),S642-Законод!$C$18,IF('01_Доходи'!S642&gt;=Законод!$F$18,Законод!$E$20,0)))),IF($B$638="Лікар-терапевт",IF(S642&lt;Законод!$C$26,0,(IF(AND(S642&gt;=Законод!$E$26,S642&lt;=Законод!$E$27),S642-Законод!$C$26,IF('01_Доходи'!S642&gt;=Законод!$F$26,Законод!$E$28,0)))),0)))</f>
        <v>0</v>
      </c>
      <c r="T644" s="930"/>
      <c r="U644" s="889" t="s">
        <v>346</v>
      </c>
      <c r="V644" s="890"/>
      <c r="W644" s="890"/>
      <c r="X644" s="890"/>
      <c r="Y644" s="891"/>
      <c r="Z644" s="196">
        <f ca="1">IF($B$638="Лікар загальної практики - сімейний лікар",IF(Z642&lt;Законод!$C$22,0,(IF(AND(Z642&gt;=Законод!$E$22,Z642&lt;=Законод!$E$23),Z642-Законод!$C$22,IF('01_Доходи'!Z642&gt;=Законод!$F$22,Законод!$E$24,0)))),IF($B$638="Лікар-педіатр",IF(Z642&lt;Законод!$C$18,0,(IF(AND(Z642&gt;=Законод!$E$18,Z642&lt;=Законод!$E$19),Z642-Законод!$C$18,IF('01_Доходи'!Z642&gt;=Законод!$F$18,Законод!$E$20,0)))),IF($B$638="Лікар-терапевт",IF(Z642&lt;Законод!$C$26,0,(IF(AND(Z642&gt;=Законод!$E$26,Z642&lt;=Законод!$E$27),Z642-Законод!$C$26,IF('01_Доходи'!Z642&gt;=Законод!$F$26,Законод!$E$28,0)))),0)))</f>
        <v>0</v>
      </c>
      <c r="AA644" s="930"/>
      <c r="AB644" s="889" t="s">
        <v>346</v>
      </c>
      <c r="AC644" s="890"/>
      <c r="AD644" s="890"/>
      <c r="AE644" s="890"/>
      <c r="AF644" s="891"/>
      <c r="AG644" s="196">
        <f ca="1">IF($B$638="Лікар загальної практики - сімейний лікар",IF(AG642&lt;Законод!$C$22,0,(IF(AND(AG642&gt;=Законод!$E$22,AG642&lt;=Законод!$E$23),AG642-Законод!$C$22,IF('01_Доходи'!AG642&gt;=Законод!$F$22,Законод!$E$24,0)))),IF($B$638="Лікар-педіатр",IF(AG642&lt;Законод!$C$18,0,(IF(AND(AG642&gt;=Законод!$E$18,AG642&lt;=Законод!$E$19),AG642-Законод!$C$18,IF('01_Доходи'!AG642&gt;=Законод!$F$18,Законод!$E$20,0)))),IF($B$638="Лікар-терапевт",IF(AG642&lt;Законод!$C$26,0,(IF(AND(AG642&gt;=Законод!$E$26,AG642&lt;=Законод!$E$27),AG642-Законод!$C$26,IF('01_Доходи'!AG642&gt;=Законод!$F$26,Законод!$E$28,0)))),0)))</f>
        <v>0</v>
      </c>
      <c r="AH644" s="930"/>
      <c r="AI644" s="201"/>
      <c r="AJ644" s="933"/>
      <c r="AK644" s="927"/>
      <c r="AL644" s="927"/>
      <c r="AM644" s="898" t="s">
        <v>375</v>
      </c>
      <c r="AN644" s="210">
        <f ca="1">IF(B638="Лікар загальної практики - сімейний лікар",L644*Законод!$C$9/4*Законод!$E$16,IF(B638="Лікар-педіатр",L644*Законод!$C$9/4*Законод!$E$16,IF(B638="Лікар-терапевт",L644*Законод!$C$9/4*Законод!$E$16,0)))</f>
        <v>0</v>
      </c>
      <c r="AO644" s="210">
        <f ca="1">IF(B638="Лікар загальної практики - сімейний лікар",S644*Законод!$C$9/4*Законод!$E$16,IF(B638="Лікар-педіатр",S644*Законод!$C$9/4*Законод!$E$16,IF(B638="Лікар-терапевт",S644*Законод!$C$9/4*Законод!$E$16,0)))</f>
        <v>0</v>
      </c>
      <c r="AP644" s="210">
        <f ca="1">IF(B638="Лікар загальної практики - сімейний лікар",Z644*Законод!$C$9/4*Законод!$E$16,IF(B638="Лікар-педіатр",Z644*Законод!$C$9/4*Законод!$E$16,IF(B638="Лікар-терапевт",Z644*Законод!$C$9/4*Законод!$E$16,0)))</f>
        <v>0</v>
      </c>
      <c r="AQ644" s="210">
        <f ca="1">IF(B638="Лікар загальної практики - сімейний лікар",AG644*Законод!$C$9/4*Законод!$E$16,IF(B638="Лікар-педіатр",AG644*Законод!$C$9/4*Законод!$E$16,IF(B638="Лікар-терапевт",AG644*Законод!$C$9/4*Законод!$E$16,0)))</f>
        <v>0</v>
      </c>
      <c r="AR644" s="211">
        <f t="shared" si="76"/>
        <v>0</v>
      </c>
    </row>
    <row r="645" spans="1:44" s="50" customFormat="1" ht="31.9" hidden="1" customHeight="1">
      <c r="A645" s="197"/>
      <c r="B645" s="893"/>
      <c r="C645" s="896"/>
      <c r="D645" s="912"/>
      <c r="E645" s="909"/>
      <c r="F645" s="238" t="str">
        <f ca="1">IF(B638="Лікар-педіатр",Законод!$F$17,IF(B638="Лікар загальної практики - сімейний лікар",Законод!$F$21,IF(B638="Лікар-терапевт",Законод!$F$25,"х")))</f>
        <v>х</v>
      </c>
      <c r="G645" s="889" t="s">
        <v>346</v>
      </c>
      <c r="H645" s="890"/>
      <c r="I645" s="890"/>
      <c r="J645" s="890"/>
      <c r="K645" s="891"/>
      <c r="L645" s="196">
        <f ca="1">IF($B$638="Лікар загальної практики - сімейний лікар",IF(L642&lt;Законод!$C$22,0,(IF(AND(L642&gt;=Законод!$F$22,L642&lt;=Законод!$F$23),L642-Законод!$E$23,IF('01_Доходи'!L642&gt;=Законод!$G$22,Законод!$F$24,0)))),IF($B$638="Лікар-педіатр",IF(L642&lt;Законод!$C$18,0,(IF(AND(L642&gt;=Законод!$F$18,L642&lt;=Законод!$F$19),L642-Законод!$E$19,IF('01_Доходи'!L642&gt;=Законод!$G$18,Законод!$F$20,0)))),IF($B$638="Лікар-терапевт",IF(L642&lt;Законод!$C$26,0,(IF(AND(L642&gt;=Законод!$F$26,L642&lt;=Законод!$F$27),L642-Законод!$E$27,IF('01_Доходи'!L642&gt;=Законод!$G$26,Законод!$F$28,0)))),0)))</f>
        <v>0</v>
      </c>
      <c r="M645" s="930"/>
      <c r="N645" s="889" t="s">
        <v>346</v>
      </c>
      <c r="O645" s="890"/>
      <c r="P645" s="890"/>
      <c r="Q645" s="890"/>
      <c r="R645" s="891"/>
      <c r="S645" s="196">
        <f ca="1">IF($B$638="Лікар загальної практики - сімейний лікар",IF(S642&lt;Законод!$C$22,0,(IF(AND(S642&gt;=Законод!$F$22,S642&lt;=Законод!$F$23),S642-Законод!$E$23,IF('01_Доходи'!S642&gt;=Законод!$G$22,Законод!$F$24,0)))),IF($B$638="Лікар-педіатр",IF(S642&lt;Законод!$C$18,0,(IF(AND(S642&gt;=Законод!$F$18,S642&lt;=Законод!$F$19),S642-Законод!$E$19,IF('01_Доходи'!S642&gt;=Законод!$G$18,Законод!$F$20,0)))),IF($B$638="Лікар-терапевт",IF(S642&lt;Законод!$C$26,0,(IF(AND(S642&gt;=Законод!$F$26,S642&lt;=Законод!$F$27),S642-Законод!$E$27,IF('01_Доходи'!S642&gt;=Законод!$G$26,Законод!$F$28,0)))),0)))</f>
        <v>0</v>
      </c>
      <c r="T645" s="930"/>
      <c r="U645" s="889" t="s">
        <v>346</v>
      </c>
      <c r="V645" s="890"/>
      <c r="W645" s="890"/>
      <c r="X645" s="890"/>
      <c r="Y645" s="891"/>
      <c r="Z645" s="196">
        <f ca="1">IF($B$638="Лікар загальної практики - сімейний лікар",IF(Z642&lt;Законод!$C$22,0,(IF(AND(Z642&gt;=Законод!$F$22,Z642&lt;=Законод!$F$23),Z642-Законод!$E$23,IF('01_Доходи'!Z642&gt;=Законод!$G$22,Законод!$F$24,0)))),IF($B$638="Лікар-педіатр",IF(Z642&lt;Законод!$C$18,0,(IF(AND(Z642&gt;=Законод!$F$18,Z642&lt;=Законод!$F$19),Z642-Законод!$E$19,IF('01_Доходи'!Z642&gt;=Законод!$G$18,Законод!$F$20,0)))),IF($B$638="Лікар-терапевт",IF(Z642&lt;Законод!$C$26,0,(IF(AND(Z642&gt;=Законод!$F$26,Z642&lt;=Законод!$F$27),Z642-Законод!$E$27,IF('01_Доходи'!Z642&gt;=Законод!$G$26,Законод!$F$28,0)))),0)))</f>
        <v>0</v>
      </c>
      <c r="AA645" s="930"/>
      <c r="AB645" s="889" t="s">
        <v>346</v>
      </c>
      <c r="AC645" s="890"/>
      <c r="AD645" s="890"/>
      <c r="AE645" s="890"/>
      <c r="AF645" s="891"/>
      <c r="AG645" s="196">
        <f ca="1">IF($B$638="Лікар загальної практики - сімейний лікар",IF(AG642&lt;Законод!$C$22,0,(IF(AND(AG642&gt;=Законод!$F$22,AG642&lt;=Законод!$F$23),AG642-Законод!$E$23,IF('01_Доходи'!AG642&gt;=Законод!$G$22,Законод!$F$24,0)))),IF($B$638="Лікар-педіатр",IF(AG642&lt;Законод!$C$18,0,(IF(AND(AG642&gt;=Законод!$F$18,AG642&lt;=Законод!$F$19),AG642-Законод!$E$19,IF('01_Доходи'!AG642&gt;=Законод!$G$18,Законод!$F$20,0)))),IF($B$638="Лікар-терапевт",IF(AG642&lt;Законод!$C$26,0,(IF(AND(AG642&gt;=Законод!$F$26,AG642&lt;=Законод!$F$27),AG642-Законод!$E$27,IF('01_Доходи'!AG642&gt;=Законод!$G$26,Законод!$F$28,0)))),0)))</f>
        <v>0</v>
      </c>
      <c r="AH645" s="930"/>
      <c r="AI645" s="201"/>
      <c r="AJ645" s="933"/>
      <c r="AK645" s="927"/>
      <c r="AL645" s="927"/>
      <c r="AM645" s="899"/>
      <c r="AN645" s="210">
        <f ca="1">IF(B638="Лікар загальної практики - сімейний лікар",L645*Законод!$C$9/4*Законод!$F$16,IF(B638="Лікар-педіатр",L645*Законод!$C$9/4*Законод!$F$16,IF(B638="Лікар-терапевт",L645*Законод!$C$9/4*Законод!$F$16,0)))</f>
        <v>0</v>
      </c>
      <c r="AO645" s="210">
        <f ca="1">IF(B638="Лікар загальної практики - сімейний лікар",S645*Законод!$C$9/4*Законод!$F$16,IF(B638="Лікар-педіатр",S645*Законод!$C$9/4*Законод!$F$16,IF(B638="Лікар-терапевт",S645*Законод!$C$9/4*Законод!$F$16,0)))</f>
        <v>0</v>
      </c>
      <c r="AP645" s="210">
        <f ca="1">IF(B638="Лікар загальної практики - сімейний лікар",Z645*Законод!$C$9/4*Законод!$F$16,IF(B638="Лікар-педіатр",Z645*Законод!$C$9/4*Законод!$F$16,IF(B638="Лікар-терапевт",Z645*Законод!$C$9/4*Законод!$F$16,0)))</f>
        <v>0</v>
      </c>
      <c r="AQ645" s="210">
        <f ca="1">IF(B638="Лікар загальної практики - сімейний лікар",AG645*Законод!$C$9/4*Законод!$F$16,IF(B638="Лікар-педіатр",AG645*Законод!$C$9/4*Законод!$F$16,IF(B638="Лікар-терапевт",AG645*Законод!$C$9/4*Законод!$F$16,0)))</f>
        <v>0</v>
      </c>
      <c r="AR645" s="211">
        <f t="shared" si="76"/>
        <v>0</v>
      </c>
    </row>
    <row r="646" spans="1:44" s="50" customFormat="1" ht="31.9" hidden="1" customHeight="1">
      <c r="A646" s="197"/>
      <c r="B646" s="893"/>
      <c r="C646" s="896"/>
      <c r="D646" s="912"/>
      <c r="E646" s="909"/>
      <c r="F646" s="238" t="str">
        <f ca="1">IF(B638="Лікар-педіатр",Законод!$G$17,IF(B638="Лікар загальної практики - сімейний лікар",Законод!$G$21,IF(B638="Лікар-терапевт",Законод!$G$25,"х")))</f>
        <v>х</v>
      </c>
      <c r="G646" s="889" t="s">
        <v>346</v>
      </c>
      <c r="H646" s="890"/>
      <c r="I646" s="890"/>
      <c r="J646" s="890"/>
      <c r="K646" s="891"/>
      <c r="L646" s="196">
        <f ca="1">IF($B$638="Лікар загальної практики - сімейний лікар",IF(L642&lt;Законод!$C$22,0,(IF(AND(L642&gt;=Законод!$G$22,L642&lt;=Законод!$G$23),L642-Законод!$F$23,IF('01_Доходи'!L642&gt;=Законод!$H$22,Законод!$G$24,0)))),IF($B$638="Лікар-педіатр",IF(L642&lt;Законод!$C$18,0,(IF(AND(L642&gt;=Законод!$G$18,L642&lt;=Законод!$G$19),L642-Законод!$F$19,IF('01_Доходи'!L642&gt;=Законод!$H$18,Законод!$G$20,0)))),IF($B$638="Лікар-терапевт",IF(L642&lt;Законод!$C$26,0,(IF(AND(L642&gt;=Законод!$G$26,L642&lt;=Законод!$G$27),L642-Законод!$F$27,IF('01_Доходи'!L642&gt;=Законод!$H$26,Законод!$G$28,0)))),0)))</f>
        <v>0</v>
      </c>
      <c r="M646" s="930"/>
      <c r="N646" s="889" t="s">
        <v>346</v>
      </c>
      <c r="O646" s="890"/>
      <c r="P646" s="890"/>
      <c r="Q646" s="890"/>
      <c r="R646" s="891"/>
      <c r="S646" s="196">
        <f ca="1">IF($B$638="Лікар загальної практики - сімейний лікар",IF(S642&lt;Законод!$C$22,0,(IF(AND(S642&gt;=Законод!$G$22,S642&lt;=Законод!$G$23),S642-Законод!$F$23,IF('01_Доходи'!S642&gt;=Законод!$H$22,Законод!$G$24,0)))),IF($B$638="Лікар-педіатр",IF(S642&lt;Законод!$C$18,0,(IF(AND(S642&gt;=Законод!$G$18,S642&lt;=Законод!$G$19),S642-Законод!$F$19,IF('01_Доходи'!S642&gt;=Законод!$H$18,Законод!$G$20,0)))),IF($B$638="Лікар-терапевт",IF(S642&lt;Законод!$C$26,0,(IF(AND(S642&gt;=Законод!$G$26,S642&lt;=Законод!$G$27),S642-Законод!$F$27,IF('01_Доходи'!S642&gt;=Законод!$H$26,Законод!$G$28,0)))),0)))</f>
        <v>0</v>
      </c>
      <c r="T646" s="930"/>
      <c r="U646" s="889" t="s">
        <v>346</v>
      </c>
      <c r="V646" s="890"/>
      <c r="W646" s="890"/>
      <c r="X646" s="890"/>
      <c r="Y646" s="891"/>
      <c r="Z646" s="196">
        <f ca="1">IF($B$638="Лікар загальної практики - сімейний лікар",IF(Z642&lt;Законод!$C$22,0,(IF(AND(Z642&gt;=Законод!$G$22,Z642&lt;=Законод!$G$23),Z642-Законод!$F$23,IF('01_Доходи'!Z642&gt;=Законод!$H$22,Законод!$G$24,0)))),IF($B$638="Лікар-педіатр",IF(Z642&lt;Законод!$C$18,0,(IF(AND(Z642&gt;=Законод!$G$18,Z642&lt;=Законод!$G$19),Z642-Законод!$F$19,IF('01_Доходи'!Z642&gt;=Законод!$H$18,Законод!$G$20,0)))),IF($B$638="Лікар-терапевт",IF(Z642&lt;Законод!$C$26,0,(IF(AND(Z642&gt;=Законод!$G$26,Z642&lt;=Законод!$G$27),Z642-Законод!$F$27,IF('01_Доходи'!Z642&gt;=Законод!$H$26,Законод!$G$28,0)))),0)))</f>
        <v>0</v>
      </c>
      <c r="AA646" s="930"/>
      <c r="AB646" s="889" t="s">
        <v>346</v>
      </c>
      <c r="AC646" s="890"/>
      <c r="AD646" s="890"/>
      <c r="AE646" s="890"/>
      <c r="AF646" s="891"/>
      <c r="AG646" s="196">
        <f ca="1">IF($B$638="Лікар загальної практики - сімейний лікар",IF(AG642&lt;Законод!$C$22,0,(IF(AND(AG642&gt;=Законод!$G$22,AG642&lt;=Законод!$G$23),AG642-Законод!$F$23,IF('01_Доходи'!AG642&gt;=Законод!$H$22,Законод!$G$24,0)))),IF($B$638="Лікар-педіатр",IF(AG642&lt;Законод!$C$18,0,(IF(AND(AG642&gt;=Законод!$G$18,AG642&lt;=Законод!$G$19),AG642-Законод!$F$19,IF('01_Доходи'!AG642&gt;=Законод!$H$18,Законод!$G$20,0)))),IF($B$638="Лікар-терапевт",IF(AG642&lt;Законод!$C$26,0,(IF(AND(AG642&gt;=Законод!$G$26,AG642&lt;=Законод!$G$27),AG642-Законод!$F$27,IF('01_Доходи'!AG642&gt;=Законод!$H$26,Законод!$G$28,0)))),0)))</f>
        <v>0</v>
      </c>
      <c r="AH646" s="930"/>
      <c r="AI646" s="201"/>
      <c r="AJ646" s="933"/>
      <c r="AK646" s="927"/>
      <c r="AL646" s="927"/>
      <c r="AM646" s="899"/>
      <c r="AN646" s="210">
        <f ca="1">IF(B638="Лікар загальної практики - сімейний лікар",L646*Законод!$C$9/4*Законод!$G$16,IF(B638="Лікар-педіатр",L646*Законод!$C$9/4*Законод!$G$16,IF(B638="Лікар-терапевт",L646*Законод!$C$9/4*Законод!$G$16,0)))</f>
        <v>0</v>
      </c>
      <c r="AO646" s="210">
        <f ca="1">IF(B638="Лікар загальної практики - сімейний лікар",S646*Законод!$C$9/4*Законод!$G$16,IF(B638="Лікар-педіатр",S646*Законод!$C$9/4*Законод!$G$16,IF(B638="Лікар-терапевт",S646*Законод!$C$9/4*Законод!$G$16,0)))</f>
        <v>0</v>
      </c>
      <c r="AP646" s="210">
        <f ca="1">IF(B638="Лікар загальної практики - сімейний лікар",Z646*Законод!$C$9/4*Законод!$G$16,IF(B638="Лікар-педіатр",Z646*Законод!$C$9/4*Законод!$G$16,IF(B638="Лікар-терапевт",Z646*Законод!$C$9/4*Законод!$G$16,0)))</f>
        <v>0</v>
      </c>
      <c r="AQ646" s="210">
        <f ca="1">IF(B638="Лікар загальної практики - сімейний лікар",AG646*Законод!$C$9/4*Законод!$G$16,IF(B638="Лікар-педіатр",AG646*Законод!$C$9/4*Законод!$G$16,IF(B638="Лікар-терапевт",AG646*Законод!$C$9/4*Законод!$G$16,0)))</f>
        <v>0</v>
      </c>
      <c r="AR646" s="211">
        <f t="shared" si="76"/>
        <v>0</v>
      </c>
    </row>
    <row r="647" spans="1:44" s="50" customFormat="1" ht="31.9" hidden="1" customHeight="1">
      <c r="A647" s="197"/>
      <c r="B647" s="893"/>
      <c r="C647" s="896"/>
      <c r="D647" s="912"/>
      <c r="E647" s="909"/>
      <c r="F647" s="238" t="str">
        <f ca="1">IF(B638="Лікар-педіатр",Законод!$H$17,IF(B638="Лікар загальної практики - сімейний лікар",Законод!$H$21,IF(B638="Лікар-терапевт",Законод!$H$25,"х")))</f>
        <v>х</v>
      </c>
      <c r="G647" s="889" t="s">
        <v>346</v>
      </c>
      <c r="H647" s="890"/>
      <c r="I647" s="890"/>
      <c r="J647" s="890"/>
      <c r="K647" s="891"/>
      <c r="L647" s="196">
        <f ca="1">IF($B$638="Лікар загальної практики - сімейний лікар",IF(L642&lt;Законод!$C$22,0,(IF(AND(L642&gt;=Законод!$H$22,L642&lt;=Законод!$H$23),L642-Законод!$G$23,IF('01_Доходи'!L642&gt;=Законод!$I$22,Законод!$H$24,0)))),IF($B$638="Лікар-педіатр",IF(L642&lt;Законод!$C$18,0,(IF(AND(L642&gt;=Законод!$H$18,L642&lt;=Законод!$H$19),L642-Законод!$G$19,IF('01_Доходи'!L642&gt;=Законод!$I$18,Законод!$H$20,0)))),IF($B$638="Лікар-терапевт",IF(L642&lt;Законод!$C$26,0,(IF(AND(L642&gt;=Законод!$H$26,L642&lt;=Законод!$H$27),L642-Законод!$G$27,IF(L642&gt;=Законод!$I$26,Законод!$H$28,0)))),0)))</f>
        <v>0</v>
      </c>
      <c r="M647" s="930"/>
      <c r="N647" s="889" t="s">
        <v>346</v>
      </c>
      <c r="O647" s="890"/>
      <c r="P647" s="890"/>
      <c r="Q647" s="890"/>
      <c r="R647" s="891"/>
      <c r="S647" s="196">
        <f ca="1">IF($B$638="Лікар загальної практики - сімейний лікар",IF(S642&lt;Законод!$C$22,0,(IF(AND(S642&gt;=Законод!$H$22,S642&lt;=Законод!$H$23),S642-Законод!$G$23,IF('01_Доходи'!S642&gt;=Законод!$I$22,Законод!$H$24,0)))),IF($B$638="Лікар-педіатр",IF(S642&lt;Законод!$C$18,0,(IF(AND(S642&gt;=Законод!$H$18,S642&lt;=Законод!$H$19),S642-Законод!$G$19,IF('01_Доходи'!S642&gt;=Законод!$I$18,Законод!$H$20,0)))),IF($B$638="Лікар-терапевт",IF(S642&lt;Законод!$C$26,0,(IF(AND(S642&gt;=Законод!$H$26,S642&lt;=Законод!$H$27),S642-Законод!$G$27,IF(S642&gt;=Законод!$I$26,Законод!$H$28,0)))),0)))</f>
        <v>0</v>
      </c>
      <c r="T647" s="930"/>
      <c r="U647" s="889" t="s">
        <v>346</v>
      </c>
      <c r="V647" s="890"/>
      <c r="W647" s="890"/>
      <c r="X647" s="890"/>
      <c r="Y647" s="891"/>
      <c r="Z647" s="196">
        <f ca="1">IF($B$638="Лікар загальної практики - сімейний лікар",IF(Z642&lt;Законод!$C$22,0,(IF(AND(Z642&gt;=Законод!$H$22,Z642&lt;=Законод!$H$23),Z642-Законод!$G$23,IF('01_Доходи'!Z642&gt;=Законод!$I$22,Законод!$H$24,0)))),IF($B$638="Лікар-педіатр",IF(Z642&lt;Законод!$C$18,0,(IF(AND(Z642&gt;=Законод!$H$18,Z642&lt;=Законод!$H$19),Z642-Законод!$G$19,IF('01_Доходи'!Z642&gt;=Законод!$I$18,Законод!$H$20,0)))),IF($B$638="Лікар-терапевт",IF(Z642&lt;Законод!$C$26,0,(IF(AND(Z642&gt;=Законод!$H$26,Z642&lt;=Законод!$H$27),Z642-Законод!$G$27,IF(Z642&gt;=Законод!$I$26,Законод!$H$28,0)))),0)))</f>
        <v>0</v>
      </c>
      <c r="AA647" s="930"/>
      <c r="AB647" s="889" t="s">
        <v>346</v>
      </c>
      <c r="AC647" s="890"/>
      <c r="AD647" s="890"/>
      <c r="AE647" s="890"/>
      <c r="AF647" s="891"/>
      <c r="AG647" s="196">
        <f ca="1">IF($B$638="Лікар загальної практики - сімейний лікар",IF(AG642&lt;Законод!$C$22,0,(IF(AND(AG642&gt;=Законод!$H$22,AG642&lt;=Законод!$H$23),AG642-Законод!$G$23,IF('01_Доходи'!AG642&gt;=Законод!$I$22,Законод!$H$24,0)))),IF($B$638="Лікар-педіатр",IF(AG642&lt;Законод!$C$18,0,(IF(AND(AG642&gt;=Законод!$H$18,AG642&lt;=Законод!$H$19),AG642-Законод!$G$19,IF('01_Доходи'!AG642&gt;=Законод!$I$18,Законод!$H$20,0)))),IF($B$638="Лікар-терапевт",IF(AG642&lt;Законод!$C$26,0,(IF(AND(AG642&gt;=Законод!$H$26,AG642&lt;=Законод!$H$27),AG642-Законод!$G$27,IF(AG642&gt;=Законод!$I$26,Законод!$H$28,0)))),0)))</f>
        <v>0</v>
      </c>
      <c r="AH647" s="930"/>
      <c r="AI647" s="201"/>
      <c r="AJ647" s="933"/>
      <c r="AK647" s="927"/>
      <c r="AL647" s="927"/>
      <c r="AM647" s="899"/>
      <c r="AN647" s="210">
        <f ca="1">IF(B638="Лікар загальної практики - сімейний лікар",L647*Законод!$C$9/4*Законод!$H$16,IF(B638="Лікар-педіатр",L647*Законод!$C$9/4*Законод!$H$16,IF(B638="Лікар-терапевт",L647*Законод!$C$9/4*Законод!$H$16,0)))</f>
        <v>0</v>
      </c>
      <c r="AO647" s="210">
        <f ca="1">IF(B638="Лікар загальної практики - сімейний лікар",S647*Законод!$C$9/4*Законод!$H$16,IF(B638="Лікар-педіатр",S647*Законод!$C$9/4*Законод!$H$16,IF(B638="Лікар-терапевт",S647*Законод!$C$9/4*Законод!$H$16,0)))</f>
        <v>0</v>
      </c>
      <c r="AP647" s="210">
        <f ca="1">IF(B638="Лікар загальної практики - сімейний лікар",Z647*Законод!$C$9/4*Законод!$H$16,IF(B638="Лікар-педіатр",Z647*Законод!$C$9/4*Законод!$H$16,IF(B638="Лікар-терапевт",Z647*Законод!$C$9/4*Законод!$H$16,0)))</f>
        <v>0</v>
      </c>
      <c r="AQ647" s="210">
        <f ca="1">IF(B638="Лікар загальної практики - сімейний лікар",AG647*Законод!$C$9/4*Законод!$H$16,IF(B638="Лікар-педіатр",AG647*Законод!$C$9/4*Законод!$H$16,IF(B638="Лікар-терапевт",AG647*Законод!$C$9/4*Законод!$H$16,0)))</f>
        <v>0</v>
      </c>
      <c r="AR647" s="211">
        <f t="shared" si="76"/>
        <v>0</v>
      </c>
    </row>
    <row r="648" spans="1:44" s="50" customFormat="1" ht="31.9" hidden="1" customHeight="1">
      <c r="A648" s="197"/>
      <c r="B648" s="893"/>
      <c r="C648" s="896"/>
      <c r="D648" s="912"/>
      <c r="E648" s="909"/>
      <c r="F648" s="238" t="str">
        <f ca="1">IF(B638="Лікар-педіатр",Законод!$I$17,IF(B638="Лікар загальної практики - сімейний лікар",Законод!$I$21,IF(B638="Лікар-терапевт",Законод!$I$25,"х")))</f>
        <v>х</v>
      </c>
      <c r="G648" s="889" t="s">
        <v>346</v>
      </c>
      <c r="H648" s="890"/>
      <c r="I648" s="890"/>
      <c r="J648" s="890"/>
      <c r="K648" s="891"/>
      <c r="L648" s="196">
        <f ca="1">IF($B$638="Лікар загальної практики - сімейний лікар",IF(L642&lt;Законод!$C$22,0,(IF(AND(L642&gt;=Законод!$I$22,L642&lt;=Законод!$I$23),L642-Законод!$H$23,IF('01_Доходи'!L642&gt;=Законод!$I$22,Законод!$I$24,0)))),IF($B$638="Лікар-педіатр",IF(L642&lt;Законод!$C$18,0,(IF(AND(L642&gt;=Законод!$I$18,L642&lt;=Законод!$I$19),L642-Законод!$H$19,IF('01_Доходи'!L642&gt;=Законод!$I$18,Законод!$H$20,0)))),IF($B$638="Лікар-терапевт",IF(L642&lt;Законод!$C$26,0,(IF(AND(L642&gt;=Законод!$I$26,L642&lt;=Законод!$I$27),L642-Законод!$H$27,IF('01_Доходи'!L642&gt;=Законод!$I$26,Законод!$H$28,0)))),0)))</f>
        <v>0</v>
      </c>
      <c r="M648" s="930"/>
      <c r="N648" s="889" t="s">
        <v>346</v>
      </c>
      <c r="O648" s="890"/>
      <c r="P648" s="890"/>
      <c r="Q648" s="890"/>
      <c r="R648" s="891"/>
      <c r="S648" s="196">
        <f ca="1">IF($B$638="Лікар загальної практики - сімейний лікар",IF(S642&lt;Законод!$C$22,0,(IF(AND(S642&gt;=Законод!$I$22,S642&lt;=Законод!$I$23),S642-Законод!$H$23,IF('01_Доходи'!S642&gt;=Законод!$I$22,Законод!$I$24,0)))),IF($B$638="Лікар-педіатр",IF(S642&lt;Законод!$C$18,0,(IF(AND(S642&gt;=Законод!$I$18,S642&lt;=Законод!$I$19),S642-Законод!$H$19,IF('01_Доходи'!S642&gt;=Законод!$I$18,Законод!$H$20,0)))),IF($B$638="Лікар-терапевт",IF(S642&lt;Законод!$C$26,0,(IF(AND(S642&gt;=Законод!$I$26,S642&lt;=Законод!$I$27),S642-Законод!$H$27,IF('01_Доходи'!S642&gt;=Законод!$I$26,Законод!$H$28,0)))),0)))</f>
        <v>0</v>
      </c>
      <c r="T648" s="930"/>
      <c r="U648" s="889" t="s">
        <v>346</v>
      </c>
      <c r="V648" s="890"/>
      <c r="W648" s="890"/>
      <c r="X648" s="890"/>
      <c r="Y648" s="891"/>
      <c r="Z648" s="196">
        <f ca="1">IF($B$638="Лікар загальної практики - сімейний лікар",IF(Z642&lt;Законод!$C$22,0,(IF(AND(Z642&gt;=Законод!$I$22,Z642&lt;=Законод!$I$23),Z642-Законод!$H$23,IF('01_Доходи'!Z642&gt;=Законод!$I$22,Законод!$I$24,0)))),IF($B$638="Лікар-педіатр",IF(Z642&lt;Законод!$C$18,0,(IF(AND(Z642&gt;=Законод!$I$18,Z642&lt;=Законод!$I$19),Z642-Законод!$H$19,IF('01_Доходи'!Z642&gt;=Законод!$I$18,Законод!$H$20,0)))),IF($B$638="Лікар-терапевт",IF(Z642&lt;Законод!$C$26,0,(IF(AND(Z642&gt;=Законод!$I$26,Z642&lt;=Законод!$I$27),Z642-Законод!$H$27,IF('01_Доходи'!Z642&gt;=Законод!$I$26,Законод!$H$28,0)))),0)))</f>
        <v>0</v>
      </c>
      <c r="AA648" s="930"/>
      <c r="AB648" s="889" t="s">
        <v>346</v>
      </c>
      <c r="AC648" s="890"/>
      <c r="AD648" s="890"/>
      <c r="AE648" s="890"/>
      <c r="AF648" s="891"/>
      <c r="AG648" s="196">
        <f ca="1">IF($B$638="Лікар загальної практики - сімейний лікар",IF(AG642&lt;Законод!$C$22,0,(IF(AND(AG642&gt;=Законод!$I$22,AG642&lt;=Законод!$I$23),AG642-Законод!$H$23,IF('01_Доходи'!AG642&gt;=Законод!$I$22,Законод!$I$24,0)))),IF($B$638="Лікар-педіатр",IF(AG642&lt;Законод!$C$18,0,(IF(AND(AG642&gt;=Законод!$I$18,AG642&lt;=Законод!$I$19),AG642-Законод!$H$19,IF('01_Доходи'!AG642&gt;=Законод!$I$18,Законод!$H$20,0)))),IF($B$638="Лікар-терапевт",IF(AG642&lt;Законод!$C$26,0,(IF(AND(AG642&gt;=Законод!$I$26,AG642&lt;=Законод!$I$27),AG642-Законод!$H$27,IF('01_Доходи'!AG642&gt;=Законод!$I$26,Законод!$H$28,0)))),0)))</f>
        <v>0</v>
      </c>
      <c r="AH648" s="930"/>
      <c r="AI648" s="201"/>
      <c r="AJ648" s="933"/>
      <c r="AK648" s="927"/>
      <c r="AL648" s="927"/>
      <c r="AM648" s="899"/>
      <c r="AN648" s="210">
        <f ca="1">IF(B638="Лікар загальної практики - сімейний лікар",L648*Законод!$C$9/4*Законод!$I$16,IF(B638="Лікар-педіатр",L648*Законод!$C$9/4*Законод!$I$16,IF(B638="Лікар-терапевт",L648*Законод!$C$9/4*Законод!$I$16,0)))</f>
        <v>0</v>
      </c>
      <c r="AO648" s="210">
        <f ca="1">IF(B638="Лікар загальної практики - сімейний лікар",S648*Законод!$C$9/4*Законод!$I$16,IF(B638="Лікар-педіатр",S648*Законод!$C$9/4*Законод!$I$16,IF(B638="Лікар-терапевт",S648*Законод!$C$9/4*Законод!$I$16,0)))</f>
        <v>0</v>
      </c>
      <c r="AP648" s="210">
        <f ca="1">IF(B638="Лікар загальної практики - сімейний лікар",Z648*Законод!$C$9/4*Законод!$I$16,IF(B638="Лікар-педіатр",Z648*Законод!$C$9/4*Законод!$I$16,IF(B638="Лікар-терапевт",Z648*Законод!$C$9/4*Законод!$I$16,0)))</f>
        <v>0</v>
      </c>
      <c r="AQ648" s="210">
        <f ca="1">IF(B638="Лікар загальної практики - сімейний лікар",AG648*Законод!$C$9/4*Законод!$I$16,IF(B638="Лікар-педіатр",AG648*Законод!$C$9/4*Законод!$I$16,IF(B638="Лікар-терапевт",AG648*Законод!$C$9/4*Законод!$I$16,0)))</f>
        <v>0</v>
      </c>
      <c r="AR648" s="211">
        <f t="shared" si="76"/>
        <v>0</v>
      </c>
    </row>
    <row r="649" spans="1:44" s="218" customFormat="1" ht="31.9" hidden="1" customHeight="1" thickBot="1">
      <c r="A649" s="213"/>
      <c r="B649" s="894"/>
      <c r="C649" s="897"/>
      <c r="D649" s="913"/>
      <c r="E649" s="910"/>
      <c r="F649" s="239" t="str">
        <f ca="1">IF(B638="Лікар-педіатр",Законод!$J$17,IF(B638="Лікар загальної практики - сімейний лікар",Законод!$J$21,IF(B638="Лікар-терапевт",Законод!$J$25,"х")))</f>
        <v>х</v>
      </c>
      <c r="G649" s="935" t="s">
        <v>346</v>
      </c>
      <c r="H649" s="936"/>
      <c r="I649" s="936"/>
      <c r="J649" s="936"/>
      <c r="K649" s="937"/>
      <c r="L649" s="196">
        <f ca="1">IF($B$638="Лікар загальної практики - сімейний лікар",IF(L642&gt;=Законод!$J$22,'01_Доходи'!L642-('01_Доходи'!L643+'01_Доходи'!L644+'01_Доходи'!L645+'01_Доходи'!L646+'01_Доходи'!L647+'01_Доходи'!L648),0),IF($B$638="Лікар-педіатр",IF(L642&gt;=Законод!$J$18,'01_Доходи'!L642-('01_Доходи'!L643+'01_Доходи'!L644+'01_Доходи'!L645+'01_Доходи'!L646+'01_Доходи'!L647+'01_Доходи'!L648),0),IF($B$638="Лікар-терапевт",IF('01_Доходи'!L642&gt;=Законод!$J$26,L642-Законод!$I$27,0),0)))</f>
        <v>0</v>
      </c>
      <c r="M649" s="931"/>
      <c r="N649" s="935" t="s">
        <v>346</v>
      </c>
      <c r="O649" s="936"/>
      <c r="P649" s="936"/>
      <c r="Q649" s="936"/>
      <c r="R649" s="937"/>
      <c r="S649" s="196">
        <f ca="1">IF($B$638="Лікар загальної практики - сімейний лікар",IF(S642&gt;=Законод!$J$22,'01_Доходи'!S642-('01_Доходи'!S643+'01_Доходи'!S644+'01_Доходи'!S645+'01_Доходи'!S646+'01_Доходи'!S647+'01_Доходи'!S648),0),IF($B$638="Лікар-педіатр",IF(S642&gt;=Законод!$J$18,'01_Доходи'!S642-('01_Доходи'!S643+'01_Доходи'!S644+'01_Доходи'!S645+'01_Доходи'!S646+'01_Доходи'!S647+'01_Доходи'!S648),0),IF($B$638="Лікар-терапевт",IF('01_Доходи'!S642&gt;=Законод!$J$26,S642-Законод!$I$27,0),0)))</f>
        <v>0</v>
      </c>
      <c r="T649" s="931"/>
      <c r="U649" s="935" t="s">
        <v>346</v>
      </c>
      <c r="V649" s="936"/>
      <c r="W649" s="936"/>
      <c r="X649" s="936"/>
      <c r="Y649" s="937"/>
      <c r="Z649" s="196">
        <f ca="1">IF($B$638="Лікар загальної практики - сімейний лікар",IF(Z642&gt;=Законод!$J$22,'01_Доходи'!Z642-('01_Доходи'!Z643+'01_Доходи'!Z644+'01_Доходи'!Z645+'01_Доходи'!Z646+'01_Доходи'!Z647+'01_Доходи'!Z648),0),IF($B$638="Лікар-педіатр",IF(Z642&gt;=Законод!$J$18,'01_Доходи'!Z642-('01_Доходи'!Z643+'01_Доходи'!Z644+'01_Доходи'!Z645+'01_Доходи'!Z646+'01_Доходи'!Z647+'01_Доходи'!Z648),0),IF($B$638="Лікар-терапевт",IF('01_Доходи'!Z642&gt;=Законод!$J$26,Z642-Законод!$I$27,0),0)))</f>
        <v>0</v>
      </c>
      <c r="AA649" s="931"/>
      <c r="AB649" s="935" t="s">
        <v>346</v>
      </c>
      <c r="AC649" s="936"/>
      <c r="AD649" s="936"/>
      <c r="AE649" s="936"/>
      <c r="AF649" s="937"/>
      <c r="AG649" s="196">
        <f ca="1">IF($B$638="Лікар загальної практики - сімейний лікар",IF(AG642&gt;=Законод!$J$22,'01_Доходи'!AG642-('01_Доходи'!AG643+'01_Доходи'!AG644+'01_Доходи'!AG645+'01_Доходи'!AG646+'01_Доходи'!AG647+'01_Доходи'!AG648),0),IF($B$638="Лікар-педіатр",IF(AG642&gt;=Законод!$J$18,'01_Доходи'!AG642-('01_Доходи'!AG643+'01_Доходи'!AG644+'01_Доходи'!AG645+'01_Доходи'!AG646+'01_Доходи'!AG647+'01_Доходи'!AG648),0),IF($B$638="Лікар-терапевт",IF('01_Доходи'!AG642&gt;=Законод!$J$26,AG642-Законод!$I$27,0),0)))</f>
        <v>0</v>
      </c>
      <c r="AH649" s="931"/>
      <c r="AI649" s="215"/>
      <c r="AJ649" s="934"/>
      <c r="AK649" s="928"/>
      <c r="AL649" s="928"/>
      <c r="AM649" s="900"/>
      <c r="AN649" s="216">
        <f ca="1">IF(B638="Лікар загальної практики - сімейний лікар",L649*Законод!$C$9/4*Законод!$J$16,IF(B638="Лікар-педіатр",L649*Законод!$C$9/4*Законод!$J$16,IF(B638="Лікар-терапевт",L649*Законод!$C$9/4*Законод!$J$16,0)))</f>
        <v>0</v>
      </c>
      <c r="AO649" s="216">
        <f ca="1">IF(B638="Лікар загальної практики - сімейний лікар",S649*Законод!$C$9/4*Законод!$J$16,IF(B638="Лікар-педіатр",S649*Законод!$C$9/4*Законод!$J$16,IF(B638="Лікар-терапевт",S649*Законод!$C$9/4*Законод!$J$16,0)))</f>
        <v>0</v>
      </c>
      <c r="AP649" s="216">
        <f ca="1">IF(B638="Лікар загальної практики - сімейний лікар",S649*Законод!$C$9/4*Законод!$J$16,IF(B638="Лікар-педіатр",S649*Законод!$C$9/4*Законод!$J$16,IF(B638="Лікар-терапевт",S649*Законод!$C$9/4*Законод!$J$16,0)))</f>
        <v>0</v>
      </c>
      <c r="AQ649" s="216">
        <f ca="1">IF(B638="Лікар загальної практики - сімейний лікар",AG649*Законод!$C$9/4*Законод!$J$16,IF(B638="Лікар-педіатр",AG649*Законод!$C$9/4*Законод!$J$16,IF(B638="Лікар-терапевт",AG649*Законод!$C$9/4*Законод!$J$16,0)))</f>
        <v>0</v>
      </c>
      <c r="AR649" s="217">
        <f t="shared" si="76"/>
        <v>0</v>
      </c>
    </row>
    <row r="650" spans="1:44" s="247" customFormat="1" ht="23.45" hidden="1" customHeight="1" thickBot="1">
      <c r="A650" s="243"/>
      <c r="B650" s="244"/>
      <c r="C650" s="244"/>
      <c r="D650" s="244"/>
      <c r="E650" s="244"/>
      <c r="F650" s="245"/>
      <c r="G650" s="246"/>
      <c r="H650" s="246"/>
      <c r="L650" s="248"/>
      <c r="S650" s="248"/>
      <c r="Z650" s="248"/>
      <c r="AG650" s="248"/>
      <c r="AM650" s="249"/>
      <c r="AR650" s="250"/>
    </row>
    <row r="651" spans="1:44" s="191" customFormat="1" ht="24.6" hidden="1" customHeight="1">
      <c r="A651" s="194">
        <f>A638+1</f>
        <v>48</v>
      </c>
      <c r="B651" s="892"/>
      <c r="C651" s="895"/>
      <c r="D651" s="911"/>
      <c r="E651" s="908"/>
      <c r="F651" s="234" t="s">
        <v>582</v>
      </c>
      <c r="G651" s="196">
        <f>IF($B$651="Лікар-педіатр",G654*L651,IF($B$651="Лікар-терапевт","х",IF($B$651="Лікар загальної практики - сімейний лікар",G654*L651,0)))</f>
        <v>0</v>
      </c>
      <c r="H651" s="196">
        <f>IF($B$651="Лікар-педіатр",H654*L651,IF($B$651="Лікар-терапевт","х",IF($B$651="Лікар загальної практики - сімейний лікар",H654*L651,0)))</f>
        <v>0</v>
      </c>
      <c r="I651" s="196">
        <f>IF($B$651="Лікар-педіатр","x",IF($B$651="Лікар-терапевт",I654*L651,IF($B$651="Лікар загальної практики - сімейний лікар",I654*L651,0)))</f>
        <v>0</v>
      </c>
      <c r="J651" s="196">
        <f>IF($B$651="Лікар-педіатр","x",IF($B$651="Лікар-терапевт",J654*L651,IF($B$651="Лікар загальної практики - сімейний лікар",J654*L651,0)))</f>
        <v>0</v>
      </c>
      <c r="K651" s="196">
        <f>IF($B$651="Лікар-педіатр","x",IF($B$651="Лікар-терапевт",K654*L651,IF($B$651="Лікар загальної практики - сімейний лікар",K654*L651,0)))</f>
        <v>0</v>
      </c>
      <c r="L651" s="558"/>
      <c r="M651" s="929"/>
      <c r="N651" s="196">
        <f>IF($B$651="Лікар-педіатр",N654*S651,IF($B$651="Лікар-терапевт","х",IF($B$651="Лікар загальної практики - сімейний лікар",N654*S651,0)))</f>
        <v>0</v>
      </c>
      <c r="O651" s="196">
        <f>IF($B$651="Лікар-педіатр",O654*S651,IF($B$651="Лікар-терапевт","х",IF($B$651="Лікар загальної практики - сімейний лікар",O654*S651,0)))</f>
        <v>0</v>
      </c>
      <c r="P651" s="196">
        <f>IF($B$651="Лікар-педіатр","x",IF($B$651="Лікар-терапевт",P654*S651,IF($B$651="Лікар загальної практики - сімейний лікар",P654*S651,0)))</f>
        <v>0</v>
      </c>
      <c r="Q651" s="196">
        <f>IF($B$651="Лікар-педіатр","x",IF($B$651="Лікар-терапевт",Q654*S651,IF($B$651="Лікар загальної практики - сімейний лікар",Q654*S651,0)))</f>
        <v>0</v>
      </c>
      <c r="R651" s="196">
        <f>IF($B$651="Лікар-педіатр","x",IF($B$651="Лікар-терапевт",R654*S651,IF($B$651="Лікар загальної практики - сімейний лікар",R654*S651,0)))</f>
        <v>0</v>
      </c>
      <c r="S651" s="558"/>
      <c r="T651" s="929"/>
      <c r="U651" s="196">
        <f>IF($B$651="Лікар-педіатр",U654*Z651,IF($B$651="Лікар-терапевт","х",IF($B$651="Лікар загальної практики - сімейний лікар",U654*Z651,0)))</f>
        <v>0</v>
      </c>
      <c r="V651" s="196">
        <f>IF($B$651="Лікар-педіатр",V654*Z651,IF($B$651="Лікар-терапевт","х",IF($B$651="Лікар загальної практики - сімейний лікар",V654*Z651,0)))</f>
        <v>0</v>
      </c>
      <c r="W651" s="196">
        <f>IF($B$651="Лікар-педіатр","x",IF($B$651="Лікар-терапевт",W654*Z651,IF($B$651="Лікар загальної практики - сімейний лікар",W654*Z651,0)))</f>
        <v>0</v>
      </c>
      <c r="X651" s="196">
        <f>IF($B$651="Лікар-педіатр","x",IF($B$651="Лікар-терапевт",X654*Z651,IF($B$651="Лікар загальної практики - сімейний лікар",X654*Z651,0)))</f>
        <v>0</v>
      </c>
      <c r="Y651" s="196">
        <f>IF($B$651="Лікар-педіатр","x",IF($B$651="Лікар-терапевт",Y654*Z651,IF($B$651="Лікар загальної практики - сімейний лікар",Y654*Z651,0)))</f>
        <v>0</v>
      </c>
      <c r="Z651" s="558"/>
      <c r="AA651" s="929"/>
      <c r="AB651" s="196">
        <f>IF($B$651="Лікар-педіатр",AB654*AG651,IF($B$651="Лікар-терапевт","х",IF($B$651="Лікар загальної практики - сімейний лікар",AB654*AG651,0)))</f>
        <v>0</v>
      </c>
      <c r="AC651" s="196">
        <f>IF($B$651="Лікар-педіатр",AC654*AG651,IF($B$651="Лікар-терапевт","х",IF($B$651="Лікар загальної практики - сімейний лікар",AC654*AG651,0)))</f>
        <v>0</v>
      </c>
      <c r="AD651" s="196">
        <f>IF($B$651="Лікар-педіатр","x",IF($B$651="Лікар-терапевт",AD654*AG651,IF($B$651="Лікар загальної практики - сімейний лікар",AD654*AG651,0)))</f>
        <v>0</v>
      </c>
      <c r="AE651" s="196">
        <f>IF($B$651="Лікар-педіатр","x",IF($B$651="Лікар-терапевт",AE654*AG651,IF($B$651="Лікар загальної практики - сімейний лікар",AE654*AG651,0)))</f>
        <v>0</v>
      </c>
      <c r="AF651" s="196">
        <f>IF($B$651="Лікар-педіатр","x",IF($B$651="Лікар-терапевт",AF654*AG651,IF($B$651="Лікар загальної практики - сімейний лікар",AF654*AG651,0)))</f>
        <v>0</v>
      </c>
      <c r="AG651" s="558"/>
      <c r="AH651" s="929"/>
      <c r="AI651" s="541">
        <f>A651</f>
        <v>48</v>
      </c>
      <c r="AJ651" s="932">
        <f>B651</f>
        <v>0</v>
      </c>
      <c r="AK651" s="926">
        <f>C651</f>
        <v>0</v>
      </c>
      <c r="AL651" s="926">
        <f>D651</f>
        <v>0</v>
      </c>
      <c r="AM651" s="901" t="s">
        <v>785</v>
      </c>
      <c r="AN651" s="923">
        <f>SUM(AN656:AN662)</f>
        <v>0</v>
      </c>
      <c r="AO651" s="923">
        <f>SUM(AO656:AO662)</f>
        <v>0</v>
      </c>
      <c r="AP651" s="923">
        <f>SUM(AP656:AP662)</f>
        <v>0</v>
      </c>
      <c r="AQ651" s="923">
        <f>SUM(AQ656:AQ662)</f>
        <v>0</v>
      </c>
      <c r="AR651" s="914">
        <f>SUM(AN651:AQ655)</f>
        <v>0</v>
      </c>
    </row>
    <row r="652" spans="1:44" s="50" customFormat="1" ht="28.15" hidden="1" customHeight="1">
      <c r="A652" s="197"/>
      <c r="B652" s="893"/>
      <c r="C652" s="896"/>
      <c r="D652" s="912"/>
      <c r="E652" s="909"/>
      <c r="F652" s="234" t="s">
        <v>583</v>
      </c>
      <c r="G652" s="196">
        <f>IF($B$651="Лікар-педіатр",G654*L652,IF($B$651="Лікар-терапевт","х",IF($B$651="Лікар загальної практики - сімейний лікар",G654*L652,0)))</f>
        <v>0</v>
      </c>
      <c r="H652" s="196">
        <f>IF($B$651="Лікар-педіатр",H654*L652,IF($B$651="Лікар-терапевт","х",IF($B$651="Лікар загальної практики - сімейний лікар",H654*L652,0)))</f>
        <v>0</v>
      </c>
      <c r="I652" s="196">
        <f>IF($B$651="Лікар-педіатр","x",IF($B$651="Лікар-терапевт",I654*L652,IF($B$651="Лікар загальної практики - сімейний лікар",I654*L652,0)))</f>
        <v>0</v>
      </c>
      <c r="J652" s="196">
        <f>IF($B$651="Лікар-педіатр","x",IF($B$651="Лікар-терапевт",J654*L652,IF($B$651="Лікар загальної практики - сімейний лікар",J654*L652,0)))</f>
        <v>0</v>
      </c>
      <c r="K652" s="196">
        <f>IF($B$651="Лікар-педіатр","x",IF($B$651="Лікар-терапевт",K654*L652,IF($B$651="Лікар загальної практики - сімейний лікар",K654*L652,0)))</f>
        <v>0</v>
      </c>
      <c r="L652" s="558"/>
      <c r="M652" s="930"/>
      <c r="N652" s="196">
        <f>IF($B$651="Лікар-педіатр",N654*S652,IF($B$651="Лікар-терапевт","х",IF($B$651="Лікар загальної практики - сімейний лікар",N654*S652,0)))</f>
        <v>0</v>
      </c>
      <c r="O652" s="196">
        <f>IF($B$651="Лікар-педіатр",O654*S652,IF($B$651="Лікар-терапевт","х",IF($B$651="Лікар загальної практики - сімейний лікар",O654*S652,0)))</f>
        <v>0</v>
      </c>
      <c r="P652" s="196">
        <f>IF($B$651="Лікар-педіатр","x",IF($B$651="Лікар-терапевт",P654*S652,IF($B$651="Лікар загальної практики - сімейний лікар",P654*S652,0)))</f>
        <v>0</v>
      </c>
      <c r="Q652" s="196">
        <f>IF($B$651="Лікар-педіатр","x",IF($B$651="Лікар-терапевт",Q654*S652,IF($B$651="Лікар загальної практики - сімейний лікар",Q654*S652,0)))</f>
        <v>0</v>
      </c>
      <c r="R652" s="196">
        <f>IF($B$651="Лікар-педіатр","x",IF($B$651="Лікар-терапевт",R654*S652,IF($B$651="Лікар загальної практики - сімейний лікар",R654*S652,0)))</f>
        <v>0</v>
      </c>
      <c r="S652" s="558"/>
      <c r="T652" s="930"/>
      <c r="U652" s="196">
        <f>IF($B$651="Лікар-педіатр",U654*Z652,IF($B$651="Лікар-терапевт","х",IF($B$651="Лікар загальної практики - сімейний лікар",U654*Z652,0)))</f>
        <v>0</v>
      </c>
      <c r="V652" s="196">
        <f>IF($B$651="Лікар-педіатр",V654*Z652,IF($B$651="Лікар-терапевт","х",IF($B$651="Лікар загальної практики - сімейний лікар",V654*Z652,0)))</f>
        <v>0</v>
      </c>
      <c r="W652" s="196">
        <f>IF($B$651="Лікар-педіатр","x",IF($B$651="Лікар-терапевт",W654*Z652,IF($B$651="Лікар загальної практики - сімейний лікар",W654*Z652,0)))</f>
        <v>0</v>
      </c>
      <c r="X652" s="196">
        <f>IF($B$651="Лікар-педіатр","x",IF($B$651="Лікар-терапевт",X654*Z652,IF($B$651="Лікар загальної практики - сімейний лікар",X654*Z652,0)))</f>
        <v>0</v>
      </c>
      <c r="Y652" s="196">
        <f>IF($B$651="Лікар-педіатр","x",IF($B$651="Лікар-терапевт",Y654*Z652,IF($B$651="Лікар загальної практики - сімейний лікар",Y654*Z652,0)))</f>
        <v>0</v>
      </c>
      <c r="Z652" s="558"/>
      <c r="AA652" s="930"/>
      <c r="AB652" s="196">
        <f>IF($B$651="Лікар-педіатр",AB654*AG652,IF($B$651="Лікар-терапевт","х",IF($B$651="Лікар загальної практики - сімейний лікар",AB654*AG652,0)))</f>
        <v>0</v>
      </c>
      <c r="AC652" s="196">
        <f>IF($B$651="Лікар-педіатр",AC654*AG652,IF($B$651="Лікар-терапевт","х",IF($B$651="Лікар загальної практики - сімейний лікар",AC654*AG652,0)))</f>
        <v>0</v>
      </c>
      <c r="AD652" s="196">
        <f>IF($B$651="Лікар-педіатр","x",IF($B$651="Лікар-терапевт",AD654*AG652,IF($B$651="Лікар загальної практики - сімейний лікар",AD654*AG652,0)))</f>
        <v>0</v>
      </c>
      <c r="AE652" s="196">
        <f>IF($B$651="Лікар-педіатр","x",IF($B$651="Лікар-терапевт",AE654*AG652,IF($B$651="Лікар загальної практики - сімейний лікар",AE654*AG652,0)))</f>
        <v>0</v>
      </c>
      <c r="AF652" s="196">
        <f>IF($B$651="Лікар-педіатр","x",IF($B$651="Лікар-терапевт",AF654*AG652,IF($B$651="Лікар загальної практики - сімейний лікар",AF654*AG652,0)))</f>
        <v>0</v>
      </c>
      <c r="AG652" s="558"/>
      <c r="AH652" s="930"/>
      <c r="AI652" s="198"/>
      <c r="AJ652" s="933"/>
      <c r="AK652" s="927"/>
      <c r="AL652" s="927"/>
      <c r="AM652" s="902"/>
      <c r="AN652" s="924"/>
      <c r="AO652" s="924"/>
      <c r="AP652" s="924"/>
      <c r="AQ652" s="924"/>
      <c r="AR652" s="915"/>
    </row>
    <row r="653" spans="1:44" s="90" customFormat="1" ht="31.15" hidden="1" customHeight="1">
      <c r="A653" s="240"/>
      <c r="B653" s="893"/>
      <c r="C653" s="896"/>
      <c r="D653" s="912"/>
      <c r="E653" s="909"/>
      <c r="F653" s="241" t="s">
        <v>584</v>
      </c>
      <c r="G653" s="199">
        <f>IF(B651="Лікар загальної практики - сімейний лікар"," ",IF(B651="Лікар-педіатр"," ",IF(B651="Лікар-терапевт","х",0)))</f>
        <v>0</v>
      </c>
      <c r="H653" s="199">
        <f>IF(B651="Лікар загальної практики - сімейний лікар"," ",IF(B651="Лікар-педіатр"," ",IF(B651="Лікар-терапевт","х",0)))</f>
        <v>0</v>
      </c>
      <c r="I653" s="199">
        <f>IF(B651="Лікар загальної практики - сімейний лікар"," ",IF(B651="Лікар-педіатр","х",IF(B651="Лікар-терапевт"," ",0)))</f>
        <v>0</v>
      </c>
      <c r="J653" s="199">
        <f>IF(B651="Лікар загальної практики - сімейний лікар"," ",IF(B651="Лікар-педіатр","х",IF(B651="Лікар-терапевт"," ",0)))</f>
        <v>0</v>
      </c>
      <c r="K653" s="199">
        <f>IF(B651="Лікар загальної практики - сімейний лікар"," ",IF(B651="Лікар-педіатр","х",IF(B651="Лікар-терапевт"," ",0)))</f>
        <v>0</v>
      </c>
      <c r="L653" s="200">
        <f>SUM(G653:K653)</f>
        <v>0</v>
      </c>
      <c r="M653" s="930"/>
      <c r="N653" s="199">
        <f>IF(B651="Лікар загальної практики - сімейний лікар"," ",IF(B651="Лікар-педіатр"," ",IF(B651="Лікар-терапевт","х",0)))</f>
        <v>0</v>
      </c>
      <c r="O653" s="199">
        <f>IF(B651="Лікар загальної практики - сімейний лікар"," ",IF(B651="Лікар-педіатр"," ",IF(B651="Лікар-терапевт","х",0)))</f>
        <v>0</v>
      </c>
      <c r="P653" s="199">
        <f>IF(B651="Лікар загальної практики - сімейний лікар"," ",IF(B651="Лікар-педіатр","х",IF(B651="Лікар-терапевт"," ",0)))</f>
        <v>0</v>
      </c>
      <c r="Q653" s="199">
        <f>IF(B651="Лікар загальної практики - сімейний лікар"," ",IF(B651="Лікар-педіатр","х",IF(B651="Лікар-терапевт"," ",0)))</f>
        <v>0</v>
      </c>
      <c r="R653" s="199">
        <f>IF(B651="Лікар загальної практики - сімейний лікар"," ",IF(B651="Лікар-педіатр","х",IF(B651="Лікар-терапевт"," ",0)))</f>
        <v>0</v>
      </c>
      <c r="S653" s="200">
        <f>SUM(N653:R653)</f>
        <v>0</v>
      </c>
      <c r="T653" s="930"/>
      <c r="U653" s="199">
        <f>IF(B651="Лікар загальної практики - сімейний лікар"," ",IF(B651="Лікар-педіатр"," ",IF(B651="Лікар-терапевт","х",0)))</f>
        <v>0</v>
      </c>
      <c r="V653" s="199">
        <f>IF(B651="Лікар загальної практики - сімейний лікар"," ",IF(B651="Лікар-педіатр"," ",IF(B651="Лікар-терапевт","х",0)))</f>
        <v>0</v>
      </c>
      <c r="W653" s="199">
        <f>IF(B651="Лікар загальної практики - сімейний лікар"," ",IF(B651="Лікар-педіатр","х",IF(B651="Лікар-терапевт"," ",0)))</f>
        <v>0</v>
      </c>
      <c r="X653" s="199">
        <f>IF(B651="Лікар загальної практики - сімейний лікар"," ",IF(B651="Лікар-педіатр","х",IF(B651="Лікар-терапевт"," ",0)))</f>
        <v>0</v>
      </c>
      <c r="Y653" s="199">
        <f>IF(B651="Лікар загальної практики - сімейний лікар"," ",IF(B651="Лікар-педіатр","х",IF(B651="Лікар-терапевт"," ",0)))</f>
        <v>0</v>
      </c>
      <c r="Z653" s="200">
        <f>SUM(U653:Y653)</f>
        <v>0</v>
      </c>
      <c r="AA653" s="930"/>
      <c r="AB653" s="199">
        <f>IF(B651="Лікар загальної практики - сімейний лікар"," ",IF(B651="Лікар-педіатр"," ",IF(B651="Лікар-терапевт","х",0)))</f>
        <v>0</v>
      </c>
      <c r="AC653" s="199">
        <f>IF(B651="Лікар загальної практики - сімейний лікар"," ",IF(B651="Лікар-педіатр"," ",IF(B651="Лікар-терапевт","х",0)))</f>
        <v>0</v>
      </c>
      <c r="AD653" s="199">
        <f>IF(B651="Лікар загальної практики - сімейний лікар"," ",IF(B651="Лікар-педіатр","х",IF(B651="Лікар-терапевт"," ",0)))</f>
        <v>0</v>
      </c>
      <c r="AE653" s="199">
        <f>IF(B651="Лікар загальної практики - сімейний лікар"," ",IF(B651="Лікар-педіатр","х",IF(B651="Лікар-терапевт"," ",0)))</f>
        <v>0</v>
      </c>
      <c r="AF653" s="199">
        <f>IF(B651="Лікар загальної практики - сімейний лікар"," ",IF(B651="Лікар-педіатр","х",IF(B651="Лікар-терапевт"," ",0)))</f>
        <v>0</v>
      </c>
      <c r="AG653" s="200">
        <f>SUM(AB653:AF653)</f>
        <v>0</v>
      </c>
      <c r="AH653" s="930"/>
      <c r="AI653" s="242"/>
      <c r="AJ653" s="933"/>
      <c r="AK653" s="927"/>
      <c r="AL653" s="927"/>
      <c r="AM653" s="902"/>
      <c r="AN653" s="924"/>
      <c r="AO653" s="924"/>
      <c r="AP653" s="924"/>
      <c r="AQ653" s="924"/>
      <c r="AR653" s="915"/>
    </row>
    <row r="654" spans="1:44" s="50" customFormat="1" ht="31.9" hidden="1" customHeight="1" thickBot="1">
      <c r="A654" s="197"/>
      <c r="B654" s="893"/>
      <c r="C654" s="896"/>
      <c r="D654" s="912"/>
      <c r="E654" s="909"/>
      <c r="F654" s="236" t="s">
        <v>349</v>
      </c>
      <c r="G654" s="203">
        <f>IF($B$651="Лікар-педіатр",G653/L653,IF($B$651="Лікар-терапевт","х",IF($B$651="Лікар загальної практики - сімейний лікар",G653/L653,0)))</f>
        <v>0</v>
      </c>
      <c r="H654" s="203">
        <f>IF($B$651="Лікар-педіатр",H653/L653,IF($B$651="Лікар-терапевт","х",IF($B$651="Лікар загальної практики - сімейний лікар",H653/L653,0)))</f>
        <v>0</v>
      </c>
      <c r="I654" s="203">
        <f>IF($B$651="Лікар-педіатр","x",IF($B$651="Лікар-терапевт",I653/L653,IF($B$651="Лікар загальної практики - сімейний лікар",I653/L653,0)))</f>
        <v>0</v>
      </c>
      <c r="J654" s="203">
        <f>IF($B$651="Лікар-педіатр","x",IF($B$651="Лікар-терапевт",J653/L653,IF($B$651="Лікар загальної практики - сімейний лікар",J653/L653,0)))</f>
        <v>0</v>
      </c>
      <c r="K654" s="203">
        <f>IF($B$651="Лікар-педіатр","x",IF($B$651="Лікар-терапевт",K653/L653,IF($B$651="Лікар загальної практики - сімейний лікар",K653/L653,0)))</f>
        <v>0</v>
      </c>
      <c r="L654" s="203">
        <f>SUM(G654:K654)</f>
        <v>0</v>
      </c>
      <c r="M654" s="930"/>
      <c r="N654" s="203">
        <f>IF($B$651="Лікар-педіатр",N653/S653,IF($B$651="Лікар-терапевт","х",IF($B$651="Лікар загальної практики - сімейний лікар",N653/S653,0)))</f>
        <v>0</v>
      </c>
      <c r="O654" s="203">
        <f>IF($B$651="Лікар-педіатр",O653/S653,IF($B$651="Лікар-терапевт","х",IF($B$651="Лікар загальної практики - сімейний лікар",O653/S653,0)))</f>
        <v>0</v>
      </c>
      <c r="P654" s="203">
        <f>IF($B$651="Лікар-педіатр","x",IF($B$651="Лікар-терапевт",P653/S653,IF($B$651="Лікар загальної практики - сімейний лікар",P653/S653,0)))</f>
        <v>0</v>
      </c>
      <c r="Q654" s="203">
        <f>IF($B$651="Лікар-педіатр","x",IF($B$651="Лікар-терапевт",Q653/S653,IF($B$651="Лікар загальної практики - сімейний лікар",Q653/S653,0)))</f>
        <v>0</v>
      </c>
      <c r="R654" s="203">
        <f>IF($B$651="Лікар-педіатр","x",IF($B$651="Лікар-терапевт",R653/S653,IF($B$651="Лікар загальної практики - сімейний лікар",R653/S653,0)))</f>
        <v>0</v>
      </c>
      <c r="S654" s="203">
        <f>SUM(N654:R654)</f>
        <v>0</v>
      </c>
      <c r="T654" s="930"/>
      <c r="U654" s="203">
        <f>IF($B$651="Лікар-педіатр",U653/Z653,IF($B$651="Лікар-терапевт","х",IF($B$651="Лікар загальної практики - сімейний лікар",U653/Z653,0)))</f>
        <v>0</v>
      </c>
      <c r="V654" s="203">
        <f>IF($B$651="Лікар-педіатр",V653/Z653,IF($B$651="Лікар-терапевт","х",IF($B$651="Лікар загальної практики - сімейний лікар",V653/Z653,0)))</f>
        <v>0</v>
      </c>
      <c r="W654" s="203">
        <f>IF($B$651="Лікар-педіатр","x",IF($B$651="Лікар-терапевт",W653/Z653,IF($B$651="Лікар загальної практики - сімейний лікар",W653/Z653,0)))</f>
        <v>0</v>
      </c>
      <c r="X654" s="203">
        <f>IF($B$651="Лікар-педіатр","x",IF($B$651="Лікар-терапевт",X653/Z653,IF($B$651="Лікар загальної практики - сімейний лікар",X653/Z653,0)))</f>
        <v>0</v>
      </c>
      <c r="Y654" s="203">
        <f>IF($B$651="Лікар-педіатр","x",IF($B$651="Лікар-терапевт",Y653/Z653,IF($B$651="Лікар загальної практики - сімейний лікар",Y653/Z653,0)))</f>
        <v>0</v>
      </c>
      <c r="Z654" s="203">
        <f>SUM(U654:Y654)</f>
        <v>0</v>
      </c>
      <c r="AA654" s="930"/>
      <c r="AB654" s="203">
        <f>IF($B$651="Лікар-педіатр",AB653/AG653,IF($B$651="Лікар-терапевт","х",IF($B$651="Лікар загальної практики - сімейний лікар",AB653/AG653,0)))</f>
        <v>0</v>
      </c>
      <c r="AC654" s="203">
        <f>IF($B$651="Лікар-педіатр",AC653/AG653,IF($B$651="Лікар-терапевт","х",IF($B$651="Лікар загальної практики - сімейний лікар",AC653/AG653,0)))</f>
        <v>0</v>
      </c>
      <c r="AD654" s="203">
        <f>IF($B$651="Лікар-педіатр","x",IF($B$651="Лікар-терапевт",AD653/AG653,IF($B$651="Лікар загальної практики - сімейний лікар",AD653/AG653,0)))</f>
        <v>0</v>
      </c>
      <c r="AE654" s="203">
        <f>IF($B$651="Лікар-педіатр","x",IF($B$651="Лікар-терапевт",AE653/AG653,IF($B$651="Лікар загальної практики - сімейний лікар",AE653/AG653,0)))</f>
        <v>0</v>
      </c>
      <c r="AF654" s="203">
        <f>IF($B$651="Лікар-педіатр","x",IF($B$651="Лікар-терапевт",AF653/AG653,IF($B$651="Лікар загальної практики - сімейний лікар",AF653/AG653,0)))</f>
        <v>0</v>
      </c>
      <c r="AG654" s="203">
        <f>SUM(AB654:AF654)</f>
        <v>0</v>
      </c>
      <c r="AH654" s="930"/>
      <c r="AI654" s="201"/>
      <c r="AJ654" s="933"/>
      <c r="AK654" s="927"/>
      <c r="AL654" s="927"/>
      <c r="AM654" s="902"/>
      <c r="AN654" s="924"/>
      <c r="AO654" s="924"/>
      <c r="AP654" s="924"/>
      <c r="AQ654" s="924"/>
      <c r="AR654" s="915"/>
    </row>
    <row r="655" spans="1:44" s="50" customFormat="1" ht="45" hidden="1" customHeight="1" thickBot="1">
      <c r="A655" s="197"/>
      <c r="B655" s="893"/>
      <c r="C655" s="896"/>
      <c r="D655" s="912"/>
      <c r="E655" s="909"/>
      <c r="F655" s="204" t="s">
        <v>585</v>
      </c>
      <c r="G655" s="205">
        <f>IF($B$651="Лікар загальної практики - сімейний лікар",AVERAGE(G651:G653),IF($B$651="Лікар-педіатр",AVERAGE(G651:G653),IF($B$651="Лікар-терапевт","х",0)))</f>
        <v>0</v>
      </c>
      <c r="H655" s="205">
        <f>IF($B$651="Лікар загальної практики - сімейний лікар",AVERAGE(H651:H653),IF($B$651="Лікар-педіатр",AVERAGE(H651:H653),IF($B$651="Лікар-терапевт","х",0)))</f>
        <v>0</v>
      </c>
      <c r="I655" s="205">
        <f>IF($B$651="Лікар загальної практики - сімейний лікар",AVERAGE(I651:I653),IF($B$651="Лікар-педіатр","x",IF($B$651="Лікар-терапевт",AVERAGE(I651:I653),0)))</f>
        <v>0</v>
      </c>
      <c r="J655" s="205">
        <f>IF($B$651="Лікар загальної практики - сімейний лікар",AVERAGE(J651:J653),IF($B$651="Лікар-педіатр","x",IF($B$651="Лікар-терапевт",AVERAGE(J651:J653),0)))</f>
        <v>0</v>
      </c>
      <c r="K655" s="205">
        <f>IF($B$651="Лікар загальної практики - сімейний лікар",AVERAGE(K651:K653),IF($B$651="Лікар-педіатр","x",IF($B$651="Лікар-терапевт",AVERAGE(K651:K653),0)))</f>
        <v>0</v>
      </c>
      <c r="L655" s="206">
        <f>SUM(G655:K655)</f>
        <v>0</v>
      </c>
      <c r="M655" s="930"/>
      <c r="N655" s="205">
        <f>IF($B$651="Лікар загальної практики - сімейний лікар",AVERAGE(N651:N653),IF($B$651="Лікар-педіатр",AVERAGE(N651:N653),IF($B$651="Лікар-терапевт","х",0)))</f>
        <v>0</v>
      </c>
      <c r="O655" s="205">
        <f>IF($B$651="Лікар загальної практики - сімейний лікар",AVERAGE(O651:O653),IF($B$651="Лікар-педіатр",AVERAGE(O651:O653),IF($B$651="Лікар-терапевт","х",0)))</f>
        <v>0</v>
      </c>
      <c r="P655" s="205">
        <f>IF($B$651="Лікар загальної практики - сімейний лікар",AVERAGE(P651:P653),IF($B$651="Лікар-педіатр","x",IF($B$651="Лікар-терапевт",AVERAGE(P651:P653),0)))</f>
        <v>0</v>
      </c>
      <c r="Q655" s="205">
        <f>IF($B$651="Лікар загальної практики - сімейний лікар",AVERAGE(Q651:Q653),IF($B$651="Лікар-педіатр","x",IF($B$651="Лікар-терапевт",AVERAGE(Q651:Q653),0)))</f>
        <v>0</v>
      </c>
      <c r="R655" s="205">
        <f>IF($B$651="Лікар загальної практики - сімейний лікар",AVERAGE(R651:R653),IF($B$651="Лікар-педіатр","x",IF($B$651="Лікар-терапевт",AVERAGE(R651:R653),0)))</f>
        <v>0</v>
      </c>
      <c r="S655" s="206">
        <f>SUM(N655:R655)</f>
        <v>0</v>
      </c>
      <c r="T655" s="930"/>
      <c r="U655" s="205">
        <f>IF($B$651="Лікар загальної практики - сімейний лікар",AVERAGE(U651:U653),IF($B$651="Лікар-педіатр",AVERAGE(U651:U653),IF($B$651="Лікар-терапевт","х",0)))</f>
        <v>0</v>
      </c>
      <c r="V655" s="205">
        <f>IF($B$651="Лікар загальної практики - сімейний лікар",AVERAGE(V651:V653),IF($B$651="Лікар-педіатр",AVERAGE(V651:V653),IF($B$651="Лікар-терапевт","х",0)))</f>
        <v>0</v>
      </c>
      <c r="W655" s="205">
        <f>IF($B$651="Лікар загальної практики - сімейний лікар",AVERAGE(W651:W653),IF($B$651="Лікар-педіатр","x",IF($B$651="Лікар-терапевт",AVERAGE(W651:W653),0)))</f>
        <v>0</v>
      </c>
      <c r="X655" s="205">
        <f>IF($B$651="Лікар загальної практики - сімейний лікар",AVERAGE(X651:X653),IF($B$651="Лікар-педіатр","x",IF($B$651="Лікар-терапевт",AVERAGE(X651:X653),0)))</f>
        <v>0</v>
      </c>
      <c r="Y655" s="205">
        <f>IF($B$651="Лікар загальної практики - сімейний лікар",AVERAGE(Y651:Y653),IF($B$651="Лікар-педіатр","x",IF($B$651="Лікар-терапевт",AVERAGE(Y651:Y653),0)))</f>
        <v>0</v>
      </c>
      <c r="Z655" s="206">
        <f>SUM(U655:Y655)</f>
        <v>0</v>
      </c>
      <c r="AA655" s="930"/>
      <c r="AB655" s="205">
        <f>IF($B$651="Лікар загальної практики - сімейний лікар",AVERAGE(AB651:AB653),IF($B$651="Лікар-педіатр",AVERAGE(AB651:AB653),IF($B$651="Лікар-терапевт","х",0)))</f>
        <v>0</v>
      </c>
      <c r="AC655" s="205">
        <f>IF($B$651="Лікар загальної практики - сімейний лікар",AVERAGE(AC651:AC653),IF($B$651="Лікар-педіатр",AVERAGE(AC651:AC653),IF($B$651="Лікар-терапевт","х",0)))</f>
        <v>0</v>
      </c>
      <c r="AD655" s="205">
        <f>IF($B$651="Лікар загальної практики - сімейний лікар",AVERAGE(AD651:AD653),IF($B$651="Лікар-педіатр","x",IF($B$651="Лікар-терапевт",AVERAGE(AD651:AD653),0)))</f>
        <v>0</v>
      </c>
      <c r="AE655" s="205">
        <f>IF($B$651="Лікар загальної практики - сімейний лікар",AVERAGE(AE651:AE653),IF($B$651="Лікар-педіатр","x",IF($B$651="Лікар-терапевт",AVERAGE(AE651:AE653),0)))</f>
        <v>0</v>
      </c>
      <c r="AF655" s="205">
        <f>IF($B$651="Лікар загальної практики - сімейний лікар",AVERAGE(AF651:AF653),IF($B$651="Лікар-педіатр","x",IF($B$651="Лікар-терапевт",AVERAGE(AF651:AF653),0)))</f>
        <v>0</v>
      </c>
      <c r="AG655" s="206">
        <f>SUM(AB655:AF655)</f>
        <v>0</v>
      </c>
      <c r="AH655" s="930"/>
      <c r="AI655" s="201"/>
      <c r="AJ655" s="933"/>
      <c r="AK655" s="927"/>
      <c r="AL655" s="927"/>
      <c r="AM655" s="903"/>
      <c r="AN655" s="925"/>
      <c r="AO655" s="925"/>
      <c r="AP655" s="925"/>
      <c r="AQ655" s="925"/>
      <c r="AR655" s="916"/>
    </row>
    <row r="656" spans="1:44" s="50" customFormat="1" ht="40.5" hidden="1">
      <c r="A656" s="197"/>
      <c r="B656" s="893"/>
      <c r="C656" s="896"/>
      <c r="D656" s="912"/>
      <c r="E656" s="909"/>
      <c r="F656" s="237" t="str">
        <f ca="1">IF(B651="Лікар-педіатр",Законод!$C$17,IF(B651="Лікар загальної практики - сімейний лікар",Законод!$C$21,IF(B651="Лікар-терапевт",Законод!$C$25,"х")))</f>
        <v>х</v>
      </c>
      <c r="G656" s="208">
        <f ca="1">IF($B$651="Лікар загальної практики - сімейний лікар",IF(L655&lt;=Законод!$C$22,G655,Законод!$C$22*'01_Доходи'!G654),IF($B$651="Лікар-педіатр",IF(L655&lt;=Законод!$C$18,G655,Законод!$C$18*'01_Доходи'!G654),IF($B$651="Лікар-терапевт","x",0)))</f>
        <v>0</v>
      </c>
      <c r="H656" s="208">
        <f ca="1">IF($B$651="Лікар загальної практики - сімейний лікар",IF(L655&lt;=Законод!$C$22,H655,Законод!$C$22*'01_Доходи'!H654),IF($B$651="Лікар-педіатр",IF(L655&lt;=Законод!$C$18,H655,Законод!$C$18*'01_Доходи'!H654),IF($B$651="Лікар-терапевт","x",0)))</f>
        <v>0</v>
      </c>
      <c r="I656" s="208">
        <f ca="1">IF($B$651="Лікар загальної практики - сімейний лікар",IF(L655&lt;=Законод!$C$22,I655,Законод!$C$22*'01_Доходи'!I654),IF($B$651="Лікар-педіатр","x",IF($B$651="Лікар-терапевт",IF(L655&lt;=Законод!$C$26,I655,Законод!$C$26*'01_Доходи'!I654),0)))</f>
        <v>0</v>
      </c>
      <c r="J656" s="208">
        <f ca="1">IF($B$651="Лікар загальної практики - сімейний лікар",IF(L655&lt;=Законод!$C$22,J655,Законод!$C$22*'01_Доходи'!J654),IF($B$651="Лікар-педіатр","x",IF($B$651="Лікар-терапевт",IF(L655&lt;=Законод!$C$26,J655,Законод!$C$26*'01_Доходи'!J654),0)))</f>
        <v>0</v>
      </c>
      <c r="K656" s="208">
        <f ca="1">IF($B$651="Лікар загальної практики - сімейний лікар",IF(L655&lt;=Законод!$C$22,K655,Законод!$C$22*'01_Доходи'!K654),IF($B$651="Лікар-педіатр","x",IF($B$651="Лікар-терапевт",IF(L655&lt;=Законод!$C$26,K655,Законод!$C$26*'01_Доходи'!K654),0)))</f>
        <v>0</v>
      </c>
      <c r="L656" s="209">
        <f ca="1">SUM(G656:K656)</f>
        <v>0</v>
      </c>
      <c r="M656" s="930"/>
      <c r="N656" s="208">
        <f ca="1">IF($B$651="Лікар загальної практики - сімейний лікар",IF(S655&lt;=Законод!$C$22,N655,Законод!$C$22*'01_Доходи'!N654),IF($B$651="Лікар-педіатр",IF(S655&lt;=Законод!$C$18,N655,Законод!$C$18*'01_Доходи'!N654),IF($B$651="Лікар-терапевт","x",0)))</f>
        <v>0</v>
      </c>
      <c r="O656" s="208">
        <f ca="1">IF($B$651="Лікар загальної практики - сімейний лікар",IF(S655&lt;=Законод!$C$22,O655,Законод!$C$22*'01_Доходи'!O654),IF($B$651="Лікар-педіатр",IF(S655&lt;=Законод!$C$18,O655,Законод!$C$18*'01_Доходи'!O654),IF($B$651="Лікар-терапевт","x",0)))</f>
        <v>0</v>
      </c>
      <c r="P656" s="208">
        <f ca="1">IF($B$651="Лікар загальної практики - сімейний лікар",IF(S655&lt;=Законод!$C$22,P655,Законод!$C$22*'01_Доходи'!P654),IF($B$651="Лікар-педіатр","x",IF($B$651="Лікар-терапевт",IF(S655&lt;=Законод!$C$26,P655,Законод!$C$26*'01_Доходи'!P654),0)))</f>
        <v>0</v>
      </c>
      <c r="Q656" s="208">
        <f ca="1">IF($B$651="Лікар загальної практики - сімейний лікар",IF(S655&lt;=Законод!$C$22,Q655,Законод!$C$22*'01_Доходи'!Q654),IF($B$651="Лікар-педіатр","x",IF($B$651="Лікар-терапевт",IF(S655&lt;=Законод!$C$26,Q655,Законод!$C$26*'01_Доходи'!Q654),0)))</f>
        <v>0</v>
      </c>
      <c r="R656" s="208">
        <f ca="1">IF($B$651="Лікар загальної практики - сімейний лікар",IF(S655&lt;=Законод!$C$22,R655,Законод!$C$22*'01_Доходи'!R654),IF($B$651="Лікар-педіатр","x",IF($B$651="Лікар-терапевт",IF(S655&lt;=Законод!$C$26,R655,Законод!$C$26*'01_Доходи'!R654),0)))</f>
        <v>0</v>
      </c>
      <c r="S656" s="209">
        <f ca="1">SUM(N656:R656)</f>
        <v>0</v>
      </c>
      <c r="T656" s="930"/>
      <c r="U656" s="208">
        <f ca="1">IF($B$651="Лікар загальної практики - сімейний лікар",IF(Z655&lt;=Законод!$C$22,U655,Законод!$C$22*'01_Доходи'!U654),IF($B$651="Лікар-педіатр",IF(Z655&lt;=Законод!$C$18,U655,Законод!$C$18*'01_Доходи'!U654),IF($B$651="Лікар-терапевт","x",0)))</f>
        <v>0</v>
      </c>
      <c r="V656" s="208">
        <f ca="1">IF($B$651="Лікар загальної практики - сімейний лікар",IF(Z655&lt;=Законод!$C$22,V655,Законод!$C$22*'01_Доходи'!V654),IF($B$651="Лікар-педіатр",IF(Z655&lt;=Законод!$C$18,V655,Законод!$C$18*'01_Доходи'!V654),IF($B$651="Лікар-терапевт","x",0)))</f>
        <v>0</v>
      </c>
      <c r="W656" s="208">
        <f ca="1">IF($B$651="Лікар загальної практики - сімейний лікар",IF(Z655&lt;=Законод!$C$22,W655,Законод!$C$22*'01_Доходи'!W654),IF($B$651="Лікар-педіатр","x",IF($B$651="Лікар-терапевт",IF(Z655&lt;=Законод!$C$26,W655,Законод!$C$26*'01_Доходи'!W654),0)))</f>
        <v>0</v>
      </c>
      <c r="X656" s="208">
        <f ca="1">IF($B$651="Лікар загальної практики - сімейний лікар",IF(Z655&lt;=Законод!$C$22,X655,Законод!$C$22*'01_Доходи'!X654),IF($B$651="Лікар-педіатр","x",IF($B$651="Лікар-терапевт",IF(Z655&lt;=Законод!$C$26,X655,Законод!$C$26*'01_Доходи'!X654),0)))</f>
        <v>0</v>
      </c>
      <c r="Y656" s="208">
        <f ca="1">IF($B$651="Лікар загальної практики - сімейний лікар",IF(Z655&lt;=Законод!$C$22,Y655,Законод!$C$22*'01_Доходи'!Y654),IF($B$651="Лікар-педіатр","x",IF($B$651="Лікар-терапевт",IF(Z655&lt;=Законод!$C$26,Y655,Законод!$C$26*'01_Доходи'!Y654),0)))</f>
        <v>0</v>
      </c>
      <c r="Z656" s="209">
        <f ca="1">SUM(U656:Y656)</f>
        <v>0</v>
      </c>
      <c r="AA656" s="930"/>
      <c r="AB656" s="208">
        <f ca="1">IF($B$651="Лікар загальної практики - сімейний лікар",IF(AG655&lt;=Законод!$C$22,AB655,Законод!$C$22*'01_Доходи'!AB654),IF($B$651="Лікар-педіатр",IF(AG655&lt;=Законод!$C$18,AB655,Законод!$C$18*'01_Доходи'!AB654),IF($B$651="Лікар-терапевт","x",0)))</f>
        <v>0</v>
      </c>
      <c r="AC656" s="208">
        <f ca="1">IF($B$651="Лікар загальної практики - сімейний лікар",IF(AG655&lt;=Законод!$C$22,AC655,Законод!$C$22*'01_Доходи'!AC654),IF($B$651="Лікар-педіатр",IF(AG655&lt;=Законод!$C$18,AC655,Законод!$C$18*'01_Доходи'!AC654),IF($B$651="Лікар-терапевт","x",0)))</f>
        <v>0</v>
      </c>
      <c r="AD656" s="208">
        <f ca="1">IF($B$651="Лікар загальної практики - сімейний лікар",IF(AG655&lt;=Законод!$C$22,AD655,Законод!$C$22*'01_Доходи'!AD654),IF($B$651="Лікар-педіатр","x",IF($B$651="Лікар-терапевт",IF(AG655&lt;=Законод!$C$26,AD655,Законод!$C$26*'01_Доходи'!AD654),0)))</f>
        <v>0</v>
      </c>
      <c r="AE656" s="208">
        <f ca="1">IF($B$651="Лікар загальної практики - сімейний лікар",IF(AG655&lt;=Законод!$C$22,AE655,Законод!$C$22*'01_Доходи'!AE654),IF($B$651="Лікар-педіатр","x",IF($B$651="Лікар-терапевт",IF(AG655&lt;=Законод!$C$26,AE655,Законод!$C$26*'01_Доходи'!AE654),0)))</f>
        <v>0</v>
      </c>
      <c r="AF656" s="208">
        <f ca="1">IF($B$651="Лікар загальної практики - сімейний лікар",IF(AG655&lt;=Законод!$C$22,AF655,Законод!$C$22*'01_Доходи'!AF654),IF($B$651="Лікар-педіатр","x",IF($B$651="Лікар-терапевт",IF(AG655&lt;=Законод!$C$26,AF655,Законод!$C$26*'01_Доходи'!AF654),0)))</f>
        <v>0</v>
      </c>
      <c r="AG656" s="209">
        <f ca="1">SUM(AB656:AF656)</f>
        <v>0</v>
      </c>
      <c r="AH656" s="930"/>
      <c r="AI656" s="201"/>
      <c r="AJ656" s="933"/>
      <c r="AK656" s="927"/>
      <c r="AL656" s="927"/>
      <c r="AM656" s="348" t="s">
        <v>374</v>
      </c>
      <c r="AN656" s="210">
        <f ca="1">IF(B651="Лікар загальної практики - сімейний лікар",G656*Законод!$C$11+'01_Доходи'!H656*Законод!$D$11+'01_Доходи'!I656*Законод!$E$11+'01_Доходи'!J656*Законод!$F$11+'01_Доходи'!K656*Законод!$G$11,IF(B651="Лікар-педіатр",G656*Законод!$C$11+'01_Доходи'!H656*Законод!$D$11,IF(B651="Лікар-терапевт",'01_Доходи'!I656*Законод!$E$11+'01_Доходи'!J656*Законод!$F$11+'01_Доходи'!K656*Законод!$G$11,0)))</f>
        <v>0</v>
      </c>
      <c r="AO656" s="210">
        <f ca="1">IF(B651="Лікар загальної практики - сімейний лікар",N656*Законод!$C$11+'01_Доходи'!O656*Законод!$D$11+'01_Доходи'!P656*Законод!$E$11+'01_Доходи'!Q656*Законод!$F$11+'01_Доходи'!R656*Законод!$G$11,IF(B651="Лікар-педіатр",N656*Законод!$C$11+'01_Доходи'!O656*Законод!$D$11,IF(B651="Лікар-терапевт",'01_Доходи'!P656*Законод!$E$11+'01_Доходи'!Q656*Законод!$F$11+'01_Доходи'!R656*Законод!$G$11,0)))</f>
        <v>0</v>
      </c>
      <c r="AP656" s="210">
        <f ca="1">IF(B651="Лікар загальної практики - сімейний лікар",U656*Законод!$C$11+'01_Доходи'!V656*Законод!$D$11+'01_Доходи'!W656*Законод!$E$11+'01_Доходи'!X656*Законод!$F$11+'01_Доходи'!Y656*Законод!$G$11,IF(B651="Лікар-педіатр",U656*Законод!$C$11+'01_Доходи'!V656*Законод!$D$11,IF(B651="Лікар-терапевт",'01_Доходи'!W656*Законод!$E$11+'01_Доходи'!X656*Законод!$F$11+'01_Доходи'!Y656*Законод!$G$11,0)))</f>
        <v>0</v>
      </c>
      <c r="AQ656" s="210">
        <f ca="1">IF(B651="Лікар загальної практики - сімейний лікар",AB656*Законод!$C$11+'01_Доходи'!AC656*Законод!$D$11+'01_Доходи'!AD656*Законод!$E$11+'01_Доходи'!AE656*Законод!$F$11+'01_Доходи'!AF656*Законод!$G$11,IF(B651="Лікар-педіатр",AB656*Законод!$C$11+'01_Доходи'!AC656*Законод!$D$11,IF(B651="Лікар-терапевт",'01_Доходи'!AD656*Законод!$E$11+'01_Доходи'!AE656*Законод!$F$11+'01_Доходи'!AF656*Законод!$G$11,0)))</f>
        <v>0</v>
      </c>
      <c r="AR656" s="211">
        <f t="shared" ref="AR656:AR662" si="77">SUM(AN656:AQ656)</f>
        <v>0</v>
      </c>
    </row>
    <row r="657" spans="1:44" s="50" customFormat="1" ht="31.9" hidden="1" customHeight="1">
      <c r="A657" s="197"/>
      <c r="B657" s="893"/>
      <c r="C657" s="896"/>
      <c r="D657" s="912"/>
      <c r="E657" s="909"/>
      <c r="F657" s="238" t="str">
        <f ca="1">IF(B651="Лікар-педіатр",Законод!$E$17,IF(B651="Лікар загальної практики - сімейний лікар",Законод!$E$21,IF(B651="Лікар-терапевт",Законод!$E$25,"х")))</f>
        <v>х</v>
      </c>
      <c r="G657" s="889" t="s">
        <v>346</v>
      </c>
      <c r="H657" s="890"/>
      <c r="I657" s="890"/>
      <c r="J657" s="890"/>
      <c r="K657" s="891"/>
      <c r="L657" s="196">
        <f ca="1">IF($B$651="Лікар загальної практики - сімейний лікар",IF(L655&lt;Законод!$C$22,0,(IF(AND(L655&gt;=Законод!$E$22,L655&lt;=Законод!$E$23),L655-Законод!$C$22,IF('01_Доходи'!L655&gt;=Законод!$F$22,Законод!$E$24,0)))),IF($B$651="Лікар-педіатр",IF(L655&lt;Законод!$C$18,0,(IF(AND(L655&gt;=Законод!$E$18,L655&lt;=Законод!$E$19),L655-Законод!$C$18,IF('01_Доходи'!L655&gt;=Законод!$F$18,Законод!$E$20,0)))),IF($B$651="Лікар-терапевт",IF(L655&lt;Законод!$C$26,0,(IF(AND(L655&gt;=Законод!$E$26,L655&lt;=Законод!$E$27),L655-Законод!$C$26,IF('01_Доходи'!L655&gt;=Законод!$F$26,Законод!$E$28,0)))),0)))</f>
        <v>0</v>
      </c>
      <c r="M657" s="930"/>
      <c r="N657" s="889" t="s">
        <v>346</v>
      </c>
      <c r="O657" s="890"/>
      <c r="P657" s="890"/>
      <c r="Q657" s="890"/>
      <c r="R657" s="891"/>
      <c r="S657" s="196">
        <f ca="1">IF($B$651="Лікар загальної практики - сімейний лікар",IF(S655&lt;Законод!$C$22,0,(IF(AND(S655&gt;=Законод!$E$22,S655&lt;=Законод!$E$23),S655-Законод!$C$22,IF('01_Доходи'!S655&gt;=Законод!$F$22,Законод!$E$24,0)))),IF($B$651="Лікар-педіатр",IF(S655&lt;Законод!$C$18,0,(IF(AND(S655&gt;=Законод!$E$18,S655&lt;=Законод!$E$19),S655-Законод!$C$18,IF('01_Доходи'!S655&gt;=Законод!$F$18,Законод!$E$20,0)))),IF($B$651="Лікар-терапевт",IF(S655&lt;Законод!$C$26,0,(IF(AND(S655&gt;=Законод!$E$26,S655&lt;=Законод!$E$27),S655-Законод!$C$26,IF('01_Доходи'!S655&gt;=Законод!$F$26,Законод!$E$28,0)))),0)))</f>
        <v>0</v>
      </c>
      <c r="T657" s="930"/>
      <c r="U657" s="889" t="s">
        <v>346</v>
      </c>
      <c r="V657" s="890"/>
      <c r="W657" s="890"/>
      <c r="X657" s="890"/>
      <c r="Y657" s="891"/>
      <c r="Z657" s="196">
        <f ca="1">IF($B$651="Лікар загальної практики - сімейний лікар",IF(Z655&lt;Законод!$C$22,0,(IF(AND(Z655&gt;=Законод!$E$22,Z655&lt;=Законод!$E$23),Z655-Законод!$C$22,IF('01_Доходи'!Z655&gt;=Законод!$F$22,Законод!$E$24,0)))),IF($B$651="Лікар-педіатр",IF(Z655&lt;Законод!$C$18,0,(IF(AND(Z655&gt;=Законод!$E$18,Z655&lt;=Законод!$E$19),Z655-Законод!$C$18,IF('01_Доходи'!Z655&gt;=Законод!$F$18,Законод!$E$20,0)))),IF($B$651="Лікар-терапевт",IF(Z655&lt;Законод!$C$26,0,(IF(AND(Z655&gt;=Законод!$E$26,Z655&lt;=Законод!$E$27),Z655-Законод!$C$26,IF('01_Доходи'!Z655&gt;=Законод!$F$26,Законод!$E$28,0)))),0)))</f>
        <v>0</v>
      </c>
      <c r="AA657" s="930"/>
      <c r="AB657" s="889" t="s">
        <v>346</v>
      </c>
      <c r="AC657" s="890"/>
      <c r="AD657" s="890"/>
      <c r="AE657" s="890"/>
      <c r="AF657" s="891"/>
      <c r="AG657" s="196">
        <f ca="1">IF($B$651="Лікар загальної практики - сімейний лікар",IF(AG655&lt;Законод!$C$22,0,(IF(AND(AG655&gt;=Законод!$E$22,AG655&lt;=Законод!$E$23),AG655-Законод!$C$22,IF('01_Доходи'!AG655&gt;=Законод!$F$22,Законод!$E$24,0)))),IF($B$651="Лікар-педіатр",IF(AG655&lt;Законод!$C$18,0,(IF(AND(AG655&gt;=Законод!$E$18,AG655&lt;=Законод!$E$19),AG655-Законод!$C$18,IF('01_Доходи'!AG655&gt;=Законод!$F$18,Законод!$E$20,0)))),IF($B$651="Лікар-терапевт",IF(AG655&lt;Законод!$C$26,0,(IF(AND(AG655&gt;=Законод!$E$26,AG655&lt;=Законод!$E$27),AG655-Законод!$C$26,IF('01_Доходи'!AG655&gt;=Законод!$F$26,Законод!$E$28,0)))),0)))</f>
        <v>0</v>
      </c>
      <c r="AH657" s="930"/>
      <c r="AI657" s="201"/>
      <c r="AJ657" s="933"/>
      <c r="AK657" s="927"/>
      <c r="AL657" s="927"/>
      <c r="AM657" s="898" t="s">
        <v>375</v>
      </c>
      <c r="AN657" s="210">
        <f ca="1">IF(B651="Лікар загальної практики - сімейний лікар",L657*Законод!$C$9/4*Законод!$E$16,IF(B651="Лікар-педіатр",L657*Законод!$C$9/4*Законод!$E$16,IF(B651="Лікар-терапевт",L657*Законод!$C$9/4*Законод!$E$16,0)))</f>
        <v>0</v>
      </c>
      <c r="AO657" s="210">
        <f ca="1">IF(B651="Лікар загальної практики - сімейний лікар",S657*Законод!$C$9/4*Законод!$E$16,IF(B651="Лікар-педіатр",S657*Законод!$C$9/4*Законод!$E$16,IF(B651="Лікар-терапевт",S657*Законод!$C$9/4*Законод!$E$16,0)))</f>
        <v>0</v>
      </c>
      <c r="AP657" s="210">
        <f ca="1">IF(B651="Лікар загальної практики - сімейний лікар",Z657*Законод!$C$9/4*Законод!$E$16,IF(B651="Лікар-педіатр",Z657*Законод!$C$9/4*Законод!$E$16,IF(B651="Лікар-терапевт",Z657*Законод!$C$9/4*Законод!$E$16,0)))</f>
        <v>0</v>
      </c>
      <c r="AQ657" s="210">
        <f ca="1">IF(B651="Лікар загальної практики - сімейний лікар",AG657*Законод!$C$9/4*Законод!$E$16,IF(B651="Лікар-педіатр",AG657*Законод!$C$9/4*Законод!$E$16,IF(B651="Лікар-терапевт",AG657*Законод!$C$9/4*Законод!$E$16,0)))</f>
        <v>0</v>
      </c>
      <c r="AR657" s="211">
        <f t="shared" si="77"/>
        <v>0</v>
      </c>
    </row>
    <row r="658" spans="1:44" s="50" customFormat="1" ht="31.9" hidden="1" customHeight="1">
      <c r="A658" s="197"/>
      <c r="B658" s="893"/>
      <c r="C658" s="896"/>
      <c r="D658" s="912"/>
      <c r="E658" s="909"/>
      <c r="F658" s="238" t="str">
        <f ca="1">IF(B651="Лікар-педіатр",Законод!$F$17,IF(B651="Лікар загальної практики - сімейний лікар",Законод!$F$21,IF(B651="Лікар-терапевт",Законод!$F$25,"х")))</f>
        <v>х</v>
      </c>
      <c r="G658" s="889" t="s">
        <v>346</v>
      </c>
      <c r="H658" s="890"/>
      <c r="I658" s="890"/>
      <c r="J658" s="890"/>
      <c r="K658" s="891"/>
      <c r="L658" s="196">
        <f ca="1">IF($B$651="Лікар загальної практики - сімейний лікар",IF(L655&lt;Законод!$C$22,0,(IF(AND(L655&gt;=Законод!$F$22,L655&lt;=Законод!$F$23),L655-Законод!$E$23,IF('01_Доходи'!L655&gt;=Законод!$G$22,Законод!$F$24,0)))),IF($B$651="Лікар-педіатр",IF(L655&lt;Законод!$C$18,0,(IF(AND(L655&gt;=Законод!$F$18,L655&lt;=Законод!$F$19),L655-Законод!$E$19,IF('01_Доходи'!L655&gt;=Законод!$G$18,Законод!$F$20,0)))),IF($B$651="Лікар-терапевт",IF(L655&lt;Законод!$C$26,0,(IF(AND(L655&gt;=Законод!$F$26,L655&lt;=Законод!$F$27),L655-Законод!$E$27,IF('01_Доходи'!L655&gt;=Законод!$G$26,Законод!$F$28,0)))),0)))</f>
        <v>0</v>
      </c>
      <c r="M658" s="930"/>
      <c r="N658" s="889" t="s">
        <v>346</v>
      </c>
      <c r="O658" s="890"/>
      <c r="P658" s="890"/>
      <c r="Q658" s="890"/>
      <c r="R658" s="891"/>
      <c r="S658" s="196">
        <f ca="1">IF($B$651="Лікар загальної практики - сімейний лікар",IF(S655&lt;Законод!$C$22,0,(IF(AND(S655&gt;=Законод!$F$22,S655&lt;=Законод!$F$23),S655-Законод!$E$23,IF('01_Доходи'!S655&gt;=Законод!$G$22,Законод!$F$24,0)))),IF($B$651="Лікар-педіатр",IF(S655&lt;Законод!$C$18,0,(IF(AND(S655&gt;=Законод!$F$18,S655&lt;=Законод!$F$19),S655-Законод!$E$19,IF('01_Доходи'!S655&gt;=Законод!$G$18,Законод!$F$20,0)))),IF($B$651="Лікар-терапевт",IF(S655&lt;Законод!$C$26,0,(IF(AND(S655&gt;=Законод!$F$26,S655&lt;=Законод!$F$27),S655-Законод!$E$27,IF('01_Доходи'!S655&gt;=Законод!$G$26,Законод!$F$28,0)))),0)))</f>
        <v>0</v>
      </c>
      <c r="T658" s="930"/>
      <c r="U658" s="889" t="s">
        <v>346</v>
      </c>
      <c r="V658" s="890"/>
      <c r="W658" s="890"/>
      <c r="X658" s="890"/>
      <c r="Y658" s="891"/>
      <c r="Z658" s="196">
        <f ca="1">IF($B$651="Лікар загальної практики - сімейний лікар",IF(Z655&lt;Законод!$C$22,0,(IF(AND(Z655&gt;=Законод!$F$22,Z655&lt;=Законод!$F$23),Z655-Законод!$E$23,IF('01_Доходи'!Z655&gt;=Законод!$G$22,Законод!$F$24,0)))),IF($B$651="Лікар-педіатр",IF(Z655&lt;Законод!$C$18,0,(IF(AND(Z655&gt;=Законод!$F$18,Z655&lt;=Законод!$F$19),Z655-Законод!$E$19,IF('01_Доходи'!Z655&gt;=Законод!$G$18,Законод!$F$20,0)))),IF($B$651="Лікар-терапевт",IF(Z655&lt;Законод!$C$26,0,(IF(AND(Z655&gt;=Законод!$F$26,Z655&lt;=Законод!$F$27),Z655-Законод!$E$27,IF('01_Доходи'!Z655&gt;=Законод!$G$26,Законод!$F$28,0)))),0)))</f>
        <v>0</v>
      </c>
      <c r="AA658" s="930"/>
      <c r="AB658" s="889" t="s">
        <v>346</v>
      </c>
      <c r="AC658" s="890"/>
      <c r="AD658" s="890"/>
      <c r="AE658" s="890"/>
      <c r="AF658" s="891"/>
      <c r="AG658" s="196">
        <f ca="1">IF($B$651="Лікар загальної практики - сімейний лікар",IF(AG655&lt;Законод!$C$22,0,(IF(AND(AG655&gt;=Законод!$F$22,AG655&lt;=Законод!$F$23),AG655-Законод!$E$23,IF('01_Доходи'!AG655&gt;=Законод!$G$22,Законод!$F$24,0)))),IF($B$651="Лікар-педіатр",IF(AG655&lt;Законод!$C$18,0,(IF(AND(AG655&gt;=Законод!$F$18,AG655&lt;=Законод!$F$19),AG655-Законод!$E$19,IF('01_Доходи'!AG655&gt;=Законод!$G$18,Законод!$F$20,0)))),IF($B$651="Лікар-терапевт",IF(AG655&lt;Законод!$C$26,0,(IF(AND(AG655&gt;=Законод!$F$26,AG655&lt;=Законод!$F$27),AG655-Законод!$E$27,IF('01_Доходи'!AG655&gt;=Законод!$G$26,Законод!$F$28,0)))),0)))</f>
        <v>0</v>
      </c>
      <c r="AH658" s="930"/>
      <c r="AI658" s="201"/>
      <c r="AJ658" s="933"/>
      <c r="AK658" s="927"/>
      <c r="AL658" s="927"/>
      <c r="AM658" s="899"/>
      <c r="AN658" s="210">
        <f ca="1">IF(B651="Лікар загальної практики - сімейний лікар",L658*Законод!$C$9/4*Законод!$F$16,IF(B651="Лікар-педіатр",L658*Законод!$C$9/4*Законод!$F$16,IF(B651="Лікар-терапевт",L658*Законод!$C$9/4*Законод!$F$16,0)))</f>
        <v>0</v>
      </c>
      <c r="AO658" s="210">
        <f ca="1">IF(B651="Лікар загальної практики - сімейний лікар",S658*Законод!$C$9/4*Законод!$F$16,IF(B651="Лікар-педіатр",S658*Законод!$C$9/4*Законод!$F$16,IF(B651="Лікар-терапевт",S658*Законод!$C$9/4*Законод!$F$16,0)))</f>
        <v>0</v>
      </c>
      <c r="AP658" s="210">
        <f ca="1">IF(B651="Лікар загальної практики - сімейний лікар",Z658*Законод!$C$9/4*Законод!$F$16,IF(B651="Лікар-педіатр",Z658*Законод!$C$9/4*Законод!$F$16,IF(B651="Лікар-терапевт",Z658*Законод!$C$9/4*Законод!$F$16,0)))</f>
        <v>0</v>
      </c>
      <c r="AQ658" s="210">
        <f ca="1">IF(B651="Лікар загальної практики - сімейний лікар",AG658*Законод!$C$9/4*Законод!$F$16,IF(B651="Лікар-педіатр",AG658*Законод!$C$9/4*Законод!$F$16,IF(B651="Лікар-терапевт",AG658*Законод!$C$9/4*Законод!$F$16,0)))</f>
        <v>0</v>
      </c>
      <c r="AR658" s="211">
        <f t="shared" si="77"/>
        <v>0</v>
      </c>
    </row>
    <row r="659" spans="1:44" s="50" customFormat="1" ht="31.9" hidden="1" customHeight="1">
      <c r="A659" s="197"/>
      <c r="B659" s="893"/>
      <c r="C659" s="896"/>
      <c r="D659" s="912"/>
      <c r="E659" s="909"/>
      <c r="F659" s="238" t="str">
        <f ca="1">IF(B651="Лікар-педіатр",Законод!$G$17,IF(B651="Лікар загальної практики - сімейний лікар",Законод!$G$21,IF(B651="Лікар-терапевт",Законод!$G$25,"х")))</f>
        <v>х</v>
      </c>
      <c r="G659" s="889" t="s">
        <v>346</v>
      </c>
      <c r="H659" s="890"/>
      <c r="I659" s="890"/>
      <c r="J659" s="890"/>
      <c r="K659" s="891"/>
      <c r="L659" s="196">
        <f ca="1">IF($B$651="Лікар загальної практики - сімейний лікар",IF(L655&lt;Законод!$C$22,0,(IF(AND(L655&gt;=Законод!$G$22,L655&lt;=Законод!$G$23),L655-Законод!$F$23,IF('01_Доходи'!L655&gt;=Законод!$H$22,Законод!$G$24,0)))),IF($B$651="Лікар-педіатр",IF(L655&lt;Законод!$C$18,0,(IF(AND(L655&gt;=Законод!$G$18,L655&lt;=Законод!$G$19),L655-Законод!$F$19,IF('01_Доходи'!L655&gt;=Законод!$H$18,Законод!$G$20,0)))),IF($B$651="Лікар-терапевт",IF(L655&lt;Законод!$C$26,0,(IF(AND(L655&gt;=Законод!$G$26,L655&lt;=Законод!$G$27),L655-Законод!$F$27,IF('01_Доходи'!L655&gt;=Законод!$H$26,Законод!$G$28,0)))),0)))</f>
        <v>0</v>
      </c>
      <c r="M659" s="930"/>
      <c r="N659" s="889" t="s">
        <v>346</v>
      </c>
      <c r="O659" s="890"/>
      <c r="P659" s="890"/>
      <c r="Q659" s="890"/>
      <c r="R659" s="891"/>
      <c r="S659" s="196">
        <f ca="1">IF($B$651="Лікар загальної практики - сімейний лікар",IF(S655&lt;Законод!$C$22,0,(IF(AND(S655&gt;=Законод!$G$22,S655&lt;=Законод!$G$23),S655-Законод!$F$23,IF('01_Доходи'!S655&gt;=Законод!$H$22,Законод!$G$24,0)))),IF($B$651="Лікар-педіатр",IF(S655&lt;Законод!$C$18,0,(IF(AND(S655&gt;=Законод!$G$18,S655&lt;=Законод!$G$19),S655-Законод!$F$19,IF('01_Доходи'!S655&gt;=Законод!$H$18,Законод!$G$20,0)))),IF($B$651="Лікар-терапевт",IF(S655&lt;Законод!$C$26,0,(IF(AND(S655&gt;=Законод!$G$26,S655&lt;=Законод!$G$27),S655-Законод!$F$27,IF('01_Доходи'!S655&gt;=Законод!$H$26,Законод!$G$28,0)))),0)))</f>
        <v>0</v>
      </c>
      <c r="T659" s="930"/>
      <c r="U659" s="889" t="s">
        <v>346</v>
      </c>
      <c r="V659" s="890"/>
      <c r="W659" s="890"/>
      <c r="X659" s="890"/>
      <c r="Y659" s="891"/>
      <c r="Z659" s="196">
        <f ca="1">IF($B$651="Лікар загальної практики - сімейний лікар",IF(Z655&lt;Законод!$C$22,0,(IF(AND(Z655&gt;=Законод!$G$22,Z655&lt;=Законод!$G$23),Z655-Законод!$F$23,IF('01_Доходи'!Z655&gt;=Законод!$H$22,Законод!$G$24,0)))),IF($B$651="Лікар-педіатр",IF(Z655&lt;Законод!$C$18,0,(IF(AND(Z655&gt;=Законод!$G$18,Z655&lt;=Законод!$G$19),Z655-Законод!$F$19,IF('01_Доходи'!Z655&gt;=Законод!$H$18,Законод!$G$20,0)))),IF($B$651="Лікар-терапевт",IF(Z655&lt;Законод!$C$26,0,(IF(AND(Z655&gt;=Законод!$G$26,Z655&lt;=Законод!$G$27),Z655-Законод!$F$27,IF('01_Доходи'!Z655&gt;=Законод!$H$26,Законод!$G$28,0)))),0)))</f>
        <v>0</v>
      </c>
      <c r="AA659" s="930"/>
      <c r="AB659" s="889" t="s">
        <v>346</v>
      </c>
      <c r="AC659" s="890"/>
      <c r="AD659" s="890"/>
      <c r="AE659" s="890"/>
      <c r="AF659" s="891"/>
      <c r="AG659" s="196">
        <f ca="1">IF($B$651="Лікар загальної практики - сімейний лікар",IF(AG655&lt;Законод!$C$22,0,(IF(AND(AG655&gt;=Законод!$G$22,AG655&lt;=Законод!$G$23),AG655-Законод!$F$23,IF('01_Доходи'!AG655&gt;=Законод!$H$22,Законод!$G$24,0)))),IF($B$651="Лікар-педіатр",IF(AG655&lt;Законод!$C$18,0,(IF(AND(AG655&gt;=Законод!$G$18,AG655&lt;=Законод!$G$19),AG655-Законод!$F$19,IF('01_Доходи'!AG655&gt;=Законод!$H$18,Законод!$G$20,0)))),IF($B$651="Лікар-терапевт",IF(AG655&lt;Законод!$C$26,0,(IF(AND(AG655&gt;=Законод!$G$26,AG655&lt;=Законод!$G$27),AG655-Законод!$F$27,IF('01_Доходи'!AG655&gt;=Законод!$H$26,Законод!$G$28,0)))),0)))</f>
        <v>0</v>
      </c>
      <c r="AH659" s="930"/>
      <c r="AI659" s="201"/>
      <c r="AJ659" s="933"/>
      <c r="AK659" s="927"/>
      <c r="AL659" s="927"/>
      <c r="AM659" s="899"/>
      <c r="AN659" s="210">
        <f ca="1">IF(B651="Лікар загальної практики - сімейний лікар",L659*Законод!$C$9/4*Законод!$G$16,IF(B651="Лікар-педіатр",L659*Законод!$C$9/4*Законод!$G$16,IF(B651="Лікар-терапевт",L659*Законод!$C$9/4*Законод!$G$16,0)))</f>
        <v>0</v>
      </c>
      <c r="AO659" s="210">
        <f ca="1">IF(B651="Лікар загальної практики - сімейний лікар",S659*Законод!$C$9/4*Законод!$G$16,IF(B651="Лікар-педіатр",S659*Законод!$C$9/4*Законод!$G$16,IF(B651="Лікар-терапевт",S659*Законод!$C$9/4*Законод!$G$16,0)))</f>
        <v>0</v>
      </c>
      <c r="AP659" s="210">
        <f ca="1">IF(B651="Лікар загальної практики - сімейний лікар",Z659*Законод!$C$9/4*Законод!$G$16,IF(B651="Лікар-педіатр",Z659*Законод!$C$9/4*Законод!$G$16,IF(B651="Лікар-терапевт",Z659*Законод!$C$9/4*Законод!$G$16,0)))</f>
        <v>0</v>
      </c>
      <c r="AQ659" s="210">
        <f ca="1">IF(B651="Лікар загальної практики - сімейний лікар",AG659*Законод!$C$9/4*Законод!$G$16,IF(B651="Лікар-педіатр",AG659*Законод!$C$9/4*Законод!$G$16,IF(B651="Лікар-терапевт",AG659*Законод!$C$9/4*Законод!$G$16,0)))</f>
        <v>0</v>
      </c>
      <c r="AR659" s="211">
        <f t="shared" si="77"/>
        <v>0</v>
      </c>
    </row>
    <row r="660" spans="1:44" s="50" customFormat="1" ht="31.9" hidden="1" customHeight="1">
      <c r="A660" s="197"/>
      <c r="B660" s="893"/>
      <c r="C660" s="896"/>
      <c r="D660" s="912"/>
      <c r="E660" s="909"/>
      <c r="F660" s="238" t="str">
        <f ca="1">IF(B651="Лікар-педіатр",Законод!$H$17,IF(B651="Лікар загальної практики - сімейний лікар",Законод!$H$21,IF(B651="Лікар-терапевт",Законод!$H$25,"х")))</f>
        <v>х</v>
      </c>
      <c r="G660" s="889" t="s">
        <v>346</v>
      </c>
      <c r="H660" s="890"/>
      <c r="I660" s="890"/>
      <c r="J660" s="890"/>
      <c r="K660" s="891"/>
      <c r="L660" s="196">
        <f ca="1">IF($B$651="Лікар загальної практики - сімейний лікар",IF(L655&lt;Законод!$C$22,0,(IF(AND(L655&gt;=Законод!$H$22,L655&lt;=Законод!$H$23),L655-Законод!$G$23,IF('01_Доходи'!L655&gt;=Законод!$I$22,Законод!$H$24,0)))),IF($B$651="Лікар-педіатр",IF(L655&lt;Законод!$C$18,0,(IF(AND(L655&gt;=Законод!$H$18,L655&lt;=Законод!$H$19),L655-Законод!$G$19,IF('01_Доходи'!L655&gt;=Законод!$I$18,Законод!$H$20,0)))),IF($B$651="Лікар-терапевт",IF(L655&lt;Законод!$C$26,0,(IF(AND(L655&gt;=Законод!$H$26,L655&lt;=Законод!$H$27),L655-Законод!$G$27,IF(L655&gt;=Законод!$I$26,Законод!$H$28,0)))),0)))</f>
        <v>0</v>
      </c>
      <c r="M660" s="930"/>
      <c r="N660" s="889" t="s">
        <v>346</v>
      </c>
      <c r="O660" s="890"/>
      <c r="P660" s="890"/>
      <c r="Q660" s="890"/>
      <c r="R660" s="891"/>
      <c r="S660" s="196">
        <f ca="1">IF($B$651="Лікар загальної практики - сімейний лікар",IF(S655&lt;Законод!$C$22,0,(IF(AND(S655&gt;=Законод!$H$22,S655&lt;=Законод!$H$23),S655-Законод!$G$23,IF('01_Доходи'!S655&gt;=Законод!$I$22,Законод!$H$24,0)))),IF($B$651="Лікар-педіатр",IF(S655&lt;Законод!$C$18,0,(IF(AND(S655&gt;=Законод!$H$18,S655&lt;=Законод!$H$19),S655-Законод!$G$19,IF('01_Доходи'!S655&gt;=Законод!$I$18,Законод!$H$20,0)))),IF($B$651="Лікар-терапевт",IF(S655&lt;Законод!$C$26,0,(IF(AND(S655&gt;=Законод!$H$26,S655&lt;=Законод!$H$27),S655-Законод!$G$27,IF(S655&gt;=Законод!$I$26,Законод!$H$28,0)))),0)))</f>
        <v>0</v>
      </c>
      <c r="T660" s="930"/>
      <c r="U660" s="889" t="s">
        <v>346</v>
      </c>
      <c r="V660" s="890"/>
      <c r="W660" s="890"/>
      <c r="X660" s="890"/>
      <c r="Y660" s="891"/>
      <c r="Z660" s="196">
        <f ca="1">IF($B$651="Лікар загальної практики - сімейний лікар",IF(Z655&lt;Законод!$C$22,0,(IF(AND(Z655&gt;=Законод!$H$22,Z655&lt;=Законод!$H$23),Z655-Законод!$G$23,IF('01_Доходи'!Z655&gt;=Законод!$I$22,Законод!$H$24,0)))),IF($B$651="Лікар-педіатр",IF(Z655&lt;Законод!$C$18,0,(IF(AND(Z655&gt;=Законод!$H$18,Z655&lt;=Законод!$H$19),Z655-Законод!$G$19,IF('01_Доходи'!Z655&gt;=Законод!$I$18,Законод!$H$20,0)))),IF($B$651="Лікар-терапевт",IF(Z655&lt;Законод!$C$26,0,(IF(AND(Z655&gt;=Законод!$H$26,Z655&lt;=Законод!$H$27),Z655-Законод!$G$27,IF(Z655&gt;=Законод!$I$26,Законод!$H$28,0)))),0)))</f>
        <v>0</v>
      </c>
      <c r="AA660" s="930"/>
      <c r="AB660" s="889" t="s">
        <v>346</v>
      </c>
      <c r="AC660" s="890"/>
      <c r="AD660" s="890"/>
      <c r="AE660" s="890"/>
      <c r="AF660" s="891"/>
      <c r="AG660" s="196">
        <f ca="1">IF($B$651="Лікар загальної практики - сімейний лікар",IF(AG655&lt;Законод!$C$22,0,(IF(AND(AG655&gt;=Законод!$H$22,AG655&lt;=Законод!$H$23),AG655-Законод!$G$23,IF('01_Доходи'!AG655&gt;=Законод!$I$22,Законод!$H$24,0)))),IF($B$651="Лікар-педіатр",IF(AG655&lt;Законод!$C$18,0,(IF(AND(AG655&gt;=Законод!$H$18,AG655&lt;=Законод!$H$19),AG655-Законод!$G$19,IF('01_Доходи'!AG655&gt;=Законод!$I$18,Законод!$H$20,0)))),IF($B$651="Лікар-терапевт",IF(AG655&lt;Законод!$C$26,0,(IF(AND(AG655&gt;=Законод!$H$26,AG655&lt;=Законод!$H$27),AG655-Законод!$G$27,IF(AG655&gt;=Законод!$I$26,Законод!$H$28,0)))),0)))</f>
        <v>0</v>
      </c>
      <c r="AH660" s="930"/>
      <c r="AI660" s="201"/>
      <c r="AJ660" s="933"/>
      <c r="AK660" s="927"/>
      <c r="AL660" s="927"/>
      <c r="AM660" s="899"/>
      <c r="AN660" s="210">
        <f ca="1">IF(B651="Лікар загальної практики - сімейний лікар",L660*Законод!$C$9/4*Законод!$H$16,IF(B651="Лікар-педіатр",L660*Законод!$C$9/4*Законод!$H$16,IF(B651="Лікар-терапевт",L660*Законод!$C$9/4*Законод!$H$16,0)))</f>
        <v>0</v>
      </c>
      <c r="AO660" s="210">
        <f ca="1">IF(B651="Лікар загальної практики - сімейний лікар",S660*Законод!$C$9/4*Законод!$H$16,IF(B651="Лікар-педіатр",S660*Законод!$C$9/4*Законод!$H$16,IF(B651="Лікар-терапевт",S660*Законод!$C$9/4*Законод!$H$16,0)))</f>
        <v>0</v>
      </c>
      <c r="AP660" s="210">
        <f ca="1">IF(B651="Лікар загальної практики - сімейний лікар",Z660*Законод!$C$9/4*Законод!$H$16,IF(B651="Лікар-педіатр",Z660*Законод!$C$9/4*Законод!$H$16,IF(B651="Лікар-терапевт",Z660*Законод!$C$9/4*Законод!$H$16,0)))</f>
        <v>0</v>
      </c>
      <c r="AQ660" s="210">
        <f ca="1">IF(B651="Лікар загальної практики - сімейний лікар",AG660*Законод!$C$9/4*Законод!$H$16,IF(B651="Лікар-педіатр",AG660*Законод!$C$9/4*Законод!$H$16,IF(B651="Лікар-терапевт",AG660*Законод!$C$9/4*Законод!$H$16,0)))</f>
        <v>0</v>
      </c>
      <c r="AR660" s="211">
        <f t="shared" si="77"/>
        <v>0</v>
      </c>
    </row>
    <row r="661" spans="1:44" s="50" customFormat="1" ht="31.9" hidden="1" customHeight="1">
      <c r="A661" s="197"/>
      <c r="B661" s="893"/>
      <c r="C661" s="896"/>
      <c r="D661" s="912"/>
      <c r="E661" s="909"/>
      <c r="F661" s="238" t="str">
        <f ca="1">IF(B651="Лікар-педіатр",Законод!$I$17,IF(B651="Лікар загальної практики - сімейний лікар",Законод!$I$21,IF(B651="Лікар-терапевт",Законод!$I$25,"х")))</f>
        <v>х</v>
      </c>
      <c r="G661" s="889" t="s">
        <v>346</v>
      </c>
      <c r="H661" s="890"/>
      <c r="I661" s="890"/>
      <c r="J661" s="890"/>
      <c r="K661" s="891"/>
      <c r="L661" s="196">
        <f ca="1">IF($B$651="Лікар загальної практики - сімейний лікар",IF(L655&lt;Законод!$C$22,0,(IF(AND(L655&gt;=Законод!$I$22,L655&lt;=Законод!$I$23),L655-Законод!$H$23,IF('01_Доходи'!L655&gt;=Законод!$I$22,Законод!$I$24,0)))),IF($B$651="Лікар-педіатр",IF(L655&lt;Законод!$C$18,0,(IF(AND(L655&gt;=Законод!$I$18,L655&lt;=Законод!$I$19),L655-Законод!$H$19,IF('01_Доходи'!L655&gt;=Законод!$I$18,Законод!$H$20,0)))),IF($B$651="Лікар-терапевт",IF(L655&lt;Законод!$C$26,0,(IF(AND(L655&gt;=Законод!$I$26,L655&lt;=Законод!$I$27),L655-Законод!$H$27,IF('01_Доходи'!L655&gt;=Законод!$I$26,Законод!$H$28,0)))),0)))</f>
        <v>0</v>
      </c>
      <c r="M661" s="930"/>
      <c r="N661" s="889" t="s">
        <v>346</v>
      </c>
      <c r="O661" s="890"/>
      <c r="P661" s="890"/>
      <c r="Q661" s="890"/>
      <c r="R661" s="891"/>
      <c r="S661" s="196">
        <f ca="1">IF($B$651="Лікар загальної практики - сімейний лікар",IF(S655&lt;Законод!$C$22,0,(IF(AND(S655&gt;=Законод!$I$22,S655&lt;=Законод!$I$23),S655-Законод!$H$23,IF('01_Доходи'!S655&gt;=Законод!$I$22,Законод!$I$24,0)))),IF($B$651="Лікар-педіатр",IF(S655&lt;Законод!$C$18,0,(IF(AND(S655&gt;=Законод!$I$18,S655&lt;=Законод!$I$19),S655-Законод!$H$19,IF('01_Доходи'!S655&gt;=Законод!$I$18,Законод!$H$20,0)))),IF($B$651="Лікар-терапевт",IF(S655&lt;Законод!$C$26,0,(IF(AND(S655&gt;=Законод!$I$26,S655&lt;=Законод!$I$27),S655-Законод!$H$27,IF('01_Доходи'!S655&gt;=Законод!$I$26,Законод!$H$28,0)))),0)))</f>
        <v>0</v>
      </c>
      <c r="T661" s="930"/>
      <c r="U661" s="889" t="s">
        <v>346</v>
      </c>
      <c r="V661" s="890"/>
      <c r="W661" s="890"/>
      <c r="X661" s="890"/>
      <c r="Y661" s="891"/>
      <c r="Z661" s="196">
        <f ca="1">IF($B$651="Лікар загальної практики - сімейний лікар",IF(Z655&lt;Законод!$C$22,0,(IF(AND(Z655&gt;=Законод!$I$22,Z655&lt;=Законод!$I$23),Z655-Законод!$H$23,IF('01_Доходи'!Z655&gt;=Законод!$I$22,Законод!$I$24,0)))),IF($B$651="Лікар-педіатр",IF(Z655&lt;Законод!$C$18,0,(IF(AND(Z655&gt;=Законод!$I$18,Z655&lt;=Законод!$I$19),Z655-Законод!$H$19,IF('01_Доходи'!Z655&gt;=Законод!$I$18,Законод!$H$20,0)))),IF($B$651="Лікар-терапевт",IF(Z655&lt;Законод!$C$26,0,(IF(AND(Z655&gt;=Законод!$I$26,Z655&lt;=Законод!$I$27),Z655-Законод!$H$27,IF('01_Доходи'!Z655&gt;=Законод!$I$26,Законод!$H$28,0)))),0)))</f>
        <v>0</v>
      </c>
      <c r="AA661" s="930"/>
      <c r="AB661" s="889" t="s">
        <v>346</v>
      </c>
      <c r="AC661" s="890"/>
      <c r="AD661" s="890"/>
      <c r="AE661" s="890"/>
      <c r="AF661" s="891"/>
      <c r="AG661" s="196">
        <f ca="1">IF($B$651="Лікар загальної практики - сімейний лікар",IF(AG655&lt;Законод!$C$22,0,(IF(AND(AG655&gt;=Законод!$I$22,AG655&lt;=Законод!$I$23),AG655-Законод!$H$23,IF('01_Доходи'!AG655&gt;=Законод!$I$22,Законод!$I$24,0)))),IF($B$651="Лікар-педіатр",IF(AG655&lt;Законод!$C$18,0,(IF(AND(AG655&gt;=Законод!$I$18,AG655&lt;=Законод!$I$19),AG655-Законод!$H$19,IF('01_Доходи'!AG655&gt;=Законод!$I$18,Законод!$H$20,0)))),IF($B$651="Лікар-терапевт",IF(AG655&lt;Законод!$C$26,0,(IF(AND(AG655&gt;=Законод!$I$26,AG655&lt;=Законод!$I$27),AG655-Законод!$H$27,IF('01_Доходи'!AG655&gt;=Законод!$I$26,Законод!$H$28,0)))),0)))</f>
        <v>0</v>
      </c>
      <c r="AH661" s="930"/>
      <c r="AI661" s="201"/>
      <c r="AJ661" s="933"/>
      <c r="AK661" s="927"/>
      <c r="AL661" s="927"/>
      <c r="AM661" s="899"/>
      <c r="AN661" s="210">
        <f ca="1">IF(B651="Лікар загальної практики - сімейний лікар",L661*Законод!$C$9/4*Законод!$I$16,IF(B651="Лікар-педіатр",L661*Законод!$C$9/4*Законод!$I$16,IF(B651="Лікар-терапевт",L661*Законод!$C$9/4*Законод!$I$16,0)))</f>
        <v>0</v>
      </c>
      <c r="AO661" s="210">
        <f ca="1">IF(B651="Лікар загальної практики - сімейний лікар",S661*Законод!$C$9/4*Законод!$I$16,IF(B651="Лікар-педіатр",S661*Законод!$C$9/4*Законод!$I$16,IF(B651="Лікар-терапевт",S661*Законод!$C$9/4*Законод!$I$16,0)))</f>
        <v>0</v>
      </c>
      <c r="AP661" s="210">
        <f ca="1">IF(B651="Лікар загальної практики - сімейний лікар",Z661*Законод!$C$9/4*Законод!$I$16,IF(B651="Лікар-педіатр",Z661*Законод!$C$9/4*Законод!$I$16,IF(B651="Лікар-терапевт",Z661*Законод!$C$9/4*Законод!$I$16,0)))</f>
        <v>0</v>
      </c>
      <c r="AQ661" s="210">
        <f ca="1">IF(B651="Лікар загальної практики - сімейний лікар",AG661*Законод!$C$9/4*Законод!$I$16,IF(B651="Лікар-педіатр",AG661*Законод!$C$9/4*Законод!$I$16,IF(B651="Лікар-терапевт",AG661*Законод!$C$9/4*Законод!$I$16,0)))</f>
        <v>0</v>
      </c>
      <c r="AR661" s="211">
        <f t="shared" si="77"/>
        <v>0</v>
      </c>
    </row>
    <row r="662" spans="1:44" s="218" customFormat="1" ht="31.9" hidden="1" customHeight="1" thickBot="1">
      <c r="A662" s="213"/>
      <c r="B662" s="894"/>
      <c r="C662" s="897"/>
      <c r="D662" s="913"/>
      <c r="E662" s="910"/>
      <c r="F662" s="239" t="str">
        <f ca="1">IF(B651="Лікар-педіатр",Законод!$J$17,IF(B651="Лікар загальної практики - сімейний лікар",Законод!$J$21,IF(B651="Лікар-терапевт",Законод!$J$25,"х")))</f>
        <v>х</v>
      </c>
      <c r="G662" s="935" t="s">
        <v>346</v>
      </c>
      <c r="H662" s="936"/>
      <c r="I662" s="936"/>
      <c r="J662" s="936"/>
      <c r="K662" s="937"/>
      <c r="L662" s="196">
        <f ca="1">IF($B$651="Лікар загальної практики - сімейний лікар",IF(L655&gt;=Законод!$J$22,'01_Доходи'!L655-('01_Доходи'!L656+'01_Доходи'!L657+'01_Доходи'!L658+'01_Доходи'!L659+'01_Доходи'!L660+'01_Доходи'!L661),0),IF($B$651="Лікар-педіатр",IF(L655&gt;=Законод!$J$18,'01_Доходи'!L655-('01_Доходи'!L656+'01_Доходи'!L657+'01_Доходи'!L658+'01_Доходи'!L659+'01_Доходи'!L660+'01_Доходи'!L661),0),IF($B$651="Лікар-терапевт",IF('01_Доходи'!L655&gt;=Законод!$J$26,L655-Законод!$I$27,0),0)))</f>
        <v>0</v>
      </c>
      <c r="M662" s="931"/>
      <c r="N662" s="935" t="s">
        <v>346</v>
      </c>
      <c r="O662" s="936"/>
      <c r="P662" s="936"/>
      <c r="Q662" s="936"/>
      <c r="R662" s="937"/>
      <c r="S662" s="196">
        <f ca="1">IF($B$651="Лікар загальної практики - сімейний лікар",IF(S655&gt;=Законод!$J$22,'01_Доходи'!S655-('01_Доходи'!S656+'01_Доходи'!S657+'01_Доходи'!S658+'01_Доходи'!S659+'01_Доходи'!S660+'01_Доходи'!S661),0),IF($B$651="Лікар-педіатр",IF(S655&gt;=Законод!$J$18,'01_Доходи'!S655-('01_Доходи'!S656+'01_Доходи'!S657+'01_Доходи'!S658+'01_Доходи'!S659+'01_Доходи'!S660+'01_Доходи'!S661),0),IF($B$651="Лікар-терапевт",IF('01_Доходи'!S655&gt;=Законод!$J$26,S655-Законод!$I$27,0),0)))</f>
        <v>0</v>
      </c>
      <c r="T662" s="931"/>
      <c r="U662" s="935" t="s">
        <v>346</v>
      </c>
      <c r="V662" s="936"/>
      <c r="W662" s="936"/>
      <c r="X662" s="936"/>
      <c r="Y662" s="937"/>
      <c r="Z662" s="196">
        <f ca="1">IF($B$651="Лікар загальної практики - сімейний лікар",IF(Z655&gt;=Законод!$J$22,'01_Доходи'!Z655-('01_Доходи'!Z656+'01_Доходи'!Z657+'01_Доходи'!Z658+'01_Доходи'!Z659+'01_Доходи'!Z660+'01_Доходи'!Z661),0),IF($B$651="Лікар-педіатр",IF(Z655&gt;=Законод!$J$18,'01_Доходи'!Z655-('01_Доходи'!Z656+'01_Доходи'!Z657+'01_Доходи'!Z658+'01_Доходи'!Z659+'01_Доходи'!Z660+'01_Доходи'!Z661),0),IF($B$651="Лікар-терапевт",IF('01_Доходи'!Z655&gt;=Законод!$J$26,Z655-Законод!$I$27,0),0)))</f>
        <v>0</v>
      </c>
      <c r="AA662" s="931"/>
      <c r="AB662" s="935" t="s">
        <v>346</v>
      </c>
      <c r="AC662" s="936"/>
      <c r="AD662" s="936"/>
      <c r="AE662" s="936"/>
      <c r="AF662" s="937"/>
      <c r="AG662" s="196">
        <f ca="1">IF($B$651="Лікар загальної практики - сімейний лікар",IF(AG655&gt;=Законод!$J$22,'01_Доходи'!AG655-('01_Доходи'!AG656+'01_Доходи'!AG657+'01_Доходи'!AG658+'01_Доходи'!AG659+'01_Доходи'!AG660+'01_Доходи'!AG661),0),IF($B$651="Лікар-педіатр",IF(AG655&gt;=Законод!$J$18,'01_Доходи'!AG655-('01_Доходи'!AG656+'01_Доходи'!AG657+'01_Доходи'!AG658+'01_Доходи'!AG659+'01_Доходи'!AG660+'01_Доходи'!AG661),0),IF($B$651="Лікар-терапевт",IF('01_Доходи'!AG655&gt;=Законод!$J$26,AG655-Законод!$I$27,0),0)))</f>
        <v>0</v>
      </c>
      <c r="AH662" s="931"/>
      <c r="AI662" s="215"/>
      <c r="AJ662" s="934"/>
      <c r="AK662" s="928"/>
      <c r="AL662" s="928"/>
      <c r="AM662" s="900"/>
      <c r="AN662" s="216">
        <f ca="1">IF(B651="Лікар загальної практики - сімейний лікар",L662*Законод!$C$9/4*Законод!$J$16,IF(B651="Лікар-педіатр",L662*Законод!$C$9/4*Законод!$J$16,IF(B651="Лікар-терапевт",L662*Законод!$C$9/4*Законод!$J$16,0)))</f>
        <v>0</v>
      </c>
      <c r="AO662" s="216">
        <f ca="1">IF(B651="Лікар загальної практики - сімейний лікар",S662*Законод!$C$9/4*Законод!$J$16,IF(B651="Лікар-педіатр",S662*Законод!$C$9/4*Законод!$J$16,IF(B651="Лікар-терапевт",S662*Законод!$C$9/4*Законод!$J$16,0)))</f>
        <v>0</v>
      </c>
      <c r="AP662" s="216">
        <f ca="1">IF(B651="Лікар загальної практики - сімейний лікар",S662*Законод!$C$9/4*Законод!$J$16,IF(B651="Лікар-педіатр",S662*Законод!$C$9/4*Законод!$J$16,IF(B651="Лікар-терапевт",S662*Законод!$C$9/4*Законод!$J$16,0)))</f>
        <v>0</v>
      </c>
      <c r="AQ662" s="216">
        <f ca="1">IF(B651="Лікар загальної практики - сімейний лікар",AG662*Законод!$C$9/4*Законод!$J$16,IF(B651="Лікар-педіатр",AG662*Законод!$C$9/4*Законод!$J$16,IF(B651="Лікар-терапевт",AG662*Законод!$C$9/4*Законод!$J$16,0)))</f>
        <v>0</v>
      </c>
      <c r="AR662" s="217">
        <f t="shared" si="77"/>
        <v>0</v>
      </c>
    </row>
    <row r="663" spans="1:44" s="247" customFormat="1" ht="23.45" hidden="1" customHeight="1" thickBot="1">
      <c r="A663" s="243"/>
      <c r="B663" s="244"/>
      <c r="C663" s="244"/>
      <c r="D663" s="244"/>
      <c r="E663" s="244"/>
      <c r="F663" s="245"/>
      <c r="G663" s="246"/>
      <c r="H663" s="246"/>
      <c r="L663" s="248"/>
      <c r="S663" s="248"/>
      <c r="Z663" s="248"/>
      <c r="AG663" s="248"/>
      <c r="AM663" s="249"/>
      <c r="AR663" s="250"/>
    </row>
    <row r="664" spans="1:44" s="191" customFormat="1" ht="24.6" hidden="1" customHeight="1">
      <c r="A664" s="194">
        <f>A651+1</f>
        <v>49</v>
      </c>
      <c r="B664" s="892"/>
      <c r="C664" s="895"/>
      <c r="D664" s="911"/>
      <c r="E664" s="908"/>
      <c r="F664" s="234" t="s">
        <v>582</v>
      </c>
      <c r="G664" s="196">
        <f>IF($B$664="Лікар-педіатр",G667*L664,IF($B$664="Лікар-терапевт","х",IF($B$664="Лікар загальної практики - сімейний лікар",G667*L664,0)))</f>
        <v>0</v>
      </c>
      <c r="H664" s="196">
        <f>IF($B$664="Лікар-педіатр",H667*L664,IF($B$664="Лікар-терапевт","х",IF($B$664="Лікар загальної практики - сімейний лікар",H667*L664,0)))</f>
        <v>0</v>
      </c>
      <c r="I664" s="196">
        <f>IF($B$664="Лікар-педіатр","x",IF($B$664="Лікар-терапевт",I667*L664,IF($B$664="Лікар загальної практики - сімейний лікар",I667*L664,0)))</f>
        <v>0</v>
      </c>
      <c r="J664" s="196">
        <f>IF($B$664="Лікар-педіатр","x",IF($B$664="Лікар-терапевт",J667*L664,IF($B$664="Лікар загальної практики - сімейний лікар",J667*L664,0)))</f>
        <v>0</v>
      </c>
      <c r="K664" s="196">
        <f>IF($B$664="Лікар-педіатр","x",IF($B$664="Лікар-терапевт",K667*L664,IF($B$664="Лікар загальної практики - сімейний лікар",K667*L664,0)))</f>
        <v>0</v>
      </c>
      <c r="L664" s="558"/>
      <c r="M664" s="929"/>
      <c r="N664" s="196">
        <f>IF($B$664="Лікар-педіатр",N667*S664,IF($B$664="Лікар-терапевт","х",IF($B$664="Лікар загальної практики - сімейний лікар",N667*S664,0)))</f>
        <v>0</v>
      </c>
      <c r="O664" s="196">
        <f>IF($B$664="Лікар-педіатр",O667*S664,IF($B$664="Лікар-терапевт","х",IF($B$664="Лікар загальної практики - сімейний лікар",O667*S664,0)))</f>
        <v>0</v>
      </c>
      <c r="P664" s="196">
        <f>IF($B$664="Лікар-педіатр","x",IF($B$664="Лікар-терапевт",P667*S664,IF($B$664="Лікар загальної практики - сімейний лікар",P667*S664,0)))</f>
        <v>0</v>
      </c>
      <c r="Q664" s="196">
        <f>IF($B$664="Лікар-педіатр","x",IF($B$664="Лікар-терапевт",Q667*S664,IF($B$664="Лікар загальної практики - сімейний лікар",Q667*S664,0)))</f>
        <v>0</v>
      </c>
      <c r="R664" s="196">
        <f>IF($B$664="Лікар-педіатр","x",IF($B$664="Лікар-терапевт",R667*S664,IF($B$664="Лікар загальної практики - сімейний лікар",R667*S664,0)))</f>
        <v>0</v>
      </c>
      <c r="S664" s="558"/>
      <c r="T664" s="929"/>
      <c r="U664" s="196">
        <f>IF($B$664="Лікар-педіатр",U667*Z664,IF($B$664="Лікар-терапевт","х",IF($B$664="Лікар загальної практики - сімейний лікар",U667*Z664,0)))</f>
        <v>0</v>
      </c>
      <c r="V664" s="196">
        <f>IF($B$664="Лікар-педіатр",V667*Z664,IF($B$664="Лікар-терапевт","х",IF($B$664="Лікар загальної практики - сімейний лікар",V667*Z664,0)))</f>
        <v>0</v>
      </c>
      <c r="W664" s="196">
        <f>IF($B$664="Лікар-педіатр","x",IF($B$664="Лікар-терапевт",W667*Z664,IF($B$664="Лікар загальної практики - сімейний лікар",W667*Z664,0)))</f>
        <v>0</v>
      </c>
      <c r="X664" s="196">
        <f>IF($B$664="Лікар-педіатр","x",IF($B$664="Лікар-терапевт",X667*Z664,IF($B$664="Лікар загальної практики - сімейний лікар",X667*Z664,0)))</f>
        <v>0</v>
      </c>
      <c r="Y664" s="196">
        <f>IF($B$664="Лікар-педіатр","x",IF($B$664="Лікар-терапевт",Y667*Z664,IF($B$664="Лікар загальної практики - сімейний лікар",Y667*Z664,0)))</f>
        <v>0</v>
      </c>
      <c r="Z664" s="558"/>
      <c r="AA664" s="929"/>
      <c r="AB664" s="196">
        <f>IF($B$664="Лікар-педіатр",AB667*AG664,IF($B$664="Лікар-терапевт","х",IF($B$664="Лікар загальної практики - сімейний лікар",AB667*AG664,0)))</f>
        <v>0</v>
      </c>
      <c r="AC664" s="196">
        <f>IF($B$664="Лікар-педіатр",AC667*AG664,IF($B$664="Лікар-терапевт","х",IF($B$664="Лікар загальної практики - сімейний лікар",AC667*AG664,0)))</f>
        <v>0</v>
      </c>
      <c r="AD664" s="196">
        <f>IF($B$664="Лікар-педіатр","x",IF($B$664="Лікар-терапевт",AD667*AG664,IF($B$664="Лікар загальної практики - сімейний лікар",AD667*AG664,0)))</f>
        <v>0</v>
      </c>
      <c r="AE664" s="196">
        <f>IF($B$664="Лікар-педіатр","x",IF($B$664="Лікар-терапевт",AE667*AG664,IF($B$664="Лікар загальної практики - сімейний лікар",AE667*AG664,0)))</f>
        <v>0</v>
      </c>
      <c r="AF664" s="196">
        <f>IF($B$664="Лікар-педіатр","x",IF($B$664="Лікар-терапевт",AF667*AG664,IF($B$664="Лікар загальної практики - сімейний лікар",AF667*AG664,0)))</f>
        <v>0</v>
      </c>
      <c r="AG664" s="558"/>
      <c r="AH664" s="929"/>
      <c r="AI664" s="541">
        <f>A664</f>
        <v>49</v>
      </c>
      <c r="AJ664" s="932">
        <f>B664</f>
        <v>0</v>
      </c>
      <c r="AK664" s="926">
        <f>C664</f>
        <v>0</v>
      </c>
      <c r="AL664" s="926">
        <f>D664</f>
        <v>0</v>
      </c>
      <c r="AM664" s="901" t="s">
        <v>785</v>
      </c>
      <c r="AN664" s="923">
        <f>SUM(AN669:AN675)</f>
        <v>0</v>
      </c>
      <c r="AO664" s="923">
        <f>SUM(AO669:AO675)</f>
        <v>0</v>
      </c>
      <c r="AP664" s="923">
        <f>SUM(AP669:AP675)</f>
        <v>0</v>
      </c>
      <c r="AQ664" s="923">
        <f>SUM(AQ669:AQ675)</f>
        <v>0</v>
      </c>
      <c r="AR664" s="914">
        <f>SUM(AN664:AQ668)</f>
        <v>0</v>
      </c>
    </row>
    <row r="665" spans="1:44" s="50" customFormat="1" ht="28.15" hidden="1" customHeight="1">
      <c r="A665" s="197"/>
      <c r="B665" s="893"/>
      <c r="C665" s="896"/>
      <c r="D665" s="912"/>
      <c r="E665" s="909"/>
      <c r="F665" s="234" t="s">
        <v>583</v>
      </c>
      <c r="G665" s="196">
        <f>IF($B$664="Лікар-педіатр",G667*L665,IF($B$664="Лікар-терапевт","х",IF($B$664="Лікар загальної практики - сімейний лікар",G667*L665,0)))</f>
        <v>0</v>
      </c>
      <c r="H665" s="196">
        <f>IF($B$664="Лікар-педіатр",H667*L665,IF($B$664="Лікар-терапевт","х",IF($B$664="Лікар загальної практики - сімейний лікар",H667*L665,0)))</f>
        <v>0</v>
      </c>
      <c r="I665" s="196">
        <f>IF($B$664="Лікар-педіатр","x",IF($B$664="Лікар-терапевт",I667*L665,IF($B$664="Лікар загальної практики - сімейний лікар",I667*L665,0)))</f>
        <v>0</v>
      </c>
      <c r="J665" s="196">
        <f>IF($B$664="Лікар-педіатр","x",IF($B$664="Лікар-терапевт",J667*L665,IF($B$664="Лікар загальної практики - сімейний лікар",J667*L665,0)))</f>
        <v>0</v>
      </c>
      <c r="K665" s="196">
        <f>IF($B$664="Лікар-педіатр","x",IF($B$664="Лікар-терапевт",K667*L665,IF($B$664="Лікар загальної практики - сімейний лікар",K667*L665,0)))</f>
        <v>0</v>
      </c>
      <c r="L665" s="558"/>
      <c r="M665" s="930"/>
      <c r="N665" s="196">
        <f>IF($B$664="Лікар-педіатр",N667*S665,IF($B$664="Лікар-терапевт","х",IF($B$664="Лікар загальної практики - сімейний лікар",N667*S665,0)))</f>
        <v>0</v>
      </c>
      <c r="O665" s="196">
        <f>IF($B$664="Лікар-педіатр",O667*S665,IF($B$664="Лікар-терапевт","х",IF($B$664="Лікар загальної практики - сімейний лікар",O667*S665,0)))</f>
        <v>0</v>
      </c>
      <c r="P665" s="196">
        <f>IF($B$664="Лікар-педіатр","x",IF($B$664="Лікар-терапевт",P667*S665,IF($B$664="Лікар загальної практики - сімейний лікар",P667*S665,0)))</f>
        <v>0</v>
      </c>
      <c r="Q665" s="196">
        <f>IF($B$664="Лікар-педіатр","x",IF($B$664="Лікар-терапевт",Q667*S665,IF($B$664="Лікар загальної практики - сімейний лікар",Q667*S665,0)))</f>
        <v>0</v>
      </c>
      <c r="R665" s="196">
        <f>IF($B$664="Лікар-педіатр","x",IF($B$664="Лікар-терапевт",R667*S665,IF($B$664="Лікар загальної практики - сімейний лікар",R667*S665,0)))</f>
        <v>0</v>
      </c>
      <c r="S665" s="558"/>
      <c r="T665" s="930"/>
      <c r="U665" s="196">
        <f>IF($B$664="Лікар-педіатр",U667*Z665,IF($B$664="Лікар-терапевт","х",IF($B$664="Лікар загальної практики - сімейний лікар",U667*Z665,0)))</f>
        <v>0</v>
      </c>
      <c r="V665" s="196">
        <f>IF($B$664="Лікар-педіатр",V667*Z665,IF($B$664="Лікар-терапевт","х",IF($B$664="Лікар загальної практики - сімейний лікар",V667*Z665,0)))</f>
        <v>0</v>
      </c>
      <c r="W665" s="196">
        <f>IF($B$664="Лікар-педіатр","x",IF($B$664="Лікар-терапевт",W667*Z665,IF($B$664="Лікар загальної практики - сімейний лікар",W667*Z665,0)))</f>
        <v>0</v>
      </c>
      <c r="X665" s="196">
        <f>IF($B$664="Лікар-педіатр","x",IF($B$664="Лікар-терапевт",X667*Z665,IF($B$664="Лікар загальної практики - сімейний лікар",X667*Z665,0)))</f>
        <v>0</v>
      </c>
      <c r="Y665" s="196">
        <f>IF($B$664="Лікар-педіатр","x",IF($B$664="Лікар-терапевт",Y667*Z665,IF($B$664="Лікар загальної практики - сімейний лікар",Y667*Z665,0)))</f>
        <v>0</v>
      </c>
      <c r="Z665" s="558"/>
      <c r="AA665" s="930"/>
      <c r="AB665" s="196">
        <f>IF($B$664="Лікар-педіатр",AB667*AG665,IF($B$664="Лікар-терапевт","х",IF($B$664="Лікар загальної практики - сімейний лікар",AB667*AG665,0)))</f>
        <v>0</v>
      </c>
      <c r="AC665" s="196">
        <f>IF($B$664="Лікар-педіатр",AC667*AG665,IF($B$664="Лікар-терапевт","х",IF($B$664="Лікар загальної практики - сімейний лікар",AC667*AG665,0)))</f>
        <v>0</v>
      </c>
      <c r="AD665" s="196">
        <f>IF($B$664="Лікар-педіатр","x",IF($B$664="Лікар-терапевт",AD667*AG665,IF($B$664="Лікар загальної практики - сімейний лікар",AD667*AG665,0)))</f>
        <v>0</v>
      </c>
      <c r="AE665" s="196">
        <f>IF($B$664="Лікар-педіатр","x",IF($B$664="Лікар-терапевт",AE667*AG665,IF($B$664="Лікар загальної практики - сімейний лікар",AE667*AG665,0)))</f>
        <v>0</v>
      </c>
      <c r="AF665" s="196">
        <f>IF($B$664="Лікар-педіатр","x",IF($B$664="Лікар-терапевт",AF667*AG665,IF($B$664="Лікар загальної практики - сімейний лікар",AF667*AG665,0)))</f>
        <v>0</v>
      </c>
      <c r="AG665" s="558"/>
      <c r="AH665" s="930"/>
      <c r="AI665" s="198"/>
      <c r="AJ665" s="933"/>
      <c r="AK665" s="927"/>
      <c r="AL665" s="927"/>
      <c r="AM665" s="902"/>
      <c r="AN665" s="924"/>
      <c r="AO665" s="924"/>
      <c r="AP665" s="924"/>
      <c r="AQ665" s="924"/>
      <c r="AR665" s="915"/>
    </row>
    <row r="666" spans="1:44" s="90" customFormat="1" ht="31.15" hidden="1" customHeight="1">
      <c r="A666" s="240"/>
      <c r="B666" s="893"/>
      <c r="C666" s="896"/>
      <c r="D666" s="912"/>
      <c r="E666" s="909"/>
      <c r="F666" s="241" t="s">
        <v>584</v>
      </c>
      <c r="G666" s="199">
        <f>IF(B664="Лікар загальної практики - сімейний лікар"," ",IF(B664="Лікар-педіатр"," ",IF(B664="Лікар-терапевт","х",0)))</f>
        <v>0</v>
      </c>
      <c r="H666" s="199">
        <f>IF(B664="Лікар загальної практики - сімейний лікар"," ",IF(B664="Лікар-педіатр"," ",IF(B664="Лікар-терапевт","х",0)))</f>
        <v>0</v>
      </c>
      <c r="I666" s="199">
        <f>IF(B664="Лікар загальної практики - сімейний лікар"," ",IF(B664="Лікар-педіатр","х",IF(B664="Лікар-терапевт"," ",0)))</f>
        <v>0</v>
      </c>
      <c r="J666" s="199">
        <f>IF(B664="Лікар загальної практики - сімейний лікар"," ",IF(B664="Лікар-педіатр","х",IF(B664="Лікар-терапевт"," ",0)))</f>
        <v>0</v>
      </c>
      <c r="K666" s="199">
        <f>IF(B664="Лікар загальної практики - сімейний лікар"," ",IF(B664="Лікар-педіатр","х",IF(B664="Лікар-терапевт"," ",0)))</f>
        <v>0</v>
      </c>
      <c r="L666" s="200">
        <f>SUM(G666:K666)</f>
        <v>0</v>
      </c>
      <c r="M666" s="930"/>
      <c r="N666" s="199">
        <f>IF(B664="Лікар загальної практики - сімейний лікар"," ",IF(B664="Лікар-педіатр"," ",IF(B664="Лікар-терапевт","х",0)))</f>
        <v>0</v>
      </c>
      <c r="O666" s="199">
        <f>IF(B664="Лікар загальної практики - сімейний лікар"," ",IF(B664="Лікар-педіатр"," ",IF(B664="Лікар-терапевт","х",0)))</f>
        <v>0</v>
      </c>
      <c r="P666" s="199">
        <f>IF(B664="Лікар загальної практики - сімейний лікар"," ",IF(B664="Лікар-педіатр","х",IF(B664="Лікар-терапевт"," ",0)))</f>
        <v>0</v>
      </c>
      <c r="Q666" s="199">
        <f>IF(B664="Лікар загальної практики - сімейний лікар"," ",IF(B664="Лікар-педіатр","х",IF(B664="Лікар-терапевт"," ",0)))</f>
        <v>0</v>
      </c>
      <c r="R666" s="199">
        <f>IF(B664="Лікар загальної практики - сімейний лікар"," ",IF(B664="Лікар-педіатр","х",IF(B664="Лікар-терапевт"," ",0)))</f>
        <v>0</v>
      </c>
      <c r="S666" s="200">
        <f>SUM(N666:R666)</f>
        <v>0</v>
      </c>
      <c r="T666" s="930"/>
      <c r="U666" s="199">
        <f>IF(B664="Лікар загальної практики - сімейний лікар"," ",IF(B664="Лікар-педіатр"," ",IF(B664="Лікар-терапевт","х",0)))</f>
        <v>0</v>
      </c>
      <c r="V666" s="199">
        <f>IF(B664="Лікар загальної практики - сімейний лікар"," ",IF(B664="Лікар-педіатр"," ",IF(B664="Лікар-терапевт","х",0)))</f>
        <v>0</v>
      </c>
      <c r="W666" s="199">
        <f>IF(B664="Лікар загальної практики - сімейний лікар"," ",IF(B664="Лікар-педіатр","х",IF(B664="Лікар-терапевт"," ",0)))</f>
        <v>0</v>
      </c>
      <c r="X666" s="199">
        <f>IF(B664="Лікар загальної практики - сімейний лікар"," ",IF(B664="Лікар-педіатр","х",IF(B664="Лікар-терапевт"," ",0)))</f>
        <v>0</v>
      </c>
      <c r="Y666" s="199">
        <f>IF(B664="Лікар загальної практики - сімейний лікар"," ",IF(B664="Лікар-педіатр","х",IF(B664="Лікар-терапевт"," ",0)))</f>
        <v>0</v>
      </c>
      <c r="Z666" s="200">
        <f>SUM(U666:Y666)</f>
        <v>0</v>
      </c>
      <c r="AA666" s="930"/>
      <c r="AB666" s="199">
        <f>IF(B664="Лікар загальної практики - сімейний лікар"," ",IF(B664="Лікар-педіатр"," ",IF(B664="Лікар-терапевт","х",0)))</f>
        <v>0</v>
      </c>
      <c r="AC666" s="199">
        <f>IF(B664="Лікар загальної практики - сімейний лікар"," ",IF(B664="Лікар-педіатр"," ",IF(B664="Лікар-терапевт","х",0)))</f>
        <v>0</v>
      </c>
      <c r="AD666" s="199">
        <f>IF(B664="Лікар загальної практики - сімейний лікар"," ",IF(B664="Лікар-педіатр","х",IF(B664="Лікар-терапевт"," ",0)))</f>
        <v>0</v>
      </c>
      <c r="AE666" s="199">
        <f>IF(B664="Лікар загальної практики - сімейний лікар"," ",IF(B664="Лікар-педіатр","х",IF(B664="Лікар-терапевт"," ",0)))</f>
        <v>0</v>
      </c>
      <c r="AF666" s="199">
        <f>IF(B664="Лікар загальної практики - сімейний лікар"," ",IF(B664="Лікар-педіатр","х",IF(B664="Лікар-терапевт"," ",0)))</f>
        <v>0</v>
      </c>
      <c r="AG666" s="200">
        <f>SUM(AB666:AF666)</f>
        <v>0</v>
      </c>
      <c r="AH666" s="930"/>
      <c r="AI666" s="242"/>
      <c r="AJ666" s="933"/>
      <c r="AK666" s="927"/>
      <c r="AL666" s="927"/>
      <c r="AM666" s="902"/>
      <c r="AN666" s="924"/>
      <c r="AO666" s="924"/>
      <c r="AP666" s="924"/>
      <c r="AQ666" s="924"/>
      <c r="AR666" s="915"/>
    </row>
    <row r="667" spans="1:44" s="50" customFormat="1" ht="31.9" hidden="1" customHeight="1" thickBot="1">
      <c r="A667" s="197"/>
      <c r="B667" s="893"/>
      <c r="C667" s="896"/>
      <c r="D667" s="912"/>
      <c r="E667" s="909"/>
      <c r="F667" s="236" t="s">
        <v>349</v>
      </c>
      <c r="G667" s="203">
        <f>IF($B$664="Лікар-педіатр",G666/L666,IF($B$664="Лікар-терапевт","х",IF($B$664="Лікар загальної практики - сімейний лікар",G666/L666,0)))</f>
        <v>0</v>
      </c>
      <c r="H667" s="203">
        <f>IF($B$664="Лікар-педіатр",H666/L666,IF($B$664="Лікар-терапевт","х",IF($B$664="Лікар загальної практики - сімейний лікар",H666/L666,0)))</f>
        <v>0</v>
      </c>
      <c r="I667" s="203">
        <f>IF($B$664="Лікар-педіатр","x",IF($B$664="Лікар-терапевт",I666/L666,IF($B$664="Лікар загальної практики - сімейний лікар",I666/L666,0)))</f>
        <v>0</v>
      </c>
      <c r="J667" s="203">
        <f>IF($B$664="Лікар-педіатр","x",IF($B$664="Лікар-терапевт",J666/L666,IF($B$664="Лікар загальної практики - сімейний лікар",J666/L666,0)))</f>
        <v>0</v>
      </c>
      <c r="K667" s="203">
        <f>IF($B$664="Лікар-педіатр","x",IF($B$664="Лікар-терапевт",K666/L666,IF($B$664="Лікар загальної практики - сімейний лікар",K666/L666,0)))</f>
        <v>0</v>
      </c>
      <c r="L667" s="203">
        <f>SUM(G667:K667)</f>
        <v>0</v>
      </c>
      <c r="M667" s="930"/>
      <c r="N667" s="203">
        <f>IF($B$664="Лікар-педіатр",N666/S666,IF($B$664="Лікар-терапевт","х",IF($B$664="Лікар загальної практики - сімейний лікар",N666/S666,0)))</f>
        <v>0</v>
      </c>
      <c r="O667" s="203">
        <f>IF($B$664="Лікар-педіатр",O666/S666,IF($B$664="Лікар-терапевт","х",IF($B$664="Лікар загальної практики - сімейний лікар",O666/S666,0)))</f>
        <v>0</v>
      </c>
      <c r="P667" s="203">
        <f>IF($B$664="Лікар-педіатр","x",IF($B$664="Лікар-терапевт",P666/S666,IF($B$664="Лікар загальної практики - сімейний лікар",P666/S666,0)))</f>
        <v>0</v>
      </c>
      <c r="Q667" s="203">
        <f>IF($B$664="Лікар-педіатр","x",IF($B$664="Лікар-терапевт",Q666/S666,IF($B$664="Лікар загальної практики - сімейний лікар",Q666/S666,0)))</f>
        <v>0</v>
      </c>
      <c r="R667" s="203">
        <f>IF($B$664="Лікар-педіатр","x",IF($B$664="Лікар-терапевт",R666/S666,IF($B$664="Лікар загальної практики - сімейний лікар",R666/S666,0)))</f>
        <v>0</v>
      </c>
      <c r="S667" s="203">
        <f>SUM(N667:R667)</f>
        <v>0</v>
      </c>
      <c r="T667" s="930"/>
      <c r="U667" s="203">
        <f>IF($B$664="Лікар-педіатр",U666/Z666,IF($B$664="Лікар-терапевт","х",IF($B$664="Лікар загальної практики - сімейний лікар",U666/Z666,0)))</f>
        <v>0</v>
      </c>
      <c r="V667" s="203">
        <f>IF($B$664="Лікар-педіатр",V666/Z666,IF($B$664="Лікар-терапевт","х",IF($B$664="Лікар загальної практики - сімейний лікар",V666/Z666,0)))</f>
        <v>0</v>
      </c>
      <c r="W667" s="203">
        <f>IF($B$664="Лікар-педіатр","x",IF($B$664="Лікар-терапевт",W666/Z666,IF($B$664="Лікар загальної практики - сімейний лікар",W666/Z666,0)))</f>
        <v>0</v>
      </c>
      <c r="X667" s="203">
        <f>IF($B$664="Лікар-педіатр","x",IF($B$664="Лікар-терапевт",X666/Z666,IF($B$664="Лікар загальної практики - сімейний лікар",X666/Z666,0)))</f>
        <v>0</v>
      </c>
      <c r="Y667" s="203">
        <f>IF($B$664="Лікар-педіатр","x",IF($B$664="Лікар-терапевт",Y666/Z666,IF($B$664="Лікар загальної практики - сімейний лікар",Y666/Z666,0)))</f>
        <v>0</v>
      </c>
      <c r="Z667" s="203">
        <f>SUM(U667:Y667)</f>
        <v>0</v>
      </c>
      <c r="AA667" s="930"/>
      <c r="AB667" s="203">
        <f>IF($B$664="Лікар-педіатр",AB666/AG666,IF($B$664="Лікар-терапевт","х",IF($B$664="Лікар загальної практики - сімейний лікар",AB666/AG666,0)))</f>
        <v>0</v>
      </c>
      <c r="AC667" s="203">
        <f>IF($B$664="Лікар-педіатр",AC666/AG666,IF($B$664="Лікар-терапевт","х",IF($B$664="Лікар загальної практики - сімейний лікар",AC666/AG666,0)))</f>
        <v>0</v>
      </c>
      <c r="AD667" s="203">
        <f>IF($B$664="Лікар-педіатр","x",IF($B$664="Лікар-терапевт",AD666/AG666,IF($B$664="Лікар загальної практики - сімейний лікар",AD666/AG666,0)))</f>
        <v>0</v>
      </c>
      <c r="AE667" s="203">
        <f>IF($B$664="Лікар-педіатр","x",IF($B$664="Лікар-терапевт",AE666/AG666,IF($B$664="Лікар загальної практики - сімейний лікар",AE666/AG666,0)))</f>
        <v>0</v>
      </c>
      <c r="AF667" s="203">
        <f>IF($B$664="Лікар-педіатр","x",IF($B$664="Лікар-терапевт",AF666/AG666,IF($B$664="Лікар загальної практики - сімейний лікар",AF666/AG666,0)))</f>
        <v>0</v>
      </c>
      <c r="AG667" s="203">
        <f>SUM(AB667:AF667)</f>
        <v>0</v>
      </c>
      <c r="AH667" s="930"/>
      <c r="AI667" s="201"/>
      <c r="AJ667" s="933"/>
      <c r="AK667" s="927"/>
      <c r="AL667" s="927"/>
      <c r="AM667" s="902"/>
      <c r="AN667" s="924"/>
      <c r="AO667" s="924"/>
      <c r="AP667" s="924"/>
      <c r="AQ667" s="924"/>
      <c r="AR667" s="915"/>
    </row>
    <row r="668" spans="1:44" s="50" customFormat="1" ht="45" hidden="1" customHeight="1" thickBot="1">
      <c r="A668" s="197"/>
      <c r="B668" s="893"/>
      <c r="C668" s="896"/>
      <c r="D668" s="912"/>
      <c r="E668" s="909"/>
      <c r="F668" s="204" t="s">
        <v>585</v>
      </c>
      <c r="G668" s="205">
        <f>IF($B$664="Лікар загальної практики - сімейний лікар",AVERAGE(G664:G666),IF($B$664="Лікар-педіатр",AVERAGE(G664:G666),IF($B$664="Лікар-терапевт","х",0)))</f>
        <v>0</v>
      </c>
      <c r="H668" s="205">
        <f>IF($B$664="Лікар загальної практики - сімейний лікар",AVERAGE(H664:H666),IF($B$664="Лікар-педіатр",AVERAGE(H664:H666),IF($B$664="Лікар-терапевт","х",0)))</f>
        <v>0</v>
      </c>
      <c r="I668" s="205">
        <f>IF($B$664="Лікар загальної практики - сімейний лікар",AVERAGE(I664:I666),IF($B$664="Лікар-педіатр","x",IF($B$664="Лікар-терапевт",AVERAGE(I664:I666),0)))</f>
        <v>0</v>
      </c>
      <c r="J668" s="205">
        <f>IF($B$664="Лікар загальної практики - сімейний лікар",AVERAGE(J664:J666),IF($B$664="Лікар-педіатр","x",IF($B$664="Лікар-терапевт",AVERAGE(J664:J666),0)))</f>
        <v>0</v>
      </c>
      <c r="K668" s="205">
        <f>IF($B$664="Лікар загальної практики - сімейний лікар",AVERAGE(K664:K666),IF($B$664="Лікар-педіатр","x",IF($B$664="Лікар-терапевт",AVERAGE(K664:K666),0)))</f>
        <v>0</v>
      </c>
      <c r="L668" s="206">
        <f>SUM(G668:K668)</f>
        <v>0</v>
      </c>
      <c r="M668" s="930"/>
      <c r="N668" s="205">
        <f>IF($B$664="Лікар загальної практики - сімейний лікар",AVERAGE(N664:N666),IF($B$664="Лікар-педіатр",AVERAGE(N664:N666),IF($B$664="Лікар-терапевт","х",0)))</f>
        <v>0</v>
      </c>
      <c r="O668" s="205">
        <f>IF($B$664="Лікар загальної практики - сімейний лікар",AVERAGE(O664:O666),IF($B$664="Лікар-педіатр",AVERAGE(O664:O666),IF($B$664="Лікар-терапевт","х",0)))</f>
        <v>0</v>
      </c>
      <c r="P668" s="205">
        <f>IF($B$664="Лікар загальної практики - сімейний лікар",AVERAGE(P664:P666),IF($B$664="Лікар-педіатр","x",IF($B$664="Лікар-терапевт",AVERAGE(P664:P666),0)))</f>
        <v>0</v>
      </c>
      <c r="Q668" s="205">
        <f>IF($B$664="Лікар загальної практики - сімейний лікар",AVERAGE(Q664:Q666),IF($B$664="Лікар-педіатр","x",IF($B$664="Лікар-терапевт",AVERAGE(Q664:Q666),0)))</f>
        <v>0</v>
      </c>
      <c r="R668" s="205">
        <f>IF($B$664="Лікар загальної практики - сімейний лікар",AVERAGE(R664:R666),IF($B$664="Лікар-педіатр","x",IF($B$664="Лікар-терапевт",AVERAGE(R664:R666),0)))</f>
        <v>0</v>
      </c>
      <c r="S668" s="206">
        <f>SUM(N668:R668)</f>
        <v>0</v>
      </c>
      <c r="T668" s="930"/>
      <c r="U668" s="205">
        <f>IF($B$664="Лікар загальної практики - сімейний лікар",AVERAGE(U664:U666),IF($B$664="Лікар-педіатр",AVERAGE(U664:U666),IF($B$664="Лікар-терапевт","х",0)))</f>
        <v>0</v>
      </c>
      <c r="V668" s="205">
        <f>IF($B$664="Лікар загальної практики - сімейний лікар",AVERAGE(V664:V666),IF($B$664="Лікар-педіатр",AVERAGE(V664:V666),IF($B$664="Лікар-терапевт","х",0)))</f>
        <v>0</v>
      </c>
      <c r="W668" s="205">
        <f>IF($B$664="Лікар загальної практики - сімейний лікар",AVERAGE(W664:W666),IF($B$664="Лікар-педіатр","x",IF($B$664="Лікар-терапевт",AVERAGE(W664:W666),0)))</f>
        <v>0</v>
      </c>
      <c r="X668" s="205">
        <f>IF($B$664="Лікар загальної практики - сімейний лікар",AVERAGE(X664:X666),IF($B$664="Лікар-педіатр","x",IF($B$664="Лікар-терапевт",AVERAGE(X664:X666),0)))</f>
        <v>0</v>
      </c>
      <c r="Y668" s="205">
        <f>IF($B$664="Лікар загальної практики - сімейний лікар",AVERAGE(Y664:Y666),IF($B$664="Лікар-педіатр","x",IF($B$664="Лікар-терапевт",AVERAGE(Y664:Y666),0)))</f>
        <v>0</v>
      </c>
      <c r="Z668" s="206">
        <f>SUM(U668:Y668)</f>
        <v>0</v>
      </c>
      <c r="AA668" s="930"/>
      <c r="AB668" s="205">
        <f>IF($B$664="Лікар загальної практики - сімейний лікар",AVERAGE(AB664:AB666),IF($B$664="Лікар-педіатр",AVERAGE(AB664:AB666),IF($B$664="Лікар-терапевт","х",0)))</f>
        <v>0</v>
      </c>
      <c r="AC668" s="205">
        <f>IF($B$664="Лікар загальної практики - сімейний лікар",AVERAGE(AC664:AC666),IF($B$664="Лікар-педіатр",AVERAGE(AC664:AC666),IF($B$664="Лікар-терапевт","х",0)))</f>
        <v>0</v>
      </c>
      <c r="AD668" s="205">
        <f>IF($B$664="Лікар загальної практики - сімейний лікар",AVERAGE(AD664:AD666),IF($B$664="Лікар-педіатр","x",IF($B$664="Лікар-терапевт",AVERAGE(AD664:AD666),0)))</f>
        <v>0</v>
      </c>
      <c r="AE668" s="205">
        <f>IF($B$664="Лікар загальної практики - сімейний лікар",AVERAGE(AE664:AE666),IF($B$664="Лікар-педіатр","x",IF($B$664="Лікар-терапевт",AVERAGE(AE664:AE666),0)))</f>
        <v>0</v>
      </c>
      <c r="AF668" s="205">
        <f>IF($B$664="Лікар загальної практики - сімейний лікар",AVERAGE(AF664:AF666),IF($B$664="Лікар-педіатр","x",IF($B$664="Лікар-терапевт",AVERAGE(AF664:AF666),0)))</f>
        <v>0</v>
      </c>
      <c r="AG668" s="206">
        <f>SUM(AB668:AF668)</f>
        <v>0</v>
      </c>
      <c r="AH668" s="930"/>
      <c r="AI668" s="201"/>
      <c r="AJ668" s="933"/>
      <c r="AK668" s="927"/>
      <c r="AL668" s="927"/>
      <c r="AM668" s="903"/>
      <c r="AN668" s="925"/>
      <c r="AO668" s="925"/>
      <c r="AP668" s="925"/>
      <c r="AQ668" s="925"/>
      <c r="AR668" s="916"/>
    </row>
    <row r="669" spans="1:44" s="50" customFormat="1" ht="40.5" hidden="1">
      <c r="A669" s="197"/>
      <c r="B669" s="893"/>
      <c r="C669" s="896"/>
      <c r="D669" s="912"/>
      <c r="E669" s="909"/>
      <c r="F669" s="237" t="str">
        <f ca="1">IF(B664="Лікар-педіатр",Законод!$C$17,IF(B664="Лікар загальної практики - сімейний лікар",Законод!$C$21,IF(B664="Лікар-терапевт",Законод!$C$25,"х")))</f>
        <v>х</v>
      </c>
      <c r="G669" s="208">
        <f ca="1">IF($B$664="Лікар загальної практики - сімейний лікар",IF(L668&lt;=Законод!$C$22,G668,Законод!$C$22*'01_Доходи'!G667),IF($B$664="Лікар-педіатр",IF(L668&lt;=Законод!$C$18,G668,Законод!$C$18*'01_Доходи'!G667),IF($B$664="Лікар-терапевт","x",0)))</f>
        <v>0</v>
      </c>
      <c r="H669" s="208">
        <f ca="1">IF($B$664="Лікар загальної практики - сімейний лікар",IF(L668&lt;=Законод!$C$22,H668,Законод!$C$22*'01_Доходи'!H667),IF($B$664="Лікар-педіатр",IF(L668&lt;=Законод!$C$18,H668,Законод!$C$18*'01_Доходи'!H667),IF($B$664="Лікар-терапевт","x",0)))</f>
        <v>0</v>
      </c>
      <c r="I669" s="208">
        <f ca="1">IF($B$664="Лікар загальної практики - сімейний лікар",IF(L668&lt;=Законод!$C$22,I668,Законод!$C$22*'01_Доходи'!I667),IF($B$664="Лікар-педіатр","x",IF($B$664="Лікар-терапевт",IF(L668&lt;=Законод!$C$26,I668,Законод!$C$26*'01_Доходи'!I667),0)))</f>
        <v>0</v>
      </c>
      <c r="J669" s="208">
        <f ca="1">IF($B$664="Лікар загальної практики - сімейний лікар",IF(L668&lt;=Законод!$C$22,J668,Законод!$C$22*'01_Доходи'!J667),IF($B$664="Лікар-педіатр","x",IF($B$664="Лікар-терапевт",IF(L668&lt;=Законод!$C$26,J668,Законод!$C$26*'01_Доходи'!J667),0)))</f>
        <v>0</v>
      </c>
      <c r="K669" s="208">
        <f ca="1">IF($B$664="Лікар загальної практики - сімейний лікар",IF(L668&lt;=Законод!$C$22,K668,Законод!$C$22*'01_Доходи'!K667),IF($B$664="Лікар-педіатр","x",IF($B$664="Лікар-терапевт",IF(L668&lt;=Законод!$C$26,K668,Законод!$C$26*'01_Доходи'!K667),0)))</f>
        <v>0</v>
      </c>
      <c r="L669" s="209">
        <f ca="1">SUM(G669:K669)</f>
        <v>0</v>
      </c>
      <c r="M669" s="930"/>
      <c r="N669" s="208">
        <f ca="1">IF($B$664="Лікар загальної практики - сімейний лікар",IF(S668&lt;=Законод!$C$22,N668,Законод!$C$22*'01_Доходи'!N667),IF($B$664="Лікар-педіатр",IF(S668&lt;=Законод!$C$18,N668,Законод!$C$18*'01_Доходи'!N667),IF($B$664="Лікар-терапевт","x",0)))</f>
        <v>0</v>
      </c>
      <c r="O669" s="208">
        <f ca="1">IF($B$664="Лікар загальної практики - сімейний лікар",IF(S668&lt;=Законод!$C$22,O668,Законод!$C$22*'01_Доходи'!O667),IF($B$664="Лікар-педіатр",IF(S668&lt;=Законод!$C$18,O668,Законод!$C$18*'01_Доходи'!O667),IF($B$664="Лікар-терапевт","x",0)))</f>
        <v>0</v>
      </c>
      <c r="P669" s="208">
        <f ca="1">IF($B$664="Лікар загальної практики - сімейний лікар",IF(S668&lt;=Законод!$C$22,P668,Законод!$C$22*'01_Доходи'!P667),IF($B$664="Лікар-педіатр","x",IF($B$664="Лікар-терапевт",IF(S668&lt;=Законод!$C$26,P668,Законод!$C$26*'01_Доходи'!P667),0)))</f>
        <v>0</v>
      </c>
      <c r="Q669" s="208">
        <f ca="1">IF($B$664="Лікар загальної практики - сімейний лікар",IF(S668&lt;=Законод!$C$22,Q668,Законод!$C$22*'01_Доходи'!Q667),IF($B$664="Лікар-педіатр","x",IF($B$664="Лікар-терапевт",IF(S668&lt;=Законод!$C$26,Q668,Законод!$C$26*'01_Доходи'!Q667),0)))</f>
        <v>0</v>
      </c>
      <c r="R669" s="208">
        <f ca="1">IF($B$664="Лікар загальної практики - сімейний лікар",IF(S668&lt;=Законод!$C$22,R668,Законод!$C$22*'01_Доходи'!R667),IF($B$664="Лікар-педіатр","x",IF($B$664="Лікар-терапевт",IF(S668&lt;=Законод!$C$26,R668,Законод!$C$26*'01_Доходи'!R667),0)))</f>
        <v>0</v>
      </c>
      <c r="S669" s="209">
        <f ca="1">SUM(N669:R669)</f>
        <v>0</v>
      </c>
      <c r="T669" s="930"/>
      <c r="U669" s="208">
        <f ca="1">IF($B$664="Лікар загальної практики - сімейний лікар",IF(Z668&lt;=Законод!$C$22,U668,Законод!$C$22*'01_Доходи'!U667),IF($B$664="Лікар-педіатр",IF(Z668&lt;=Законод!$C$18,U668,Законод!$C$18*'01_Доходи'!U667),IF($B$664="Лікар-терапевт","x",0)))</f>
        <v>0</v>
      </c>
      <c r="V669" s="208">
        <f ca="1">IF($B$664="Лікар загальної практики - сімейний лікар",IF(Z668&lt;=Законод!$C$22,V668,Законод!$C$22*'01_Доходи'!V667),IF($B$664="Лікар-педіатр",IF(Z668&lt;=Законод!$C$18,V668,Законод!$C$18*'01_Доходи'!V667),IF($B$664="Лікар-терапевт","x",0)))</f>
        <v>0</v>
      </c>
      <c r="W669" s="208">
        <f ca="1">IF($B$664="Лікар загальної практики - сімейний лікар",IF(Z668&lt;=Законод!$C$22,W668,Законод!$C$22*'01_Доходи'!W667),IF($B$664="Лікар-педіатр","x",IF($B$664="Лікар-терапевт",IF(Z668&lt;=Законод!$C$26,W668,Законод!$C$26*'01_Доходи'!W667),0)))</f>
        <v>0</v>
      </c>
      <c r="X669" s="208">
        <f ca="1">IF($B$664="Лікар загальної практики - сімейний лікар",IF(Z668&lt;=Законод!$C$22,X668,Законод!$C$22*'01_Доходи'!X667),IF($B$664="Лікар-педіатр","x",IF($B$664="Лікар-терапевт",IF(Z668&lt;=Законод!$C$26,X668,Законод!$C$26*'01_Доходи'!X667),0)))</f>
        <v>0</v>
      </c>
      <c r="Y669" s="208">
        <f ca="1">IF($B$664="Лікар загальної практики - сімейний лікар",IF(Z668&lt;=Законод!$C$22,Y668,Законод!$C$22*'01_Доходи'!Y667),IF($B$664="Лікар-педіатр","x",IF($B$664="Лікар-терапевт",IF(Z668&lt;=Законод!$C$26,Y668,Законод!$C$26*'01_Доходи'!Y667),0)))</f>
        <v>0</v>
      </c>
      <c r="Z669" s="209">
        <f ca="1">SUM(U669:Y669)</f>
        <v>0</v>
      </c>
      <c r="AA669" s="930"/>
      <c r="AB669" s="208">
        <f ca="1">IF($B$664="Лікар загальної практики - сімейний лікар",IF(AG668&lt;=Законод!$C$22,AB668,Законод!$C$22*'01_Доходи'!AB667),IF($B$664="Лікар-педіатр",IF(AG668&lt;=Законод!$C$18,AB668,Законод!$C$18*'01_Доходи'!AB667),IF($B$664="Лікар-терапевт","x",0)))</f>
        <v>0</v>
      </c>
      <c r="AC669" s="208">
        <f ca="1">IF($B$664="Лікар загальної практики - сімейний лікар",IF(AG668&lt;=Законод!$C$22,AC668,Законод!$C$22*'01_Доходи'!AC667),IF($B$664="Лікар-педіатр",IF(AG668&lt;=Законод!$C$18,AC668,Законод!$C$18*'01_Доходи'!AC667),IF($B$664="Лікар-терапевт","x",0)))</f>
        <v>0</v>
      </c>
      <c r="AD669" s="208">
        <f ca="1">IF($B$664="Лікар загальної практики - сімейний лікар",IF(AG668&lt;=Законод!$C$22,AD668,Законод!$C$22*'01_Доходи'!AD667),IF($B$664="Лікар-педіатр","x",IF($B$664="Лікар-терапевт",IF(AG668&lt;=Законод!$C$26,AD668,Законод!$C$26*'01_Доходи'!AD667),0)))</f>
        <v>0</v>
      </c>
      <c r="AE669" s="208">
        <f ca="1">IF($B$664="Лікар загальної практики - сімейний лікар",IF(AG668&lt;=Законод!$C$22,AE668,Законод!$C$22*'01_Доходи'!AE667),IF($B$664="Лікар-педіатр","x",IF($B$664="Лікар-терапевт",IF(AG668&lt;=Законод!$C$26,AE668,Законод!$C$26*'01_Доходи'!AE667),0)))</f>
        <v>0</v>
      </c>
      <c r="AF669" s="208">
        <f ca="1">IF($B$664="Лікар загальної практики - сімейний лікар",IF(AG668&lt;=Законод!$C$22,AF668,Законод!$C$22*'01_Доходи'!AF667),IF($B$664="Лікар-педіатр","x",IF($B$664="Лікар-терапевт",IF(AG668&lt;=Законод!$C$26,AF668,Законод!$C$26*'01_Доходи'!AF667),0)))</f>
        <v>0</v>
      </c>
      <c r="AG669" s="209">
        <f ca="1">SUM(AB669:AF669)</f>
        <v>0</v>
      </c>
      <c r="AH669" s="930"/>
      <c r="AI669" s="201"/>
      <c r="AJ669" s="933"/>
      <c r="AK669" s="927"/>
      <c r="AL669" s="927"/>
      <c r="AM669" s="348" t="s">
        <v>374</v>
      </c>
      <c r="AN669" s="210">
        <f ca="1">IF(B664="Лікар загальної практики - сімейний лікар",G669*Законод!$C$11+'01_Доходи'!H669*Законод!$D$11+'01_Доходи'!I669*Законод!$E$11+'01_Доходи'!J669*Законод!$F$11+'01_Доходи'!K669*Законод!$G$11,IF(B664="Лікар-педіатр",G669*Законод!$C$11+'01_Доходи'!H669*Законод!$D$11,IF(B664="Лікар-терапевт",'01_Доходи'!I669*Законод!$E$11+'01_Доходи'!J669*Законод!$F$11+'01_Доходи'!K669*Законод!$G$11,0)))</f>
        <v>0</v>
      </c>
      <c r="AO669" s="210">
        <f ca="1">IF(B664="Лікар загальної практики - сімейний лікар",N669*Законод!$C$11+'01_Доходи'!O669*Законод!$D$11+'01_Доходи'!P669*Законод!$E$11+'01_Доходи'!Q669*Законод!$F$11+'01_Доходи'!R669*Законод!$G$11,IF(B664="Лікар-педіатр",N669*Законод!$C$11+'01_Доходи'!O669*Законод!$D$11,IF(B664="Лікар-терапевт",'01_Доходи'!P669*Законод!$E$11+'01_Доходи'!Q669*Законод!$F$11+'01_Доходи'!R669*Законод!$G$11,0)))</f>
        <v>0</v>
      </c>
      <c r="AP669" s="210">
        <f ca="1">IF(B664="Лікар загальної практики - сімейний лікар",U669*Законод!$C$11+'01_Доходи'!V669*Законод!$D$11+'01_Доходи'!W669*Законод!$E$11+'01_Доходи'!X669*Законод!$F$11+'01_Доходи'!Y669*Законод!$G$11,IF(B664="Лікар-педіатр",U669*Законод!$C$11+'01_Доходи'!V669*Законод!$D$11,IF(B664="Лікар-терапевт",'01_Доходи'!W669*Законод!$E$11+'01_Доходи'!X669*Законод!$F$11+'01_Доходи'!Y669*Законод!$G$11,0)))</f>
        <v>0</v>
      </c>
      <c r="AQ669" s="210">
        <f ca="1">IF(B664="Лікар загальної практики - сімейний лікар",AB669*Законод!$C$11+'01_Доходи'!AC669*Законод!$D$11+'01_Доходи'!AD669*Законод!$E$11+'01_Доходи'!AE669*Законод!$F$11+'01_Доходи'!AF669*Законод!$G$11,IF(B664="Лікар-педіатр",AB669*Законод!$C$11+'01_Доходи'!AC669*Законод!$D$11,IF(B664="Лікар-терапевт",'01_Доходи'!AD669*Законод!$E$11+'01_Доходи'!AE669*Законод!$F$11+'01_Доходи'!AF669*Законод!$G$11,0)))</f>
        <v>0</v>
      </c>
      <c r="AR669" s="211">
        <f t="shared" ref="AR669:AR675" si="78">SUM(AN669:AQ669)</f>
        <v>0</v>
      </c>
    </row>
    <row r="670" spans="1:44" s="50" customFormat="1" ht="31.9" hidden="1" customHeight="1">
      <c r="A670" s="197"/>
      <c r="B670" s="893"/>
      <c r="C670" s="896"/>
      <c r="D670" s="912"/>
      <c r="E670" s="909"/>
      <c r="F670" s="238" t="str">
        <f ca="1">IF(B664="Лікар-педіатр",Законод!$E$17,IF(B664="Лікар загальної практики - сімейний лікар",Законод!$E$21,IF(B664="Лікар-терапевт",Законод!$E$25,"х")))</f>
        <v>х</v>
      </c>
      <c r="G670" s="889" t="s">
        <v>346</v>
      </c>
      <c r="H670" s="890"/>
      <c r="I670" s="890"/>
      <c r="J670" s="890"/>
      <c r="K670" s="891"/>
      <c r="L670" s="196">
        <f ca="1">IF($B$664="Лікар загальної практики - сімейний лікар",IF(L668&lt;Законод!$C$22,0,(IF(AND(L668&gt;=Законод!$E$22,L668&lt;=Законод!$E$23),L668-Законод!$C$22,IF('01_Доходи'!L668&gt;=Законод!$F$22,Законод!$E$24,0)))),IF($B$664="Лікар-педіатр",IF(L668&lt;Законод!$C$18,0,(IF(AND(L668&gt;=Законод!$E$18,L668&lt;=Законод!$E$19),L668-Законод!$C$18,IF('01_Доходи'!L668&gt;=Законод!$F$18,Законод!$E$20,0)))),IF($B$664="Лікар-терапевт",IF(L668&lt;Законод!$C$26,0,(IF(AND(L668&gt;=Законод!$E$26,L668&lt;=Законод!$E$27),L668-Законод!$C$26,IF('01_Доходи'!L668&gt;=Законод!$F$26,Законод!$E$28,0)))),0)))</f>
        <v>0</v>
      </c>
      <c r="M670" s="930"/>
      <c r="N670" s="889" t="s">
        <v>346</v>
      </c>
      <c r="O670" s="890"/>
      <c r="P670" s="890"/>
      <c r="Q670" s="890"/>
      <c r="R670" s="891"/>
      <c r="S670" s="196">
        <f ca="1">IF($B$664="Лікар загальної практики - сімейний лікар",IF(S668&lt;Законод!$C$22,0,(IF(AND(S668&gt;=Законод!$E$22,S668&lt;=Законод!$E$23),S668-Законод!$C$22,IF('01_Доходи'!S668&gt;=Законод!$F$22,Законод!$E$24,0)))),IF($B$664="Лікар-педіатр",IF(S668&lt;Законод!$C$18,0,(IF(AND(S668&gt;=Законод!$E$18,S668&lt;=Законод!$E$19),S668-Законод!$C$18,IF('01_Доходи'!S668&gt;=Законод!$F$18,Законод!$E$20,0)))),IF($B$664="Лікар-терапевт",IF(S668&lt;Законод!$C$26,0,(IF(AND(S668&gt;=Законод!$E$26,S668&lt;=Законод!$E$27),S668-Законод!$C$26,IF('01_Доходи'!S668&gt;=Законод!$F$26,Законод!$E$28,0)))),0)))</f>
        <v>0</v>
      </c>
      <c r="T670" s="930"/>
      <c r="U670" s="889" t="s">
        <v>346</v>
      </c>
      <c r="V670" s="890"/>
      <c r="W670" s="890"/>
      <c r="X670" s="890"/>
      <c r="Y670" s="891"/>
      <c r="Z670" s="196">
        <f ca="1">IF($B$664="Лікар загальної практики - сімейний лікар",IF(Z668&lt;Законод!$C$22,0,(IF(AND(Z668&gt;=Законод!$E$22,Z668&lt;=Законод!$E$23),Z668-Законод!$C$22,IF('01_Доходи'!Z668&gt;=Законод!$F$22,Законод!$E$24,0)))),IF($B$664="Лікар-педіатр",IF(Z668&lt;Законод!$C$18,0,(IF(AND(Z668&gt;=Законод!$E$18,Z668&lt;=Законод!$E$19),Z668-Законод!$C$18,IF('01_Доходи'!Z668&gt;=Законод!$F$18,Законод!$E$20,0)))),IF($B$664="Лікар-терапевт",IF(Z668&lt;Законод!$C$26,0,(IF(AND(Z668&gt;=Законод!$E$26,Z668&lt;=Законод!$E$27),Z668-Законод!$C$26,IF('01_Доходи'!Z668&gt;=Законод!$F$26,Законод!$E$28,0)))),0)))</f>
        <v>0</v>
      </c>
      <c r="AA670" s="930"/>
      <c r="AB670" s="889" t="s">
        <v>346</v>
      </c>
      <c r="AC670" s="890"/>
      <c r="AD670" s="890"/>
      <c r="AE670" s="890"/>
      <c r="AF670" s="891"/>
      <c r="AG670" s="196">
        <f ca="1">IF($B$664="Лікар загальної практики - сімейний лікар",IF(AG668&lt;Законод!$C$22,0,(IF(AND(AG668&gt;=Законод!$E$22,AG668&lt;=Законод!$E$23),AG668-Законод!$C$22,IF('01_Доходи'!AG668&gt;=Законод!$F$22,Законод!$E$24,0)))),IF($B$664="Лікар-педіатр",IF(AG668&lt;Законод!$C$18,0,(IF(AND(AG668&gt;=Законод!$E$18,AG668&lt;=Законод!$E$19),AG668-Законод!$C$18,IF('01_Доходи'!AG668&gt;=Законод!$F$18,Законод!$E$20,0)))),IF($B$664="Лікар-терапевт",IF(AG668&lt;Законод!$C$26,0,(IF(AND(AG668&gt;=Законод!$E$26,AG668&lt;=Законод!$E$27),AG668-Законод!$C$26,IF('01_Доходи'!AG668&gt;=Законод!$F$26,Законод!$E$28,0)))),0)))</f>
        <v>0</v>
      </c>
      <c r="AH670" s="930"/>
      <c r="AI670" s="201"/>
      <c r="AJ670" s="933"/>
      <c r="AK670" s="927"/>
      <c r="AL670" s="927"/>
      <c r="AM670" s="898" t="s">
        <v>375</v>
      </c>
      <c r="AN670" s="210">
        <f ca="1">IF(B664="Лікар загальної практики - сімейний лікар",L670*Законод!$C$9/4*Законод!$E$16,IF(B664="Лікар-педіатр",L670*Законод!$C$9/4*Законод!$E$16,IF(B664="Лікар-терапевт",L670*Законод!$C$9/4*Законод!$E$16,0)))</f>
        <v>0</v>
      </c>
      <c r="AO670" s="210">
        <f ca="1">IF(B664="Лікар загальної практики - сімейний лікар",S670*Законод!$C$9/4*Законод!$E$16,IF(B664="Лікар-педіатр",S670*Законод!$C$9/4*Законод!$E$16,IF(B664="Лікар-терапевт",S670*Законод!$C$9/4*Законод!$E$16,0)))</f>
        <v>0</v>
      </c>
      <c r="AP670" s="210">
        <f ca="1">IF(B664="Лікар загальної практики - сімейний лікар",Z670*Законод!$C$9/4*Законод!$E$16,IF(B664="Лікар-педіатр",Z670*Законод!$C$9/4*Законод!$E$16,IF(B664="Лікар-терапевт",Z670*Законод!$C$9/4*Законод!$E$16,0)))</f>
        <v>0</v>
      </c>
      <c r="AQ670" s="210">
        <f ca="1">IF(B664="Лікар загальної практики - сімейний лікар",AG670*Законод!$C$9/4*Законод!$E$16,IF(B664="Лікар-педіатр",AG670*Законод!$C$9/4*Законод!$E$16,IF(B664="Лікар-терапевт",AG670*Законод!$C$9/4*Законод!$E$16,0)))</f>
        <v>0</v>
      </c>
      <c r="AR670" s="211">
        <f t="shared" si="78"/>
        <v>0</v>
      </c>
    </row>
    <row r="671" spans="1:44" s="50" customFormat="1" ht="31.9" hidden="1" customHeight="1">
      <c r="A671" s="197"/>
      <c r="B671" s="893"/>
      <c r="C671" s="896"/>
      <c r="D671" s="912"/>
      <c r="E671" s="909"/>
      <c r="F671" s="238" t="str">
        <f ca="1">IF(B664="Лікар-педіатр",Законод!$F$17,IF(B664="Лікар загальної практики - сімейний лікар",Законод!$F$21,IF(B664="Лікар-терапевт",Законод!$F$25,"х")))</f>
        <v>х</v>
      </c>
      <c r="G671" s="889" t="s">
        <v>346</v>
      </c>
      <c r="H671" s="890"/>
      <c r="I671" s="890"/>
      <c r="J671" s="890"/>
      <c r="K671" s="891"/>
      <c r="L671" s="196">
        <f ca="1">IF($B$664="Лікар загальної практики - сімейний лікар",IF(L668&lt;Законод!$C$22,0,(IF(AND(L668&gt;=Законод!$F$22,L668&lt;=Законод!$F$23),L668-Законод!$E$23,IF('01_Доходи'!L668&gt;=Законод!$G$22,Законод!$F$24,0)))),IF($B$664="Лікар-педіатр",IF(L668&lt;Законод!$C$18,0,(IF(AND(L668&gt;=Законод!$F$18,L668&lt;=Законод!$F$19),L668-Законод!$E$19,IF('01_Доходи'!L668&gt;=Законод!$G$18,Законод!$F$20,0)))),IF($B$664="Лікар-терапевт",IF(L668&lt;Законод!$C$26,0,(IF(AND(L668&gt;=Законод!$F$26,L668&lt;=Законод!$F$27),L668-Законод!$E$27,IF('01_Доходи'!L668&gt;=Законод!$G$26,Законод!$F$28,0)))),0)))</f>
        <v>0</v>
      </c>
      <c r="M671" s="930"/>
      <c r="N671" s="889" t="s">
        <v>346</v>
      </c>
      <c r="O671" s="890"/>
      <c r="P671" s="890"/>
      <c r="Q671" s="890"/>
      <c r="R671" s="891"/>
      <c r="S671" s="196">
        <f ca="1">IF($B$664="Лікар загальної практики - сімейний лікар",IF(S668&lt;Законод!$C$22,0,(IF(AND(S668&gt;=Законод!$F$22,S668&lt;=Законод!$F$23),S668-Законод!$E$23,IF('01_Доходи'!S668&gt;=Законод!$G$22,Законод!$F$24,0)))),IF($B$664="Лікар-педіатр",IF(S668&lt;Законод!$C$18,0,(IF(AND(S668&gt;=Законод!$F$18,S668&lt;=Законод!$F$19),S668-Законод!$E$19,IF('01_Доходи'!S668&gt;=Законод!$G$18,Законод!$F$20,0)))),IF($B$664="Лікар-терапевт",IF(S668&lt;Законод!$C$26,0,(IF(AND(S668&gt;=Законод!$F$26,S668&lt;=Законод!$F$27),S668-Законод!$E$27,IF('01_Доходи'!S668&gt;=Законод!$G$26,Законод!$F$28,0)))),0)))</f>
        <v>0</v>
      </c>
      <c r="T671" s="930"/>
      <c r="U671" s="889" t="s">
        <v>346</v>
      </c>
      <c r="V671" s="890"/>
      <c r="W671" s="890"/>
      <c r="X671" s="890"/>
      <c r="Y671" s="891"/>
      <c r="Z671" s="196">
        <f ca="1">IF($B$664="Лікар загальної практики - сімейний лікар",IF(Z668&lt;Законод!$C$22,0,(IF(AND(Z668&gt;=Законод!$F$22,Z668&lt;=Законод!$F$23),Z668-Законод!$E$23,IF('01_Доходи'!Z668&gt;=Законод!$G$22,Законод!$F$24,0)))),IF($B$664="Лікар-педіатр",IF(Z668&lt;Законод!$C$18,0,(IF(AND(Z668&gt;=Законод!$F$18,Z668&lt;=Законод!$F$19),Z668-Законод!$E$19,IF('01_Доходи'!Z668&gt;=Законод!$G$18,Законод!$F$20,0)))),IF($B$664="Лікар-терапевт",IF(Z668&lt;Законод!$C$26,0,(IF(AND(Z668&gt;=Законод!$F$26,Z668&lt;=Законод!$F$27),Z668-Законод!$E$27,IF('01_Доходи'!Z668&gt;=Законод!$G$26,Законод!$F$28,0)))),0)))</f>
        <v>0</v>
      </c>
      <c r="AA671" s="930"/>
      <c r="AB671" s="889" t="s">
        <v>346</v>
      </c>
      <c r="AC671" s="890"/>
      <c r="AD671" s="890"/>
      <c r="AE671" s="890"/>
      <c r="AF671" s="891"/>
      <c r="AG671" s="196">
        <f ca="1">IF($B$664="Лікар загальної практики - сімейний лікар",IF(AG668&lt;Законод!$C$22,0,(IF(AND(AG668&gt;=Законод!$F$22,AG668&lt;=Законод!$F$23),AG668-Законод!$E$23,IF('01_Доходи'!AG668&gt;=Законод!$G$22,Законод!$F$24,0)))),IF($B$664="Лікар-педіатр",IF(AG668&lt;Законод!$C$18,0,(IF(AND(AG668&gt;=Законод!$F$18,AG668&lt;=Законод!$F$19),AG668-Законод!$E$19,IF('01_Доходи'!AG668&gt;=Законод!$G$18,Законод!$F$20,0)))),IF($B$664="Лікар-терапевт",IF(AG668&lt;Законод!$C$26,0,(IF(AND(AG668&gt;=Законод!$F$26,AG668&lt;=Законод!$F$27),AG668-Законод!$E$27,IF('01_Доходи'!AG668&gt;=Законод!$G$26,Законод!$F$28,0)))),0)))</f>
        <v>0</v>
      </c>
      <c r="AH671" s="930"/>
      <c r="AI671" s="201"/>
      <c r="AJ671" s="933"/>
      <c r="AK671" s="927"/>
      <c r="AL671" s="927"/>
      <c r="AM671" s="899"/>
      <c r="AN671" s="210">
        <f ca="1">IF(B664="Лікар загальної практики - сімейний лікар",L671*Законод!$C$9/4*Законод!$F$16,IF(B664="Лікар-педіатр",L671*Законод!$C$9/4*Законод!$F$16,IF(B664="Лікар-терапевт",L671*Законод!$C$9/4*Законод!$F$16,0)))</f>
        <v>0</v>
      </c>
      <c r="AO671" s="210">
        <f ca="1">IF(B664="Лікар загальної практики - сімейний лікар",S671*Законод!$C$9/4*Законод!$F$16,IF(B664="Лікар-педіатр",S671*Законод!$C$9/4*Законод!$F$16,IF(B664="Лікар-терапевт",S671*Законод!$C$9/4*Законод!$F$16,0)))</f>
        <v>0</v>
      </c>
      <c r="AP671" s="210">
        <f ca="1">IF(B664="Лікар загальної практики - сімейний лікар",Z671*Законод!$C$9/4*Законод!$F$16,IF(B664="Лікар-педіатр",Z671*Законод!$C$9/4*Законод!$F$16,IF(B664="Лікар-терапевт",Z671*Законод!$C$9/4*Законод!$F$16,0)))</f>
        <v>0</v>
      </c>
      <c r="AQ671" s="210">
        <f ca="1">IF(B664="Лікар загальної практики - сімейний лікар",AG671*Законод!$C$9/4*Законод!$F$16,IF(B664="Лікар-педіатр",AG671*Законод!$C$9/4*Законод!$F$16,IF(B664="Лікар-терапевт",AG671*Законод!$C$9/4*Законод!$F$16,0)))</f>
        <v>0</v>
      </c>
      <c r="AR671" s="211">
        <f t="shared" si="78"/>
        <v>0</v>
      </c>
    </row>
    <row r="672" spans="1:44" s="50" customFormat="1" ht="31.9" hidden="1" customHeight="1">
      <c r="A672" s="197"/>
      <c r="B672" s="893"/>
      <c r="C672" s="896"/>
      <c r="D672" s="912"/>
      <c r="E672" s="909"/>
      <c r="F672" s="238" t="str">
        <f ca="1">IF(B664="Лікар-педіатр",Законод!$G$17,IF(B664="Лікар загальної практики - сімейний лікар",Законод!$G$21,IF(B664="Лікар-терапевт",Законод!$G$25,"х")))</f>
        <v>х</v>
      </c>
      <c r="G672" s="889" t="s">
        <v>346</v>
      </c>
      <c r="H672" s="890"/>
      <c r="I672" s="890"/>
      <c r="J672" s="890"/>
      <c r="K672" s="891"/>
      <c r="L672" s="196">
        <f ca="1">IF($B$664="Лікар загальної практики - сімейний лікар",IF(L668&lt;Законод!$C$22,0,(IF(AND(L668&gt;=Законод!$G$22,L668&lt;=Законод!$G$23),L668-Законод!$F$23,IF('01_Доходи'!L668&gt;=Законод!$H$22,Законод!$G$24,0)))),IF($B$664="Лікар-педіатр",IF(L668&lt;Законод!$C$18,0,(IF(AND(L668&gt;=Законод!$G$18,L668&lt;=Законод!$G$19),L668-Законод!$F$19,IF('01_Доходи'!L668&gt;=Законод!$H$18,Законод!$G$20,0)))),IF($B$664="Лікар-терапевт",IF(L668&lt;Законод!$C$26,0,(IF(AND(L668&gt;=Законод!$G$26,L668&lt;=Законод!$G$27),L668-Законод!$F$27,IF('01_Доходи'!L668&gt;=Законод!$H$26,Законод!$G$28,0)))),0)))</f>
        <v>0</v>
      </c>
      <c r="M672" s="930"/>
      <c r="N672" s="889" t="s">
        <v>346</v>
      </c>
      <c r="O672" s="890"/>
      <c r="P672" s="890"/>
      <c r="Q672" s="890"/>
      <c r="R672" s="891"/>
      <c r="S672" s="196">
        <f ca="1">IF($B$664="Лікар загальної практики - сімейний лікар",IF(S668&lt;Законод!$C$22,0,(IF(AND(S668&gt;=Законод!$G$22,S668&lt;=Законод!$G$23),S668-Законод!$F$23,IF('01_Доходи'!S668&gt;=Законод!$H$22,Законод!$G$24,0)))),IF($B$664="Лікар-педіатр",IF(S668&lt;Законод!$C$18,0,(IF(AND(S668&gt;=Законод!$G$18,S668&lt;=Законод!$G$19),S668-Законод!$F$19,IF('01_Доходи'!S668&gt;=Законод!$H$18,Законод!$G$20,0)))),IF($B$664="Лікар-терапевт",IF(S668&lt;Законод!$C$26,0,(IF(AND(S668&gt;=Законод!$G$26,S668&lt;=Законод!$G$27),S668-Законод!$F$27,IF('01_Доходи'!S668&gt;=Законод!$H$26,Законод!$G$28,0)))),0)))</f>
        <v>0</v>
      </c>
      <c r="T672" s="930"/>
      <c r="U672" s="889" t="s">
        <v>346</v>
      </c>
      <c r="V672" s="890"/>
      <c r="W672" s="890"/>
      <c r="X672" s="890"/>
      <c r="Y672" s="891"/>
      <c r="Z672" s="196">
        <f ca="1">IF($B$664="Лікар загальної практики - сімейний лікар",IF(Z668&lt;Законод!$C$22,0,(IF(AND(Z668&gt;=Законод!$G$22,Z668&lt;=Законод!$G$23),Z668-Законод!$F$23,IF('01_Доходи'!Z668&gt;=Законод!$H$22,Законод!$G$24,0)))),IF($B$664="Лікар-педіатр",IF(Z668&lt;Законод!$C$18,0,(IF(AND(Z668&gt;=Законод!$G$18,Z668&lt;=Законод!$G$19),Z668-Законод!$F$19,IF('01_Доходи'!Z668&gt;=Законод!$H$18,Законод!$G$20,0)))),IF($B$664="Лікар-терапевт",IF(Z668&lt;Законод!$C$26,0,(IF(AND(Z668&gt;=Законод!$G$26,Z668&lt;=Законод!$G$27),Z668-Законод!$F$27,IF('01_Доходи'!Z668&gt;=Законод!$H$26,Законод!$G$28,0)))),0)))</f>
        <v>0</v>
      </c>
      <c r="AA672" s="930"/>
      <c r="AB672" s="889" t="s">
        <v>346</v>
      </c>
      <c r="AC672" s="890"/>
      <c r="AD672" s="890"/>
      <c r="AE672" s="890"/>
      <c r="AF672" s="891"/>
      <c r="AG672" s="196">
        <f ca="1">IF($B$664="Лікар загальної практики - сімейний лікар",IF(AG668&lt;Законод!$C$22,0,(IF(AND(AG668&gt;=Законод!$G$22,AG668&lt;=Законод!$G$23),AG668-Законод!$F$23,IF('01_Доходи'!AG668&gt;=Законод!$H$22,Законод!$G$24,0)))),IF($B$664="Лікар-педіатр",IF(AG668&lt;Законод!$C$18,0,(IF(AND(AG668&gt;=Законод!$G$18,AG668&lt;=Законод!$G$19),AG668-Законод!$F$19,IF('01_Доходи'!AG668&gt;=Законод!$H$18,Законод!$G$20,0)))),IF($B$664="Лікар-терапевт",IF(AG668&lt;Законод!$C$26,0,(IF(AND(AG668&gt;=Законод!$G$26,AG668&lt;=Законод!$G$27),AG668-Законод!$F$27,IF('01_Доходи'!AG668&gt;=Законод!$H$26,Законод!$G$28,0)))),0)))</f>
        <v>0</v>
      </c>
      <c r="AH672" s="930"/>
      <c r="AI672" s="201"/>
      <c r="AJ672" s="933"/>
      <c r="AK672" s="927"/>
      <c r="AL672" s="927"/>
      <c r="AM672" s="899"/>
      <c r="AN672" s="210">
        <f ca="1">IF(B664="Лікар загальної практики - сімейний лікар",L672*Законод!$C$9/4*Законод!$G$16,IF(B664="Лікар-педіатр",L672*Законод!$C$9/4*Законод!$G$16,IF(B664="Лікар-терапевт",L672*Законод!$C$9/4*Законод!$G$16,0)))</f>
        <v>0</v>
      </c>
      <c r="AO672" s="210">
        <f ca="1">IF(B664="Лікар загальної практики - сімейний лікар",S672*Законод!$C$9/4*Законод!$G$16,IF(B664="Лікар-педіатр",S672*Законод!$C$9/4*Законод!$G$16,IF(B664="Лікар-терапевт",S672*Законод!$C$9/4*Законод!$G$16,0)))</f>
        <v>0</v>
      </c>
      <c r="AP672" s="210">
        <f ca="1">IF(B664="Лікар загальної практики - сімейний лікар",Z672*Законод!$C$9/4*Законод!$G$16,IF(B664="Лікар-педіатр",Z672*Законод!$C$9/4*Законод!$G$16,IF(B664="Лікар-терапевт",Z672*Законод!$C$9/4*Законод!$G$16,0)))</f>
        <v>0</v>
      </c>
      <c r="AQ672" s="210">
        <f ca="1">IF(B664="Лікар загальної практики - сімейний лікар",AG672*Законод!$C$9/4*Законод!$G$16,IF(B664="Лікар-педіатр",AG672*Законод!$C$9/4*Законод!$G$16,IF(B664="Лікар-терапевт",AG672*Законод!$C$9/4*Законод!$G$16,0)))</f>
        <v>0</v>
      </c>
      <c r="AR672" s="211">
        <f t="shared" si="78"/>
        <v>0</v>
      </c>
    </row>
    <row r="673" spans="1:44" s="50" customFormat="1" ht="31.9" hidden="1" customHeight="1">
      <c r="A673" s="197"/>
      <c r="B673" s="893"/>
      <c r="C673" s="896"/>
      <c r="D673" s="912"/>
      <c r="E673" s="909"/>
      <c r="F673" s="238" t="str">
        <f ca="1">IF(B664="Лікар-педіатр",Законод!$H$17,IF(B664="Лікар загальної практики - сімейний лікар",Законод!$H$21,IF(B664="Лікар-терапевт",Законод!$H$25,"х")))</f>
        <v>х</v>
      </c>
      <c r="G673" s="889" t="s">
        <v>346</v>
      </c>
      <c r="H673" s="890"/>
      <c r="I673" s="890"/>
      <c r="J673" s="890"/>
      <c r="K673" s="891"/>
      <c r="L673" s="196">
        <f ca="1">IF($B$664="Лікар загальної практики - сімейний лікар",IF(L668&lt;Законод!$C$22,0,(IF(AND(L668&gt;=Законод!$H$22,L668&lt;=Законод!$H$23),L668-Законод!$G$23,IF('01_Доходи'!L668&gt;=Законод!$I$22,Законод!$H$24,0)))),IF($B$664="Лікар-педіатр",IF(L668&lt;Законод!$C$18,0,(IF(AND(L668&gt;=Законод!$H$18,L668&lt;=Законод!$H$19),L668-Законод!$G$19,IF('01_Доходи'!L668&gt;=Законод!$I$18,Законод!$H$20,0)))),IF($B$664="Лікар-терапевт",IF(L668&lt;Законод!$C$26,0,(IF(AND(L668&gt;=Законод!$H$26,L668&lt;=Законод!$H$27),L668-Законод!$G$27,IF(L668&gt;=Законод!$I$26,Законод!$H$28,0)))),0)))</f>
        <v>0</v>
      </c>
      <c r="M673" s="930"/>
      <c r="N673" s="889" t="s">
        <v>346</v>
      </c>
      <c r="O673" s="890"/>
      <c r="P673" s="890"/>
      <c r="Q673" s="890"/>
      <c r="R673" s="891"/>
      <c r="S673" s="196">
        <f ca="1">IF($B$664="Лікар загальної практики - сімейний лікар",IF(S668&lt;Законод!$C$22,0,(IF(AND(S668&gt;=Законод!$H$22,S668&lt;=Законод!$H$23),S668-Законод!$G$23,IF('01_Доходи'!S668&gt;=Законод!$I$22,Законод!$H$24,0)))),IF($B$664="Лікар-педіатр",IF(S668&lt;Законод!$C$18,0,(IF(AND(S668&gt;=Законод!$H$18,S668&lt;=Законод!$H$19),S668-Законод!$G$19,IF('01_Доходи'!S668&gt;=Законод!$I$18,Законод!$H$20,0)))),IF($B$664="Лікар-терапевт",IF(S668&lt;Законод!$C$26,0,(IF(AND(S668&gt;=Законод!$H$26,S668&lt;=Законод!$H$27),S668-Законод!$G$27,IF(S668&gt;=Законод!$I$26,Законод!$H$28,0)))),0)))</f>
        <v>0</v>
      </c>
      <c r="T673" s="930"/>
      <c r="U673" s="889" t="s">
        <v>346</v>
      </c>
      <c r="V673" s="890"/>
      <c r="W673" s="890"/>
      <c r="X673" s="890"/>
      <c r="Y673" s="891"/>
      <c r="Z673" s="196">
        <f ca="1">IF($B$664="Лікар загальної практики - сімейний лікар",IF(Z668&lt;Законод!$C$22,0,(IF(AND(Z668&gt;=Законод!$H$22,Z668&lt;=Законод!$H$23),Z668-Законод!$G$23,IF('01_Доходи'!Z668&gt;=Законод!$I$22,Законод!$H$24,0)))),IF($B$664="Лікар-педіатр",IF(Z668&lt;Законод!$C$18,0,(IF(AND(Z668&gt;=Законод!$H$18,Z668&lt;=Законод!$H$19),Z668-Законод!$G$19,IF('01_Доходи'!Z668&gt;=Законод!$I$18,Законод!$H$20,0)))),IF($B$664="Лікар-терапевт",IF(Z668&lt;Законод!$C$26,0,(IF(AND(Z668&gt;=Законод!$H$26,Z668&lt;=Законод!$H$27),Z668-Законод!$G$27,IF(Z668&gt;=Законод!$I$26,Законод!$H$28,0)))),0)))</f>
        <v>0</v>
      </c>
      <c r="AA673" s="930"/>
      <c r="AB673" s="889" t="s">
        <v>346</v>
      </c>
      <c r="AC673" s="890"/>
      <c r="AD673" s="890"/>
      <c r="AE673" s="890"/>
      <c r="AF673" s="891"/>
      <c r="AG673" s="196">
        <f ca="1">IF($B$664="Лікар загальної практики - сімейний лікар",IF(AG668&lt;Законод!$C$22,0,(IF(AND(AG668&gt;=Законод!$H$22,AG668&lt;=Законод!$H$23),AG668-Законод!$G$23,IF('01_Доходи'!AG668&gt;=Законод!$I$22,Законод!$H$24,0)))),IF($B$664="Лікар-педіатр",IF(AG668&lt;Законод!$C$18,0,(IF(AND(AG668&gt;=Законод!$H$18,AG668&lt;=Законод!$H$19),AG668-Законод!$G$19,IF('01_Доходи'!AG668&gt;=Законод!$I$18,Законод!$H$20,0)))),IF($B$664="Лікар-терапевт",IF(AG668&lt;Законод!$C$26,0,(IF(AND(AG668&gt;=Законод!$H$26,AG668&lt;=Законод!$H$27),AG668-Законод!$G$27,IF(AG668&gt;=Законод!$I$26,Законод!$H$28,0)))),0)))</f>
        <v>0</v>
      </c>
      <c r="AH673" s="930"/>
      <c r="AI673" s="201"/>
      <c r="AJ673" s="933"/>
      <c r="AK673" s="927"/>
      <c r="AL673" s="927"/>
      <c r="AM673" s="899"/>
      <c r="AN673" s="210">
        <f ca="1">IF(B664="Лікар загальної практики - сімейний лікар",L673*Законод!$C$9/4*Законод!$H$16,IF(B664="Лікар-педіатр",L673*Законод!$C$9/4*Законод!$H$16,IF(B664="Лікар-терапевт",L673*Законод!$C$9/4*Законод!$H$16,0)))</f>
        <v>0</v>
      </c>
      <c r="AO673" s="210">
        <f ca="1">IF(B664="Лікар загальної практики - сімейний лікар",S673*Законод!$C$9/4*Законод!$H$16,IF(B664="Лікар-педіатр",S673*Законод!$C$9/4*Законод!$H$16,IF(B664="Лікар-терапевт",S673*Законод!$C$9/4*Законод!$H$16,0)))</f>
        <v>0</v>
      </c>
      <c r="AP673" s="210">
        <f ca="1">IF(B664="Лікар загальної практики - сімейний лікар",Z673*Законод!$C$9/4*Законод!$H$16,IF(B664="Лікар-педіатр",Z673*Законод!$C$9/4*Законод!$H$16,IF(B664="Лікар-терапевт",Z673*Законод!$C$9/4*Законод!$H$16,0)))</f>
        <v>0</v>
      </c>
      <c r="AQ673" s="210">
        <f ca="1">IF(B664="Лікар загальної практики - сімейний лікар",AG673*Законод!$C$9/4*Законод!$H$16,IF(B664="Лікар-педіатр",AG673*Законод!$C$9/4*Законод!$H$16,IF(B664="Лікар-терапевт",AG673*Законод!$C$9/4*Законод!$H$16,0)))</f>
        <v>0</v>
      </c>
      <c r="AR673" s="211">
        <f t="shared" si="78"/>
        <v>0</v>
      </c>
    </row>
    <row r="674" spans="1:44" s="50" customFormat="1" ht="31.9" hidden="1" customHeight="1">
      <c r="A674" s="197"/>
      <c r="B674" s="893"/>
      <c r="C674" s="896"/>
      <c r="D674" s="912"/>
      <c r="E674" s="909"/>
      <c r="F674" s="238" t="str">
        <f ca="1">IF(B664="Лікар-педіатр",Законод!$I$17,IF(B664="Лікар загальної практики - сімейний лікар",Законод!$I$21,IF(B664="Лікар-терапевт",Законод!$I$25,"х")))</f>
        <v>х</v>
      </c>
      <c r="G674" s="889" t="s">
        <v>346</v>
      </c>
      <c r="H674" s="890"/>
      <c r="I674" s="890"/>
      <c r="J674" s="890"/>
      <c r="K674" s="891"/>
      <c r="L674" s="196">
        <f ca="1">IF($B$664="Лікар загальної практики - сімейний лікар",IF(L668&lt;Законод!$C$22,0,(IF(AND(L668&gt;=Законод!$I$22,L668&lt;=Законод!$I$23),L668-Законод!$H$23,IF('01_Доходи'!L668&gt;=Законод!$I$22,Законод!$I$24,0)))),IF($B$664="Лікар-педіатр",IF(L668&lt;Законод!$C$18,0,(IF(AND(L668&gt;=Законод!$I$18,L668&lt;=Законод!$I$19),L668-Законод!$H$19,IF('01_Доходи'!L668&gt;=Законод!$I$18,Законод!$H$20,0)))),IF($B$664="Лікар-терапевт",IF(L668&lt;Законод!$C$26,0,(IF(AND(L668&gt;=Законод!$I$26,L668&lt;=Законод!$I$27),L668-Законод!$H$27,IF('01_Доходи'!L668&gt;=Законод!$I$26,Законод!$H$28,0)))),0)))</f>
        <v>0</v>
      </c>
      <c r="M674" s="930"/>
      <c r="N674" s="889" t="s">
        <v>346</v>
      </c>
      <c r="O674" s="890"/>
      <c r="P674" s="890"/>
      <c r="Q674" s="890"/>
      <c r="R674" s="891"/>
      <c r="S674" s="196">
        <f ca="1">IF($B$664="Лікар загальної практики - сімейний лікар",IF(S668&lt;Законод!$C$22,0,(IF(AND(S668&gt;=Законод!$I$22,S668&lt;=Законод!$I$23),S668-Законод!$H$23,IF('01_Доходи'!S668&gt;=Законод!$I$22,Законод!$I$24,0)))),IF($B$664="Лікар-педіатр",IF(S668&lt;Законод!$C$18,0,(IF(AND(S668&gt;=Законод!$I$18,S668&lt;=Законод!$I$19),S668-Законод!$H$19,IF('01_Доходи'!S668&gt;=Законод!$I$18,Законод!$H$20,0)))),IF($B$664="Лікар-терапевт",IF(S668&lt;Законод!$C$26,0,(IF(AND(S668&gt;=Законод!$I$26,S668&lt;=Законод!$I$27),S668-Законод!$H$27,IF('01_Доходи'!S668&gt;=Законод!$I$26,Законод!$H$28,0)))),0)))</f>
        <v>0</v>
      </c>
      <c r="T674" s="930"/>
      <c r="U674" s="889" t="s">
        <v>346</v>
      </c>
      <c r="V674" s="890"/>
      <c r="W674" s="890"/>
      <c r="X674" s="890"/>
      <c r="Y674" s="891"/>
      <c r="Z674" s="196">
        <f ca="1">IF($B$664="Лікар загальної практики - сімейний лікар",IF(Z668&lt;Законод!$C$22,0,(IF(AND(Z668&gt;=Законод!$I$22,Z668&lt;=Законод!$I$23),Z668-Законод!$H$23,IF('01_Доходи'!Z668&gt;=Законод!$I$22,Законод!$I$24,0)))),IF($B$664="Лікар-педіатр",IF(Z668&lt;Законод!$C$18,0,(IF(AND(Z668&gt;=Законод!$I$18,Z668&lt;=Законод!$I$19),Z668-Законод!$H$19,IF('01_Доходи'!Z668&gt;=Законод!$I$18,Законод!$H$20,0)))),IF($B$664="Лікар-терапевт",IF(Z668&lt;Законод!$C$26,0,(IF(AND(Z668&gt;=Законод!$I$26,Z668&lt;=Законод!$I$27),Z668-Законод!$H$27,IF('01_Доходи'!Z668&gt;=Законод!$I$26,Законод!$H$28,0)))),0)))</f>
        <v>0</v>
      </c>
      <c r="AA674" s="930"/>
      <c r="AB674" s="889" t="s">
        <v>346</v>
      </c>
      <c r="AC674" s="890"/>
      <c r="AD674" s="890"/>
      <c r="AE674" s="890"/>
      <c r="AF674" s="891"/>
      <c r="AG674" s="196">
        <f ca="1">IF($B$664="Лікар загальної практики - сімейний лікар",IF(AG668&lt;Законод!$C$22,0,(IF(AND(AG668&gt;=Законод!$I$22,AG668&lt;=Законод!$I$23),AG668-Законод!$H$23,IF('01_Доходи'!AG668&gt;=Законод!$I$22,Законод!$I$24,0)))),IF($B$664="Лікар-педіатр",IF(AG668&lt;Законод!$C$18,0,(IF(AND(AG668&gt;=Законод!$I$18,AG668&lt;=Законод!$I$19),AG668-Законод!$H$19,IF('01_Доходи'!AG668&gt;=Законод!$I$18,Законод!$H$20,0)))),IF($B$664="Лікар-терапевт",IF(AG668&lt;Законод!$C$26,0,(IF(AND(AG668&gt;=Законод!$I$26,AG668&lt;=Законод!$I$27),AG668-Законод!$H$27,IF('01_Доходи'!AG668&gt;=Законод!$I$26,Законод!$H$28,0)))),0)))</f>
        <v>0</v>
      </c>
      <c r="AH674" s="930"/>
      <c r="AI674" s="201"/>
      <c r="AJ674" s="933"/>
      <c r="AK674" s="927"/>
      <c r="AL674" s="927"/>
      <c r="AM674" s="899"/>
      <c r="AN674" s="210">
        <f ca="1">IF(B664="Лікар загальної практики - сімейний лікар",L674*Законод!$C$9/4*Законод!$I$16,IF(B664="Лікар-педіатр",L674*Законод!$C$9/4*Законод!$I$16,IF(B664="Лікар-терапевт",L674*Законод!$C$9/4*Законод!$I$16,0)))</f>
        <v>0</v>
      </c>
      <c r="AO674" s="210">
        <f ca="1">IF(B664="Лікар загальної практики - сімейний лікар",S674*Законод!$C$9/4*Законод!$I$16,IF(B664="Лікар-педіатр",S674*Законод!$C$9/4*Законод!$I$16,IF(B664="Лікар-терапевт",S674*Законод!$C$9/4*Законод!$I$16,0)))</f>
        <v>0</v>
      </c>
      <c r="AP674" s="210">
        <f ca="1">IF(B664="Лікар загальної практики - сімейний лікар",Z674*Законод!$C$9/4*Законод!$I$16,IF(B664="Лікар-педіатр",Z674*Законод!$C$9/4*Законод!$I$16,IF(B664="Лікар-терапевт",Z674*Законод!$C$9/4*Законод!$I$16,0)))</f>
        <v>0</v>
      </c>
      <c r="AQ674" s="210">
        <f ca="1">IF(B664="Лікар загальної практики - сімейний лікар",AG674*Законод!$C$9/4*Законод!$I$16,IF(B664="Лікар-педіатр",AG674*Законод!$C$9/4*Законод!$I$16,IF(B664="Лікар-терапевт",AG674*Законод!$C$9/4*Законод!$I$16,0)))</f>
        <v>0</v>
      </c>
      <c r="AR674" s="211">
        <f t="shared" si="78"/>
        <v>0</v>
      </c>
    </row>
    <row r="675" spans="1:44" s="218" customFormat="1" ht="31.9" hidden="1" customHeight="1" thickBot="1">
      <c r="A675" s="213"/>
      <c r="B675" s="894"/>
      <c r="C675" s="897"/>
      <c r="D675" s="913"/>
      <c r="E675" s="910"/>
      <c r="F675" s="239" t="str">
        <f ca="1">IF(B664="Лікар-педіатр",Законод!$J$17,IF(B664="Лікар загальної практики - сімейний лікар",Законод!$J$21,IF(B664="Лікар-терапевт",Законод!$J$25,"х")))</f>
        <v>х</v>
      </c>
      <c r="G675" s="935" t="s">
        <v>346</v>
      </c>
      <c r="H675" s="936"/>
      <c r="I675" s="936"/>
      <c r="J675" s="936"/>
      <c r="K675" s="937"/>
      <c r="L675" s="196">
        <f ca="1">IF($B$664="Лікар загальної практики - сімейний лікар",IF(L668&gt;=Законод!$J$22,'01_Доходи'!L668-('01_Доходи'!L669+'01_Доходи'!L670+'01_Доходи'!L671+'01_Доходи'!L672+'01_Доходи'!L673+'01_Доходи'!L674),0),IF($B$664="Лікар-педіатр",IF(L668&gt;=Законод!$J$18,'01_Доходи'!L668-('01_Доходи'!L669+'01_Доходи'!L670+'01_Доходи'!L671+'01_Доходи'!L672+'01_Доходи'!L673+'01_Доходи'!L674),0),IF($B$664="Лікар-терапевт",IF('01_Доходи'!L668&gt;=Законод!$J$26,L668-Законод!$I$27,0),0)))</f>
        <v>0</v>
      </c>
      <c r="M675" s="931"/>
      <c r="N675" s="935" t="s">
        <v>346</v>
      </c>
      <c r="O675" s="936"/>
      <c r="P675" s="936"/>
      <c r="Q675" s="936"/>
      <c r="R675" s="937"/>
      <c r="S675" s="196">
        <f ca="1">IF($B$664="Лікар загальної практики - сімейний лікар",IF(S668&gt;=Законод!$J$22,'01_Доходи'!S668-('01_Доходи'!S669+'01_Доходи'!S670+'01_Доходи'!S671+'01_Доходи'!S672+'01_Доходи'!S673+'01_Доходи'!S674),0),IF($B$664="Лікар-педіатр",IF(S668&gt;=Законод!$J$18,'01_Доходи'!S668-('01_Доходи'!S669+'01_Доходи'!S670+'01_Доходи'!S671+'01_Доходи'!S672+'01_Доходи'!S673+'01_Доходи'!S674),0),IF($B$664="Лікар-терапевт",IF('01_Доходи'!S668&gt;=Законод!$J$26,S668-Законод!$I$27,0),0)))</f>
        <v>0</v>
      </c>
      <c r="T675" s="931"/>
      <c r="U675" s="935" t="s">
        <v>346</v>
      </c>
      <c r="V675" s="936"/>
      <c r="W675" s="936"/>
      <c r="X675" s="936"/>
      <c r="Y675" s="937"/>
      <c r="Z675" s="196">
        <f ca="1">IF($B$664="Лікар загальної практики - сімейний лікар",IF(Z668&gt;=Законод!$J$22,'01_Доходи'!Z668-('01_Доходи'!Z669+'01_Доходи'!Z670+'01_Доходи'!Z671+'01_Доходи'!Z672+'01_Доходи'!Z673+'01_Доходи'!Z674),0),IF($B$664="Лікар-педіатр",IF(Z668&gt;=Законод!$J$18,'01_Доходи'!Z668-('01_Доходи'!Z669+'01_Доходи'!Z670+'01_Доходи'!Z671+'01_Доходи'!Z672+'01_Доходи'!Z673+'01_Доходи'!Z674),0),IF($B$664="Лікар-терапевт",IF('01_Доходи'!Z668&gt;=Законод!$J$26,Z668-Законод!$I$27,0),0)))</f>
        <v>0</v>
      </c>
      <c r="AA675" s="931"/>
      <c r="AB675" s="935" t="s">
        <v>346</v>
      </c>
      <c r="AC675" s="936"/>
      <c r="AD675" s="936"/>
      <c r="AE675" s="936"/>
      <c r="AF675" s="937"/>
      <c r="AG675" s="196">
        <f ca="1">IF($B$664="Лікар загальної практики - сімейний лікар",IF(AG668&gt;=Законод!$J$22,'01_Доходи'!AG668-('01_Доходи'!AG669+'01_Доходи'!AG670+'01_Доходи'!AG671+'01_Доходи'!AG672+'01_Доходи'!AG673+'01_Доходи'!AG674),0),IF($B$664="Лікар-педіатр",IF(AG668&gt;=Законод!$J$18,'01_Доходи'!AG668-('01_Доходи'!AG669+'01_Доходи'!AG670+'01_Доходи'!AG671+'01_Доходи'!AG672+'01_Доходи'!AG673+'01_Доходи'!AG674),0),IF($B$664="Лікар-терапевт",IF('01_Доходи'!AG668&gt;=Законод!$J$26,AG668-Законод!$I$27,0),0)))</f>
        <v>0</v>
      </c>
      <c r="AH675" s="931"/>
      <c r="AI675" s="215"/>
      <c r="AJ675" s="934"/>
      <c r="AK675" s="928"/>
      <c r="AL675" s="928"/>
      <c r="AM675" s="900"/>
      <c r="AN675" s="216">
        <f ca="1">IF(B664="Лікар загальної практики - сімейний лікар",L675*Законод!$C$9/4*Законод!$J$16,IF(B664="Лікар-педіатр",L675*Законод!$C$9/4*Законод!$J$16,IF(B664="Лікар-терапевт",L675*Законод!$C$9/4*Законод!$J$16,0)))</f>
        <v>0</v>
      </c>
      <c r="AO675" s="216">
        <f ca="1">IF(B664="Лікар загальної практики - сімейний лікар",S675*Законод!$C$9/4*Законод!$J$16,IF(B664="Лікар-педіатр",S675*Законод!$C$9/4*Законод!$J$16,IF(B664="Лікар-терапевт",S675*Законод!$C$9/4*Законод!$J$16,0)))</f>
        <v>0</v>
      </c>
      <c r="AP675" s="216">
        <f ca="1">IF(B664="Лікар загальної практики - сімейний лікар",S675*Законод!$C$9/4*Законод!$J$16,IF(B664="Лікар-педіатр",S675*Законод!$C$9/4*Законод!$J$16,IF(B664="Лікар-терапевт",S675*Законод!$C$9/4*Законод!$J$16,0)))</f>
        <v>0</v>
      </c>
      <c r="AQ675" s="216">
        <f ca="1">IF(B664="Лікар загальної практики - сімейний лікар",AG675*Законод!$C$9/4*Законод!$J$16,IF(B664="Лікар-педіатр",AG675*Законод!$C$9/4*Законод!$J$16,IF(B664="Лікар-терапевт",AG675*Законод!$C$9/4*Законод!$J$16,0)))</f>
        <v>0</v>
      </c>
      <c r="AR675" s="217">
        <f t="shared" si="78"/>
        <v>0</v>
      </c>
    </row>
    <row r="676" spans="1:44" s="247" customFormat="1" ht="23.45" hidden="1" customHeight="1" thickBot="1">
      <c r="A676" s="243"/>
      <c r="B676" s="244"/>
      <c r="C676" s="244"/>
      <c r="D676" s="244"/>
      <c r="E676" s="244"/>
      <c r="F676" s="245"/>
      <c r="G676" s="246"/>
      <c r="H676" s="246"/>
      <c r="L676" s="248"/>
      <c r="S676" s="248"/>
      <c r="Z676" s="248"/>
      <c r="AG676" s="248"/>
      <c r="AM676" s="249"/>
      <c r="AR676" s="250"/>
    </row>
    <row r="677" spans="1:44" s="191" customFormat="1" ht="24.6" hidden="1" customHeight="1">
      <c r="A677" s="194">
        <f>A664+1</f>
        <v>50</v>
      </c>
      <c r="B677" s="892"/>
      <c r="C677" s="895"/>
      <c r="D677" s="911"/>
      <c r="E677" s="908"/>
      <c r="F677" s="234" t="s">
        <v>582</v>
      </c>
      <c r="G677" s="196">
        <f>IF($B$677="Лікар-педіатр",G680*L677,IF($B$677="Лікар-терапевт","х",IF($B$677="Лікар загальної практики - сімейний лікар",G680*L677,0)))</f>
        <v>0</v>
      </c>
      <c r="H677" s="196">
        <f>IF($B$677="Лікар-педіатр",H680*L677,IF($B$677="Лікар-терапевт","х",IF($B$677="Лікар загальної практики - сімейний лікар",H680*L677,0)))</f>
        <v>0</v>
      </c>
      <c r="I677" s="196">
        <f>IF($B$677="Лікар-педіатр","x",IF($B$677="Лікар-терапевт",I680*L677,IF($B$677="Лікар загальної практики - сімейний лікар",I680*L677,0)))</f>
        <v>0</v>
      </c>
      <c r="J677" s="196">
        <f>IF($B$677="Лікар-педіатр","x",IF($B$677="Лікар-терапевт",J680*L677,IF($B$677="Лікар загальної практики - сімейний лікар",J680*L677,0)))</f>
        <v>0</v>
      </c>
      <c r="K677" s="196">
        <f>IF($B$677="Лікар-педіатр","x",IF($B$677="Лікар-терапевт",K680*L677,IF($B$677="Лікар загальної практики - сімейний лікар",K680*L677,0)))</f>
        <v>0</v>
      </c>
      <c r="L677" s="558"/>
      <c r="M677" s="929"/>
      <c r="N677" s="196">
        <f>IF($B$677="Лікар-педіатр",N680*S677,IF($B$677="Лікар-терапевт","х",IF($B$677="Лікар загальної практики - сімейний лікар",N680*S677,0)))</f>
        <v>0</v>
      </c>
      <c r="O677" s="196">
        <f>IF($B$677="Лікар-педіатр",O680*S677,IF($B$677="Лікар-терапевт","х",IF($B$677="Лікар загальної практики - сімейний лікар",O680*S677,0)))</f>
        <v>0</v>
      </c>
      <c r="P677" s="196">
        <f>IF($B$677="Лікар-педіатр","x",IF($B$677="Лікар-терапевт",P680*S677,IF($B$677="Лікар загальної практики - сімейний лікар",P680*S677,0)))</f>
        <v>0</v>
      </c>
      <c r="Q677" s="196">
        <f>IF($B$677="Лікар-педіатр","x",IF($B$677="Лікар-терапевт",Q680*S677,IF($B$677="Лікар загальної практики - сімейний лікар",Q680*S677,0)))</f>
        <v>0</v>
      </c>
      <c r="R677" s="196">
        <f>IF($B$677="Лікар-педіатр","x",IF($B$677="Лікар-терапевт",R680*S677,IF($B$677="Лікар загальної практики - сімейний лікар",R680*S677,0)))</f>
        <v>0</v>
      </c>
      <c r="S677" s="558"/>
      <c r="T677" s="929"/>
      <c r="U677" s="196">
        <f>IF($B$677="Лікар-педіатр",U680*Z677,IF($B$677="Лікар-терапевт","х",IF($B$677="Лікар загальної практики - сімейний лікар",U680*Z677,0)))</f>
        <v>0</v>
      </c>
      <c r="V677" s="196">
        <f>IF($B$677="Лікар-педіатр",V680*Z677,IF($B$677="Лікар-терапевт","х",IF($B$677="Лікар загальної практики - сімейний лікар",V680*Z677,0)))</f>
        <v>0</v>
      </c>
      <c r="W677" s="196">
        <f>IF($B$677="Лікар-педіатр","x",IF($B$677="Лікар-терапевт",W680*Z677,IF($B$677="Лікар загальної практики - сімейний лікар",W680*Z677,0)))</f>
        <v>0</v>
      </c>
      <c r="X677" s="196">
        <f>IF($B$677="Лікар-педіатр","x",IF($B$677="Лікар-терапевт",X680*Z677,IF($B$677="Лікар загальної практики - сімейний лікар",X680*Z677,0)))</f>
        <v>0</v>
      </c>
      <c r="Y677" s="196">
        <f>IF($B$677="Лікар-педіатр","x",IF($B$677="Лікар-терапевт",Y680*Z677,IF($B$677="Лікар загальної практики - сімейний лікар",Y680*Z677,0)))</f>
        <v>0</v>
      </c>
      <c r="Z677" s="558"/>
      <c r="AA677" s="929"/>
      <c r="AB677" s="196">
        <f>IF($B$677="Лікар-педіатр",AB680*AG677,IF($B$677="Лікар-терапевт","х",IF($B$677="Лікар загальної практики - сімейний лікар",AB680*AG677,0)))</f>
        <v>0</v>
      </c>
      <c r="AC677" s="196">
        <f>IF($B$677="Лікар-педіатр",AC680*AG677,IF($B$677="Лікар-терапевт","х",IF($B$677="Лікар загальної практики - сімейний лікар",AC680*AG677,0)))</f>
        <v>0</v>
      </c>
      <c r="AD677" s="196">
        <f>IF($B$677="Лікар-педіатр","x",IF($B$677="Лікар-терапевт",AD680*AG677,IF($B$677="Лікар загальної практики - сімейний лікар",AD680*AG677,0)))</f>
        <v>0</v>
      </c>
      <c r="AE677" s="196">
        <f>IF($B$677="Лікар-педіатр","x",IF($B$677="Лікар-терапевт",AE680*AG677,IF($B$677="Лікар загальної практики - сімейний лікар",AE680*AG677,0)))</f>
        <v>0</v>
      </c>
      <c r="AF677" s="196">
        <f>IF($B$677="Лікар-педіатр","x",IF($B$677="Лікар-терапевт",AF680*AG677,IF($B$677="Лікар загальної практики - сімейний лікар",AF680*AG677,0)))</f>
        <v>0</v>
      </c>
      <c r="AG677" s="558"/>
      <c r="AH677" s="929"/>
      <c r="AI677" s="541">
        <f>A677</f>
        <v>50</v>
      </c>
      <c r="AJ677" s="932">
        <f>B677</f>
        <v>0</v>
      </c>
      <c r="AK677" s="926">
        <f>C677</f>
        <v>0</v>
      </c>
      <c r="AL677" s="926">
        <f>D677</f>
        <v>0</v>
      </c>
      <c r="AM677" s="901" t="s">
        <v>785</v>
      </c>
      <c r="AN677" s="923">
        <f>SUM(AN682:AN688)</f>
        <v>0</v>
      </c>
      <c r="AO677" s="923">
        <f>SUM(AO682:AO688)</f>
        <v>0</v>
      </c>
      <c r="AP677" s="923">
        <f>SUM(AP682:AP688)</f>
        <v>0</v>
      </c>
      <c r="AQ677" s="923">
        <f>SUM(AQ682:AQ688)</f>
        <v>0</v>
      </c>
      <c r="AR677" s="914">
        <f>SUM(AN677:AQ681)</f>
        <v>0</v>
      </c>
    </row>
    <row r="678" spans="1:44" s="50" customFormat="1" ht="28.15" hidden="1" customHeight="1">
      <c r="A678" s="197"/>
      <c r="B678" s="893"/>
      <c r="C678" s="896"/>
      <c r="D678" s="912"/>
      <c r="E678" s="909"/>
      <c r="F678" s="234" t="s">
        <v>583</v>
      </c>
      <c r="G678" s="196">
        <f>IF($B$677="Лікар-педіатр",G680*L678,IF($B$677="Лікар-терапевт","х",IF($B$677="Лікар загальної практики - сімейний лікар",G680*L678,0)))</f>
        <v>0</v>
      </c>
      <c r="H678" s="196">
        <f>IF($B$677="Лікар-педіатр",H680*L678,IF($B$677="Лікар-терапевт","х",IF($B$677="Лікар загальної практики - сімейний лікар",H680*L678,0)))</f>
        <v>0</v>
      </c>
      <c r="I678" s="196">
        <f>IF($B$677="Лікар-педіатр","x",IF($B$677="Лікар-терапевт",I680*L678,IF($B$677="Лікар загальної практики - сімейний лікар",I680*L678,0)))</f>
        <v>0</v>
      </c>
      <c r="J678" s="196">
        <f>IF($B$677="Лікар-педіатр","x",IF($B$677="Лікар-терапевт",J680*L678,IF($B$677="Лікар загальної практики - сімейний лікар",J680*L678,0)))</f>
        <v>0</v>
      </c>
      <c r="K678" s="196">
        <f>IF($B$677="Лікар-педіатр","x",IF($B$677="Лікар-терапевт",K680*L678,IF($B$677="Лікар загальної практики - сімейний лікар",K680*L678,0)))</f>
        <v>0</v>
      </c>
      <c r="L678" s="558"/>
      <c r="M678" s="930"/>
      <c r="N678" s="196">
        <f>IF($B$677="Лікар-педіатр",N680*S678,IF($B$677="Лікар-терапевт","х",IF($B$677="Лікар загальної практики - сімейний лікар",N680*S678,0)))</f>
        <v>0</v>
      </c>
      <c r="O678" s="196">
        <f>IF($B$677="Лікар-педіатр",O680*S678,IF($B$677="Лікар-терапевт","х",IF($B$677="Лікар загальної практики - сімейний лікар",O680*S678,0)))</f>
        <v>0</v>
      </c>
      <c r="P678" s="196">
        <f>IF($B$677="Лікар-педіатр","x",IF($B$677="Лікар-терапевт",P680*S678,IF($B$677="Лікар загальної практики - сімейний лікар",P680*S678,0)))</f>
        <v>0</v>
      </c>
      <c r="Q678" s="196">
        <f>IF($B$677="Лікар-педіатр","x",IF($B$677="Лікар-терапевт",Q680*S678,IF($B$677="Лікар загальної практики - сімейний лікар",Q680*S678,0)))</f>
        <v>0</v>
      </c>
      <c r="R678" s="196">
        <f>IF($B$677="Лікар-педіатр","x",IF($B$677="Лікар-терапевт",R680*S678,IF($B$677="Лікар загальної практики - сімейний лікар",R680*S678,0)))</f>
        <v>0</v>
      </c>
      <c r="S678" s="558"/>
      <c r="T678" s="930"/>
      <c r="U678" s="196">
        <f>IF($B$677="Лікар-педіатр",U680*Z678,IF($B$677="Лікар-терапевт","х",IF($B$677="Лікар загальної практики - сімейний лікар",U680*Z678,0)))</f>
        <v>0</v>
      </c>
      <c r="V678" s="196">
        <f>IF($B$677="Лікар-педіатр",V680*Z678,IF($B$677="Лікар-терапевт","х",IF($B$677="Лікар загальної практики - сімейний лікар",V680*Z678,0)))</f>
        <v>0</v>
      </c>
      <c r="W678" s="196">
        <f>IF($B$677="Лікар-педіатр","x",IF($B$677="Лікар-терапевт",W680*Z678,IF($B$677="Лікар загальної практики - сімейний лікар",W680*Z678,0)))</f>
        <v>0</v>
      </c>
      <c r="X678" s="196">
        <f>IF($B$677="Лікар-педіатр","x",IF($B$677="Лікар-терапевт",X680*Z678,IF($B$677="Лікар загальної практики - сімейний лікар",X680*Z678,0)))</f>
        <v>0</v>
      </c>
      <c r="Y678" s="196">
        <f>IF($B$677="Лікар-педіатр","x",IF($B$677="Лікар-терапевт",Y680*Z678,IF($B$677="Лікар загальної практики - сімейний лікар",Y680*Z678,0)))</f>
        <v>0</v>
      </c>
      <c r="Z678" s="558"/>
      <c r="AA678" s="930"/>
      <c r="AB678" s="196">
        <f>IF($B$677="Лікар-педіатр",AB680*AG678,IF($B$677="Лікар-терапевт","х",IF($B$677="Лікар загальної практики - сімейний лікар",AB680*AG678,0)))</f>
        <v>0</v>
      </c>
      <c r="AC678" s="196">
        <f>IF($B$677="Лікар-педіатр",AC680*AG678,IF($B$677="Лікар-терапевт","х",IF($B$677="Лікар загальної практики - сімейний лікар",AC680*AG678,0)))</f>
        <v>0</v>
      </c>
      <c r="AD678" s="196">
        <f>IF($B$677="Лікар-педіатр","x",IF($B$677="Лікар-терапевт",AD680*AG678,IF($B$677="Лікар загальної практики - сімейний лікар",AD680*AG678,0)))</f>
        <v>0</v>
      </c>
      <c r="AE678" s="196">
        <f>IF($B$677="Лікар-педіатр","x",IF($B$677="Лікар-терапевт",AE680*AG678,IF($B$677="Лікар загальної практики - сімейний лікар",AE680*AG678,0)))</f>
        <v>0</v>
      </c>
      <c r="AF678" s="196">
        <f>IF($B$677="Лікар-педіатр","x",IF($B$677="Лікар-терапевт",AF680*AG678,IF($B$677="Лікар загальної практики - сімейний лікар",AF680*AG678,0)))</f>
        <v>0</v>
      </c>
      <c r="AG678" s="558"/>
      <c r="AH678" s="930"/>
      <c r="AI678" s="198"/>
      <c r="AJ678" s="933"/>
      <c r="AK678" s="927"/>
      <c r="AL678" s="927"/>
      <c r="AM678" s="902"/>
      <c r="AN678" s="924"/>
      <c r="AO678" s="924"/>
      <c r="AP678" s="924"/>
      <c r="AQ678" s="924"/>
      <c r="AR678" s="915"/>
    </row>
    <row r="679" spans="1:44" s="90" customFormat="1" ht="31.15" hidden="1" customHeight="1">
      <c r="A679" s="240"/>
      <c r="B679" s="893"/>
      <c r="C679" s="896"/>
      <c r="D679" s="912"/>
      <c r="E679" s="909"/>
      <c r="F679" s="241" t="s">
        <v>584</v>
      </c>
      <c r="G679" s="199">
        <f>IF(B677="Лікар загальної практики - сімейний лікар"," ",IF(B677="Лікар-педіатр"," ",IF(B677="Лікар-терапевт","х",0)))</f>
        <v>0</v>
      </c>
      <c r="H679" s="199">
        <f>IF(B677="Лікар загальної практики - сімейний лікар"," ",IF(B677="Лікар-педіатр"," ",IF(B677="Лікар-терапевт","х",0)))</f>
        <v>0</v>
      </c>
      <c r="I679" s="199">
        <f>IF(B677="Лікар загальної практики - сімейний лікар"," ",IF(B677="Лікар-педіатр","х",IF(B677="Лікар-терапевт"," ",0)))</f>
        <v>0</v>
      </c>
      <c r="J679" s="199">
        <f>IF(B677="Лікар загальної практики - сімейний лікар"," ",IF(B677="Лікар-педіатр","х",IF(B677="Лікар-терапевт"," ",0)))</f>
        <v>0</v>
      </c>
      <c r="K679" s="199">
        <f>IF(B677="Лікар загальної практики - сімейний лікар"," ",IF(B677="Лікар-педіатр","х",IF(B677="Лікар-терапевт"," ",0)))</f>
        <v>0</v>
      </c>
      <c r="L679" s="200">
        <f>SUM(G679:K679)</f>
        <v>0</v>
      </c>
      <c r="M679" s="930"/>
      <c r="N679" s="199">
        <f>IF(B677="Лікар загальної практики - сімейний лікар"," ",IF(B677="Лікар-педіатр"," ",IF(B677="Лікар-терапевт","х",0)))</f>
        <v>0</v>
      </c>
      <c r="O679" s="199">
        <f>IF(B677="Лікар загальної практики - сімейний лікар"," ",IF(B677="Лікар-педіатр"," ",IF(B677="Лікар-терапевт","х",0)))</f>
        <v>0</v>
      </c>
      <c r="P679" s="199">
        <f>IF(B677="Лікар загальної практики - сімейний лікар"," ",IF(B677="Лікар-педіатр","х",IF(B677="Лікар-терапевт"," ",0)))</f>
        <v>0</v>
      </c>
      <c r="Q679" s="199">
        <f>IF(B677="Лікар загальної практики - сімейний лікар"," ",IF(B677="Лікар-педіатр","х",IF(B677="Лікар-терапевт"," ",0)))</f>
        <v>0</v>
      </c>
      <c r="R679" s="199">
        <f>IF(B677="Лікар загальної практики - сімейний лікар"," ",IF(B677="Лікар-педіатр","х",IF(B677="Лікар-терапевт"," ",0)))</f>
        <v>0</v>
      </c>
      <c r="S679" s="200">
        <f>SUM(N679:R679)</f>
        <v>0</v>
      </c>
      <c r="T679" s="930"/>
      <c r="U679" s="199">
        <f>IF(B677="Лікар загальної практики - сімейний лікар"," ",IF(B677="Лікар-педіатр"," ",IF(B677="Лікар-терапевт","х",0)))</f>
        <v>0</v>
      </c>
      <c r="V679" s="199">
        <f>IF(B677="Лікар загальної практики - сімейний лікар"," ",IF(B677="Лікар-педіатр"," ",IF(B677="Лікар-терапевт","х",0)))</f>
        <v>0</v>
      </c>
      <c r="W679" s="199">
        <f>IF(B677="Лікар загальної практики - сімейний лікар"," ",IF(B677="Лікар-педіатр","х",IF(B677="Лікар-терапевт"," ",0)))</f>
        <v>0</v>
      </c>
      <c r="X679" s="199">
        <f>IF(B677="Лікар загальної практики - сімейний лікар"," ",IF(B677="Лікар-педіатр","х",IF(B677="Лікар-терапевт"," ",0)))</f>
        <v>0</v>
      </c>
      <c r="Y679" s="199">
        <f>IF(B677="Лікар загальної практики - сімейний лікар"," ",IF(B677="Лікар-педіатр","х",IF(B677="Лікар-терапевт"," ",0)))</f>
        <v>0</v>
      </c>
      <c r="Z679" s="200">
        <f>SUM(U679:Y679)</f>
        <v>0</v>
      </c>
      <c r="AA679" s="930"/>
      <c r="AB679" s="199">
        <f>IF(B677="Лікар загальної практики - сімейний лікар"," ",IF(B677="Лікар-педіатр"," ",IF(B677="Лікар-терапевт","х",0)))</f>
        <v>0</v>
      </c>
      <c r="AC679" s="199">
        <f>IF(B677="Лікар загальної практики - сімейний лікар"," ",IF(B677="Лікар-педіатр"," ",IF(B677="Лікар-терапевт","х",0)))</f>
        <v>0</v>
      </c>
      <c r="AD679" s="199">
        <f>IF(B677="Лікар загальної практики - сімейний лікар"," ",IF(B677="Лікар-педіатр","х",IF(B677="Лікар-терапевт"," ",0)))</f>
        <v>0</v>
      </c>
      <c r="AE679" s="199">
        <f>IF(B677="Лікар загальної практики - сімейний лікар"," ",IF(B677="Лікар-педіатр","х",IF(B677="Лікар-терапевт"," ",0)))</f>
        <v>0</v>
      </c>
      <c r="AF679" s="199">
        <f>IF(B677="Лікар загальної практики - сімейний лікар"," ",IF(B677="Лікар-педіатр","х",IF(B677="Лікар-терапевт"," ",0)))</f>
        <v>0</v>
      </c>
      <c r="AG679" s="200">
        <f>SUM(AB679:AF679)</f>
        <v>0</v>
      </c>
      <c r="AH679" s="930"/>
      <c r="AI679" s="242"/>
      <c r="AJ679" s="933"/>
      <c r="AK679" s="927"/>
      <c r="AL679" s="927"/>
      <c r="AM679" s="902"/>
      <c r="AN679" s="924"/>
      <c r="AO679" s="924"/>
      <c r="AP679" s="924"/>
      <c r="AQ679" s="924"/>
      <c r="AR679" s="915"/>
    </row>
    <row r="680" spans="1:44" s="50" customFormat="1" ht="31.9" hidden="1" customHeight="1" thickBot="1">
      <c r="A680" s="197"/>
      <c r="B680" s="893"/>
      <c r="C680" s="896"/>
      <c r="D680" s="912"/>
      <c r="E680" s="909"/>
      <c r="F680" s="236" t="s">
        <v>349</v>
      </c>
      <c r="G680" s="203">
        <f>IF($B$677="Лікар-педіатр",G679/L679,IF($B$677="Лікар-терапевт","х",IF($B$677="Лікар загальної практики - сімейний лікар",G679/L679,0)))</f>
        <v>0</v>
      </c>
      <c r="H680" s="203">
        <f>IF($B$677="Лікар-педіатр",H679/L679,IF($B$677="Лікар-терапевт","х",IF($B$677="Лікар загальної практики - сімейний лікар",H679/L679,0)))</f>
        <v>0</v>
      </c>
      <c r="I680" s="203">
        <f>IF($B$677="Лікар-педіатр","x",IF($B$677="Лікар-терапевт",I679/L679,IF($B$677="Лікар загальної практики - сімейний лікар",I679/L679,0)))</f>
        <v>0</v>
      </c>
      <c r="J680" s="203">
        <f>IF($B$677="Лікар-педіатр","x",IF($B$677="Лікар-терапевт",J679/L679,IF($B$677="Лікар загальної практики - сімейний лікар",J679/L679,0)))</f>
        <v>0</v>
      </c>
      <c r="K680" s="203">
        <f>IF($B$677="Лікар-педіатр","x",IF($B$677="Лікар-терапевт",K679/L679,IF($B$677="Лікар загальної практики - сімейний лікар",K679/L679,0)))</f>
        <v>0</v>
      </c>
      <c r="L680" s="203">
        <f>SUM(G680:K680)</f>
        <v>0</v>
      </c>
      <c r="M680" s="930"/>
      <c r="N680" s="203">
        <f>IF($B$677="Лікар-педіатр",N679/S679,IF($B$677="Лікар-терапевт","х",IF($B$677="Лікар загальної практики - сімейний лікар",N679/S679,0)))</f>
        <v>0</v>
      </c>
      <c r="O680" s="203">
        <f>IF($B$677="Лікар-педіатр",O679/S679,IF($B$677="Лікар-терапевт","х",IF($B$677="Лікар загальної практики - сімейний лікар",O679/S679,0)))</f>
        <v>0</v>
      </c>
      <c r="P680" s="203">
        <f>IF($B$677="Лікар-педіатр","x",IF($B$677="Лікар-терапевт",P679/S679,IF($B$677="Лікар загальної практики - сімейний лікар",P679/S679,0)))</f>
        <v>0</v>
      </c>
      <c r="Q680" s="203">
        <f>IF($B$677="Лікар-педіатр","x",IF($B$677="Лікар-терапевт",Q679/S679,IF($B$677="Лікар загальної практики - сімейний лікар",Q679/S679,0)))</f>
        <v>0</v>
      </c>
      <c r="R680" s="203">
        <f>IF($B$677="Лікар-педіатр","x",IF($B$677="Лікар-терапевт",R679/S679,IF($B$677="Лікар загальної практики - сімейний лікар",R679/S679,0)))</f>
        <v>0</v>
      </c>
      <c r="S680" s="203">
        <f>SUM(N680:R680)</f>
        <v>0</v>
      </c>
      <c r="T680" s="930"/>
      <c r="U680" s="203">
        <f>IF($B$677="Лікар-педіатр",U679/Z679,IF($B$677="Лікар-терапевт","х",IF($B$677="Лікар загальної практики - сімейний лікар",U679/Z679,0)))</f>
        <v>0</v>
      </c>
      <c r="V680" s="203">
        <f>IF($B$677="Лікар-педіатр",V679/Z679,IF($B$677="Лікар-терапевт","х",IF($B$677="Лікар загальної практики - сімейний лікар",V679/Z679,0)))</f>
        <v>0</v>
      </c>
      <c r="W680" s="203">
        <f>IF($B$677="Лікар-педіатр","x",IF($B$677="Лікар-терапевт",W679/Z679,IF($B$677="Лікар загальної практики - сімейний лікар",W679/Z679,0)))</f>
        <v>0</v>
      </c>
      <c r="X680" s="203">
        <f>IF($B$677="Лікар-педіатр","x",IF($B$677="Лікар-терапевт",X679/Z679,IF($B$677="Лікар загальної практики - сімейний лікар",X679/Z679,0)))</f>
        <v>0</v>
      </c>
      <c r="Y680" s="203">
        <f>IF($B$677="Лікар-педіатр","x",IF($B$677="Лікар-терапевт",Y679/Z679,IF($B$677="Лікар загальної практики - сімейний лікар",Y679/Z679,0)))</f>
        <v>0</v>
      </c>
      <c r="Z680" s="203">
        <f>SUM(U680:Y680)</f>
        <v>0</v>
      </c>
      <c r="AA680" s="930"/>
      <c r="AB680" s="203">
        <f>IF($B$677="Лікар-педіатр",AB679/AG679,IF($B$677="Лікар-терапевт","х",IF($B$677="Лікар загальної практики - сімейний лікар",AB679/AG679,0)))</f>
        <v>0</v>
      </c>
      <c r="AC680" s="203">
        <f>IF($B$677="Лікар-педіатр",AC679/AG679,IF($B$677="Лікар-терапевт","х",IF($B$677="Лікар загальної практики - сімейний лікар",AC679/AG679,0)))</f>
        <v>0</v>
      </c>
      <c r="AD680" s="203">
        <f>IF($B$677="Лікар-педіатр","x",IF($B$677="Лікар-терапевт",AD679/AG679,IF($B$677="Лікар загальної практики - сімейний лікар",AD679/AG679,0)))</f>
        <v>0</v>
      </c>
      <c r="AE680" s="203">
        <f>IF($B$677="Лікар-педіатр","x",IF($B$677="Лікар-терапевт",AE679/AG679,IF($B$677="Лікар загальної практики - сімейний лікар",AE679/AG679,0)))</f>
        <v>0</v>
      </c>
      <c r="AF680" s="203">
        <f>IF($B$677="Лікар-педіатр","x",IF($B$677="Лікар-терапевт",AF679/AG679,IF($B$677="Лікар загальної практики - сімейний лікар",AF679/AG679,0)))</f>
        <v>0</v>
      </c>
      <c r="AG680" s="203">
        <f>SUM(AB680:AF680)</f>
        <v>0</v>
      </c>
      <c r="AH680" s="930"/>
      <c r="AI680" s="201"/>
      <c r="AJ680" s="933"/>
      <c r="AK680" s="927"/>
      <c r="AL680" s="927"/>
      <c r="AM680" s="902"/>
      <c r="AN680" s="924"/>
      <c r="AO680" s="924"/>
      <c r="AP680" s="924"/>
      <c r="AQ680" s="924"/>
      <c r="AR680" s="915"/>
    </row>
    <row r="681" spans="1:44" s="50" customFormat="1" ht="45" hidden="1" customHeight="1" thickBot="1">
      <c r="A681" s="197"/>
      <c r="B681" s="893"/>
      <c r="C681" s="896"/>
      <c r="D681" s="912"/>
      <c r="E681" s="909"/>
      <c r="F681" s="204" t="s">
        <v>585</v>
      </c>
      <c r="G681" s="205">
        <f>IF($B$677="Лікар загальної практики - сімейний лікар",AVERAGE(G677:G679),IF($B$677="Лікар-педіатр",AVERAGE(G677:G679),IF($B$677="Лікар-терапевт","х",0)))</f>
        <v>0</v>
      </c>
      <c r="H681" s="205">
        <f>IF($B$677="Лікар загальної практики - сімейний лікар",AVERAGE(H677:H679),IF($B$677="Лікар-педіатр",AVERAGE(H677:H679),IF($B$677="Лікар-терапевт","х",0)))</f>
        <v>0</v>
      </c>
      <c r="I681" s="205">
        <f>IF($B$677="Лікар загальної практики - сімейний лікар",AVERAGE(I677:I679),IF($B$677="Лікар-педіатр","x",IF($B$677="Лікар-терапевт",AVERAGE(I677:I679),0)))</f>
        <v>0</v>
      </c>
      <c r="J681" s="205">
        <f>IF($B$677="Лікар загальної практики - сімейний лікар",AVERAGE(J677:J679),IF($B$677="Лікар-педіатр","x",IF($B$677="Лікар-терапевт",AVERAGE(J677:J679),0)))</f>
        <v>0</v>
      </c>
      <c r="K681" s="205">
        <f>IF($B$677="Лікар загальної практики - сімейний лікар",AVERAGE(K677:K679),IF($B$677="Лікар-педіатр","x",IF($B$677="Лікар-терапевт",AVERAGE(K677:K679),0)))</f>
        <v>0</v>
      </c>
      <c r="L681" s="206">
        <f>SUM(G681:K681)</f>
        <v>0</v>
      </c>
      <c r="M681" s="930"/>
      <c r="N681" s="205">
        <f>IF($B$677="Лікар загальної практики - сімейний лікар",AVERAGE(N677:N679),IF($B$677="Лікар-педіатр",AVERAGE(N677:N679),IF($B$677="Лікар-терапевт","х",0)))</f>
        <v>0</v>
      </c>
      <c r="O681" s="205">
        <f>IF($B$677="Лікар загальної практики - сімейний лікар",AVERAGE(O677:O679),IF($B$677="Лікар-педіатр",AVERAGE(O677:O679),IF($B$677="Лікар-терапевт","х",0)))</f>
        <v>0</v>
      </c>
      <c r="P681" s="205">
        <f>IF($B$677="Лікар загальної практики - сімейний лікар",AVERAGE(P677:P679),IF($B$677="Лікар-педіатр","x",IF($B$677="Лікар-терапевт",AVERAGE(P677:P679),0)))</f>
        <v>0</v>
      </c>
      <c r="Q681" s="205">
        <f>IF($B$677="Лікар загальної практики - сімейний лікар",AVERAGE(Q677:Q679),IF($B$677="Лікар-педіатр","x",IF($B$677="Лікар-терапевт",AVERAGE(Q677:Q679),0)))</f>
        <v>0</v>
      </c>
      <c r="R681" s="205">
        <f>IF($B$677="Лікар загальної практики - сімейний лікар",AVERAGE(R677:R679),IF($B$677="Лікар-педіатр","x",IF($B$677="Лікар-терапевт",AVERAGE(R677:R679),0)))</f>
        <v>0</v>
      </c>
      <c r="S681" s="206">
        <f>SUM(N681:R681)</f>
        <v>0</v>
      </c>
      <c r="T681" s="930"/>
      <c r="U681" s="205">
        <f>IF($B$677="Лікар загальної практики - сімейний лікар",AVERAGE(U677:U679),IF($B$677="Лікар-педіатр",AVERAGE(U677:U679),IF($B$677="Лікар-терапевт","х",0)))</f>
        <v>0</v>
      </c>
      <c r="V681" s="205">
        <f>IF($B$677="Лікар загальної практики - сімейний лікар",AVERAGE(V677:V679),IF($B$677="Лікар-педіатр",AVERAGE(V677:V679),IF($B$677="Лікар-терапевт","х",0)))</f>
        <v>0</v>
      </c>
      <c r="W681" s="205">
        <f>IF($B$677="Лікар загальної практики - сімейний лікар",AVERAGE(W677:W679),IF($B$677="Лікар-педіатр","x",IF($B$677="Лікар-терапевт",AVERAGE(W677:W679),0)))</f>
        <v>0</v>
      </c>
      <c r="X681" s="205">
        <f>IF($B$677="Лікар загальної практики - сімейний лікар",AVERAGE(X677:X679),IF($B$677="Лікар-педіатр","x",IF($B$677="Лікар-терапевт",AVERAGE(X677:X679),0)))</f>
        <v>0</v>
      </c>
      <c r="Y681" s="205">
        <f>IF($B$677="Лікар загальної практики - сімейний лікар",AVERAGE(Y677:Y679),IF($B$677="Лікар-педіатр","x",IF($B$677="Лікар-терапевт",AVERAGE(Y677:Y679),0)))</f>
        <v>0</v>
      </c>
      <c r="Z681" s="206">
        <f>SUM(U681:Y681)</f>
        <v>0</v>
      </c>
      <c r="AA681" s="930"/>
      <c r="AB681" s="205">
        <f>IF($B$677="Лікар загальної практики - сімейний лікар",AVERAGE(AB677:AB679),IF($B$677="Лікар-педіатр",AVERAGE(AB677:AB679),IF($B$677="Лікар-терапевт","х",0)))</f>
        <v>0</v>
      </c>
      <c r="AC681" s="205">
        <f>IF($B$677="Лікар загальної практики - сімейний лікар",AVERAGE(AC677:AC679),IF($B$677="Лікар-педіатр",AVERAGE(AC677:AC679),IF($B$677="Лікар-терапевт","х",0)))</f>
        <v>0</v>
      </c>
      <c r="AD681" s="205">
        <f>IF($B$677="Лікар загальної практики - сімейний лікар",AVERAGE(AD677:AD679),IF($B$677="Лікар-педіатр","x",IF($B$677="Лікар-терапевт",AVERAGE(AD677:AD679),0)))</f>
        <v>0</v>
      </c>
      <c r="AE681" s="205">
        <f>IF($B$677="Лікар загальної практики - сімейний лікар",AVERAGE(AE677:AE679),IF($B$677="Лікар-педіатр","x",IF($B$677="Лікар-терапевт",AVERAGE(AE677:AE679),0)))</f>
        <v>0</v>
      </c>
      <c r="AF681" s="205">
        <f>IF($B$677="Лікар загальної практики - сімейний лікар",AVERAGE(AF677:AF679),IF($B$677="Лікар-педіатр","x",IF($B$677="Лікар-терапевт",AVERAGE(AF677:AF679),0)))</f>
        <v>0</v>
      </c>
      <c r="AG681" s="206">
        <f>SUM(AB681:AF681)</f>
        <v>0</v>
      </c>
      <c r="AH681" s="930"/>
      <c r="AI681" s="201"/>
      <c r="AJ681" s="933"/>
      <c r="AK681" s="927"/>
      <c r="AL681" s="927"/>
      <c r="AM681" s="903"/>
      <c r="AN681" s="925"/>
      <c r="AO681" s="925"/>
      <c r="AP681" s="925"/>
      <c r="AQ681" s="925"/>
      <c r="AR681" s="916"/>
    </row>
    <row r="682" spans="1:44" s="50" customFormat="1" ht="40.5" hidden="1">
      <c r="A682" s="197"/>
      <c r="B682" s="893"/>
      <c r="C682" s="896"/>
      <c r="D682" s="912"/>
      <c r="E682" s="909"/>
      <c r="F682" s="237" t="str">
        <f ca="1">IF(B677="Лікар-педіатр",Законод!$C$17,IF(B677="Лікар загальної практики - сімейний лікар",Законод!$C$21,IF(B677="Лікар-терапевт",Законод!$C$25,"х")))</f>
        <v>х</v>
      </c>
      <c r="G682" s="208">
        <f ca="1">IF($B$677="Лікар загальної практики - сімейний лікар",IF(L681&lt;=Законод!$C$22,G681,Законод!$C$22*'01_Доходи'!G680),IF($B$677="Лікар-педіатр",IF(L681&lt;=Законод!$C$18,G681,Законод!$C$18*'01_Доходи'!G680),IF($B$677="Лікар-терапевт","x",0)))</f>
        <v>0</v>
      </c>
      <c r="H682" s="208">
        <f ca="1">IF($B$677="Лікар загальної практики - сімейний лікар",IF(L681&lt;=Законод!$C$22,H681,Законод!$C$22*'01_Доходи'!H680),IF($B$677="Лікар-педіатр",IF(L681&lt;=Законод!$C$18,H681,Законод!$C$18*'01_Доходи'!H680),IF($B$677="Лікар-терапевт","x",0)))</f>
        <v>0</v>
      </c>
      <c r="I682" s="208">
        <f ca="1">IF($B$677="Лікар загальної практики - сімейний лікар",IF(L681&lt;=Законод!$C$22,I681,Законод!$C$22*'01_Доходи'!I680),IF($B$677="Лікар-педіатр","x",IF($B$677="Лікар-терапевт",IF(L681&lt;=Законод!$C$26,I681,Законод!$C$26*'01_Доходи'!I680),0)))</f>
        <v>0</v>
      </c>
      <c r="J682" s="208">
        <f ca="1">IF($B$677="Лікар загальної практики - сімейний лікар",IF(L681&lt;=Законод!$C$22,J681,Законод!$C$22*'01_Доходи'!J680),IF($B$677="Лікар-педіатр","x",IF($B$677="Лікар-терапевт",IF(L681&lt;=Законод!$C$26,J681,Законод!$C$26*'01_Доходи'!J680),0)))</f>
        <v>0</v>
      </c>
      <c r="K682" s="208">
        <f ca="1">IF($B$677="Лікар загальної практики - сімейний лікар",IF(L681&lt;=Законод!$C$22,K681,Законод!$C$22*'01_Доходи'!K680),IF($B$677="Лікар-педіатр","x",IF($B$677="Лікар-терапевт",IF(L681&lt;=Законод!$C$26,K681,Законод!$C$26*'01_Доходи'!K680),0)))</f>
        <v>0</v>
      </c>
      <c r="L682" s="209">
        <f ca="1">SUM(G682:K682)</f>
        <v>0</v>
      </c>
      <c r="M682" s="930"/>
      <c r="N682" s="208">
        <f ca="1">IF($B$677="Лікар загальної практики - сімейний лікар",IF(S681&lt;=Законод!$C$22,N681,Законод!$C$22*'01_Доходи'!N680),IF($B$677="Лікар-педіатр",IF(S681&lt;=Законод!$C$18,N681,Законод!$C$18*'01_Доходи'!N680),IF($B$677="Лікар-терапевт","x",0)))</f>
        <v>0</v>
      </c>
      <c r="O682" s="208">
        <f ca="1">IF($B$677="Лікар загальної практики - сімейний лікар",IF(S681&lt;=Законод!$C$22,O681,Законод!$C$22*'01_Доходи'!O680),IF($B$677="Лікар-педіатр",IF(S681&lt;=Законод!$C$18,O681,Законод!$C$18*'01_Доходи'!O680),IF($B$677="Лікар-терапевт","x",0)))</f>
        <v>0</v>
      </c>
      <c r="P682" s="208">
        <f ca="1">IF($B$677="Лікар загальної практики - сімейний лікар",IF(S681&lt;=Законод!$C$22,P681,Законод!$C$22*'01_Доходи'!P680),IF($B$677="Лікар-педіатр","x",IF($B$677="Лікар-терапевт",IF(S681&lt;=Законод!$C$26,P681,Законод!$C$26*'01_Доходи'!P680),0)))</f>
        <v>0</v>
      </c>
      <c r="Q682" s="208">
        <f ca="1">IF($B$677="Лікар загальної практики - сімейний лікар",IF(S681&lt;=Законод!$C$22,Q681,Законод!$C$22*'01_Доходи'!Q680),IF($B$677="Лікар-педіатр","x",IF($B$677="Лікар-терапевт",IF(S681&lt;=Законод!$C$26,Q681,Законод!$C$26*'01_Доходи'!Q680),0)))</f>
        <v>0</v>
      </c>
      <c r="R682" s="208">
        <f ca="1">IF($B$677="Лікар загальної практики - сімейний лікар",IF(S681&lt;=Законод!$C$22,R681,Законод!$C$22*'01_Доходи'!R680),IF($B$677="Лікар-педіатр","x",IF($B$677="Лікар-терапевт",IF(S681&lt;=Законод!$C$26,R681,Законод!$C$26*'01_Доходи'!R680),0)))</f>
        <v>0</v>
      </c>
      <c r="S682" s="209">
        <f ca="1">SUM(N682:R682)</f>
        <v>0</v>
      </c>
      <c r="T682" s="930"/>
      <c r="U682" s="208">
        <f ca="1">IF($B$677="Лікар загальної практики - сімейний лікар",IF(Z681&lt;=Законод!$C$22,U681,Законод!$C$22*'01_Доходи'!U680),IF($B$677="Лікар-педіатр",IF(Z681&lt;=Законод!$C$18,U681,Законод!$C$18*'01_Доходи'!U680),IF($B$677="Лікар-терапевт","x",0)))</f>
        <v>0</v>
      </c>
      <c r="V682" s="208">
        <f ca="1">IF($B$677="Лікар загальної практики - сімейний лікар",IF(Z681&lt;=Законод!$C$22,V681,Законод!$C$22*'01_Доходи'!V680),IF($B$677="Лікар-педіатр",IF(Z681&lt;=Законод!$C$18,V681,Законод!$C$18*'01_Доходи'!V680),IF($B$677="Лікар-терапевт","x",0)))</f>
        <v>0</v>
      </c>
      <c r="W682" s="208">
        <f ca="1">IF($B$677="Лікар загальної практики - сімейний лікар",IF(Z681&lt;=Законод!$C$22,W681,Законод!$C$22*'01_Доходи'!W680),IF($B$677="Лікар-педіатр","x",IF($B$677="Лікар-терапевт",IF(Z681&lt;=Законод!$C$26,W681,Законод!$C$26*'01_Доходи'!W680),0)))</f>
        <v>0</v>
      </c>
      <c r="X682" s="208">
        <f ca="1">IF($B$677="Лікар загальної практики - сімейний лікар",IF(Z681&lt;=Законод!$C$22,X681,Законод!$C$22*'01_Доходи'!X680),IF($B$677="Лікар-педіатр","x",IF($B$677="Лікар-терапевт",IF(Z681&lt;=Законод!$C$26,X681,Законод!$C$26*'01_Доходи'!X680),0)))</f>
        <v>0</v>
      </c>
      <c r="Y682" s="208">
        <f ca="1">IF($B$677="Лікар загальної практики - сімейний лікар",IF(Z681&lt;=Законод!$C$22,Y681,Законод!$C$22*'01_Доходи'!Y680),IF($B$677="Лікар-педіатр","x",IF($B$677="Лікар-терапевт",IF(Z681&lt;=Законод!$C$26,Y681,Законод!$C$26*'01_Доходи'!Y680),0)))</f>
        <v>0</v>
      </c>
      <c r="Z682" s="209">
        <f ca="1">SUM(U682:Y682)</f>
        <v>0</v>
      </c>
      <c r="AA682" s="930"/>
      <c r="AB682" s="208">
        <f ca="1">IF($B$677="Лікар загальної практики - сімейний лікар",IF(AG681&lt;=Законод!$C$22,AB681,Законод!$C$22*'01_Доходи'!AB680),IF($B$677="Лікар-педіатр",IF(AG681&lt;=Законод!$C$18,AB681,Законод!$C$18*'01_Доходи'!AB680),IF($B$677="Лікар-терапевт","x",0)))</f>
        <v>0</v>
      </c>
      <c r="AC682" s="208">
        <f ca="1">IF($B$677="Лікар загальної практики - сімейний лікар",IF(AG681&lt;=Законод!$C$22,AC681,Законод!$C$22*'01_Доходи'!AC680),IF($B$677="Лікар-педіатр",IF(AG681&lt;=Законод!$C$18,AC681,Законод!$C$18*'01_Доходи'!AC680),IF($B$677="Лікар-терапевт","x",0)))</f>
        <v>0</v>
      </c>
      <c r="AD682" s="208">
        <f ca="1">IF($B$677="Лікар загальної практики - сімейний лікар",IF(AG681&lt;=Законод!$C$22,AD681,Законод!$C$22*'01_Доходи'!AD680),IF($B$677="Лікар-педіатр","x",IF($B$677="Лікар-терапевт",IF(AG681&lt;=Законод!$C$26,AD681,Законод!$C$26*'01_Доходи'!AD680),0)))</f>
        <v>0</v>
      </c>
      <c r="AE682" s="208">
        <f ca="1">IF($B$677="Лікар загальної практики - сімейний лікар",IF(AG681&lt;=Законод!$C$22,AE681,Законод!$C$22*'01_Доходи'!AE680),IF($B$677="Лікар-педіатр","x",IF($B$677="Лікар-терапевт",IF(AG681&lt;=Законод!$C$26,AE681,Законод!$C$26*'01_Доходи'!AE680),0)))</f>
        <v>0</v>
      </c>
      <c r="AF682" s="208">
        <f ca="1">IF($B$677="Лікар загальної практики - сімейний лікар",IF(AG681&lt;=Законод!$C$22,AF681,Законод!$C$22*'01_Доходи'!AF680),IF($B$677="Лікар-педіатр","x",IF($B$677="Лікар-терапевт",IF(AG681&lt;=Законод!$C$26,AF681,Законод!$C$26*'01_Доходи'!AF680),0)))</f>
        <v>0</v>
      </c>
      <c r="AG682" s="209">
        <f ca="1">SUM(AB682:AF682)</f>
        <v>0</v>
      </c>
      <c r="AH682" s="930"/>
      <c r="AI682" s="201"/>
      <c r="AJ682" s="933"/>
      <c r="AK682" s="927"/>
      <c r="AL682" s="927"/>
      <c r="AM682" s="348" t="s">
        <v>374</v>
      </c>
      <c r="AN682" s="210">
        <f ca="1">IF(B677="Лікар загальної практики - сімейний лікар",G682*Законод!$C$11+'01_Доходи'!H682*Законод!$D$11+'01_Доходи'!I682*Законод!$E$11+'01_Доходи'!J682*Законод!$F$11+'01_Доходи'!K682*Законод!$G$11,IF(B677="Лікар-педіатр",G682*Законод!$C$11+'01_Доходи'!H682*Законод!$D$11,IF(B677="Лікар-терапевт",'01_Доходи'!I682*Законод!$E$11+'01_Доходи'!J682*Законод!$F$11+'01_Доходи'!K682*Законод!$G$11,0)))</f>
        <v>0</v>
      </c>
      <c r="AO682" s="210">
        <f ca="1">IF(B677="Лікар загальної практики - сімейний лікар",N682*Законод!$C$11+'01_Доходи'!O682*Законод!$D$11+'01_Доходи'!P682*Законод!$E$11+'01_Доходи'!Q682*Законод!$F$11+'01_Доходи'!R682*Законод!$G$11,IF(B677="Лікар-педіатр",N682*Законод!$C$11+'01_Доходи'!O682*Законод!$D$11,IF(B677="Лікар-терапевт",'01_Доходи'!P682*Законод!$E$11+'01_Доходи'!Q682*Законод!$F$11+'01_Доходи'!R682*Законод!$G$11,0)))</f>
        <v>0</v>
      </c>
      <c r="AP682" s="210">
        <f ca="1">IF(B677="Лікар загальної практики - сімейний лікар",U682*Законод!$C$11+'01_Доходи'!V682*Законод!$D$11+'01_Доходи'!W682*Законод!$E$11+'01_Доходи'!X682*Законод!$F$11+'01_Доходи'!Y682*Законод!$G$11,IF(B677="Лікар-педіатр",U682*Законод!$C$11+'01_Доходи'!V682*Законод!$D$11,IF(B677="Лікар-терапевт",'01_Доходи'!W682*Законод!$E$11+'01_Доходи'!X682*Законод!$F$11+'01_Доходи'!Y682*Законод!$G$11,0)))</f>
        <v>0</v>
      </c>
      <c r="AQ682" s="210">
        <f ca="1">IF(B677="Лікар загальної практики - сімейний лікар",AB682*Законод!$C$11+'01_Доходи'!AC682*Законод!$D$11+'01_Доходи'!AD682*Законод!$E$11+'01_Доходи'!AE682*Законод!$F$11+'01_Доходи'!AF682*Законод!$G$11,IF(B677="Лікар-педіатр",AB682*Законод!$C$11+'01_Доходи'!AC682*Законод!$D$11,IF(B677="Лікар-терапевт",'01_Доходи'!AD682*Законод!$E$11+'01_Доходи'!AE682*Законод!$F$11+'01_Доходи'!AF682*Законод!$G$11,0)))</f>
        <v>0</v>
      </c>
      <c r="AR682" s="211">
        <f t="shared" ref="AR682:AR688" si="79">SUM(AN682:AQ682)</f>
        <v>0</v>
      </c>
    </row>
    <row r="683" spans="1:44" s="50" customFormat="1" ht="31.9" hidden="1" customHeight="1">
      <c r="A683" s="197"/>
      <c r="B683" s="893"/>
      <c r="C683" s="896"/>
      <c r="D683" s="912"/>
      <c r="E683" s="909"/>
      <c r="F683" s="238" t="str">
        <f ca="1">IF(B677="Лікар-педіатр",Законод!$E$17,IF(B677="Лікар загальної практики - сімейний лікар",Законод!$E$21,IF(B677="Лікар-терапевт",Законод!$E$25,"х")))</f>
        <v>х</v>
      </c>
      <c r="G683" s="889" t="s">
        <v>346</v>
      </c>
      <c r="H683" s="890"/>
      <c r="I683" s="890"/>
      <c r="J683" s="890"/>
      <c r="K683" s="891"/>
      <c r="L683" s="196">
        <f ca="1">IF($B$677="Лікар загальної практики - сімейний лікар",IF(L681&lt;Законод!$C$22,0,(IF(AND(L681&gt;=Законод!$E$22,L681&lt;=Законод!$E$23),L681-Законод!$C$22,IF('01_Доходи'!L681&gt;=Законод!$F$22,Законод!$E$24,0)))),IF($B$677="Лікар-педіатр",IF(L681&lt;Законод!$C$18,0,(IF(AND(L681&gt;=Законод!$E$18,L681&lt;=Законод!$E$19),L681-Законод!$C$18,IF('01_Доходи'!L681&gt;=Законод!$F$18,Законод!$E$20,0)))),IF($B$677="Лікар-терапевт",IF(L681&lt;Законод!$C$26,0,(IF(AND(L681&gt;=Законод!$E$26,L681&lt;=Законод!$E$27),L681-Законод!$C$26,IF('01_Доходи'!L681&gt;=Законод!$F$26,Законод!$E$28,0)))),0)))</f>
        <v>0</v>
      </c>
      <c r="M683" s="930"/>
      <c r="N683" s="889" t="s">
        <v>346</v>
      </c>
      <c r="O683" s="890"/>
      <c r="P683" s="890"/>
      <c r="Q683" s="890"/>
      <c r="R683" s="891"/>
      <c r="S683" s="196">
        <f ca="1">IF($B$677="Лікар загальної практики - сімейний лікар",IF(S681&lt;Законод!$C$22,0,(IF(AND(S681&gt;=Законод!$E$22,S681&lt;=Законод!$E$23),S681-Законод!$C$22,IF('01_Доходи'!S681&gt;=Законод!$F$22,Законод!$E$24,0)))),IF($B$677="Лікар-педіатр",IF(S681&lt;Законод!$C$18,0,(IF(AND(S681&gt;=Законод!$E$18,S681&lt;=Законод!$E$19),S681-Законод!$C$18,IF('01_Доходи'!S681&gt;=Законод!$F$18,Законод!$E$20,0)))),IF($B$677="Лікар-терапевт",IF(S681&lt;Законод!$C$26,0,(IF(AND(S681&gt;=Законод!$E$26,S681&lt;=Законод!$E$27),S681-Законод!$C$26,IF('01_Доходи'!S681&gt;=Законод!$F$26,Законод!$E$28,0)))),0)))</f>
        <v>0</v>
      </c>
      <c r="T683" s="930"/>
      <c r="U683" s="889" t="s">
        <v>346</v>
      </c>
      <c r="V683" s="890"/>
      <c r="W683" s="890"/>
      <c r="X683" s="890"/>
      <c r="Y683" s="891"/>
      <c r="Z683" s="196">
        <f ca="1">IF($B$677="Лікар загальної практики - сімейний лікар",IF(Z681&lt;Законод!$C$22,0,(IF(AND(Z681&gt;=Законод!$E$22,Z681&lt;=Законод!$E$23),Z681-Законод!$C$22,IF('01_Доходи'!Z681&gt;=Законод!$F$22,Законод!$E$24,0)))),IF($B$677="Лікар-педіатр",IF(Z681&lt;Законод!$C$18,0,(IF(AND(Z681&gt;=Законод!$E$18,Z681&lt;=Законод!$E$19),Z681-Законод!$C$18,IF('01_Доходи'!Z681&gt;=Законод!$F$18,Законод!$E$20,0)))),IF($B$677="Лікар-терапевт",IF(Z681&lt;Законод!$C$26,0,(IF(AND(Z681&gt;=Законод!$E$26,Z681&lt;=Законод!$E$27),Z681-Законод!$C$26,IF('01_Доходи'!Z681&gt;=Законод!$F$26,Законод!$E$28,0)))),0)))</f>
        <v>0</v>
      </c>
      <c r="AA683" s="930"/>
      <c r="AB683" s="889" t="s">
        <v>346</v>
      </c>
      <c r="AC683" s="890"/>
      <c r="AD683" s="890"/>
      <c r="AE683" s="890"/>
      <c r="AF683" s="891"/>
      <c r="AG683" s="196">
        <f ca="1">IF($B$677="Лікар загальної практики - сімейний лікар",IF(AG681&lt;Законод!$C$22,0,(IF(AND(AG681&gt;=Законод!$E$22,AG681&lt;=Законод!$E$23),AG681-Законод!$C$22,IF('01_Доходи'!AG681&gt;=Законод!$F$22,Законод!$E$24,0)))),IF($B$677="Лікар-педіатр",IF(AG681&lt;Законод!$C$18,0,(IF(AND(AG681&gt;=Законод!$E$18,AG681&lt;=Законод!$E$19),AG681-Законод!$C$18,IF('01_Доходи'!AG681&gt;=Законод!$F$18,Законод!$E$20,0)))),IF($B$677="Лікар-терапевт",IF(AG681&lt;Законод!$C$26,0,(IF(AND(AG681&gt;=Законод!$E$26,AG681&lt;=Законод!$E$27),AG681-Законод!$C$26,IF('01_Доходи'!AG681&gt;=Законод!$F$26,Законод!$E$28,0)))),0)))</f>
        <v>0</v>
      </c>
      <c r="AH683" s="930"/>
      <c r="AI683" s="201"/>
      <c r="AJ683" s="933"/>
      <c r="AK683" s="927"/>
      <c r="AL683" s="927"/>
      <c r="AM683" s="898" t="s">
        <v>375</v>
      </c>
      <c r="AN683" s="210">
        <f ca="1">IF(B677="Лікар загальної практики - сімейний лікар",L683*Законод!$C$9/4*Законод!$E$16,IF(B677="Лікар-педіатр",L683*Законод!$C$9/4*Законод!$E$16,IF(B677="Лікар-терапевт",L683*Законод!$C$9/4*Законод!$E$16,0)))</f>
        <v>0</v>
      </c>
      <c r="AO683" s="210">
        <f ca="1">IF(B677="Лікар загальної практики - сімейний лікар",S683*Законод!$C$9/4*Законод!$E$16,IF(B677="Лікар-педіатр",S683*Законод!$C$9/4*Законод!$E$16,IF(B677="Лікар-терапевт",S683*Законод!$C$9/4*Законод!$E$16,0)))</f>
        <v>0</v>
      </c>
      <c r="AP683" s="210">
        <f ca="1">IF(B677="Лікар загальної практики - сімейний лікар",Z683*Законод!$C$9/4*Законод!$E$16,IF(B677="Лікар-педіатр",Z683*Законод!$C$9/4*Законод!$E$16,IF(B677="Лікар-терапевт",Z683*Законод!$C$9/4*Законод!$E$16,0)))</f>
        <v>0</v>
      </c>
      <c r="AQ683" s="210">
        <f ca="1">IF(B677="Лікар загальної практики - сімейний лікар",AG683*Законод!$C$9/4*Законод!$E$16,IF(B677="Лікар-педіатр",AG683*Законод!$C$9/4*Законод!$E$16,IF(B677="Лікар-терапевт",AG683*Законод!$C$9/4*Законод!$E$16,0)))</f>
        <v>0</v>
      </c>
      <c r="AR683" s="211">
        <f t="shared" si="79"/>
        <v>0</v>
      </c>
    </row>
    <row r="684" spans="1:44" s="50" customFormat="1" ht="31.9" hidden="1" customHeight="1">
      <c r="A684" s="197"/>
      <c r="B684" s="893"/>
      <c r="C684" s="896"/>
      <c r="D684" s="912"/>
      <c r="E684" s="909"/>
      <c r="F684" s="238" t="str">
        <f ca="1">IF(B677="Лікар-педіатр",Законод!$F$17,IF(B677="Лікар загальної практики - сімейний лікар",Законод!$F$21,IF(B677="Лікар-терапевт",Законод!$F$25,"х")))</f>
        <v>х</v>
      </c>
      <c r="G684" s="889" t="s">
        <v>346</v>
      </c>
      <c r="H684" s="890"/>
      <c r="I684" s="890"/>
      <c r="J684" s="890"/>
      <c r="K684" s="891"/>
      <c r="L684" s="196">
        <f ca="1">IF($B$677="Лікар загальної практики - сімейний лікар",IF(L681&lt;Законод!$C$22,0,(IF(AND(L681&gt;=Законод!$F$22,L681&lt;=Законод!$F$23),L681-Законод!$E$23,IF('01_Доходи'!L681&gt;=Законод!$G$22,Законод!$F$24,0)))),IF($B$677="Лікар-педіатр",IF(L681&lt;Законод!$C$18,0,(IF(AND(L681&gt;=Законод!$F$18,L681&lt;=Законод!$F$19),L681-Законод!$E$19,IF('01_Доходи'!L681&gt;=Законод!$G$18,Законод!$F$20,0)))),IF($B$677="Лікар-терапевт",IF(L681&lt;Законод!$C$26,0,(IF(AND(L681&gt;=Законод!$F$26,L681&lt;=Законод!$F$27),L681-Законод!$E$27,IF('01_Доходи'!L681&gt;=Законод!$G$26,Законод!$F$28,0)))),0)))</f>
        <v>0</v>
      </c>
      <c r="M684" s="930"/>
      <c r="N684" s="889" t="s">
        <v>346</v>
      </c>
      <c r="O684" s="890"/>
      <c r="P684" s="890"/>
      <c r="Q684" s="890"/>
      <c r="R684" s="891"/>
      <c r="S684" s="196">
        <f ca="1">IF($B$677="Лікар загальної практики - сімейний лікар",IF(S681&lt;Законод!$C$22,0,(IF(AND(S681&gt;=Законод!$F$22,S681&lt;=Законод!$F$23),S681-Законод!$E$23,IF('01_Доходи'!S681&gt;=Законод!$G$22,Законод!$F$24,0)))),IF($B$677="Лікар-педіатр",IF(S681&lt;Законод!$C$18,0,(IF(AND(S681&gt;=Законод!$F$18,S681&lt;=Законод!$F$19),S681-Законод!$E$19,IF('01_Доходи'!S681&gt;=Законод!$G$18,Законод!$F$20,0)))),IF($B$677="Лікар-терапевт",IF(S681&lt;Законод!$C$26,0,(IF(AND(S681&gt;=Законод!$F$26,S681&lt;=Законод!$F$27),S681-Законод!$E$27,IF('01_Доходи'!S681&gt;=Законод!$G$26,Законод!$F$28,0)))),0)))</f>
        <v>0</v>
      </c>
      <c r="T684" s="930"/>
      <c r="U684" s="889" t="s">
        <v>346</v>
      </c>
      <c r="V684" s="890"/>
      <c r="W684" s="890"/>
      <c r="X684" s="890"/>
      <c r="Y684" s="891"/>
      <c r="Z684" s="196">
        <f ca="1">IF($B$677="Лікар загальної практики - сімейний лікар",IF(Z681&lt;Законод!$C$22,0,(IF(AND(Z681&gt;=Законод!$F$22,Z681&lt;=Законод!$F$23),Z681-Законод!$E$23,IF('01_Доходи'!Z681&gt;=Законод!$G$22,Законод!$F$24,0)))),IF($B$677="Лікар-педіатр",IF(Z681&lt;Законод!$C$18,0,(IF(AND(Z681&gt;=Законод!$F$18,Z681&lt;=Законод!$F$19),Z681-Законод!$E$19,IF('01_Доходи'!Z681&gt;=Законод!$G$18,Законод!$F$20,0)))),IF($B$677="Лікар-терапевт",IF(Z681&lt;Законод!$C$26,0,(IF(AND(Z681&gt;=Законод!$F$26,Z681&lt;=Законод!$F$27),Z681-Законод!$E$27,IF('01_Доходи'!Z681&gt;=Законод!$G$26,Законод!$F$28,0)))),0)))</f>
        <v>0</v>
      </c>
      <c r="AA684" s="930"/>
      <c r="AB684" s="889" t="s">
        <v>346</v>
      </c>
      <c r="AC684" s="890"/>
      <c r="AD684" s="890"/>
      <c r="AE684" s="890"/>
      <c r="AF684" s="891"/>
      <c r="AG684" s="196">
        <f ca="1">IF($B$677="Лікар загальної практики - сімейний лікар",IF(AG681&lt;Законод!$C$22,0,(IF(AND(AG681&gt;=Законод!$F$22,AG681&lt;=Законод!$F$23),AG681-Законод!$E$23,IF('01_Доходи'!AG681&gt;=Законод!$G$22,Законод!$F$24,0)))),IF($B$677="Лікар-педіатр",IF(AG681&lt;Законод!$C$18,0,(IF(AND(AG681&gt;=Законод!$F$18,AG681&lt;=Законод!$F$19),AG681-Законод!$E$19,IF('01_Доходи'!AG681&gt;=Законод!$G$18,Законод!$F$20,0)))),IF($B$677="Лікар-терапевт",IF(AG681&lt;Законод!$C$26,0,(IF(AND(AG681&gt;=Законод!$F$26,AG681&lt;=Законод!$F$27),AG681-Законод!$E$27,IF('01_Доходи'!AG681&gt;=Законод!$G$26,Законод!$F$28,0)))),0)))</f>
        <v>0</v>
      </c>
      <c r="AH684" s="930"/>
      <c r="AI684" s="201"/>
      <c r="AJ684" s="933"/>
      <c r="AK684" s="927"/>
      <c r="AL684" s="927"/>
      <c r="AM684" s="899"/>
      <c r="AN684" s="210">
        <f ca="1">IF(B677="Лікар загальної практики - сімейний лікар",L684*Законод!$C$9/4*Законод!$F$16,IF(B677="Лікар-педіатр",L684*Законод!$C$9/4*Законод!$F$16,IF(B677="Лікар-терапевт",L684*Законод!$C$9/4*Законод!$F$16,0)))</f>
        <v>0</v>
      </c>
      <c r="AO684" s="210">
        <f ca="1">IF(B677="Лікар загальної практики - сімейний лікар",S684*Законод!$C$9/4*Законод!$F$16,IF(B677="Лікар-педіатр",S684*Законод!$C$9/4*Законод!$F$16,IF(B677="Лікар-терапевт",S684*Законод!$C$9/4*Законод!$F$16,0)))</f>
        <v>0</v>
      </c>
      <c r="AP684" s="210">
        <f ca="1">IF(B677="Лікар загальної практики - сімейний лікар",Z684*Законод!$C$9/4*Законод!$F$16,IF(B677="Лікар-педіатр",Z684*Законод!$C$9/4*Законод!$F$16,IF(B677="Лікар-терапевт",Z684*Законод!$C$9/4*Законод!$F$16,0)))</f>
        <v>0</v>
      </c>
      <c r="AQ684" s="210">
        <f ca="1">IF(B677="Лікар загальної практики - сімейний лікар",AG684*Законод!$C$9/4*Законод!$F$16,IF(B677="Лікар-педіатр",AG684*Законод!$C$9/4*Законод!$F$16,IF(B677="Лікар-терапевт",AG684*Законод!$C$9/4*Законод!$F$16,0)))</f>
        <v>0</v>
      </c>
      <c r="AR684" s="211">
        <f t="shared" si="79"/>
        <v>0</v>
      </c>
    </row>
    <row r="685" spans="1:44" s="50" customFormat="1" ht="31.9" hidden="1" customHeight="1">
      <c r="A685" s="197"/>
      <c r="B685" s="893"/>
      <c r="C685" s="896"/>
      <c r="D685" s="912"/>
      <c r="E685" s="909"/>
      <c r="F685" s="238" t="str">
        <f ca="1">IF(B677="Лікар-педіатр",Законод!$G$17,IF(B677="Лікар загальної практики - сімейний лікар",Законод!$G$21,IF(B677="Лікар-терапевт",Законод!$G$25,"х")))</f>
        <v>х</v>
      </c>
      <c r="G685" s="889" t="s">
        <v>346</v>
      </c>
      <c r="H685" s="890"/>
      <c r="I685" s="890"/>
      <c r="J685" s="890"/>
      <c r="K685" s="891"/>
      <c r="L685" s="196">
        <f ca="1">IF($B$677="Лікар загальної практики - сімейний лікар",IF(L681&lt;Законод!$C$22,0,(IF(AND(L681&gt;=Законод!$G$22,L681&lt;=Законод!$G$23),L681-Законод!$F$23,IF('01_Доходи'!L681&gt;=Законод!$H$22,Законод!$G$24,0)))),IF($B$677="Лікар-педіатр",IF(L681&lt;Законод!$C$18,0,(IF(AND(L681&gt;=Законод!$G$18,L681&lt;=Законод!$G$19),L681-Законод!$F$19,IF('01_Доходи'!L681&gt;=Законод!$H$18,Законод!$G$20,0)))),IF($B$677="Лікар-терапевт",IF(L681&lt;Законод!$C$26,0,(IF(AND(L681&gt;=Законод!$G$26,L681&lt;=Законод!$G$27),L681-Законод!$F$27,IF('01_Доходи'!L681&gt;=Законод!$H$26,Законод!$G$28,0)))),0)))</f>
        <v>0</v>
      </c>
      <c r="M685" s="930"/>
      <c r="N685" s="889" t="s">
        <v>346</v>
      </c>
      <c r="O685" s="890"/>
      <c r="P685" s="890"/>
      <c r="Q685" s="890"/>
      <c r="R685" s="891"/>
      <c r="S685" s="196">
        <f ca="1">IF($B$677="Лікар загальної практики - сімейний лікар",IF(S681&lt;Законод!$C$22,0,(IF(AND(S681&gt;=Законод!$G$22,S681&lt;=Законод!$G$23),S681-Законод!$F$23,IF('01_Доходи'!S681&gt;=Законод!$H$22,Законод!$G$24,0)))),IF($B$677="Лікар-педіатр",IF(S681&lt;Законод!$C$18,0,(IF(AND(S681&gt;=Законод!$G$18,S681&lt;=Законод!$G$19),S681-Законод!$F$19,IF('01_Доходи'!S681&gt;=Законод!$H$18,Законод!$G$20,0)))),IF($B$677="Лікар-терапевт",IF(S681&lt;Законод!$C$26,0,(IF(AND(S681&gt;=Законод!$G$26,S681&lt;=Законод!$G$27),S681-Законод!$F$27,IF('01_Доходи'!S681&gt;=Законод!$H$26,Законод!$G$28,0)))),0)))</f>
        <v>0</v>
      </c>
      <c r="T685" s="930"/>
      <c r="U685" s="889" t="s">
        <v>346</v>
      </c>
      <c r="V685" s="890"/>
      <c r="W685" s="890"/>
      <c r="X685" s="890"/>
      <c r="Y685" s="891"/>
      <c r="Z685" s="196">
        <f ca="1">IF($B$677="Лікар загальної практики - сімейний лікар",IF(Z681&lt;Законод!$C$22,0,(IF(AND(Z681&gt;=Законод!$G$22,Z681&lt;=Законод!$G$23),Z681-Законод!$F$23,IF('01_Доходи'!Z681&gt;=Законод!$H$22,Законод!$G$24,0)))),IF($B$677="Лікар-педіатр",IF(Z681&lt;Законод!$C$18,0,(IF(AND(Z681&gt;=Законод!$G$18,Z681&lt;=Законод!$G$19),Z681-Законод!$F$19,IF('01_Доходи'!Z681&gt;=Законод!$H$18,Законод!$G$20,0)))),IF($B$677="Лікар-терапевт",IF(Z681&lt;Законод!$C$26,0,(IF(AND(Z681&gt;=Законод!$G$26,Z681&lt;=Законод!$G$27),Z681-Законод!$F$27,IF('01_Доходи'!Z681&gt;=Законод!$H$26,Законод!$G$28,0)))),0)))</f>
        <v>0</v>
      </c>
      <c r="AA685" s="930"/>
      <c r="AB685" s="889" t="s">
        <v>346</v>
      </c>
      <c r="AC685" s="890"/>
      <c r="AD685" s="890"/>
      <c r="AE685" s="890"/>
      <c r="AF685" s="891"/>
      <c r="AG685" s="196">
        <f ca="1">IF($B$677="Лікар загальної практики - сімейний лікар",IF(AG681&lt;Законод!$C$22,0,(IF(AND(AG681&gt;=Законод!$G$22,AG681&lt;=Законод!$G$23),AG681-Законод!$F$23,IF('01_Доходи'!AG681&gt;=Законод!$H$22,Законод!$G$24,0)))),IF($B$677="Лікар-педіатр",IF(AG681&lt;Законод!$C$18,0,(IF(AND(AG681&gt;=Законод!$G$18,AG681&lt;=Законод!$G$19),AG681-Законод!$F$19,IF('01_Доходи'!AG681&gt;=Законод!$H$18,Законод!$G$20,0)))),IF($B$677="Лікар-терапевт",IF(AG681&lt;Законод!$C$26,0,(IF(AND(AG681&gt;=Законод!$G$26,AG681&lt;=Законод!$G$27),AG681-Законод!$F$27,IF('01_Доходи'!AG681&gt;=Законод!$H$26,Законод!$G$28,0)))),0)))</f>
        <v>0</v>
      </c>
      <c r="AH685" s="930"/>
      <c r="AI685" s="201"/>
      <c r="AJ685" s="933"/>
      <c r="AK685" s="927"/>
      <c r="AL685" s="927"/>
      <c r="AM685" s="899"/>
      <c r="AN685" s="210">
        <f ca="1">IF(B677="Лікар загальної практики - сімейний лікар",L685*Законод!$C$9/4*Законод!$G$16,IF(B677="Лікар-педіатр",L685*Законод!$C$9/4*Законод!$G$16,IF(B677="Лікар-терапевт",L685*Законод!$C$9/4*Законод!$G$16,0)))</f>
        <v>0</v>
      </c>
      <c r="AO685" s="210">
        <f ca="1">IF(B677="Лікар загальної практики - сімейний лікар",S685*Законод!$C$9/4*Законод!$G$16,IF(B677="Лікар-педіатр",S685*Законод!$C$9/4*Законод!$G$16,IF(B677="Лікар-терапевт",S685*Законод!$C$9/4*Законод!$G$16,0)))</f>
        <v>0</v>
      </c>
      <c r="AP685" s="210">
        <f ca="1">IF(B677="Лікар загальної практики - сімейний лікар",Z685*Законод!$C$9/4*Законод!$G$16,IF(B677="Лікар-педіатр",Z685*Законод!$C$9/4*Законод!$G$16,IF(B677="Лікар-терапевт",Z685*Законод!$C$9/4*Законод!$G$16,0)))</f>
        <v>0</v>
      </c>
      <c r="AQ685" s="210">
        <f ca="1">IF(B677="Лікар загальної практики - сімейний лікар",AG685*Законод!$C$9/4*Законод!$G$16,IF(B677="Лікар-педіатр",AG685*Законод!$C$9/4*Законод!$G$16,IF(B677="Лікар-терапевт",AG685*Законод!$C$9/4*Законод!$G$16,0)))</f>
        <v>0</v>
      </c>
      <c r="AR685" s="211">
        <f t="shared" si="79"/>
        <v>0</v>
      </c>
    </row>
    <row r="686" spans="1:44" s="50" customFormat="1" ht="31.9" hidden="1" customHeight="1">
      <c r="A686" s="197"/>
      <c r="B686" s="893"/>
      <c r="C686" s="896"/>
      <c r="D686" s="912"/>
      <c r="E686" s="909"/>
      <c r="F686" s="238" t="str">
        <f ca="1">IF(B677="Лікар-педіатр",Законод!$H$17,IF(B677="Лікар загальної практики - сімейний лікар",Законод!$H$21,IF(B677="Лікар-терапевт",Законод!$H$25,"х")))</f>
        <v>х</v>
      </c>
      <c r="G686" s="889" t="s">
        <v>346</v>
      </c>
      <c r="H686" s="890"/>
      <c r="I686" s="890"/>
      <c r="J686" s="890"/>
      <c r="K686" s="891"/>
      <c r="L686" s="196">
        <f ca="1">IF($B$677="Лікар загальної практики - сімейний лікар",IF(L681&lt;Законод!$C$22,0,(IF(AND(L681&gt;=Законод!$H$22,L681&lt;=Законод!$H$23),L681-Законод!$G$23,IF('01_Доходи'!L681&gt;=Законод!$I$22,Законод!$H$24,0)))),IF($B$677="Лікар-педіатр",IF(L681&lt;Законод!$C$18,0,(IF(AND(L681&gt;=Законод!$H$18,L681&lt;=Законод!$H$19),L681-Законод!$G$19,IF('01_Доходи'!L681&gt;=Законод!$I$18,Законод!$H$20,0)))),IF($B$677="Лікар-терапевт",IF(L681&lt;Законод!$C$26,0,(IF(AND(L681&gt;=Законод!$H$26,L681&lt;=Законод!$H$27),L681-Законод!$G$27,IF(L681&gt;=Законод!$I$26,Законод!$H$28,0)))),0)))</f>
        <v>0</v>
      </c>
      <c r="M686" s="930"/>
      <c r="N686" s="889" t="s">
        <v>346</v>
      </c>
      <c r="O686" s="890"/>
      <c r="P686" s="890"/>
      <c r="Q686" s="890"/>
      <c r="R686" s="891"/>
      <c r="S686" s="196">
        <f ca="1">IF($B$677="Лікар загальної практики - сімейний лікар",IF(S681&lt;Законод!$C$22,0,(IF(AND(S681&gt;=Законод!$H$22,S681&lt;=Законод!$H$23),S681-Законод!$G$23,IF('01_Доходи'!S681&gt;=Законод!$I$22,Законод!$H$24,0)))),IF($B$677="Лікар-педіатр",IF(S681&lt;Законод!$C$18,0,(IF(AND(S681&gt;=Законод!$H$18,S681&lt;=Законод!$H$19),S681-Законод!$G$19,IF('01_Доходи'!S681&gt;=Законод!$I$18,Законод!$H$20,0)))),IF($B$677="Лікар-терапевт",IF(S681&lt;Законод!$C$26,0,(IF(AND(S681&gt;=Законод!$H$26,S681&lt;=Законод!$H$27),S681-Законод!$G$27,IF(S681&gt;=Законод!$I$26,Законод!$H$28,0)))),0)))</f>
        <v>0</v>
      </c>
      <c r="T686" s="930"/>
      <c r="U686" s="889" t="s">
        <v>346</v>
      </c>
      <c r="V686" s="890"/>
      <c r="W686" s="890"/>
      <c r="X686" s="890"/>
      <c r="Y686" s="891"/>
      <c r="Z686" s="196">
        <f ca="1">IF($B$677="Лікар загальної практики - сімейний лікар",IF(Z681&lt;Законод!$C$22,0,(IF(AND(Z681&gt;=Законод!$H$22,Z681&lt;=Законод!$H$23),Z681-Законод!$G$23,IF('01_Доходи'!Z681&gt;=Законод!$I$22,Законод!$H$24,0)))),IF($B$677="Лікар-педіатр",IF(Z681&lt;Законод!$C$18,0,(IF(AND(Z681&gt;=Законод!$H$18,Z681&lt;=Законод!$H$19),Z681-Законод!$G$19,IF('01_Доходи'!Z681&gt;=Законод!$I$18,Законод!$H$20,0)))),IF($B$677="Лікар-терапевт",IF(Z681&lt;Законод!$C$26,0,(IF(AND(Z681&gt;=Законод!$H$26,Z681&lt;=Законод!$H$27),Z681-Законод!$G$27,IF(Z681&gt;=Законод!$I$26,Законод!$H$28,0)))),0)))</f>
        <v>0</v>
      </c>
      <c r="AA686" s="930"/>
      <c r="AB686" s="889" t="s">
        <v>346</v>
      </c>
      <c r="AC686" s="890"/>
      <c r="AD686" s="890"/>
      <c r="AE686" s="890"/>
      <c r="AF686" s="891"/>
      <c r="AG686" s="196">
        <f ca="1">IF($B$677="Лікар загальної практики - сімейний лікар",IF(AG681&lt;Законод!$C$22,0,(IF(AND(AG681&gt;=Законод!$H$22,AG681&lt;=Законод!$H$23),AG681-Законод!$G$23,IF('01_Доходи'!AG681&gt;=Законод!$I$22,Законод!$H$24,0)))),IF($B$677="Лікар-педіатр",IF(AG681&lt;Законод!$C$18,0,(IF(AND(AG681&gt;=Законод!$H$18,AG681&lt;=Законод!$H$19),AG681-Законод!$G$19,IF('01_Доходи'!AG681&gt;=Законод!$I$18,Законод!$H$20,0)))),IF($B$677="Лікар-терапевт",IF(AG681&lt;Законод!$C$26,0,(IF(AND(AG681&gt;=Законод!$H$26,AG681&lt;=Законод!$H$27),AG681-Законод!$G$27,IF(AG681&gt;=Законод!$I$26,Законод!$H$28,0)))),0)))</f>
        <v>0</v>
      </c>
      <c r="AH686" s="930"/>
      <c r="AI686" s="201"/>
      <c r="AJ686" s="933"/>
      <c r="AK686" s="927"/>
      <c r="AL686" s="927"/>
      <c r="AM686" s="899"/>
      <c r="AN686" s="210">
        <f ca="1">IF(B677="Лікар загальної практики - сімейний лікар",L686*Законод!$C$9/4*Законод!$H$16,IF(B677="Лікар-педіатр",L686*Законод!$C$9/4*Законод!$H$16,IF(B677="Лікар-терапевт",L686*Законод!$C$9/4*Законод!$H$16,0)))</f>
        <v>0</v>
      </c>
      <c r="AO686" s="210">
        <f ca="1">IF(B677="Лікар загальної практики - сімейний лікар",S686*Законод!$C$9/4*Законод!$H$16,IF(B677="Лікар-педіатр",S686*Законод!$C$9/4*Законод!$H$16,IF(B677="Лікар-терапевт",S686*Законод!$C$9/4*Законод!$H$16,0)))</f>
        <v>0</v>
      </c>
      <c r="AP686" s="210">
        <f ca="1">IF(B677="Лікар загальної практики - сімейний лікар",Z686*Законод!$C$9/4*Законод!$H$16,IF(B677="Лікар-педіатр",Z686*Законод!$C$9/4*Законод!$H$16,IF(B677="Лікар-терапевт",Z686*Законод!$C$9/4*Законод!$H$16,0)))</f>
        <v>0</v>
      </c>
      <c r="AQ686" s="210">
        <f ca="1">IF(B677="Лікар загальної практики - сімейний лікар",AG686*Законод!$C$9/4*Законод!$H$16,IF(B677="Лікар-педіатр",AG686*Законод!$C$9/4*Законод!$H$16,IF(B677="Лікар-терапевт",AG686*Законод!$C$9/4*Законод!$H$16,0)))</f>
        <v>0</v>
      </c>
      <c r="AR686" s="211">
        <f t="shared" si="79"/>
        <v>0</v>
      </c>
    </row>
    <row r="687" spans="1:44" s="50" customFormat="1" ht="31.9" hidden="1" customHeight="1">
      <c r="A687" s="197"/>
      <c r="B687" s="893"/>
      <c r="C687" s="896"/>
      <c r="D687" s="912"/>
      <c r="E687" s="909"/>
      <c r="F687" s="238" t="str">
        <f ca="1">IF(B677="Лікар-педіатр",Законод!$I$17,IF(B677="Лікар загальної практики - сімейний лікар",Законод!$I$21,IF(B677="Лікар-терапевт",Законод!$I$25,"х")))</f>
        <v>х</v>
      </c>
      <c r="G687" s="889" t="s">
        <v>346</v>
      </c>
      <c r="H687" s="890"/>
      <c r="I687" s="890"/>
      <c r="J687" s="890"/>
      <c r="K687" s="891"/>
      <c r="L687" s="196">
        <f ca="1">IF($B$677="Лікар загальної практики - сімейний лікар",IF(L681&lt;Законод!$C$22,0,(IF(AND(L681&gt;=Законод!$I$22,L681&lt;=Законод!$I$23),L681-Законод!$H$23,IF('01_Доходи'!L681&gt;=Законод!$I$22,Законод!$I$24,0)))),IF($B$677="Лікар-педіатр",IF(L681&lt;Законод!$C$18,0,(IF(AND(L681&gt;=Законод!$I$18,L681&lt;=Законод!$I$19),L681-Законод!$H$19,IF('01_Доходи'!L681&gt;=Законод!$I$18,Законод!$H$20,0)))),IF($B$677="Лікар-терапевт",IF(L681&lt;Законод!$C$26,0,(IF(AND(L681&gt;=Законод!$I$26,L681&lt;=Законод!$I$27),L681-Законод!$H$27,IF('01_Доходи'!L681&gt;=Законод!$I$26,Законод!$H$28,0)))),0)))</f>
        <v>0</v>
      </c>
      <c r="M687" s="930"/>
      <c r="N687" s="889" t="s">
        <v>346</v>
      </c>
      <c r="O687" s="890"/>
      <c r="P687" s="890"/>
      <c r="Q687" s="890"/>
      <c r="R687" s="891"/>
      <c r="S687" s="196">
        <f ca="1">IF($B$677="Лікар загальної практики - сімейний лікар",IF(S681&lt;Законод!$C$22,0,(IF(AND(S681&gt;=Законод!$I$22,S681&lt;=Законод!$I$23),S681-Законод!$H$23,IF('01_Доходи'!S681&gt;=Законод!$I$22,Законод!$I$24,0)))),IF($B$677="Лікар-педіатр",IF(S681&lt;Законод!$C$18,0,(IF(AND(S681&gt;=Законод!$I$18,S681&lt;=Законод!$I$19),S681-Законод!$H$19,IF('01_Доходи'!S681&gt;=Законод!$I$18,Законод!$H$20,0)))),IF($B$677="Лікар-терапевт",IF(S681&lt;Законод!$C$26,0,(IF(AND(S681&gt;=Законод!$I$26,S681&lt;=Законод!$I$27),S681-Законод!$H$27,IF('01_Доходи'!S681&gt;=Законод!$I$26,Законод!$H$28,0)))),0)))</f>
        <v>0</v>
      </c>
      <c r="T687" s="930"/>
      <c r="U687" s="889" t="s">
        <v>346</v>
      </c>
      <c r="V687" s="890"/>
      <c r="W687" s="890"/>
      <c r="X687" s="890"/>
      <c r="Y687" s="891"/>
      <c r="Z687" s="196">
        <f ca="1">IF($B$677="Лікар загальної практики - сімейний лікар",IF(Z681&lt;Законод!$C$22,0,(IF(AND(Z681&gt;=Законод!$I$22,Z681&lt;=Законод!$I$23),Z681-Законод!$H$23,IF('01_Доходи'!Z681&gt;=Законод!$I$22,Законод!$I$24,0)))),IF($B$677="Лікар-педіатр",IF(Z681&lt;Законод!$C$18,0,(IF(AND(Z681&gt;=Законод!$I$18,Z681&lt;=Законод!$I$19),Z681-Законод!$H$19,IF('01_Доходи'!Z681&gt;=Законод!$I$18,Законод!$H$20,0)))),IF($B$677="Лікар-терапевт",IF(Z681&lt;Законод!$C$26,0,(IF(AND(Z681&gt;=Законод!$I$26,Z681&lt;=Законод!$I$27),Z681-Законод!$H$27,IF('01_Доходи'!Z681&gt;=Законод!$I$26,Законод!$H$28,0)))),0)))</f>
        <v>0</v>
      </c>
      <c r="AA687" s="930"/>
      <c r="AB687" s="889" t="s">
        <v>346</v>
      </c>
      <c r="AC687" s="890"/>
      <c r="AD687" s="890"/>
      <c r="AE687" s="890"/>
      <c r="AF687" s="891"/>
      <c r="AG687" s="196">
        <f ca="1">IF($B$677="Лікар загальної практики - сімейний лікар",IF(AG681&lt;Законод!$C$22,0,(IF(AND(AG681&gt;=Законод!$I$22,AG681&lt;=Законод!$I$23),AG681-Законод!$H$23,IF('01_Доходи'!AG681&gt;=Законод!$I$22,Законод!$I$24,0)))),IF($B$677="Лікар-педіатр",IF(AG681&lt;Законод!$C$18,0,(IF(AND(AG681&gt;=Законод!$I$18,AG681&lt;=Законод!$I$19),AG681-Законод!$H$19,IF('01_Доходи'!AG681&gt;=Законод!$I$18,Законод!$H$20,0)))),IF($B$677="Лікар-терапевт",IF(AG681&lt;Законод!$C$26,0,(IF(AND(AG681&gt;=Законод!$I$26,AG681&lt;=Законод!$I$27),AG681-Законод!$H$27,IF('01_Доходи'!AG681&gt;=Законод!$I$26,Законод!$H$28,0)))),0)))</f>
        <v>0</v>
      </c>
      <c r="AH687" s="930"/>
      <c r="AI687" s="201"/>
      <c r="AJ687" s="933"/>
      <c r="AK687" s="927"/>
      <c r="AL687" s="927"/>
      <c r="AM687" s="899"/>
      <c r="AN687" s="210">
        <f ca="1">IF(B677="Лікар загальної практики - сімейний лікар",L687*Законод!$C$9/4*Законод!$I$16,IF(B677="Лікар-педіатр",L687*Законод!$C$9/4*Законод!$I$16,IF(B677="Лікар-терапевт",L687*Законод!$C$9/4*Законод!$I$16,0)))</f>
        <v>0</v>
      </c>
      <c r="AO687" s="210">
        <f ca="1">IF(B677="Лікар загальної практики - сімейний лікар",S687*Законод!$C$9/4*Законод!$I$16,IF(B677="Лікар-педіатр",S687*Законод!$C$9/4*Законод!$I$16,IF(B677="Лікар-терапевт",S687*Законод!$C$9/4*Законод!$I$16,0)))</f>
        <v>0</v>
      </c>
      <c r="AP687" s="210">
        <f ca="1">IF(B677="Лікар загальної практики - сімейний лікар",Z687*Законод!$C$9/4*Законод!$I$16,IF(B677="Лікар-педіатр",Z687*Законод!$C$9/4*Законод!$I$16,IF(B677="Лікар-терапевт",Z687*Законод!$C$9/4*Законод!$I$16,0)))</f>
        <v>0</v>
      </c>
      <c r="AQ687" s="210">
        <f ca="1">IF(B677="Лікар загальної практики - сімейний лікар",AG687*Законод!$C$9/4*Законод!$I$16,IF(B677="Лікар-педіатр",AG687*Законод!$C$9/4*Законод!$I$16,IF(B677="Лікар-терапевт",AG687*Законод!$C$9/4*Законод!$I$16,0)))</f>
        <v>0</v>
      </c>
      <c r="AR687" s="211">
        <f t="shared" si="79"/>
        <v>0</v>
      </c>
    </row>
    <row r="688" spans="1:44" s="218" customFormat="1" ht="31.9" hidden="1" customHeight="1" thickBot="1">
      <c r="A688" s="213"/>
      <c r="B688" s="894"/>
      <c r="C688" s="897"/>
      <c r="D688" s="913"/>
      <c r="E688" s="910"/>
      <c r="F688" s="239" t="str">
        <f ca="1">IF(B677="Лікар-педіатр",Законод!$J$17,IF(B677="Лікар загальної практики - сімейний лікар",Законод!$J$21,IF(B677="Лікар-терапевт",Законод!$J$25,"х")))</f>
        <v>х</v>
      </c>
      <c r="G688" s="935" t="s">
        <v>346</v>
      </c>
      <c r="H688" s="936"/>
      <c r="I688" s="936"/>
      <c r="J688" s="936"/>
      <c r="K688" s="937"/>
      <c r="L688" s="196">
        <f ca="1">IF($B$677="Лікар загальної практики - сімейний лікар",IF(L681&gt;=Законод!$J$22,'01_Доходи'!L681-('01_Доходи'!L682+'01_Доходи'!L683+'01_Доходи'!L684+'01_Доходи'!L685+'01_Доходи'!L686+'01_Доходи'!L687),0),IF($B$677="Лікар-педіатр",IF(L681&gt;=Законод!$J$18,'01_Доходи'!L681-('01_Доходи'!L682+'01_Доходи'!L683+'01_Доходи'!L684+'01_Доходи'!L685+'01_Доходи'!L686+'01_Доходи'!L687),0),IF($B$677="Лікар-терапевт",IF('01_Доходи'!L681&gt;=Законод!$J$26,L681-Законод!$I$27,0),0)))</f>
        <v>0</v>
      </c>
      <c r="M688" s="931"/>
      <c r="N688" s="935" t="s">
        <v>346</v>
      </c>
      <c r="O688" s="936"/>
      <c r="P688" s="936"/>
      <c r="Q688" s="936"/>
      <c r="R688" s="937"/>
      <c r="S688" s="196">
        <f ca="1">IF($B$677="Лікар загальної практики - сімейний лікар",IF(S681&gt;=Законод!$J$22,'01_Доходи'!S681-('01_Доходи'!S682+'01_Доходи'!S683+'01_Доходи'!S684+'01_Доходи'!S685+'01_Доходи'!S686+'01_Доходи'!S687),0),IF($B$677="Лікар-педіатр",IF(S681&gt;=Законод!$J$18,'01_Доходи'!S681-('01_Доходи'!S682+'01_Доходи'!S683+'01_Доходи'!S684+'01_Доходи'!S685+'01_Доходи'!S686+'01_Доходи'!S687),0),IF($B$677="Лікар-терапевт",IF('01_Доходи'!S681&gt;=Законод!$J$26,S681-Законод!$I$27,0),0)))</f>
        <v>0</v>
      </c>
      <c r="T688" s="931"/>
      <c r="U688" s="935" t="s">
        <v>346</v>
      </c>
      <c r="V688" s="936"/>
      <c r="W688" s="936"/>
      <c r="X688" s="936"/>
      <c r="Y688" s="937"/>
      <c r="Z688" s="196">
        <f ca="1">IF($B$677="Лікар загальної практики - сімейний лікар",IF(Z681&gt;=Законод!$J$22,'01_Доходи'!Z681-('01_Доходи'!Z682+'01_Доходи'!Z683+'01_Доходи'!Z684+'01_Доходи'!Z685+'01_Доходи'!Z686+'01_Доходи'!Z687),0),IF($B$677="Лікар-педіатр",IF(Z681&gt;=Законод!$J$18,'01_Доходи'!Z681-('01_Доходи'!Z682+'01_Доходи'!Z683+'01_Доходи'!Z684+'01_Доходи'!Z685+'01_Доходи'!Z686+'01_Доходи'!Z687),0),IF($B$677="Лікар-терапевт",IF('01_Доходи'!Z681&gt;=Законод!$J$26,Z681-Законод!$I$27,0),0)))</f>
        <v>0</v>
      </c>
      <c r="AA688" s="931"/>
      <c r="AB688" s="935" t="s">
        <v>346</v>
      </c>
      <c r="AC688" s="936"/>
      <c r="AD688" s="936"/>
      <c r="AE688" s="936"/>
      <c r="AF688" s="937"/>
      <c r="AG688" s="196">
        <f ca="1">IF($B$677="Лікар загальної практики - сімейний лікар",IF(AG681&gt;=Законод!$J$22,'01_Доходи'!AG681-('01_Доходи'!AG682+'01_Доходи'!AG683+'01_Доходи'!AG684+'01_Доходи'!AG685+'01_Доходи'!AG686+'01_Доходи'!AG687),0),IF($B$677="Лікар-педіатр",IF(AG681&gt;=Законод!$J$18,'01_Доходи'!AG681-('01_Доходи'!AG682+'01_Доходи'!AG683+'01_Доходи'!AG684+'01_Доходи'!AG685+'01_Доходи'!AG686+'01_Доходи'!AG687),0),IF($B$677="Лікар-терапевт",IF('01_Доходи'!AG681&gt;=Законод!$J$26,AG681-Законод!$I$27,0),0)))</f>
        <v>0</v>
      </c>
      <c r="AH688" s="931"/>
      <c r="AI688" s="215"/>
      <c r="AJ688" s="934"/>
      <c r="AK688" s="928"/>
      <c r="AL688" s="928"/>
      <c r="AM688" s="900"/>
      <c r="AN688" s="216">
        <f ca="1">IF(B677="Лікар загальної практики - сімейний лікар",L688*Законод!$C$9/4*Законод!$J$16,IF(B677="Лікар-педіатр",L688*Законод!$C$9/4*Законод!$J$16,IF(B677="Лікар-терапевт",L688*Законод!$C$9/4*Законод!$J$16,0)))</f>
        <v>0</v>
      </c>
      <c r="AO688" s="216">
        <f ca="1">IF(B677="Лікар загальної практики - сімейний лікар",S688*Законод!$C$9/4*Законод!$J$16,IF(B677="Лікар-педіатр",S688*Законод!$C$9/4*Законод!$J$16,IF(B677="Лікар-терапевт",S688*Законод!$C$9/4*Законод!$J$16,0)))</f>
        <v>0</v>
      </c>
      <c r="AP688" s="216">
        <f ca="1">IF(B677="Лікар загальної практики - сімейний лікар",S688*Законод!$C$9/4*Законод!$J$16,IF(B677="Лікар-педіатр",S688*Законод!$C$9/4*Законод!$J$16,IF(B677="Лікар-терапевт",S688*Законод!$C$9/4*Законод!$J$16,0)))</f>
        <v>0</v>
      </c>
      <c r="AQ688" s="216">
        <f ca="1">IF(B677="Лікар загальної практики - сімейний лікар",AG688*Законод!$C$9/4*Законод!$J$16,IF(B677="Лікар-педіатр",AG688*Законод!$C$9/4*Законод!$J$16,IF(B677="Лікар-терапевт",AG688*Законод!$C$9/4*Законод!$J$16,0)))</f>
        <v>0</v>
      </c>
      <c r="AR688" s="217">
        <f t="shared" si="79"/>
        <v>0</v>
      </c>
    </row>
    <row r="689" spans="1:44" s="247" customFormat="1" ht="23.45" hidden="1" customHeight="1" thickBot="1">
      <c r="A689" s="243"/>
      <c r="B689" s="244"/>
      <c r="C689" s="244"/>
      <c r="D689" s="244"/>
      <c r="E689" s="244"/>
      <c r="F689" s="245"/>
      <c r="G689" s="246"/>
      <c r="H689" s="246"/>
      <c r="L689" s="248"/>
      <c r="S689" s="248"/>
      <c r="Z689" s="248"/>
      <c r="AG689" s="248"/>
      <c r="AM689" s="249"/>
      <c r="AR689" s="250"/>
    </row>
    <row r="690" spans="1:44" s="191" customFormat="1" ht="24.6" hidden="1" customHeight="1">
      <c r="A690" s="194">
        <f>A677+1</f>
        <v>51</v>
      </c>
      <c r="B690" s="892"/>
      <c r="C690" s="895"/>
      <c r="D690" s="911"/>
      <c r="E690" s="908"/>
      <c r="F690" s="234" t="s">
        <v>582</v>
      </c>
      <c r="G690" s="196">
        <f>IF($B$690="Лікар-педіатр",G693*L690,IF($B$690="Лікар-терапевт","х",IF($B$690="Лікар загальної практики - сімейний лікар",G693*L690,0)))</f>
        <v>0</v>
      </c>
      <c r="H690" s="196">
        <f>IF($B$690="Лікар-педіатр",H693*L690,IF($B$690="Лікар-терапевт","х",IF($B$690="Лікар загальної практики - сімейний лікар",H693*L690,0)))</f>
        <v>0</v>
      </c>
      <c r="I690" s="196">
        <f>IF($B$690="Лікар-педіатр","x",IF($B$690="Лікар-терапевт",I693*L690,IF($B$690="Лікар загальної практики - сімейний лікар",I693*L690,0)))</f>
        <v>0</v>
      </c>
      <c r="J690" s="196">
        <f>IF($B$690="Лікар-педіатр","x",IF($B$690="Лікар-терапевт",J693*L690,IF($B$690="Лікар загальної практики - сімейний лікар",J693*L690,0)))</f>
        <v>0</v>
      </c>
      <c r="K690" s="196">
        <f>IF($B$690="Лікар-педіатр","x",IF($B$690="Лікар-терапевт",K693*L690,IF($B$690="Лікар загальної практики - сімейний лікар",K693*L690,0)))</f>
        <v>0</v>
      </c>
      <c r="L690" s="558"/>
      <c r="M690" s="929"/>
      <c r="N690" s="196">
        <f>IF($B$690="Лікар-педіатр",N693*S690,IF($B$690="Лікар-терапевт","х",IF($B$690="Лікар загальної практики - сімейний лікар",N693*S690,0)))</f>
        <v>0</v>
      </c>
      <c r="O690" s="196">
        <f>IF($B$690="Лікар-педіатр",O693*S690,IF($B$690="Лікар-терапевт","х",IF($B$690="Лікар загальної практики - сімейний лікар",O693*S690,0)))</f>
        <v>0</v>
      </c>
      <c r="P690" s="196">
        <f>IF($B$690="Лікар-педіатр","x",IF($B$690="Лікар-терапевт",P693*S690,IF($B$690="Лікар загальної практики - сімейний лікар",P693*S690,0)))</f>
        <v>0</v>
      </c>
      <c r="Q690" s="196">
        <f>IF($B$690="Лікар-педіатр","x",IF($B$690="Лікар-терапевт",Q693*S690,IF($B$690="Лікар загальної практики - сімейний лікар",Q693*S690,0)))</f>
        <v>0</v>
      </c>
      <c r="R690" s="196">
        <f>IF($B$690="Лікар-педіатр","x",IF($B$690="Лікар-терапевт",R693*S690,IF($B$690="Лікар загальної практики - сімейний лікар",R693*S690,0)))</f>
        <v>0</v>
      </c>
      <c r="S690" s="558"/>
      <c r="T690" s="929"/>
      <c r="U690" s="196">
        <f>IF($B$690="Лікар-педіатр",U693*Z690,IF($B$690="Лікар-терапевт","х",IF($B$690="Лікар загальної практики - сімейний лікар",U693*Z690,0)))</f>
        <v>0</v>
      </c>
      <c r="V690" s="196">
        <f>IF($B$690="Лікар-педіатр",V693*Z690,IF($B$690="Лікар-терапевт","х",IF($B$690="Лікар загальної практики - сімейний лікар",V693*Z690,0)))</f>
        <v>0</v>
      </c>
      <c r="W690" s="196">
        <f>IF($B$690="Лікар-педіатр","x",IF($B$690="Лікар-терапевт",W693*Z690,IF($B$690="Лікар загальної практики - сімейний лікар",W693*Z690,0)))</f>
        <v>0</v>
      </c>
      <c r="X690" s="196">
        <f>IF($B$690="Лікар-педіатр","x",IF($B$690="Лікар-терапевт",X693*Z690,IF($B$690="Лікар загальної практики - сімейний лікар",X693*Z690,0)))</f>
        <v>0</v>
      </c>
      <c r="Y690" s="196">
        <f>IF($B$690="Лікар-педіатр","x",IF($B$690="Лікар-терапевт",Y693*Z690,IF($B$690="Лікар загальної практики - сімейний лікар",Y693*Z690,0)))</f>
        <v>0</v>
      </c>
      <c r="Z690" s="558"/>
      <c r="AA690" s="929"/>
      <c r="AB690" s="196">
        <f>IF($B$690="Лікар-педіатр",AB693*AG690,IF($B$690="Лікар-терапевт","х",IF($B$690="Лікар загальної практики - сімейний лікар",AB693*AG690,0)))</f>
        <v>0</v>
      </c>
      <c r="AC690" s="196">
        <f>IF($B$690="Лікар-педіатр",AC693*AG690,IF($B$690="Лікар-терапевт","х",IF($B$690="Лікар загальної практики - сімейний лікар",AC693*AG690,0)))</f>
        <v>0</v>
      </c>
      <c r="AD690" s="196">
        <f>IF($B$690="Лікар-педіатр","x",IF($B$690="Лікар-терапевт",AD693*AG690,IF($B$690="Лікар загальної практики - сімейний лікар",AD693*AG690,0)))</f>
        <v>0</v>
      </c>
      <c r="AE690" s="196">
        <f>IF($B$690="Лікар-педіатр","x",IF($B$690="Лікар-терапевт",AE693*AG690,IF($B$690="Лікар загальної практики - сімейний лікар",AE693*AG690,0)))</f>
        <v>0</v>
      </c>
      <c r="AF690" s="196">
        <f>IF($B$690="Лікар-педіатр","x",IF($B$690="Лікар-терапевт",AF693*AG690,IF($B$690="Лікар загальної практики - сімейний лікар",AF693*AG690,0)))</f>
        <v>0</v>
      </c>
      <c r="AG690" s="558"/>
      <c r="AH690" s="929"/>
      <c r="AI690" s="541">
        <f>A690</f>
        <v>51</v>
      </c>
      <c r="AJ690" s="932">
        <f>B690</f>
        <v>0</v>
      </c>
      <c r="AK690" s="926">
        <f>C690</f>
        <v>0</v>
      </c>
      <c r="AL690" s="926">
        <f>D690</f>
        <v>0</v>
      </c>
      <c r="AM690" s="901" t="s">
        <v>785</v>
      </c>
      <c r="AN690" s="923">
        <f>SUM(AN695:AN701)</f>
        <v>0</v>
      </c>
      <c r="AO690" s="923">
        <f>SUM(AO695:AO701)</f>
        <v>0</v>
      </c>
      <c r="AP690" s="923">
        <f>SUM(AP695:AP701)</f>
        <v>0</v>
      </c>
      <c r="AQ690" s="923">
        <f>SUM(AQ695:AQ701)</f>
        <v>0</v>
      </c>
      <c r="AR690" s="914">
        <f>SUM(AN690:AQ694)</f>
        <v>0</v>
      </c>
    </row>
    <row r="691" spans="1:44" s="50" customFormat="1" ht="28.15" hidden="1" customHeight="1">
      <c r="A691" s="197"/>
      <c r="B691" s="893"/>
      <c r="C691" s="896"/>
      <c r="D691" s="912"/>
      <c r="E691" s="909"/>
      <c r="F691" s="234" t="s">
        <v>583</v>
      </c>
      <c r="G691" s="196">
        <f>IF($B$690="Лікар-педіатр",G693*L691,IF($B$690="Лікар-терапевт","х",IF($B$690="Лікар загальної практики - сімейний лікар",G693*L691,0)))</f>
        <v>0</v>
      </c>
      <c r="H691" s="196">
        <f>IF($B$690="Лікар-педіатр",H693*L691,IF($B$690="Лікар-терапевт","х",IF($B$690="Лікар загальної практики - сімейний лікар",H693*L691,0)))</f>
        <v>0</v>
      </c>
      <c r="I691" s="196">
        <f>IF($B$690="Лікар-педіатр","x",IF($B$690="Лікар-терапевт",I693*L691,IF($B$690="Лікар загальної практики - сімейний лікар",I693*L691,0)))</f>
        <v>0</v>
      </c>
      <c r="J691" s="196">
        <f>IF($B$690="Лікар-педіатр","x",IF($B$690="Лікар-терапевт",J693*L691,IF($B$690="Лікар загальної практики - сімейний лікар",J693*L691,0)))</f>
        <v>0</v>
      </c>
      <c r="K691" s="196">
        <f>IF($B$690="Лікар-педіатр","x",IF($B$690="Лікар-терапевт",K693*L691,IF($B$690="Лікар загальної практики - сімейний лікар",K693*L691,0)))</f>
        <v>0</v>
      </c>
      <c r="L691" s="558"/>
      <c r="M691" s="930"/>
      <c r="N691" s="196">
        <f>IF($B$690="Лікар-педіатр",N693*S691,IF($B$690="Лікар-терапевт","х",IF($B$690="Лікар загальної практики - сімейний лікар",N693*S691,0)))</f>
        <v>0</v>
      </c>
      <c r="O691" s="196">
        <f>IF($B$690="Лікар-педіатр",O693*S691,IF($B$690="Лікар-терапевт","х",IF($B$690="Лікар загальної практики - сімейний лікар",O693*S691,0)))</f>
        <v>0</v>
      </c>
      <c r="P691" s="196">
        <f>IF($B$690="Лікар-педіатр","x",IF($B$690="Лікар-терапевт",P693*S691,IF($B$690="Лікар загальної практики - сімейний лікар",P693*S691,0)))</f>
        <v>0</v>
      </c>
      <c r="Q691" s="196">
        <f>IF($B$690="Лікар-педіатр","x",IF($B$690="Лікар-терапевт",Q693*S691,IF($B$690="Лікар загальної практики - сімейний лікар",Q693*S691,0)))</f>
        <v>0</v>
      </c>
      <c r="R691" s="196">
        <f>IF($B$690="Лікар-педіатр","x",IF($B$690="Лікар-терапевт",R693*S691,IF($B$690="Лікар загальної практики - сімейний лікар",R693*S691,0)))</f>
        <v>0</v>
      </c>
      <c r="S691" s="558"/>
      <c r="T691" s="930"/>
      <c r="U691" s="196">
        <f>IF($B$690="Лікар-педіатр",U693*Z691,IF($B$690="Лікар-терапевт","х",IF($B$690="Лікар загальної практики - сімейний лікар",U693*Z691,0)))</f>
        <v>0</v>
      </c>
      <c r="V691" s="196">
        <f>IF($B$690="Лікар-педіатр",V693*Z691,IF($B$690="Лікар-терапевт","х",IF($B$690="Лікар загальної практики - сімейний лікар",V693*Z691,0)))</f>
        <v>0</v>
      </c>
      <c r="W691" s="196">
        <f>IF($B$690="Лікар-педіатр","x",IF($B$690="Лікар-терапевт",W693*Z691,IF($B$690="Лікар загальної практики - сімейний лікар",W693*Z691,0)))</f>
        <v>0</v>
      </c>
      <c r="X691" s="196">
        <f>IF($B$690="Лікар-педіатр","x",IF($B$690="Лікар-терапевт",X693*Z691,IF($B$690="Лікар загальної практики - сімейний лікар",X693*Z691,0)))</f>
        <v>0</v>
      </c>
      <c r="Y691" s="196">
        <f>IF($B$690="Лікар-педіатр","x",IF($B$690="Лікар-терапевт",Y693*Z691,IF($B$690="Лікар загальної практики - сімейний лікар",Y693*Z691,0)))</f>
        <v>0</v>
      </c>
      <c r="Z691" s="558"/>
      <c r="AA691" s="930"/>
      <c r="AB691" s="196">
        <f>IF($B$690="Лікар-педіатр",AB693*AG691,IF($B$690="Лікар-терапевт","х",IF($B$690="Лікар загальної практики - сімейний лікар",AB693*AG691,0)))</f>
        <v>0</v>
      </c>
      <c r="AC691" s="196">
        <f>IF($B$690="Лікар-педіатр",AC693*AG691,IF($B$690="Лікар-терапевт","х",IF($B$690="Лікар загальної практики - сімейний лікар",AC693*AG691,0)))</f>
        <v>0</v>
      </c>
      <c r="AD691" s="196">
        <f>IF($B$690="Лікар-педіатр","x",IF($B$690="Лікар-терапевт",AD693*AG691,IF($B$690="Лікар загальної практики - сімейний лікар",AD693*AG691,0)))</f>
        <v>0</v>
      </c>
      <c r="AE691" s="196">
        <f>IF($B$690="Лікар-педіатр","x",IF($B$690="Лікар-терапевт",AE693*AG691,IF($B$690="Лікар загальної практики - сімейний лікар",AE693*AG691,0)))</f>
        <v>0</v>
      </c>
      <c r="AF691" s="196">
        <f>IF($B$690="Лікар-педіатр","x",IF($B$690="Лікар-терапевт",AF693*AG691,IF($B$690="Лікар загальної практики - сімейний лікар",AF693*AG691,0)))</f>
        <v>0</v>
      </c>
      <c r="AG691" s="558"/>
      <c r="AH691" s="930"/>
      <c r="AI691" s="198"/>
      <c r="AJ691" s="933"/>
      <c r="AK691" s="927"/>
      <c r="AL691" s="927"/>
      <c r="AM691" s="902"/>
      <c r="AN691" s="924"/>
      <c r="AO691" s="924"/>
      <c r="AP691" s="924"/>
      <c r="AQ691" s="924"/>
      <c r="AR691" s="915"/>
    </row>
    <row r="692" spans="1:44" s="90" customFormat="1" ht="31.15" hidden="1" customHeight="1">
      <c r="A692" s="240"/>
      <c r="B692" s="893"/>
      <c r="C692" s="896"/>
      <c r="D692" s="912"/>
      <c r="E692" s="909"/>
      <c r="F692" s="241" t="s">
        <v>584</v>
      </c>
      <c r="G692" s="199">
        <f>IF(B690="Лікар загальної практики - сімейний лікар"," ",IF(B690="Лікар-педіатр"," ",IF(B690="Лікар-терапевт","х",0)))</f>
        <v>0</v>
      </c>
      <c r="H692" s="199">
        <f>IF(B690="Лікар загальної практики - сімейний лікар"," ",IF(B690="Лікар-педіатр"," ",IF(B690="Лікар-терапевт","х",0)))</f>
        <v>0</v>
      </c>
      <c r="I692" s="199">
        <f>IF(B690="Лікар загальної практики - сімейний лікар"," ",IF(B690="Лікар-педіатр","х",IF(B690="Лікар-терапевт"," ",0)))</f>
        <v>0</v>
      </c>
      <c r="J692" s="199">
        <f>IF(B690="Лікар загальної практики - сімейний лікар"," ",IF(B690="Лікар-педіатр","х",IF(B690="Лікар-терапевт"," ",0)))</f>
        <v>0</v>
      </c>
      <c r="K692" s="199">
        <f>IF(B690="Лікар загальної практики - сімейний лікар"," ",IF(B690="Лікар-педіатр","х",IF(B690="Лікар-терапевт"," ",0)))</f>
        <v>0</v>
      </c>
      <c r="L692" s="200">
        <f>SUM(G692:K692)</f>
        <v>0</v>
      </c>
      <c r="M692" s="930"/>
      <c r="N692" s="199">
        <f>IF(B690="Лікар загальної практики - сімейний лікар"," ",IF(B690="Лікар-педіатр"," ",IF(B690="Лікар-терапевт","х",0)))</f>
        <v>0</v>
      </c>
      <c r="O692" s="199">
        <f>IF(B690="Лікар загальної практики - сімейний лікар"," ",IF(B690="Лікар-педіатр"," ",IF(B690="Лікар-терапевт","х",0)))</f>
        <v>0</v>
      </c>
      <c r="P692" s="199">
        <f>IF(B690="Лікар загальної практики - сімейний лікар"," ",IF(B690="Лікар-педіатр","х",IF(B690="Лікар-терапевт"," ",0)))</f>
        <v>0</v>
      </c>
      <c r="Q692" s="199">
        <f>IF(B690="Лікар загальної практики - сімейний лікар"," ",IF(B690="Лікар-педіатр","х",IF(B690="Лікар-терапевт"," ",0)))</f>
        <v>0</v>
      </c>
      <c r="R692" s="199">
        <f>IF(B690="Лікар загальної практики - сімейний лікар"," ",IF(B690="Лікар-педіатр","х",IF(B690="Лікар-терапевт"," ",0)))</f>
        <v>0</v>
      </c>
      <c r="S692" s="200">
        <f>SUM(N692:R692)</f>
        <v>0</v>
      </c>
      <c r="T692" s="930"/>
      <c r="U692" s="199">
        <f>IF(B690="Лікар загальної практики - сімейний лікар"," ",IF(B690="Лікар-педіатр"," ",IF(B690="Лікар-терапевт","х",0)))</f>
        <v>0</v>
      </c>
      <c r="V692" s="199">
        <f>IF(B690="Лікар загальної практики - сімейний лікар"," ",IF(B690="Лікар-педіатр"," ",IF(B690="Лікар-терапевт","х",0)))</f>
        <v>0</v>
      </c>
      <c r="W692" s="199">
        <f>IF(B690="Лікар загальної практики - сімейний лікар"," ",IF(B690="Лікар-педіатр","х",IF(B690="Лікар-терапевт"," ",0)))</f>
        <v>0</v>
      </c>
      <c r="X692" s="199">
        <f>IF(B690="Лікар загальної практики - сімейний лікар"," ",IF(B690="Лікар-педіатр","х",IF(B690="Лікар-терапевт"," ",0)))</f>
        <v>0</v>
      </c>
      <c r="Y692" s="199">
        <f>IF(B690="Лікар загальної практики - сімейний лікар"," ",IF(B690="Лікар-педіатр","х",IF(B690="Лікар-терапевт"," ",0)))</f>
        <v>0</v>
      </c>
      <c r="Z692" s="200">
        <f>SUM(U692:Y692)</f>
        <v>0</v>
      </c>
      <c r="AA692" s="930"/>
      <c r="AB692" s="199">
        <f>IF(B690="Лікар загальної практики - сімейний лікар"," ",IF(B690="Лікар-педіатр"," ",IF(B690="Лікар-терапевт","х",0)))</f>
        <v>0</v>
      </c>
      <c r="AC692" s="199">
        <f>IF(B690="Лікар загальної практики - сімейний лікар"," ",IF(B690="Лікар-педіатр"," ",IF(B690="Лікар-терапевт","х",0)))</f>
        <v>0</v>
      </c>
      <c r="AD692" s="199">
        <f>IF(B690="Лікар загальної практики - сімейний лікар"," ",IF(B690="Лікар-педіатр","х",IF(B690="Лікар-терапевт"," ",0)))</f>
        <v>0</v>
      </c>
      <c r="AE692" s="199">
        <f>IF(B690="Лікар загальної практики - сімейний лікар"," ",IF(B690="Лікар-педіатр","х",IF(B690="Лікар-терапевт"," ",0)))</f>
        <v>0</v>
      </c>
      <c r="AF692" s="199">
        <f>IF(B690="Лікар загальної практики - сімейний лікар"," ",IF(B690="Лікар-педіатр","х",IF(B690="Лікар-терапевт"," ",0)))</f>
        <v>0</v>
      </c>
      <c r="AG692" s="200">
        <f>SUM(AB692:AF692)</f>
        <v>0</v>
      </c>
      <c r="AH692" s="930"/>
      <c r="AI692" s="242"/>
      <c r="AJ692" s="933"/>
      <c r="AK692" s="927"/>
      <c r="AL692" s="927"/>
      <c r="AM692" s="902"/>
      <c r="AN692" s="924"/>
      <c r="AO692" s="924"/>
      <c r="AP692" s="924"/>
      <c r="AQ692" s="924"/>
      <c r="AR692" s="915"/>
    </row>
    <row r="693" spans="1:44" s="50" customFormat="1" ht="31.9" hidden="1" customHeight="1" thickBot="1">
      <c r="A693" s="197"/>
      <c r="B693" s="893"/>
      <c r="C693" s="896"/>
      <c r="D693" s="912"/>
      <c r="E693" s="909"/>
      <c r="F693" s="236" t="s">
        <v>349</v>
      </c>
      <c r="G693" s="203">
        <f>IF($B$690="Лікар-педіатр",G692/L692,IF($B$690="Лікар-терапевт","х",IF($B$690="Лікар загальної практики - сімейний лікар",G692/L692,0)))</f>
        <v>0</v>
      </c>
      <c r="H693" s="203">
        <f>IF($B$690="Лікар-педіатр",H692/L692,IF($B$690="Лікар-терапевт","х",IF($B$690="Лікар загальної практики - сімейний лікар",H692/L692,0)))</f>
        <v>0</v>
      </c>
      <c r="I693" s="203">
        <f>IF($B$690="Лікар-педіатр","x",IF($B$690="Лікар-терапевт",I692/L692,IF($B$690="Лікар загальної практики - сімейний лікар",I692/L692,0)))</f>
        <v>0</v>
      </c>
      <c r="J693" s="203">
        <f>IF($B$690="Лікар-педіатр","x",IF($B$690="Лікар-терапевт",J692/L692,IF($B$690="Лікар загальної практики - сімейний лікар",J692/L692,0)))</f>
        <v>0</v>
      </c>
      <c r="K693" s="203">
        <f>IF($B$690="Лікар-педіатр","x",IF($B$690="Лікар-терапевт",K692/L692,IF($B$690="Лікар загальної практики - сімейний лікар",K692/L692,0)))</f>
        <v>0</v>
      </c>
      <c r="L693" s="203">
        <f>SUM(G693:K693)</f>
        <v>0</v>
      </c>
      <c r="M693" s="930"/>
      <c r="N693" s="203">
        <f>IF($B$690="Лікар-педіатр",N692/S692,IF($B$690="Лікар-терапевт","х",IF($B$690="Лікар загальної практики - сімейний лікар",N692/S692,0)))</f>
        <v>0</v>
      </c>
      <c r="O693" s="203">
        <f>IF($B$690="Лікар-педіатр",O692/S692,IF($B$690="Лікар-терапевт","х",IF($B$690="Лікар загальної практики - сімейний лікар",O692/S692,0)))</f>
        <v>0</v>
      </c>
      <c r="P693" s="203">
        <f>IF($B$690="Лікар-педіатр","x",IF($B$690="Лікар-терапевт",P692/S692,IF($B$690="Лікар загальної практики - сімейний лікар",P692/S692,0)))</f>
        <v>0</v>
      </c>
      <c r="Q693" s="203">
        <f>IF($B$690="Лікар-педіатр","x",IF($B$690="Лікар-терапевт",Q692/S692,IF($B$690="Лікар загальної практики - сімейний лікар",Q692/S692,0)))</f>
        <v>0</v>
      </c>
      <c r="R693" s="203">
        <f>IF($B$690="Лікар-педіатр","x",IF($B$690="Лікар-терапевт",R692/S692,IF($B$690="Лікар загальної практики - сімейний лікар",R692/S692,0)))</f>
        <v>0</v>
      </c>
      <c r="S693" s="203">
        <f>SUM(N693:R693)</f>
        <v>0</v>
      </c>
      <c r="T693" s="930"/>
      <c r="U693" s="203">
        <f>IF($B$690="Лікар-педіатр",U692/Z692,IF($B$690="Лікар-терапевт","х",IF($B$690="Лікар загальної практики - сімейний лікар",U692/Z692,0)))</f>
        <v>0</v>
      </c>
      <c r="V693" s="203">
        <f>IF($B$690="Лікар-педіатр",V692/Z692,IF($B$690="Лікар-терапевт","х",IF($B$690="Лікар загальної практики - сімейний лікар",V692/Z692,0)))</f>
        <v>0</v>
      </c>
      <c r="W693" s="203">
        <f>IF($B$690="Лікар-педіатр","x",IF($B$690="Лікар-терапевт",W692/Z692,IF($B$690="Лікар загальної практики - сімейний лікар",W692/Z692,0)))</f>
        <v>0</v>
      </c>
      <c r="X693" s="203">
        <f>IF($B$690="Лікар-педіатр","x",IF($B$690="Лікар-терапевт",X692/Z692,IF($B$690="Лікар загальної практики - сімейний лікар",X692/Z692,0)))</f>
        <v>0</v>
      </c>
      <c r="Y693" s="203">
        <f>IF($B$690="Лікар-педіатр","x",IF($B$690="Лікар-терапевт",Y692/Z692,IF($B$690="Лікар загальної практики - сімейний лікар",Y692/Z692,0)))</f>
        <v>0</v>
      </c>
      <c r="Z693" s="203">
        <f>SUM(U693:Y693)</f>
        <v>0</v>
      </c>
      <c r="AA693" s="930"/>
      <c r="AB693" s="203">
        <f>IF($B$690="Лікар-педіатр",AB692/AG692,IF($B$690="Лікар-терапевт","х",IF($B$690="Лікар загальної практики - сімейний лікар",AB692/AG692,0)))</f>
        <v>0</v>
      </c>
      <c r="AC693" s="203">
        <f>IF($B$690="Лікар-педіатр",AC692/AG692,IF($B$690="Лікар-терапевт","х",IF($B$690="Лікар загальної практики - сімейний лікар",AC692/AG692,0)))</f>
        <v>0</v>
      </c>
      <c r="AD693" s="203">
        <f>IF($B$690="Лікар-педіатр","x",IF($B$690="Лікар-терапевт",AD692/AG692,IF($B$690="Лікар загальної практики - сімейний лікар",AD692/AG692,0)))</f>
        <v>0</v>
      </c>
      <c r="AE693" s="203">
        <f>IF($B$690="Лікар-педіатр","x",IF($B$690="Лікар-терапевт",AE692/AG692,IF($B$690="Лікар загальної практики - сімейний лікар",AE692/AG692,0)))</f>
        <v>0</v>
      </c>
      <c r="AF693" s="203">
        <f>IF($B$690="Лікар-педіатр","x",IF($B$690="Лікар-терапевт",AF692/AG692,IF($B$690="Лікар загальної практики - сімейний лікар",AF692/AG692,0)))</f>
        <v>0</v>
      </c>
      <c r="AG693" s="203">
        <f>SUM(AB693:AF693)</f>
        <v>0</v>
      </c>
      <c r="AH693" s="930"/>
      <c r="AI693" s="201"/>
      <c r="AJ693" s="933"/>
      <c r="AK693" s="927"/>
      <c r="AL693" s="927"/>
      <c r="AM693" s="902"/>
      <c r="AN693" s="924"/>
      <c r="AO693" s="924"/>
      <c r="AP693" s="924"/>
      <c r="AQ693" s="924"/>
      <c r="AR693" s="915"/>
    </row>
    <row r="694" spans="1:44" s="50" customFormat="1" ht="45" hidden="1" customHeight="1" thickBot="1">
      <c r="A694" s="197"/>
      <c r="B694" s="893"/>
      <c r="C694" s="896"/>
      <c r="D694" s="912"/>
      <c r="E694" s="909"/>
      <c r="F694" s="204" t="s">
        <v>585</v>
      </c>
      <c r="G694" s="205">
        <f>IF($B$690="Лікар загальної практики - сімейний лікар",AVERAGE(G690:G692),IF($B$690="Лікар-педіатр",AVERAGE(G690:G692),IF($B$690="Лікар-терапевт","х",0)))</f>
        <v>0</v>
      </c>
      <c r="H694" s="205">
        <f>IF($B$690="Лікар загальної практики - сімейний лікар",AVERAGE(H690:H692),IF($B$690="Лікар-педіатр",AVERAGE(H690:H692),IF($B$690="Лікар-терапевт","х",0)))</f>
        <v>0</v>
      </c>
      <c r="I694" s="205">
        <f>IF($B$690="Лікар загальної практики - сімейний лікар",AVERAGE(I690:I692),IF($B$690="Лікар-педіатр","x",IF($B$690="Лікар-терапевт",AVERAGE(I690:I692),0)))</f>
        <v>0</v>
      </c>
      <c r="J694" s="205">
        <f>IF($B$690="Лікар загальної практики - сімейний лікар",AVERAGE(J690:J692),IF($B$690="Лікар-педіатр","x",IF($B$690="Лікар-терапевт",AVERAGE(J690:J692),0)))</f>
        <v>0</v>
      </c>
      <c r="K694" s="205">
        <f>IF($B$690="Лікар загальної практики - сімейний лікар",AVERAGE(K690:K692),IF($B$690="Лікар-педіатр","x",IF($B$690="Лікар-терапевт",AVERAGE(K690:K692),0)))</f>
        <v>0</v>
      </c>
      <c r="L694" s="206">
        <f>SUM(G694:K694)</f>
        <v>0</v>
      </c>
      <c r="M694" s="930"/>
      <c r="N694" s="205">
        <f>IF($B$690="Лікар загальної практики - сімейний лікар",AVERAGE(N690:N692),IF($B$690="Лікар-педіатр",AVERAGE(N690:N692),IF($B$690="Лікар-терапевт","х",0)))</f>
        <v>0</v>
      </c>
      <c r="O694" s="205">
        <f>IF($B$690="Лікар загальної практики - сімейний лікар",AVERAGE(O690:O692),IF($B$690="Лікар-педіатр",AVERAGE(O690:O692),IF($B$690="Лікар-терапевт","х",0)))</f>
        <v>0</v>
      </c>
      <c r="P694" s="205">
        <f>IF($B$690="Лікар загальної практики - сімейний лікар",AVERAGE(P690:P692),IF($B$690="Лікар-педіатр","x",IF($B$690="Лікар-терапевт",AVERAGE(P690:P692),0)))</f>
        <v>0</v>
      </c>
      <c r="Q694" s="205">
        <f>IF($B$690="Лікар загальної практики - сімейний лікар",AVERAGE(Q690:Q692),IF($B$690="Лікар-педіатр","x",IF($B$690="Лікар-терапевт",AVERAGE(Q690:Q692),0)))</f>
        <v>0</v>
      </c>
      <c r="R694" s="205">
        <f>IF($B$690="Лікар загальної практики - сімейний лікар",AVERAGE(R690:R692),IF($B$690="Лікар-педіатр","x",IF($B$690="Лікар-терапевт",AVERAGE(R690:R692),0)))</f>
        <v>0</v>
      </c>
      <c r="S694" s="206">
        <f>SUM(N694:R694)</f>
        <v>0</v>
      </c>
      <c r="T694" s="930"/>
      <c r="U694" s="205">
        <f>IF($B$690="Лікар загальної практики - сімейний лікар",AVERAGE(U690:U692),IF($B$690="Лікар-педіатр",AVERAGE(U690:U692),IF($B$690="Лікар-терапевт","х",0)))</f>
        <v>0</v>
      </c>
      <c r="V694" s="205">
        <f>IF($B$690="Лікар загальної практики - сімейний лікар",AVERAGE(V690:V692),IF($B$690="Лікар-педіатр",AVERAGE(V690:V692),IF($B$690="Лікар-терапевт","х",0)))</f>
        <v>0</v>
      </c>
      <c r="W694" s="205">
        <f>IF($B$690="Лікар загальної практики - сімейний лікар",AVERAGE(W690:W692),IF($B$690="Лікар-педіатр","x",IF($B$690="Лікар-терапевт",AVERAGE(W690:W692),0)))</f>
        <v>0</v>
      </c>
      <c r="X694" s="205">
        <f>IF($B$690="Лікар загальної практики - сімейний лікар",AVERAGE(X690:X692),IF($B$690="Лікар-педіатр","x",IF($B$690="Лікар-терапевт",AVERAGE(X690:X692),0)))</f>
        <v>0</v>
      </c>
      <c r="Y694" s="205">
        <f>IF($B$690="Лікар загальної практики - сімейний лікар",AVERAGE(Y690:Y692),IF($B$690="Лікар-педіатр","x",IF($B$690="Лікар-терапевт",AVERAGE(Y690:Y692),0)))</f>
        <v>0</v>
      </c>
      <c r="Z694" s="206">
        <f>SUM(U694:Y694)</f>
        <v>0</v>
      </c>
      <c r="AA694" s="930"/>
      <c r="AB694" s="205">
        <f>IF($B$690="Лікар загальної практики - сімейний лікар",AVERAGE(AB690:AB692),IF($B$690="Лікар-педіатр",AVERAGE(AB690:AB692),IF($B$690="Лікар-терапевт","х",0)))</f>
        <v>0</v>
      </c>
      <c r="AC694" s="205">
        <f>IF($B$690="Лікар загальної практики - сімейний лікар",AVERAGE(AC690:AC692),IF($B$690="Лікар-педіатр",AVERAGE(AC690:AC692),IF($B$690="Лікар-терапевт","х",0)))</f>
        <v>0</v>
      </c>
      <c r="AD694" s="205">
        <f>IF($B$690="Лікар загальної практики - сімейний лікар",AVERAGE(AD690:AD692),IF($B$690="Лікар-педіатр","x",IF($B$690="Лікар-терапевт",AVERAGE(AD690:AD692),0)))</f>
        <v>0</v>
      </c>
      <c r="AE694" s="205">
        <f>IF($B$690="Лікар загальної практики - сімейний лікар",AVERAGE(AE690:AE692),IF($B$690="Лікар-педіатр","x",IF($B$690="Лікар-терапевт",AVERAGE(AE690:AE692),0)))</f>
        <v>0</v>
      </c>
      <c r="AF694" s="205">
        <f>IF($B$690="Лікар загальної практики - сімейний лікар",AVERAGE(AF690:AF692),IF($B$690="Лікар-педіатр","x",IF($B$690="Лікар-терапевт",AVERAGE(AF690:AF692),0)))</f>
        <v>0</v>
      </c>
      <c r="AG694" s="206">
        <f>SUM(AB694:AF694)</f>
        <v>0</v>
      </c>
      <c r="AH694" s="930"/>
      <c r="AI694" s="201"/>
      <c r="AJ694" s="933"/>
      <c r="AK694" s="927"/>
      <c r="AL694" s="927"/>
      <c r="AM694" s="903"/>
      <c r="AN694" s="925"/>
      <c r="AO694" s="925"/>
      <c r="AP694" s="925"/>
      <c r="AQ694" s="925"/>
      <c r="AR694" s="916"/>
    </row>
    <row r="695" spans="1:44" s="50" customFormat="1" ht="40.5" hidden="1">
      <c r="A695" s="197"/>
      <c r="B695" s="893"/>
      <c r="C695" s="896"/>
      <c r="D695" s="912"/>
      <c r="E695" s="909"/>
      <c r="F695" s="237" t="str">
        <f ca="1">IF(B690="Лікар-педіатр",Законод!$C$17,IF(B690="Лікар загальної практики - сімейний лікар",Законод!$C$21,IF(B690="Лікар-терапевт",Законод!$C$25,"х")))</f>
        <v>х</v>
      </c>
      <c r="G695" s="208">
        <f ca="1">IF($B$690="Лікар загальної практики - сімейний лікар",IF(L694&lt;=Законод!$C$22,G694,Законод!$C$22*'01_Доходи'!G693),IF($B$690="Лікар-педіатр",IF(L694&lt;=Законод!$C$18,G694,Законод!$C$18*'01_Доходи'!G693),IF($B$690="Лікар-терапевт","x",0)))</f>
        <v>0</v>
      </c>
      <c r="H695" s="208">
        <f ca="1">IF($B$690="Лікар загальної практики - сімейний лікар",IF(L694&lt;=Законод!$C$22,H694,Законод!$C$22*'01_Доходи'!H693),IF($B$690="Лікар-педіатр",IF(L694&lt;=Законод!$C$18,H694,Законод!$C$18*'01_Доходи'!H693),IF($B$690="Лікар-терапевт","x",0)))</f>
        <v>0</v>
      </c>
      <c r="I695" s="208">
        <f ca="1">IF($B$690="Лікар загальної практики - сімейний лікар",IF(L694&lt;=Законод!$C$22,I694,Законод!$C$22*'01_Доходи'!I693),IF($B$690="Лікар-педіатр","x",IF($B$690="Лікар-терапевт",IF(L694&lt;=Законод!$C$26,I694,Законод!$C$26*'01_Доходи'!I693),0)))</f>
        <v>0</v>
      </c>
      <c r="J695" s="208">
        <f ca="1">IF($B$690="Лікар загальної практики - сімейний лікар",IF(L694&lt;=Законод!$C$22,J694,Законод!$C$22*'01_Доходи'!J693),IF($B$690="Лікар-педіатр","x",IF($B$690="Лікар-терапевт",IF(L694&lt;=Законод!$C$26,J694,Законод!$C$26*'01_Доходи'!J693),0)))</f>
        <v>0</v>
      </c>
      <c r="K695" s="208">
        <f ca="1">IF($B$690="Лікар загальної практики - сімейний лікар",IF(L694&lt;=Законод!$C$22,K694,Законод!$C$22*'01_Доходи'!K693),IF($B$690="Лікар-педіатр","x",IF($B$690="Лікар-терапевт",IF(L694&lt;=Законод!$C$26,K694,Законод!$C$26*'01_Доходи'!K693),0)))</f>
        <v>0</v>
      </c>
      <c r="L695" s="209">
        <f ca="1">SUM(G695:K695)</f>
        <v>0</v>
      </c>
      <c r="M695" s="930"/>
      <c r="N695" s="208">
        <f ca="1">IF($B$690="Лікар загальної практики - сімейний лікар",IF(S694&lt;=Законод!$C$22,N694,Законод!$C$22*'01_Доходи'!N693),IF($B$690="Лікар-педіатр",IF(S694&lt;=Законод!$C$18,N694,Законод!$C$18*'01_Доходи'!N693),IF($B$690="Лікар-терапевт","x",0)))</f>
        <v>0</v>
      </c>
      <c r="O695" s="208">
        <f ca="1">IF($B$690="Лікар загальної практики - сімейний лікар",IF(S694&lt;=Законод!$C$22,O694,Законод!$C$22*'01_Доходи'!O693),IF($B$690="Лікар-педіатр",IF(S694&lt;=Законод!$C$18,O694,Законод!$C$18*'01_Доходи'!O693),IF($B$690="Лікар-терапевт","x",0)))</f>
        <v>0</v>
      </c>
      <c r="P695" s="208">
        <f ca="1">IF($B$690="Лікар загальної практики - сімейний лікар",IF(S694&lt;=Законод!$C$22,P694,Законод!$C$22*'01_Доходи'!P693),IF($B$690="Лікар-педіатр","x",IF($B$690="Лікар-терапевт",IF(S694&lt;=Законод!$C$26,P694,Законод!$C$26*'01_Доходи'!P693),0)))</f>
        <v>0</v>
      </c>
      <c r="Q695" s="208">
        <f ca="1">IF($B$690="Лікар загальної практики - сімейний лікар",IF(S694&lt;=Законод!$C$22,Q694,Законод!$C$22*'01_Доходи'!Q693),IF($B$690="Лікар-педіатр","x",IF($B$690="Лікар-терапевт",IF(S694&lt;=Законод!$C$26,Q694,Законод!$C$26*'01_Доходи'!Q693),0)))</f>
        <v>0</v>
      </c>
      <c r="R695" s="208">
        <f ca="1">IF($B$690="Лікар загальної практики - сімейний лікар",IF(S694&lt;=Законод!$C$22,R694,Законод!$C$22*'01_Доходи'!R693),IF($B$690="Лікар-педіатр","x",IF($B$690="Лікар-терапевт",IF(S694&lt;=Законод!$C$26,R694,Законод!$C$26*'01_Доходи'!R693),0)))</f>
        <v>0</v>
      </c>
      <c r="S695" s="209">
        <f ca="1">SUM(N695:R695)</f>
        <v>0</v>
      </c>
      <c r="T695" s="930"/>
      <c r="U695" s="208">
        <f ca="1">IF($B$690="Лікар загальної практики - сімейний лікар",IF(Z694&lt;=Законод!$C$22,U694,Законод!$C$22*'01_Доходи'!U693),IF($B$690="Лікар-педіатр",IF(Z694&lt;=Законод!$C$18,U694,Законод!$C$18*'01_Доходи'!U693),IF($B$690="Лікар-терапевт","x",0)))</f>
        <v>0</v>
      </c>
      <c r="V695" s="208">
        <f ca="1">IF($B$690="Лікар загальної практики - сімейний лікар",IF(Z694&lt;=Законод!$C$22,V694,Законод!$C$22*'01_Доходи'!V693),IF($B$690="Лікар-педіатр",IF(Z694&lt;=Законод!$C$18,V694,Законод!$C$18*'01_Доходи'!V693),IF($B$690="Лікар-терапевт","x",0)))</f>
        <v>0</v>
      </c>
      <c r="W695" s="208">
        <f ca="1">IF($B$690="Лікар загальної практики - сімейний лікар",IF(Z694&lt;=Законод!$C$22,W694,Законод!$C$22*'01_Доходи'!W693),IF($B$690="Лікар-педіатр","x",IF($B$690="Лікар-терапевт",IF(Z694&lt;=Законод!$C$26,W694,Законод!$C$26*'01_Доходи'!W693),0)))</f>
        <v>0</v>
      </c>
      <c r="X695" s="208">
        <f ca="1">IF($B$690="Лікар загальної практики - сімейний лікар",IF(Z694&lt;=Законод!$C$22,X694,Законод!$C$22*'01_Доходи'!X693),IF($B$690="Лікар-педіатр","x",IF($B$690="Лікар-терапевт",IF(Z694&lt;=Законод!$C$26,X694,Законод!$C$26*'01_Доходи'!X693),0)))</f>
        <v>0</v>
      </c>
      <c r="Y695" s="208">
        <f ca="1">IF($B$690="Лікар загальної практики - сімейний лікар",IF(Z694&lt;=Законод!$C$22,Y694,Законод!$C$22*'01_Доходи'!Y693),IF($B$690="Лікар-педіатр","x",IF($B$690="Лікар-терапевт",IF(Z694&lt;=Законод!$C$26,Y694,Законод!$C$26*'01_Доходи'!Y693),0)))</f>
        <v>0</v>
      </c>
      <c r="Z695" s="209">
        <f ca="1">SUM(U695:Y695)</f>
        <v>0</v>
      </c>
      <c r="AA695" s="930"/>
      <c r="AB695" s="208">
        <f ca="1">IF($B$690="Лікар загальної практики - сімейний лікар",IF(AG694&lt;=Законод!$C$22,AB694,Законод!$C$22*'01_Доходи'!AB693),IF($B$690="Лікар-педіатр",IF(AG694&lt;=Законод!$C$18,AB694,Законод!$C$18*'01_Доходи'!AB693),IF($B$690="Лікар-терапевт","x",0)))</f>
        <v>0</v>
      </c>
      <c r="AC695" s="208">
        <f ca="1">IF($B$690="Лікар загальної практики - сімейний лікар",IF(AG694&lt;=Законод!$C$22,AC694,Законод!$C$22*'01_Доходи'!AC693),IF($B$690="Лікар-педіатр",IF(AG694&lt;=Законод!$C$18,AC694,Законод!$C$18*'01_Доходи'!AC693),IF($B$690="Лікар-терапевт","x",0)))</f>
        <v>0</v>
      </c>
      <c r="AD695" s="208">
        <f ca="1">IF($B$690="Лікар загальної практики - сімейний лікар",IF(AG694&lt;=Законод!$C$22,AD694,Законод!$C$22*'01_Доходи'!AD693),IF($B$690="Лікар-педіатр","x",IF($B$690="Лікар-терапевт",IF(AG694&lt;=Законод!$C$26,AD694,Законод!$C$26*'01_Доходи'!AD693),0)))</f>
        <v>0</v>
      </c>
      <c r="AE695" s="208">
        <f ca="1">IF($B$690="Лікар загальної практики - сімейний лікар",IF(AG694&lt;=Законод!$C$22,AE694,Законод!$C$22*'01_Доходи'!AE693),IF($B$690="Лікар-педіатр","x",IF($B$690="Лікар-терапевт",IF(AG694&lt;=Законод!$C$26,AE694,Законод!$C$26*'01_Доходи'!AE693),0)))</f>
        <v>0</v>
      </c>
      <c r="AF695" s="208">
        <f ca="1">IF($B$690="Лікар загальної практики - сімейний лікар",IF(AG694&lt;=Законод!$C$22,AF694,Законод!$C$22*'01_Доходи'!AF693),IF($B$690="Лікар-педіатр","x",IF($B$690="Лікар-терапевт",IF(AG694&lt;=Законод!$C$26,AF694,Законод!$C$26*'01_Доходи'!AF693),0)))</f>
        <v>0</v>
      </c>
      <c r="AG695" s="209">
        <f ca="1">SUM(AB695:AF695)</f>
        <v>0</v>
      </c>
      <c r="AH695" s="930"/>
      <c r="AI695" s="201"/>
      <c r="AJ695" s="933"/>
      <c r="AK695" s="927"/>
      <c r="AL695" s="927"/>
      <c r="AM695" s="348" t="s">
        <v>374</v>
      </c>
      <c r="AN695" s="210">
        <f ca="1">IF(B690="Лікар загальної практики - сімейний лікар",G695*Законод!$C$11+'01_Доходи'!H695*Законод!$D$11+'01_Доходи'!I695*Законод!$E$11+'01_Доходи'!J695*Законод!$F$11+'01_Доходи'!K695*Законод!$G$11,IF(B690="Лікар-педіатр",G695*Законод!$C$11+'01_Доходи'!H695*Законод!$D$11,IF(B690="Лікар-терапевт",'01_Доходи'!I695*Законод!$E$11+'01_Доходи'!J695*Законод!$F$11+'01_Доходи'!K695*Законод!$G$11,0)))</f>
        <v>0</v>
      </c>
      <c r="AO695" s="210">
        <f ca="1">IF(B690="Лікар загальної практики - сімейний лікар",N695*Законод!$C$11+'01_Доходи'!O695*Законод!$D$11+'01_Доходи'!P695*Законод!$E$11+'01_Доходи'!Q695*Законод!$F$11+'01_Доходи'!R695*Законод!$G$11,IF(B690="Лікар-педіатр",N695*Законод!$C$11+'01_Доходи'!O695*Законод!$D$11,IF(B690="Лікар-терапевт",'01_Доходи'!P695*Законод!$E$11+'01_Доходи'!Q695*Законод!$F$11+'01_Доходи'!R695*Законод!$G$11,0)))</f>
        <v>0</v>
      </c>
      <c r="AP695" s="210">
        <f ca="1">IF(B690="Лікар загальної практики - сімейний лікар",U695*Законод!$C$11+'01_Доходи'!V695*Законод!$D$11+'01_Доходи'!W695*Законод!$E$11+'01_Доходи'!X695*Законод!$F$11+'01_Доходи'!Y695*Законод!$G$11,IF(B690="Лікар-педіатр",U695*Законод!$C$11+'01_Доходи'!V695*Законод!$D$11,IF(B690="Лікар-терапевт",'01_Доходи'!W695*Законод!$E$11+'01_Доходи'!X695*Законод!$F$11+'01_Доходи'!Y695*Законод!$G$11,0)))</f>
        <v>0</v>
      </c>
      <c r="AQ695" s="210">
        <f ca="1">IF(B690="Лікар загальної практики - сімейний лікар",AB695*Законод!$C$11+'01_Доходи'!AC695*Законод!$D$11+'01_Доходи'!AD695*Законод!$E$11+'01_Доходи'!AE695*Законод!$F$11+'01_Доходи'!AF695*Законод!$G$11,IF(B690="Лікар-педіатр",AB695*Законод!$C$11+'01_Доходи'!AC695*Законод!$D$11,IF(B690="Лікар-терапевт",'01_Доходи'!AD695*Законод!$E$11+'01_Доходи'!AE695*Законод!$F$11+'01_Доходи'!AF695*Законод!$G$11,0)))</f>
        <v>0</v>
      </c>
      <c r="AR695" s="211">
        <f t="shared" ref="AR695:AR701" si="80">SUM(AN695:AQ695)</f>
        <v>0</v>
      </c>
    </row>
    <row r="696" spans="1:44" s="50" customFormat="1" ht="31.9" hidden="1" customHeight="1">
      <c r="A696" s="197"/>
      <c r="B696" s="893"/>
      <c r="C696" s="896"/>
      <c r="D696" s="912"/>
      <c r="E696" s="909"/>
      <c r="F696" s="238" t="str">
        <f ca="1">IF(B690="Лікар-педіатр",Законод!$E$17,IF(B690="Лікар загальної практики - сімейний лікар",Законод!$E$21,IF(B690="Лікар-терапевт",Законод!$E$25,"х")))</f>
        <v>х</v>
      </c>
      <c r="G696" s="889" t="s">
        <v>346</v>
      </c>
      <c r="H696" s="890"/>
      <c r="I696" s="890"/>
      <c r="J696" s="890"/>
      <c r="K696" s="891"/>
      <c r="L696" s="196">
        <f ca="1">IF($B$690="Лікар загальної практики - сімейний лікар",IF(L694&lt;Законод!$C$22,0,(IF(AND(L694&gt;=Законод!$E$22,L694&lt;=Законод!$E$23),L694-Законод!$C$22,IF('01_Доходи'!L694&gt;=Законод!$F$22,Законод!$E$24,0)))),IF($B$690="Лікар-педіатр",IF(L694&lt;Законод!$C$18,0,(IF(AND(L694&gt;=Законод!$E$18,L694&lt;=Законод!$E$19),L694-Законод!$C$18,IF('01_Доходи'!L694&gt;=Законод!$F$18,Законод!$E$20,0)))),IF($B$690="Лікар-терапевт",IF(L694&lt;Законод!$C$26,0,(IF(AND(L694&gt;=Законод!$E$26,L694&lt;=Законод!$E$27),L694-Законод!$C$26,IF('01_Доходи'!L694&gt;=Законод!$F$26,Законод!$E$28,0)))),0)))</f>
        <v>0</v>
      </c>
      <c r="M696" s="930"/>
      <c r="N696" s="889" t="s">
        <v>346</v>
      </c>
      <c r="O696" s="890"/>
      <c r="P696" s="890"/>
      <c r="Q696" s="890"/>
      <c r="R696" s="891"/>
      <c r="S696" s="196">
        <f ca="1">IF($B$690="Лікар загальної практики - сімейний лікар",IF(S694&lt;Законод!$C$22,0,(IF(AND(S694&gt;=Законод!$E$22,S694&lt;=Законод!$E$23),S694-Законод!$C$22,IF('01_Доходи'!S694&gt;=Законод!$F$22,Законод!$E$24,0)))),IF($B$690="Лікар-педіатр",IF(S694&lt;Законод!$C$18,0,(IF(AND(S694&gt;=Законод!$E$18,S694&lt;=Законод!$E$19),S694-Законод!$C$18,IF('01_Доходи'!S694&gt;=Законод!$F$18,Законод!$E$20,0)))),IF($B$690="Лікар-терапевт",IF(S694&lt;Законод!$C$26,0,(IF(AND(S694&gt;=Законод!$E$26,S694&lt;=Законод!$E$27),S694-Законод!$C$26,IF('01_Доходи'!S694&gt;=Законод!$F$26,Законод!$E$28,0)))),0)))</f>
        <v>0</v>
      </c>
      <c r="T696" s="930"/>
      <c r="U696" s="889" t="s">
        <v>346</v>
      </c>
      <c r="V696" s="890"/>
      <c r="W696" s="890"/>
      <c r="X696" s="890"/>
      <c r="Y696" s="891"/>
      <c r="Z696" s="196">
        <f ca="1">IF($B$690="Лікар загальної практики - сімейний лікар",IF(Z694&lt;Законод!$C$22,0,(IF(AND(Z694&gt;=Законод!$E$22,Z694&lt;=Законод!$E$23),Z694-Законод!$C$22,IF('01_Доходи'!Z694&gt;=Законод!$F$22,Законод!$E$24,0)))),IF($B$690="Лікар-педіатр",IF(Z694&lt;Законод!$C$18,0,(IF(AND(Z694&gt;=Законод!$E$18,Z694&lt;=Законод!$E$19),Z694-Законод!$C$18,IF('01_Доходи'!Z694&gt;=Законод!$F$18,Законод!$E$20,0)))),IF($B$690="Лікар-терапевт",IF(Z694&lt;Законод!$C$26,0,(IF(AND(Z694&gt;=Законод!$E$26,Z694&lt;=Законод!$E$27),Z694-Законод!$C$26,IF('01_Доходи'!Z694&gt;=Законод!$F$26,Законод!$E$28,0)))),0)))</f>
        <v>0</v>
      </c>
      <c r="AA696" s="930"/>
      <c r="AB696" s="889" t="s">
        <v>346</v>
      </c>
      <c r="AC696" s="890"/>
      <c r="AD696" s="890"/>
      <c r="AE696" s="890"/>
      <c r="AF696" s="891"/>
      <c r="AG696" s="196">
        <f ca="1">IF($B$690="Лікар загальної практики - сімейний лікар",IF(AG694&lt;Законод!$C$22,0,(IF(AND(AG694&gt;=Законод!$E$22,AG694&lt;=Законод!$E$23),AG694-Законод!$C$22,IF('01_Доходи'!AG694&gt;=Законод!$F$22,Законод!$E$24,0)))),IF($B$690="Лікар-педіатр",IF(AG694&lt;Законод!$C$18,0,(IF(AND(AG694&gt;=Законод!$E$18,AG694&lt;=Законод!$E$19),AG694-Законод!$C$18,IF('01_Доходи'!AG694&gt;=Законод!$F$18,Законод!$E$20,0)))),IF($B$690="Лікар-терапевт",IF(AG694&lt;Законод!$C$26,0,(IF(AND(AG694&gt;=Законод!$E$26,AG694&lt;=Законод!$E$27),AG694-Законод!$C$26,IF('01_Доходи'!AG694&gt;=Законод!$F$26,Законод!$E$28,0)))),0)))</f>
        <v>0</v>
      </c>
      <c r="AH696" s="930"/>
      <c r="AI696" s="201"/>
      <c r="AJ696" s="933"/>
      <c r="AK696" s="927"/>
      <c r="AL696" s="927"/>
      <c r="AM696" s="898" t="s">
        <v>375</v>
      </c>
      <c r="AN696" s="210">
        <f ca="1">IF(B690="Лікар загальної практики - сімейний лікар",L696*Законод!$C$9/4*Законод!$E$16,IF(B690="Лікар-педіатр",L696*Законод!$C$9/4*Законод!$E$16,IF(B690="Лікар-терапевт",L696*Законод!$C$9/4*Законод!$E$16,0)))</f>
        <v>0</v>
      </c>
      <c r="AO696" s="210">
        <f ca="1">IF(B690="Лікар загальної практики - сімейний лікар",S696*Законод!$C$9/4*Законод!$E$16,IF(B690="Лікар-педіатр",S696*Законод!$C$9/4*Законод!$E$16,IF(B690="Лікар-терапевт",S696*Законод!$C$9/4*Законод!$E$16,0)))</f>
        <v>0</v>
      </c>
      <c r="AP696" s="210">
        <f ca="1">IF(B690="Лікар загальної практики - сімейний лікар",Z696*Законод!$C$9/4*Законод!$E$16,IF(B690="Лікар-педіатр",Z696*Законод!$C$9/4*Законод!$E$16,IF(B690="Лікар-терапевт",Z696*Законод!$C$9/4*Законод!$E$16,0)))</f>
        <v>0</v>
      </c>
      <c r="AQ696" s="210">
        <f ca="1">IF(B690="Лікар загальної практики - сімейний лікар",AG696*Законод!$C$9/4*Законод!$E$16,IF(B690="Лікар-педіатр",AG696*Законод!$C$9/4*Законод!$E$16,IF(B690="Лікар-терапевт",AG696*Законод!$C$9/4*Законод!$E$16,0)))</f>
        <v>0</v>
      </c>
      <c r="AR696" s="211">
        <f t="shared" si="80"/>
        <v>0</v>
      </c>
    </row>
    <row r="697" spans="1:44" s="50" customFormat="1" ht="31.9" hidden="1" customHeight="1">
      <c r="A697" s="197"/>
      <c r="B697" s="893"/>
      <c r="C697" s="896"/>
      <c r="D697" s="912"/>
      <c r="E697" s="909"/>
      <c r="F697" s="238" t="str">
        <f ca="1">IF(B690="Лікар-педіатр",Законод!$F$17,IF(B690="Лікар загальної практики - сімейний лікар",Законод!$F$21,IF(B690="Лікар-терапевт",Законод!$F$25,"х")))</f>
        <v>х</v>
      </c>
      <c r="G697" s="889" t="s">
        <v>346</v>
      </c>
      <c r="H697" s="890"/>
      <c r="I697" s="890"/>
      <c r="J697" s="890"/>
      <c r="K697" s="891"/>
      <c r="L697" s="196">
        <f ca="1">IF($B$690="Лікар загальної практики - сімейний лікар",IF(L694&lt;Законод!$C$22,0,(IF(AND(L694&gt;=Законод!$F$22,L694&lt;=Законод!$F$23),L694-Законод!$E$23,IF('01_Доходи'!L694&gt;=Законод!$G$22,Законод!$F$24,0)))),IF($B$690="Лікар-педіатр",IF(L694&lt;Законод!$C$18,0,(IF(AND(L694&gt;=Законод!$F$18,L694&lt;=Законод!$F$19),L694-Законод!$E$19,IF('01_Доходи'!L694&gt;=Законод!$G$18,Законод!$F$20,0)))),IF($B$690="Лікар-терапевт",IF(L694&lt;Законод!$C$26,0,(IF(AND(L694&gt;=Законод!$F$26,L694&lt;=Законод!$F$27),L694-Законод!$E$27,IF('01_Доходи'!L694&gt;=Законод!$G$26,Законод!$F$28,0)))),0)))</f>
        <v>0</v>
      </c>
      <c r="M697" s="930"/>
      <c r="N697" s="889" t="s">
        <v>346</v>
      </c>
      <c r="O697" s="890"/>
      <c r="P697" s="890"/>
      <c r="Q697" s="890"/>
      <c r="R697" s="891"/>
      <c r="S697" s="196">
        <f ca="1">IF($B$690="Лікар загальної практики - сімейний лікар",IF(S694&lt;Законод!$C$22,0,(IF(AND(S694&gt;=Законод!$F$22,S694&lt;=Законод!$F$23),S694-Законод!$E$23,IF('01_Доходи'!S694&gt;=Законод!$G$22,Законод!$F$24,0)))),IF($B$690="Лікар-педіатр",IF(S694&lt;Законод!$C$18,0,(IF(AND(S694&gt;=Законод!$F$18,S694&lt;=Законод!$F$19),S694-Законод!$E$19,IF('01_Доходи'!S694&gt;=Законод!$G$18,Законод!$F$20,0)))),IF($B$690="Лікар-терапевт",IF(S694&lt;Законод!$C$26,0,(IF(AND(S694&gt;=Законод!$F$26,S694&lt;=Законод!$F$27),S694-Законод!$E$27,IF('01_Доходи'!S694&gt;=Законод!$G$26,Законод!$F$28,0)))),0)))</f>
        <v>0</v>
      </c>
      <c r="T697" s="930"/>
      <c r="U697" s="889" t="s">
        <v>346</v>
      </c>
      <c r="V697" s="890"/>
      <c r="W697" s="890"/>
      <c r="X697" s="890"/>
      <c r="Y697" s="891"/>
      <c r="Z697" s="196">
        <f ca="1">IF($B$690="Лікар загальної практики - сімейний лікар",IF(Z694&lt;Законод!$C$22,0,(IF(AND(Z694&gt;=Законод!$F$22,Z694&lt;=Законод!$F$23),Z694-Законод!$E$23,IF('01_Доходи'!Z694&gt;=Законод!$G$22,Законод!$F$24,0)))),IF($B$690="Лікар-педіатр",IF(Z694&lt;Законод!$C$18,0,(IF(AND(Z694&gt;=Законод!$F$18,Z694&lt;=Законод!$F$19),Z694-Законод!$E$19,IF('01_Доходи'!Z694&gt;=Законод!$G$18,Законод!$F$20,0)))),IF($B$690="Лікар-терапевт",IF(Z694&lt;Законод!$C$26,0,(IF(AND(Z694&gt;=Законод!$F$26,Z694&lt;=Законод!$F$27),Z694-Законод!$E$27,IF('01_Доходи'!Z694&gt;=Законод!$G$26,Законод!$F$28,0)))),0)))</f>
        <v>0</v>
      </c>
      <c r="AA697" s="930"/>
      <c r="AB697" s="889" t="s">
        <v>346</v>
      </c>
      <c r="AC697" s="890"/>
      <c r="AD697" s="890"/>
      <c r="AE697" s="890"/>
      <c r="AF697" s="891"/>
      <c r="AG697" s="196">
        <f ca="1">IF($B$690="Лікар загальної практики - сімейний лікар",IF(AG694&lt;Законод!$C$22,0,(IF(AND(AG694&gt;=Законод!$F$22,AG694&lt;=Законод!$F$23),AG694-Законод!$E$23,IF('01_Доходи'!AG694&gt;=Законод!$G$22,Законод!$F$24,0)))),IF($B$690="Лікар-педіатр",IF(AG694&lt;Законод!$C$18,0,(IF(AND(AG694&gt;=Законод!$F$18,AG694&lt;=Законод!$F$19),AG694-Законод!$E$19,IF('01_Доходи'!AG694&gt;=Законод!$G$18,Законод!$F$20,0)))),IF($B$690="Лікар-терапевт",IF(AG694&lt;Законод!$C$26,0,(IF(AND(AG694&gt;=Законод!$F$26,AG694&lt;=Законод!$F$27),AG694-Законод!$E$27,IF('01_Доходи'!AG694&gt;=Законод!$G$26,Законод!$F$28,0)))),0)))</f>
        <v>0</v>
      </c>
      <c r="AH697" s="930"/>
      <c r="AI697" s="201"/>
      <c r="AJ697" s="933"/>
      <c r="AK697" s="927"/>
      <c r="AL697" s="927"/>
      <c r="AM697" s="899"/>
      <c r="AN697" s="210">
        <f ca="1">IF(B690="Лікар загальної практики - сімейний лікар",L697*Законод!$C$9/4*Законод!$F$16,IF(B690="Лікар-педіатр",L697*Законод!$C$9/4*Законод!$F$16,IF(B690="Лікар-терапевт",L697*Законод!$C$9/4*Законод!$F$16,0)))</f>
        <v>0</v>
      </c>
      <c r="AO697" s="210">
        <f ca="1">IF(B690="Лікар загальної практики - сімейний лікар",S697*Законод!$C$9/4*Законод!$F$16,IF(B690="Лікар-педіатр",S697*Законод!$C$9/4*Законод!$F$16,IF(B690="Лікар-терапевт",S697*Законод!$C$9/4*Законод!$F$16,0)))</f>
        <v>0</v>
      </c>
      <c r="AP697" s="210">
        <f ca="1">IF(B690="Лікар загальної практики - сімейний лікар",Z697*Законод!$C$9/4*Законод!$F$16,IF(B690="Лікар-педіатр",Z697*Законод!$C$9/4*Законод!$F$16,IF(B690="Лікар-терапевт",Z697*Законод!$C$9/4*Законод!$F$16,0)))</f>
        <v>0</v>
      </c>
      <c r="AQ697" s="210">
        <f ca="1">IF(B690="Лікар загальної практики - сімейний лікар",AG697*Законод!$C$9/4*Законод!$F$16,IF(B690="Лікар-педіатр",AG697*Законод!$C$9/4*Законод!$F$16,IF(B690="Лікар-терапевт",AG697*Законод!$C$9/4*Законод!$F$16,0)))</f>
        <v>0</v>
      </c>
      <c r="AR697" s="211">
        <f t="shared" si="80"/>
        <v>0</v>
      </c>
    </row>
    <row r="698" spans="1:44" s="50" customFormat="1" ht="31.9" hidden="1" customHeight="1">
      <c r="A698" s="197"/>
      <c r="B698" s="893"/>
      <c r="C698" s="896"/>
      <c r="D698" s="912"/>
      <c r="E698" s="909"/>
      <c r="F698" s="238" t="str">
        <f ca="1">IF(B690="Лікар-педіатр",Законод!$G$17,IF(B690="Лікар загальної практики - сімейний лікар",Законод!$G$21,IF(B690="Лікар-терапевт",Законод!$G$25,"х")))</f>
        <v>х</v>
      </c>
      <c r="G698" s="889" t="s">
        <v>346</v>
      </c>
      <c r="H698" s="890"/>
      <c r="I698" s="890"/>
      <c r="J698" s="890"/>
      <c r="K698" s="891"/>
      <c r="L698" s="196">
        <f ca="1">IF($B$690="Лікар загальної практики - сімейний лікар",IF(L694&lt;Законод!$C$22,0,(IF(AND(L694&gt;=Законод!$G$22,L694&lt;=Законод!$G$23),L694-Законод!$F$23,IF('01_Доходи'!L694&gt;=Законод!$H$22,Законод!$G$24,0)))),IF($B$690="Лікар-педіатр",IF(L694&lt;Законод!$C$18,0,(IF(AND(L694&gt;=Законод!$G$18,L694&lt;=Законод!$G$19),L694-Законод!$F$19,IF('01_Доходи'!L694&gt;=Законод!$H$18,Законод!$G$20,0)))),IF($B$690="Лікар-терапевт",IF(L694&lt;Законод!$C$26,0,(IF(AND(L694&gt;=Законод!$G$26,L694&lt;=Законод!$G$27),L694-Законод!$F$27,IF('01_Доходи'!L694&gt;=Законод!$H$26,Законод!$G$28,0)))),0)))</f>
        <v>0</v>
      </c>
      <c r="M698" s="930"/>
      <c r="N698" s="889" t="s">
        <v>346</v>
      </c>
      <c r="O698" s="890"/>
      <c r="P698" s="890"/>
      <c r="Q698" s="890"/>
      <c r="R698" s="891"/>
      <c r="S698" s="196">
        <f ca="1">IF($B$690="Лікар загальної практики - сімейний лікар",IF(S694&lt;Законод!$C$22,0,(IF(AND(S694&gt;=Законод!$G$22,S694&lt;=Законод!$G$23),S694-Законод!$F$23,IF('01_Доходи'!S694&gt;=Законод!$H$22,Законод!$G$24,0)))),IF($B$690="Лікар-педіатр",IF(S694&lt;Законод!$C$18,0,(IF(AND(S694&gt;=Законод!$G$18,S694&lt;=Законод!$G$19),S694-Законод!$F$19,IF('01_Доходи'!S694&gt;=Законод!$H$18,Законод!$G$20,0)))),IF($B$690="Лікар-терапевт",IF(S694&lt;Законод!$C$26,0,(IF(AND(S694&gt;=Законод!$G$26,S694&lt;=Законод!$G$27),S694-Законод!$F$27,IF('01_Доходи'!S694&gt;=Законод!$H$26,Законод!$G$28,0)))),0)))</f>
        <v>0</v>
      </c>
      <c r="T698" s="930"/>
      <c r="U698" s="889" t="s">
        <v>346</v>
      </c>
      <c r="V698" s="890"/>
      <c r="W698" s="890"/>
      <c r="X698" s="890"/>
      <c r="Y698" s="891"/>
      <c r="Z698" s="196">
        <f ca="1">IF($B$690="Лікар загальної практики - сімейний лікар",IF(Z694&lt;Законод!$C$22,0,(IF(AND(Z694&gt;=Законод!$G$22,Z694&lt;=Законод!$G$23),Z694-Законод!$F$23,IF('01_Доходи'!Z694&gt;=Законод!$H$22,Законод!$G$24,0)))),IF($B$690="Лікар-педіатр",IF(Z694&lt;Законод!$C$18,0,(IF(AND(Z694&gt;=Законод!$G$18,Z694&lt;=Законод!$G$19),Z694-Законод!$F$19,IF('01_Доходи'!Z694&gt;=Законод!$H$18,Законод!$G$20,0)))),IF($B$690="Лікар-терапевт",IF(Z694&lt;Законод!$C$26,0,(IF(AND(Z694&gt;=Законод!$G$26,Z694&lt;=Законод!$G$27),Z694-Законод!$F$27,IF('01_Доходи'!Z694&gt;=Законод!$H$26,Законод!$G$28,0)))),0)))</f>
        <v>0</v>
      </c>
      <c r="AA698" s="930"/>
      <c r="AB698" s="889" t="s">
        <v>346</v>
      </c>
      <c r="AC698" s="890"/>
      <c r="AD698" s="890"/>
      <c r="AE698" s="890"/>
      <c r="AF698" s="891"/>
      <c r="AG698" s="196">
        <f ca="1">IF($B$690="Лікар загальної практики - сімейний лікар",IF(AG694&lt;Законод!$C$22,0,(IF(AND(AG694&gt;=Законод!$G$22,AG694&lt;=Законод!$G$23),AG694-Законод!$F$23,IF('01_Доходи'!AG694&gt;=Законод!$H$22,Законод!$G$24,0)))),IF($B$690="Лікар-педіатр",IF(AG694&lt;Законод!$C$18,0,(IF(AND(AG694&gt;=Законод!$G$18,AG694&lt;=Законод!$G$19),AG694-Законод!$F$19,IF('01_Доходи'!AG694&gt;=Законод!$H$18,Законод!$G$20,0)))),IF($B$690="Лікар-терапевт",IF(AG694&lt;Законод!$C$26,0,(IF(AND(AG694&gt;=Законод!$G$26,AG694&lt;=Законод!$G$27),AG694-Законод!$F$27,IF('01_Доходи'!AG694&gt;=Законод!$H$26,Законод!$G$28,0)))),0)))</f>
        <v>0</v>
      </c>
      <c r="AH698" s="930"/>
      <c r="AI698" s="201"/>
      <c r="AJ698" s="933"/>
      <c r="AK698" s="927"/>
      <c r="AL698" s="927"/>
      <c r="AM698" s="899"/>
      <c r="AN698" s="210">
        <f ca="1">IF(B690="Лікар загальної практики - сімейний лікар",L698*Законод!$C$9/4*Законод!$G$16,IF(B690="Лікар-педіатр",L698*Законод!$C$9/4*Законод!$G$16,IF(B690="Лікар-терапевт",L698*Законод!$C$9/4*Законод!$G$16,0)))</f>
        <v>0</v>
      </c>
      <c r="AO698" s="210">
        <f ca="1">IF(B690="Лікар загальної практики - сімейний лікар",S698*Законод!$C$9/4*Законод!$G$16,IF(B690="Лікар-педіатр",S698*Законод!$C$9/4*Законод!$G$16,IF(B690="Лікар-терапевт",S698*Законод!$C$9/4*Законод!$G$16,0)))</f>
        <v>0</v>
      </c>
      <c r="AP698" s="210">
        <f ca="1">IF(B690="Лікар загальної практики - сімейний лікар",Z698*Законод!$C$9/4*Законод!$G$16,IF(B690="Лікар-педіатр",Z698*Законод!$C$9/4*Законод!$G$16,IF(B690="Лікар-терапевт",Z698*Законод!$C$9/4*Законод!$G$16,0)))</f>
        <v>0</v>
      </c>
      <c r="AQ698" s="210">
        <f ca="1">IF(B690="Лікар загальної практики - сімейний лікар",AG698*Законод!$C$9/4*Законод!$G$16,IF(B690="Лікар-педіатр",AG698*Законод!$C$9/4*Законод!$G$16,IF(B690="Лікар-терапевт",AG698*Законод!$C$9/4*Законод!$G$16,0)))</f>
        <v>0</v>
      </c>
      <c r="AR698" s="211">
        <f t="shared" si="80"/>
        <v>0</v>
      </c>
    </row>
    <row r="699" spans="1:44" s="50" customFormat="1" ht="31.9" hidden="1" customHeight="1">
      <c r="A699" s="197"/>
      <c r="B699" s="893"/>
      <c r="C699" s="896"/>
      <c r="D699" s="912"/>
      <c r="E699" s="909"/>
      <c r="F699" s="238" t="str">
        <f ca="1">IF(B690="Лікар-педіатр",Законод!$H$17,IF(B690="Лікар загальної практики - сімейний лікар",Законод!$H$21,IF(B690="Лікар-терапевт",Законод!$H$25,"х")))</f>
        <v>х</v>
      </c>
      <c r="G699" s="889" t="s">
        <v>346</v>
      </c>
      <c r="H699" s="890"/>
      <c r="I699" s="890"/>
      <c r="J699" s="890"/>
      <c r="K699" s="891"/>
      <c r="L699" s="196">
        <f ca="1">IF($B$690="Лікар загальної практики - сімейний лікар",IF(L694&lt;Законод!$C$22,0,(IF(AND(L694&gt;=Законод!$H$22,L694&lt;=Законод!$H$23),L694-Законод!$G$23,IF('01_Доходи'!L694&gt;=Законод!$I$22,Законод!$H$24,0)))),IF($B$690="Лікар-педіатр",IF(L694&lt;Законод!$C$18,0,(IF(AND(L694&gt;=Законод!$H$18,L694&lt;=Законод!$H$19),L694-Законод!$G$19,IF('01_Доходи'!L694&gt;=Законод!$I$18,Законод!$H$20,0)))),IF($B$690="Лікар-терапевт",IF(L694&lt;Законод!$C$26,0,(IF(AND(L694&gt;=Законод!$H$26,L694&lt;=Законод!$H$27),L694-Законод!$G$27,IF(L694&gt;=Законод!$I$26,Законод!$H$28,0)))),0)))</f>
        <v>0</v>
      </c>
      <c r="M699" s="930"/>
      <c r="N699" s="889" t="s">
        <v>346</v>
      </c>
      <c r="O699" s="890"/>
      <c r="P699" s="890"/>
      <c r="Q699" s="890"/>
      <c r="R699" s="891"/>
      <c r="S699" s="196">
        <f ca="1">IF($B$690="Лікар загальної практики - сімейний лікар",IF(S694&lt;Законод!$C$22,0,(IF(AND(S694&gt;=Законод!$H$22,S694&lt;=Законод!$H$23),S694-Законод!$G$23,IF('01_Доходи'!S694&gt;=Законод!$I$22,Законод!$H$24,0)))),IF($B$690="Лікар-педіатр",IF(S694&lt;Законод!$C$18,0,(IF(AND(S694&gt;=Законод!$H$18,S694&lt;=Законод!$H$19),S694-Законод!$G$19,IF('01_Доходи'!S694&gt;=Законод!$I$18,Законод!$H$20,0)))),IF($B$690="Лікар-терапевт",IF(S694&lt;Законод!$C$26,0,(IF(AND(S694&gt;=Законод!$H$26,S694&lt;=Законод!$H$27),S694-Законод!$G$27,IF(S694&gt;=Законод!$I$26,Законод!$H$28,0)))),0)))</f>
        <v>0</v>
      </c>
      <c r="T699" s="930"/>
      <c r="U699" s="889" t="s">
        <v>346</v>
      </c>
      <c r="V699" s="890"/>
      <c r="W699" s="890"/>
      <c r="X699" s="890"/>
      <c r="Y699" s="891"/>
      <c r="Z699" s="196">
        <f ca="1">IF($B$690="Лікар загальної практики - сімейний лікар",IF(Z694&lt;Законод!$C$22,0,(IF(AND(Z694&gt;=Законод!$H$22,Z694&lt;=Законод!$H$23),Z694-Законод!$G$23,IF('01_Доходи'!Z694&gt;=Законод!$I$22,Законод!$H$24,0)))),IF($B$690="Лікар-педіатр",IF(Z694&lt;Законод!$C$18,0,(IF(AND(Z694&gt;=Законод!$H$18,Z694&lt;=Законод!$H$19),Z694-Законод!$G$19,IF('01_Доходи'!Z694&gt;=Законод!$I$18,Законод!$H$20,0)))),IF($B$690="Лікар-терапевт",IF(Z694&lt;Законод!$C$26,0,(IF(AND(Z694&gt;=Законод!$H$26,Z694&lt;=Законод!$H$27),Z694-Законод!$G$27,IF(Z694&gt;=Законод!$I$26,Законод!$H$28,0)))),0)))</f>
        <v>0</v>
      </c>
      <c r="AA699" s="930"/>
      <c r="AB699" s="889" t="s">
        <v>346</v>
      </c>
      <c r="AC699" s="890"/>
      <c r="AD699" s="890"/>
      <c r="AE699" s="890"/>
      <c r="AF699" s="891"/>
      <c r="AG699" s="196">
        <f ca="1">IF($B$690="Лікар загальної практики - сімейний лікар",IF(AG694&lt;Законод!$C$22,0,(IF(AND(AG694&gt;=Законод!$H$22,AG694&lt;=Законод!$H$23),AG694-Законод!$G$23,IF('01_Доходи'!AG694&gt;=Законод!$I$22,Законод!$H$24,0)))),IF($B$690="Лікар-педіатр",IF(AG694&lt;Законод!$C$18,0,(IF(AND(AG694&gt;=Законод!$H$18,AG694&lt;=Законод!$H$19),AG694-Законод!$G$19,IF('01_Доходи'!AG694&gt;=Законод!$I$18,Законод!$H$20,0)))),IF($B$690="Лікар-терапевт",IF(AG694&lt;Законод!$C$26,0,(IF(AND(AG694&gt;=Законод!$H$26,AG694&lt;=Законод!$H$27),AG694-Законод!$G$27,IF(AG694&gt;=Законод!$I$26,Законод!$H$28,0)))),0)))</f>
        <v>0</v>
      </c>
      <c r="AH699" s="930"/>
      <c r="AI699" s="201"/>
      <c r="AJ699" s="933"/>
      <c r="AK699" s="927"/>
      <c r="AL699" s="927"/>
      <c r="AM699" s="899"/>
      <c r="AN699" s="210">
        <f ca="1">IF(B690="Лікар загальної практики - сімейний лікар",L699*Законод!$C$9/4*Законод!$H$16,IF(B690="Лікар-педіатр",L699*Законод!$C$9/4*Законод!$H$16,IF(B690="Лікар-терапевт",L699*Законод!$C$9/4*Законод!$H$16,0)))</f>
        <v>0</v>
      </c>
      <c r="AO699" s="210">
        <f ca="1">IF(B690="Лікар загальної практики - сімейний лікар",S699*Законод!$C$9/4*Законод!$H$16,IF(B690="Лікар-педіатр",S699*Законод!$C$9/4*Законод!$H$16,IF(B690="Лікар-терапевт",S699*Законод!$C$9/4*Законод!$H$16,0)))</f>
        <v>0</v>
      </c>
      <c r="AP699" s="210">
        <f ca="1">IF(B690="Лікар загальної практики - сімейний лікар",Z699*Законод!$C$9/4*Законод!$H$16,IF(B690="Лікар-педіатр",Z699*Законод!$C$9/4*Законод!$H$16,IF(B690="Лікар-терапевт",Z699*Законод!$C$9/4*Законод!$H$16,0)))</f>
        <v>0</v>
      </c>
      <c r="AQ699" s="210">
        <f ca="1">IF(B690="Лікар загальної практики - сімейний лікар",AG699*Законод!$C$9/4*Законод!$H$16,IF(B690="Лікар-педіатр",AG699*Законод!$C$9/4*Законод!$H$16,IF(B690="Лікар-терапевт",AG699*Законод!$C$9/4*Законод!$H$16,0)))</f>
        <v>0</v>
      </c>
      <c r="AR699" s="211">
        <f t="shared" si="80"/>
        <v>0</v>
      </c>
    </row>
    <row r="700" spans="1:44" s="50" customFormat="1" ht="31.9" hidden="1" customHeight="1">
      <c r="A700" s="197"/>
      <c r="B700" s="893"/>
      <c r="C700" s="896"/>
      <c r="D700" s="912"/>
      <c r="E700" s="909"/>
      <c r="F700" s="238" t="str">
        <f ca="1">IF(B690="Лікар-педіатр",Законод!$I$17,IF(B690="Лікар загальної практики - сімейний лікар",Законод!$I$21,IF(B690="Лікар-терапевт",Законод!$I$25,"х")))</f>
        <v>х</v>
      </c>
      <c r="G700" s="889" t="s">
        <v>346</v>
      </c>
      <c r="H700" s="890"/>
      <c r="I700" s="890"/>
      <c r="J700" s="890"/>
      <c r="K700" s="891"/>
      <c r="L700" s="196">
        <f ca="1">IF($B$690="Лікар загальної практики - сімейний лікар",IF(L694&lt;Законод!$C$22,0,(IF(AND(L694&gt;=Законод!$I$22,L694&lt;=Законод!$I$23),L694-Законод!$H$23,IF('01_Доходи'!L694&gt;=Законод!$I$22,Законод!$I$24,0)))),IF($B$690="Лікар-педіатр",IF(L694&lt;Законод!$C$18,0,(IF(AND(L694&gt;=Законод!$I$18,L694&lt;=Законод!$I$19),L694-Законод!$H$19,IF('01_Доходи'!L694&gt;=Законод!$I$18,Законод!$H$20,0)))),IF($B$690="Лікар-терапевт",IF(L694&lt;Законод!$C$26,0,(IF(AND(L694&gt;=Законод!$I$26,L694&lt;=Законод!$I$27),L694-Законод!$H$27,IF('01_Доходи'!L694&gt;=Законод!$I$26,Законод!$H$28,0)))),0)))</f>
        <v>0</v>
      </c>
      <c r="M700" s="930"/>
      <c r="N700" s="889" t="s">
        <v>346</v>
      </c>
      <c r="O700" s="890"/>
      <c r="P700" s="890"/>
      <c r="Q700" s="890"/>
      <c r="R700" s="891"/>
      <c r="S700" s="196">
        <f ca="1">IF($B$690="Лікар загальної практики - сімейний лікар",IF(S694&lt;Законод!$C$22,0,(IF(AND(S694&gt;=Законод!$I$22,S694&lt;=Законод!$I$23),S694-Законод!$H$23,IF('01_Доходи'!S694&gt;=Законод!$I$22,Законод!$I$24,0)))),IF($B$690="Лікар-педіатр",IF(S694&lt;Законод!$C$18,0,(IF(AND(S694&gt;=Законод!$I$18,S694&lt;=Законод!$I$19),S694-Законод!$H$19,IF('01_Доходи'!S694&gt;=Законод!$I$18,Законод!$H$20,0)))),IF($B$690="Лікар-терапевт",IF(S694&lt;Законод!$C$26,0,(IF(AND(S694&gt;=Законод!$I$26,S694&lt;=Законод!$I$27),S694-Законод!$H$27,IF('01_Доходи'!S694&gt;=Законод!$I$26,Законод!$H$28,0)))),0)))</f>
        <v>0</v>
      </c>
      <c r="T700" s="930"/>
      <c r="U700" s="889" t="s">
        <v>346</v>
      </c>
      <c r="V700" s="890"/>
      <c r="W700" s="890"/>
      <c r="X700" s="890"/>
      <c r="Y700" s="891"/>
      <c r="Z700" s="196">
        <f ca="1">IF($B$690="Лікар загальної практики - сімейний лікар",IF(Z694&lt;Законод!$C$22,0,(IF(AND(Z694&gt;=Законод!$I$22,Z694&lt;=Законод!$I$23),Z694-Законод!$H$23,IF('01_Доходи'!Z694&gt;=Законод!$I$22,Законод!$I$24,0)))),IF($B$690="Лікар-педіатр",IF(Z694&lt;Законод!$C$18,0,(IF(AND(Z694&gt;=Законод!$I$18,Z694&lt;=Законод!$I$19),Z694-Законод!$H$19,IF('01_Доходи'!Z694&gt;=Законод!$I$18,Законод!$H$20,0)))),IF($B$690="Лікар-терапевт",IF(Z694&lt;Законод!$C$26,0,(IF(AND(Z694&gt;=Законод!$I$26,Z694&lt;=Законод!$I$27),Z694-Законод!$H$27,IF('01_Доходи'!Z694&gt;=Законод!$I$26,Законод!$H$28,0)))),0)))</f>
        <v>0</v>
      </c>
      <c r="AA700" s="930"/>
      <c r="AB700" s="889" t="s">
        <v>346</v>
      </c>
      <c r="AC700" s="890"/>
      <c r="AD700" s="890"/>
      <c r="AE700" s="890"/>
      <c r="AF700" s="891"/>
      <c r="AG700" s="196">
        <f ca="1">IF($B$690="Лікар загальної практики - сімейний лікар",IF(AG694&lt;Законод!$C$22,0,(IF(AND(AG694&gt;=Законод!$I$22,AG694&lt;=Законод!$I$23),AG694-Законод!$H$23,IF('01_Доходи'!AG694&gt;=Законод!$I$22,Законод!$I$24,0)))),IF($B$690="Лікар-педіатр",IF(AG694&lt;Законод!$C$18,0,(IF(AND(AG694&gt;=Законод!$I$18,AG694&lt;=Законод!$I$19),AG694-Законод!$H$19,IF('01_Доходи'!AG694&gt;=Законод!$I$18,Законод!$H$20,0)))),IF($B$690="Лікар-терапевт",IF(AG694&lt;Законод!$C$26,0,(IF(AND(AG694&gt;=Законод!$I$26,AG694&lt;=Законод!$I$27),AG694-Законод!$H$27,IF('01_Доходи'!AG694&gt;=Законод!$I$26,Законод!$H$28,0)))),0)))</f>
        <v>0</v>
      </c>
      <c r="AH700" s="930"/>
      <c r="AI700" s="201"/>
      <c r="AJ700" s="933"/>
      <c r="AK700" s="927"/>
      <c r="AL700" s="927"/>
      <c r="AM700" s="899"/>
      <c r="AN700" s="210">
        <f ca="1">IF(B690="Лікар загальної практики - сімейний лікар",L700*Законод!$C$9/4*Законод!$I$16,IF(B690="Лікар-педіатр",L700*Законод!$C$9/4*Законод!$I$16,IF(B690="Лікар-терапевт",L700*Законод!$C$9/4*Законод!$I$16,0)))</f>
        <v>0</v>
      </c>
      <c r="AO700" s="210">
        <f ca="1">IF(B690="Лікар загальної практики - сімейний лікар",S700*Законод!$C$9/4*Законод!$I$16,IF(B690="Лікар-педіатр",S700*Законод!$C$9/4*Законод!$I$16,IF(B690="Лікар-терапевт",S700*Законод!$C$9/4*Законод!$I$16,0)))</f>
        <v>0</v>
      </c>
      <c r="AP700" s="210">
        <f ca="1">IF(B690="Лікар загальної практики - сімейний лікар",Z700*Законод!$C$9/4*Законод!$I$16,IF(B690="Лікар-педіатр",Z700*Законод!$C$9/4*Законод!$I$16,IF(B690="Лікар-терапевт",Z700*Законод!$C$9/4*Законод!$I$16,0)))</f>
        <v>0</v>
      </c>
      <c r="AQ700" s="210">
        <f ca="1">IF(B690="Лікар загальної практики - сімейний лікар",AG700*Законод!$C$9/4*Законод!$I$16,IF(B690="Лікар-педіатр",AG700*Законод!$C$9/4*Законод!$I$16,IF(B690="Лікар-терапевт",AG700*Законод!$C$9/4*Законод!$I$16,0)))</f>
        <v>0</v>
      </c>
      <c r="AR700" s="211">
        <f t="shared" si="80"/>
        <v>0</v>
      </c>
    </row>
    <row r="701" spans="1:44" s="218" customFormat="1" ht="31.9" hidden="1" customHeight="1" thickBot="1">
      <c r="A701" s="213"/>
      <c r="B701" s="894"/>
      <c r="C701" s="897"/>
      <c r="D701" s="913"/>
      <c r="E701" s="910"/>
      <c r="F701" s="239" t="str">
        <f ca="1">IF(B690="Лікар-педіатр",Законод!$J$17,IF(B690="Лікар загальної практики - сімейний лікар",Законод!$J$21,IF(B690="Лікар-терапевт",Законод!$J$25,"х")))</f>
        <v>х</v>
      </c>
      <c r="G701" s="935" t="s">
        <v>346</v>
      </c>
      <c r="H701" s="936"/>
      <c r="I701" s="936"/>
      <c r="J701" s="936"/>
      <c r="K701" s="937"/>
      <c r="L701" s="196">
        <f ca="1">IF($B$690="Лікар загальної практики - сімейний лікар",IF(L694&gt;=Законод!$J$22,'01_Доходи'!L694-('01_Доходи'!L695+'01_Доходи'!L696+'01_Доходи'!L697+'01_Доходи'!L698+'01_Доходи'!L699+'01_Доходи'!L700),0),IF($B$690="Лікар-педіатр",IF(L694&gt;=Законод!$J$18,'01_Доходи'!L694-('01_Доходи'!L695+'01_Доходи'!L696+'01_Доходи'!L697+'01_Доходи'!L698+'01_Доходи'!L699+'01_Доходи'!L700),0),IF($B$690="Лікар-терапевт",IF('01_Доходи'!L694&gt;=Законод!$J$26,L694-Законод!$I$27,0),0)))</f>
        <v>0</v>
      </c>
      <c r="M701" s="931"/>
      <c r="N701" s="935" t="s">
        <v>346</v>
      </c>
      <c r="O701" s="936"/>
      <c r="P701" s="936"/>
      <c r="Q701" s="936"/>
      <c r="R701" s="937"/>
      <c r="S701" s="196">
        <f ca="1">IF($B$690="Лікар загальної практики - сімейний лікар",IF(S694&gt;=Законод!$J$22,'01_Доходи'!S694-('01_Доходи'!S695+'01_Доходи'!S696+'01_Доходи'!S697+'01_Доходи'!S698+'01_Доходи'!S699+'01_Доходи'!S700),0),IF($B$690="Лікар-педіатр",IF(S694&gt;=Законод!$J$18,'01_Доходи'!S694-('01_Доходи'!S695+'01_Доходи'!S696+'01_Доходи'!S697+'01_Доходи'!S698+'01_Доходи'!S699+'01_Доходи'!S700),0),IF($B$690="Лікар-терапевт",IF('01_Доходи'!S694&gt;=Законод!$J$26,S694-Законод!$I$27,0),0)))</f>
        <v>0</v>
      </c>
      <c r="T701" s="931"/>
      <c r="U701" s="935" t="s">
        <v>346</v>
      </c>
      <c r="V701" s="936"/>
      <c r="W701" s="936"/>
      <c r="X701" s="936"/>
      <c r="Y701" s="937"/>
      <c r="Z701" s="196">
        <f ca="1">IF($B$690="Лікар загальної практики - сімейний лікар",IF(Z694&gt;=Законод!$J$22,'01_Доходи'!Z694-('01_Доходи'!Z695+'01_Доходи'!Z696+'01_Доходи'!Z697+'01_Доходи'!Z698+'01_Доходи'!Z699+'01_Доходи'!Z700),0),IF($B$690="Лікар-педіатр",IF(Z694&gt;=Законод!$J$18,'01_Доходи'!Z694-('01_Доходи'!Z695+'01_Доходи'!Z696+'01_Доходи'!Z697+'01_Доходи'!Z698+'01_Доходи'!Z699+'01_Доходи'!Z700),0),IF($B$690="Лікар-терапевт",IF('01_Доходи'!Z694&gt;=Законод!$J$26,Z694-Законод!$I$27,0),0)))</f>
        <v>0</v>
      </c>
      <c r="AA701" s="931"/>
      <c r="AB701" s="935" t="s">
        <v>346</v>
      </c>
      <c r="AC701" s="936"/>
      <c r="AD701" s="936"/>
      <c r="AE701" s="936"/>
      <c r="AF701" s="937"/>
      <c r="AG701" s="196">
        <f ca="1">IF($B$690="Лікар загальної практики - сімейний лікар",IF(AG694&gt;=Законод!$J$22,'01_Доходи'!AG694-('01_Доходи'!AG695+'01_Доходи'!AG696+'01_Доходи'!AG697+'01_Доходи'!AG698+'01_Доходи'!AG699+'01_Доходи'!AG700),0),IF($B$690="Лікар-педіатр",IF(AG694&gt;=Законод!$J$18,'01_Доходи'!AG694-('01_Доходи'!AG695+'01_Доходи'!AG696+'01_Доходи'!AG697+'01_Доходи'!AG698+'01_Доходи'!AG699+'01_Доходи'!AG700),0),IF($B$690="Лікар-терапевт",IF('01_Доходи'!AG694&gt;=Законод!$J$26,AG694-Законод!$I$27,0),0)))</f>
        <v>0</v>
      </c>
      <c r="AH701" s="931"/>
      <c r="AI701" s="215"/>
      <c r="AJ701" s="934"/>
      <c r="AK701" s="928"/>
      <c r="AL701" s="928"/>
      <c r="AM701" s="900"/>
      <c r="AN701" s="216">
        <f ca="1">IF(B690="Лікар загальної практики - сімейний лікар",L701*Законод!$C$9/4*Законод!$J$16,IF(B690="Лікар-педіатр",L701*Законод!$C$9/4*Законод!$J$16,IF(B690="Лікар-терапевт",L701*Законод!$C$9/4*Законод!$J$16,0)))</f>
        <v>0</v>
      </c>
      <c r="AO701" s="216">
        <f ca="1">IF(B690="Лікар загальної практики - сімейний лікар",S701*Законод!$C$9/4*Законод!$J$16,IF(B690="Лікар-педіатр",S701*Законод!$C$9/4*Законод!$J$16,IF(B690="Лікар-терапевт",S701*Законод!$C$9/4*Законод!$J$16,0)))</f>
        <v>0</v>
      </c>
      <c r="AP701" s="216">
        <f ca="1">IF(B690="Лікар загальної практики - сімейний лікар",S701*Законод!$C$9/4*Законод!$J$16,IF(B690="Лікар-педіатр",S701*Законод!$C$9/4*Законод!$J$16,IF(B690="Лікар-терапевт",S701*Законод!$C$9/4*Законод!$J$16,0)))</f>
        <v>0</v>
      </c>
      <c r="AQ701" s="216">
        <f ca="1">IF(B690="Лікар загальної практики - сімейний лікар",AG701*Законод!$C$9/4*Законод!$J$16,IF(B690="Лікар-педіатр",AG701*Законод!$C$9/4*Законод!$J$16,IF(B690="Лікар-терапевт",AG701*Законод!$C$9/4*Законод!$J$16,0)))</f>
        <v>0</v>
      </c>
      <c r="AR701" s="217">
        <f t="shared" si="80"/>
        <v>0</v>
      </c>
    </row>
    <row r="702" spans="1:44" s="247" customFormat="1" ht="23.45" hidden="1" customHeight="1" thickBot="1">
      <c r="A702" s="243"/>
      <c r="B702" s="244"/>
      <c r="C702" s="244"/>
      <c r="D702" s="244"/>
      <c r="E702" s="244"/>
      <c r="F702" s="245"/>
      <c r="G702" s="246"/>
      <c r="H702" s="246"/>
      <c r="L702" s="248"/>
      <c r="S702" s="248"/>
      <c r="Z702" s="248"/>
      <c r="AG702" s="248"/>
      <c r="AM702" s="249"/>
      <c r="AR702" s="250"/>
    </row>
    <row r="703" spans="1:44" s="191" customFormat="1" ht="24.6" hidden="1" customHeight="1">
      <c r="A703" s="194">
        <f>A690+1</f>
        <v>52</v>
      </c>
      <c r="B703" s="892"/>
      <c r="C703" s="895"/>
      <c r="D703" s="911"/>
      <c r="E703" s="908"/>
      <c r="F703" s="234" t="s">
        <v>582</v>
      </c>
      <c r="G703" s="196">
        <f>IF($B$703="Лікар-педіатр",G706*L703,IF($B$703="Лікар-терапевт","х",IF($B$703="Лікар загальної практики - сімейний лікар",G706*L703,0)))</f>
        <v>0</v>
      </c>
      <c r="H703" s="196">
        <f>IF($B$703="Лікар-педіатр",H706*L703,IF($B$703="Лікар-терапевт","х",IF($B$703="Лікар загальної практики - сімейний лікар",H706*L703,0)))</f>
        <v>0</v>
      </c>
      <c r="I703" s="196">
        <f>IF($B$703="Лікар-педіатр","x",IF($B$703="Лікар-терапевт",I706*L703,IF($B$703="Лікар загальної практики - сімейний лікар",I706*L703,0)))</f>
        <v>0</v>
      </c>
      <c r="J703" s="196">
        <f>IF($B$703="Лікар-педіатр","x",IF($B$703="Лікар-терапевт",J706*L703,IF($B$703="Лікар загальної практики - сімейний лікар",J706*L703,0)))</f>
        <v>0</v>
      </c>
      <c r="K703" s="196">
        <f>IF($B$703="Лікар-педіатр","x",IF($B$703="Лікар-терапевт",K706*L703,IF($B$703="Лікар загальної практики - сімейний лікар",K706*L703,0)))</f>
        <v>0</v>
      </c>
      <c r="L703" s="558"/>
      <c r="M703" s="929"/>
      <c r="N703" s="196">
        <f>IF($B$703="Лікар-педіатр",N706*S703,IF($B$703="Лікар-терапевт","х",IF($B$703="Лікар загальної практики - сімейний лікар",N706*S703,0)))</f>
        <v>0</v>
      </c>
      <c r="O703" s="196">
        <f>IF($B$703="Лікар-педіатр",O706*S703,IF($B$703="Лікар-терапевт","х",IF($B$703="Лікар загальної практики - сімейний лікар",O706*S703,0)))</f>
        <v>0</v>
      </c>
      <c r="P703" s="196">
        <f>IF($B$703="Лікар-педіатр","x",IF($B$703="Лікар-терапевт",P706*S703,IF($B$703="Лікар загальної практики - сімейний лікар",P706*S703,0)))</f>
        <v>0</v>
      </c>
      <c r="Q703" s="196">
        <f>IF($B$703="Лікар-педіатр","x",IF($B$703="Лікар-терапевт",Q706*S703,IF($B$703="Лікар загальної практики - сімейний лікар",Q706*S703,0)))</f>
        <v>0</v>
      </c>
      <c r="R703" s="196">
        <f>IF($B$703="Лікар-педіатр","x",IF($B$703="Лікар-терапевт",R706*S703,IF($B$703="Лікар загальної практики - сімейний лікар",R706*S703,0)))</f>
        <v>0</v>
      </c>
      <c r="S703" s="558"/>
      <c r="T703" s="929"/>
      <c r="U703" s="196">
        <f>IF($B$703="Лікар-педіатр",U706*Z703,IF($B$703="Лікар-терапевт","х",IF($B$703="Лікар загальної практики - сімейний лікар",U706*Z703,0)))</f>
        <v>0</v>
      </c>
      <c r="V703" s="196">
        <f>IF($B$703="Лікар-педіатр",V706*Z703,IF($B$703="Лікар-терапевт","х",IF($B$703="Лікар загальної практики - сімейний лікар",V706*Z703,0)))</f>
        <v>0</v>
      </c>
      <c r="W703" s="196">
        <f>IF($B$703="Лікар-педіатр","x",IF($B$703="Лікар-терапевт",W706*Z703,IF($B$703="Лікар загальної практики - сімейний лікар",W706*Z703,0)))</f>
        <v>0</v>
      </c>
      <c r="X703" s="196">
        <f>IF($B$703="Лікар-педіатр","x",IF($B$703="Лікар-терапевт",X706*Z703,IF($B$703="Лікар загальної практики - сімейний лікар",X706*Z703,0)))</f>
        <v>0</v>
      </c>
      <c r="Y703" s="196">
        <f>IF($B$703="Лікар-педіатр","x",IF($B$703="Лікар-терапевт",Y706*Z703,IF($B$703="Лікар загальної практики - сімейний лікар",Y706*Z703,0)))</f>
        <v>0</v>
      </c>
      <c r="Z703" s="558"/>
      <c r="AA703" s="929"/>
      <c r="AB703" s="196">
        <f>IF($B$703="Лікар-педіатр",AB706*AG703,IF($B$703="Лікар-терапевт","х",IF($B$703="Лікар загальної практики - сімейний лікар",AB706*AG703,0)))</f>
        <v>0</v>
      </c>
      <c r="AC703" s="196">
        <f>IF($B$703="Лікар-педіатр",AC706*AG703,IF($B$703="Лікар-терапевт","х",IF($B$703="Лікар загальної практики - сімейний лікар",AC706*AG703,0)))</f>
        <v>0</v>
      </c>
      <c r="AD703" s="196">
        <f>IF($B$703="Лікар-педіатр","x",IF($B$703="Лікар-терапевт",AD706*AG703,IF($B$703="Лікар загальної практики - сімейний лікар",AD706*AG703,0)))</f>
        <v>0</v>
      </c>
      <c r="AE703" s="196">
        <f>IF($B$703="Лікар-педіатр","x",IF($B$703="Лікар-терапевт",AE706*AG703,IF($B$703="Лікар загальної практики - сімейний лікар",AE706*AG703,0)))</f>
        <v>0</v>
      </c>
      <c r="AF703" s="196">
        <f>IF($B$703="Лікар-педіатр","x",IF($B$703="Лікар-терапевт",AF706*AG703,IF($B$703="Лікар загальної практики - сімейний лікар",AF706*AG703,0)))</f>
        <v>0</v>
      </c>
      <c r="AG703" s="558"/>
      <c r="AH703" s="929"/>
      <c r="AI703" s="541">
        <f>A703</f>
        <v>52</v>
      </c>
      <c r="AJ703" s="932">
        <f>B703</f>
        <v>0</v>
      </c>
      <c r="AK703" s="926">
        <f>C703</f>
        <v>0</v>
      </c>
      <c r="AL703" s="926">
        <f>D703</f>
        <v>0</v>
      </c>
      <c r="AM703" s="901" t="s">
        <v>785</v>
      </c>
      <c r="AN703" s="923">
        <f>SUM(AN708:AN714)</f>
        <v>0</v>
      </c>
      <c r="AO703" s="923">
        <f>SUM(AO708:AO714)</f>
        <v>0</v>
      </c>
      <c r="AP703" s="923">
        <f>SUM(AP708:AP714)</f>
        <v>0</v>
      </c>
      <c r="AQ703" s="923">
        <f>SUM(AQ708:AQ714)</f>
        <v>0</v>
      </c>
      <c r="AR703" s="914">
        <f>SUM(AN703:AQ707)</f>
        <v>0</v>
      </c>
    </row>
    <row r="704" spans="1:44" s="50" customFormat="1" ht="28.15" hidden="1" customHeight="1">
      <c r="A704" s="197"/>
      <c r="B704" s="893"/>
      <c r="C704" s="896"/>
      <c r="D704" s="912"/>
      <c r="E704" s="909"/>
      <c r="F704" s="234" t="s">
        <v>583</v>
      </c>
      <c r="G704" s="196">
        <f>IF($B$703="Лікар-педіатр",G706*L704,IF($B$703="Лікар-терапевт","х",IF($B$703="Лікар загальної практики - сімейний лікар",G706*L704,0)))</f>
        <v>0</v>
      </c>
      <c r="H704" s="196">
        <f>IF($B$703="Лікар-педіатр",H706*L704,IF($B$703="Лікар-терапевт","х",IF($B$703="Лікар загальної практики - сімейний лікар",H706*L704,0)))</f>
        <v>0</v>
      </c>
      <c r="I704" s="196">
        <f>IF($B$703="Лікар-педіатр","x",IF($B$703="Лікар-терапевт",I706*L704,IF($B$703="Лікар загальної практики - сімейний лікар",I706*L704,0)))</f>
        <v>0</v>
      </c>
      <c r="J704" s="196">
        <f>IF($B$703="Лікар-педіатр","x",IF($B$703="Лікар-терапевт",J706*L704,IF($B$703="Лікар загальної практики - сімейний лікар",J706*L704,0)))</f>
        <v>0</v>
      </c>
      <c r="K704" s="196">
        <f>IF($B$703="Лікар-педіатр","x",IF($B$703="Лікар-терапевт",K706*L704,IF($B$703="Лікар загальної практики - сімейний лікар",K706*L704,0)))</f>
        <v>0</v>
      </c>
      <c r="L704" s="558"/>
      <c r="M704" s="930"/>
      <c r="N704" s="196">
        <f>IF($B$703="Лікар-педіатр",N706*S704,IF($B$703="Лікар-терапевт","х",IF($B$703="Лікар загальної практики - сімейний лікар",N706*S704,0)))</f>
        <v>0</v>
      </c>
      <c r="O704" s="196">
        <f>IF($B$703="Лікар-педіатр",O706*S704,IF($B$703="Лікар-терапевт","х",IF($B$703="Лікар загальної практики - сімейний лікар",O706*S704,0)))</f>
        <v>0</v>
      </c>
      <c r="P704" s="196">
        <f>IF($B$703="Лікар-педіатр","x",IF($B$703="Лікар-терапевт",P706*S704,IF($B$703="Лікар загальної практики - сімейний лікар",P706*S704,0)))</f>
        <v>0</v>
      </c>
      <c r="Q704" s="196">
        <f>IF($B$703="Лікар-педіатр","x",IF($B$703="Лікар-терапевт",Q706*S704,IF($B$703="Лікар загальної практики - сімейний лікар",Q706*S704,0)))</f>
        <v>0</v>
      </c>
      <c r="R704" s="196">
        <f>IF($B$703="Лікар-педіатр","x",IF($B$703="Лікар-терапевт",R706*S704,IF($B$703="Лікар загальної практики - сімейний лікар",R706*S704,0)))</f>
        <v>0</v>
      </c>
      <c r="S704" s="558"/>
      <c r="T704" s="930"/>
      <c r="U704" s="196">
        <f>IF($B$703="Лікар-педіатр",U706*Z704,IF($B$703="Лікар-терапевт","х",IF($B$703="Лікар загальної практики - сімейний лікар",U706*Z704,0)))</f>
        <v>0</v>
      </c>
      <c r="V704" s="196">
        <f>IF($B$703="Лікар-педіатр",V706*Z704,IF($B$703="Лікар-терапевт","х",IF($B$703="Лікар загальної практики - сімейний лікар",V706*Z704,0)))</f>
        <v>0</v>
      </c>
      <c r="W704" s="196">
        <f>IF($B$703="Лікар-педіатр","x",IF($B$703="Лікар-терапевт",W706*Z704,IF($B$703="Лікар загальної практики - сімейний лікар",W706*Z704,0)))</f>
        <v>0</v>
      </c>
      <c r="X704" s="196">
        <f>IF($B$703="Лікар-педіатр","x",IF($B$703="Лікар-терапевт",X706*Z704,IF($B$703="Лікар загальної практики - сімейний лікар",X706*Z704,0)))</f>
        <v>0</v>
      </c>
      <c r="Y704" s="196">
        <f>IF($B$703="Лікар-педіатр","x",IF($B$703="Лікар-терапевт",Y706*Z704,IF($B$703="Лікар загальної практики - сімейний лікар",Y706*Z704,0)))</f>
        <v>0</v>
      </c>
      <c r="Z704" s="558"/>
      <c r="AA704" s="930"/>
      <c r="AB704" s="196">
        <f>IF($B$703="Лікар-педіатр",AB706*AG704,IF($B$703="Лікар-терапевт","х",IF($B$703="Лікар загальної практики - сімейний лікар",AB706*AG704,0)))</f>
        <v>0</v>
      </c>
      <c r="AC704" s="196">
        <f>IF($B$703="Лікар-педіатр",AC706*AG704,IF($B$703="Лікар-терапевт","х",IF($B$703="Лікар загальної практики - сімейний лікар",AC706*AG704,0)))</f>
        <v>0</v>
      </c>
      <c r="AD704" s="196">
        <f>IF($B$703="Лікар-педіатр","x",IF($B$703="Лікар-терапевт",AD706*AG704,IF($B$703="Лікар загальної практики - сімейний лікар",AD706*AG704,0)))</f>
        <v>0</v>
      </c>
      <c r="AE704" s="196">
        <f>IF($B$703="Лікар-педіатр","x",IF($B$703="Лікар-терапевт",AE706*AG704,IF($B$703="Лікар загальної практики - сімейний лікар",AE706*AG704,0)))</f>
        <v>0</v>
      </c>
      <c r="AF704" s="196">
        <f>IF($B$703="Лікар-педіатр","x",IF($B$703="Лікар-терапевт",AF706*AG704,IF($B$703="Лікар загальної практики - сімейний лікар",AF706*AG704,0)))</f>
        <v>0</v>
      </c>
      <c r="AG704" s="558"/>
      <c r="AH704" s="930"/>
      <c r="AI704" s="198"/>
      <c r="AJ704" s="933"/>
      <c r="AK704" s="927"/>
      <c r="AL704" s="927"/>
      <c r="AM704" s="902"/>
      <c r="AN704" s="924"/>
      <c r="AO704" s="924"/>
      <c r="AP704" s="924"/>
      <c r="AQ704" s="924"/>
      <c r="AR704" s="915"/>
    </row>
    <row r="705" spans="1:44" s="90" customFormat="1" ht="31.15" hidden="1" customHeight="1">
      <c r="A705" s="240"/>
      <c r="B705" s="893"/>
      <c r="C705" s="896"/>
      <c r="D705" s="912"/>
      <c r="E705" s="909"/>
      <c r="F705" s="241" t="s">
        <v>584</v>
      </c>
      <c r="G705" s="199">
        <f>IF(B703="Лікар загальної практики - сімейний лікар"," ",IF(B703="Лікар-педіатр"," ",IF(B703="Лікар-терапевт","х",0)))</f>
        <v>0</v>
      </c>
      <c r="H705" s="199">
        <f>IF(B703="Лікар загальної практики - сімейний лікар"," ",IF(B703="Лікар-педіатр"," ",IF(B703="Лікар-терапевт","х",0)))</f>
        <v>0</v>
      </c>
      <c r="I705" s="199">
        <f>IF(B703="Лікар загальної практики - сімейний лікар"," ",IF(B703="Лікар-педіатр","х",IF(B703="Лікар-терапевт"," ",0)))</f>
        <v>0</v>
      </c>
      <c r="J705" s="199">
        <f>IF(B703="Лікар загальної практики - сімейний лікар"," ",IF(B703="Лікар-педіатр","х",IF(B703="Лікар-терапевт"," ",0)))</f>
        <v>0</v>
      </c>
      <c r="K705" s="199">
        <f>IF(B703="Лікар загальної практики - сімейний лікар"," ",IF(B703="Лікар-педіатр","х",IF(B703="Лікар-терапевт"," ",0)))</f>
        <v>0</v>
      </c>
      <c r="L705" s="200">
        <f>SUM(G705:K705)</f>
        <v>0</v>
      </c>
      <c r="M705" s="930"/>
      <c r="N705" s="199">
        <f>IF(B703="Лікар загальної практики - сімейний лікар"," ",IF(B703="Лікар-педіатр"," ",IF(B703="Лікар-терапевт","х",0)))</f>
        <v>0</v>
      </c>
      <c r="O705" s="199">
        <f>IF(B703="Лікар загальної практики - сімейний лікар"," ",IF(B703="Лікар-педіатр"," ",IF(B703="Лікар-терапевт","х",0)))</f>
        <v>0</v>
      </c>
      <c r="P705" s="199">
        <f>IF(B703="Лікар загальної практики - сімейний лікар"," ",IF(B703="Лікар-педіатр","х",IF(B703="Лікар-терапевт"," ",0)))</f>
        <v>0</v>
      </c>
      <c r="Q705" s="199">
        <f>IF(B703="Лікар загальної практики - сімейний лікар"," ",IF(B703="Лікар-педіатр","х",IF(B703="Лікар-терапевт"," ",0)))</f>
        <v>0</v>
      </c>
      <c r="R705" s="199">
        <f>IF(B703="Лікар загальної практики - сімейний лікар"," ",IF(B703="Лікар-педіатр","х",IF(B703="Лікар-терапевт"," ",0)))</f>
        <v>0</v>
      </c>
      <c r="S705" s="200">
        <f>SUM(N705:R705)</f>
        <v>0</v>
      </c>
      <c r="T705" s="930"/>
      <c r="U705" s="199">
        <f>IF(B703="Лікар загальної практики - сімейний лікар"," ",IF(B703="Лікар-педіатр"," ",IF(B703="Лікар-терапевт","х",0)))</f>
        <v>0</v>
      </c>
      <c r="V705" s="199">
        <f>IF(B703="Лікар загальної практики - сімейний лікар"," ",IF(B703="Лікар-педіатр"," ",IF(B703="Лікар-терапевт","х",0)))</f>
        <v>0</v>
      </c>
      <c r="W705" s="199">
        <f>IF(B703="Лікар загальної практики - сімейний лікар"," ",IF(B703="Лікар-педіатр","х",IF(B703="Лікар-терапевт"," ",0)))</f>
        <v>0</v>
      </c>
      <c r="X705" s="199">
        <f>IF(B703="Лікар загальної практики - сімейний лікар"," ",IF(B703="Лікар-педіатр","х",IF(B703="Лікар-терапевт"," ",0)))</f>
        <v>0</v>
      </c>
      <c r="Y705" s="199">
        <f>IF(B703="Лікар загальної практики - сімейний лікар"," ",IF(B703="Лікар-педіатр","х",IF(B703="Лікар-терапевт"," ",0)))</f>
        <v>0</v>
      </c>
      <c r="Z705" s="200">
        <f>SUM(U705:Y705)</f>
        <v>0</v>
      </c>
      <c r="AA705" s="930"/>
      <c r="AB705" s="199">
        <f>IF(B703="Лікар загальної практики - сімейний лікар"," ",IF(B703="Лікар-педіатр"," ",IF(B703="Лікар-терапевт","х",0)))</f>
        <v>0</v>
      </c>
      <c r="AC705" s="199">
        <f>IF(B703="Лікар загальної практики - сімейний лікар"," ",IF(B703="Лікар-педіатр"," ",IF(B703="Лікар-терапевт","х",0)))</f>
        <v>0</v>
      </c>
      <c r="AD705" s="199">
        <f>IF(B703="Лікар загальної практики - сімейний лікар"," ",IF(B703="Лікар-педіатр","х",IF(B703="Лікар-терапевт"," ",0)))</f>
        <v>0</v>
      </c>
      <c r="AE705" s="199">
        <f>IF(B703="Лікар загальної практики - сімейний лікар"," ",IF(B703="Лікар-педіатр","х",IF(B703="Лікар-терапевт"," ",0)))</f>
        <v>0</v>
      </c>
      <c r="AF705" s="199">
        <f>IF(B703="Лікар загальної практики - сімейний лікар"," ",IF(B703="Лікар-педіатр","х",IF(B703="Лікар-терапевт"," ",0)))</f>
        <v>0</v>
      </c>
      <c r="AG705" s="200">
        <f>SUM(AB705:AF705)</f>
        <v>0</v>
      </c>
      <c r="AH705" s="930"/>
      <c r="AI705" s="242"/>
      <c r="AJ705" s="933"/>
      <c r="AK705" s="927"/>
      <c r="AL705" s="927"/>
      <c r="AM705" s="902"/>
      <c r="AN705" s="924"/>
      <c r="AO705" s="924"/>
      <c r="AP705" s="924"/>
      <c r="AQ705" s="924"/>
      <c r="AR705" s="915"/>
    </row>
    <row r="706" spans="1:44" s="50" customFormat="1" ht="31.9" hidden="1" customHeight="1" thickBot="1">
      <c r="A706" s="197"/>
      <c r="B706" s="893"/>
      <c r="C706" s="896"/>
      <c r="D706" s="912"/>
      <c r="E706" s="909"/>
      <c r="F706" s="236" t="s">
        <v>349</v>
      </c>
      <c r="G706" s="203">
        <f>IF($B$703="Лікар-педіатр",G705/L705,IF($B$703="Лікар-терапевт","х",IF($B$703="Лікар загальної практики - сімейний лікар",G705/L705,0)))</f>
        <v>0</v>
      </c>
      <c r="H706" s="203">
        <f>IF($B$703="Лікар-педіатр",H705/L705,IF($B$703="Лікар-терапевт","х",IF($B$703="Лікар загальної практики - сімейний лікар",H705/L705,0)))</f>
        <v>0</v>
      </c>
      <c r="I706" s="203">
        <f>IF($B$703="Лікар-педіатр","x",IF($B$703="Лікар-терапевт",I705/L705,IF($B$703="Лікар загальної практики - сімейний лікар",I705/L705,0)))</f>
        <v>0</v>
      </c>
      <c r="J706" s="203">
        <f>IF($B$703="Лікар-педіатр","x",IF($B$703="Лікар-терапевт",J705/L705,IF($B$703="Лікар загальної практики - сімейний лікар",J705/L705,0)))</f>
        <v>0</v>
      </c>
      <c r="K706" s="203">
        <f>IF($B$703="Лікар-педіатр","x",IF($B$703="Лікар-терапевт",K705/L705,IF($B$703="Лікар загальної практики - сімейний лікар",K705/L705,0)))</f>
        <v>0</v>
      </c>
      <c r="L706" s="203">
        <f>SUM(G706:K706)</f>
        <v>0</v>
      </c>
      <c r="M706" s="930"/>
      <c r="N706" s="203">
        <f>IF($B$703="Лікар-педіатр",N705/S705,IF($B$703="Лікар-терапевт","х",IF($B$703="Лікар загальної практики - сімейний лікар",N705/S705,0)))</f>
        <v>0</v>
      </c>
      <c r="O706" s="203">
        <f>IF($B$703="Лікар-педіатр",O705/S705,IF($B$703="Лікар-терапевт","х",IF($B$703="Лікар загальної практики - сімейний лікар",O705/S705,0)))</f>
        <v>0</v>
      </c>
      <c r="P706" s="203">
        <f>IF($B$703="Лікар-педіатр","x",IF($B$703="Лікар-терапевт",P705/S705,IF($B$703="Лікар загальної практики - сімейний лікар",P705/S705,0)))</f>
        <v>0</v>
      </c>
      <c r="Q706" s="203">
        <f>IF($B$703="Лікар-педіатр","x",IF($B$703="Лікар-терапевт",Q705/S705,IF($B$703="Лікар загальної практики - сімейний лікар",Q705/S705,0)))</f>
        <v>0</v>
      </c>
      <c r="R706" s="203">
        <f>IF($B$703="Лікар-педіатр","x",IF($B$703="Лікар-терапевт",R705/S705,IF($B$703="Лікар загальної практики - сімейний лікар",R705/S705,0)))</f>
        <v>0</v>
      </c>
      <c r="S706" s="203">
        <f>SUM(N706:R706)</f>
        <v>0</v>
      </c>
      <c r="T706" s="930"/>
      <c r="U706" s="203">
        <f>IF($B$703="Лікар-педіатр",U705/Z705,IF($B$703="Лікар-терапевт","х",IF($B$703="Лікар загальної практики - сімейний лікар",U705/Z705,0)))</f>
        <v>0</v>
      </c>
      <c r="V706" s="203">
        <f>IF($B$703="Лікар-педіатр",V705/Z705,IF($B$703="Лікар-терапевт","х",IF($B$703="Лікар загальної практики - сімейний лікар",V705/Z705,0)))</f>
        <v>0</v>
      </c>
      <c r="W706" s="203">
        <f>IF($B$703="Лікар-педіатр","x",IF($B$703="Лікар-терапевт",W705/Z705,IF($B$703="Лікар загальної практики - сімейний лікар",W705/Z705,0)))</f>
        <v>0</v>
      </c>
      <c r="X706" s="203">
        <f>IF($B$703="Лікар-педіатр","x",IF($B$703="Лікар-терапевт",X705/Z705,IF($B$703="Лікар загальної практики - сімейний лікар",X705/Z705,0)))</f>
        <v>0</v>
      </c>
      <c r="Y706" s="203">
        <f>IF($B$703="Лікар-педіатр","x",IF($B$703="Лікар-терапевт",Y705/Z705,IF($B$703="Лікар загальної практики - сімейний лікар",Y705/Z705,0)))</f>
        <v>0</v>
      </c>
      <c r="Z706" s="203">
        <f>SUM(U706:Y706)</f>
        <v>0</v>
      </c>
      <c r="AA706" s="930"/>
      <c r="AB706" s="203">
        <f>IF($B$703="Лікар-педіатр",AB705/AG705,IF($B$703="Лікар-терапевт","х",IF($B$703="Лікар загальної практики - сімейний лікар",AB705/AG705,0)))</f>
        <v>0</v>
      </c>
      <c r="AC706" s="203">
        <f>IF($B$703="Лікар-педіатр",AC705/AG705,IF($B$703="Лікар-терапевт","х",IF($B$703="Лікар загальної практики - сімейний лікар",AC705/AG705,0)))</f>
        <v>0</v>
      </c>
      <c r="AD706" s="203">
        <f>IF($B$703="Лікар-педіатр","x",IF($B$703="Лікар-терапевт",AD705/AG705,IF($B$703="Лікар загальної практики - сімейний лікар",AD705/AG705,0)))</f>
        <v>0</v>
      </c>
      <c r="AE706" s="203">
        <f>IF($B$703="Лікар-педіатр","x",IF($B$703="Лікар-терапевт",AE705/AG705,IF($B$703="Лікар загальної практики - сімейний лікар",AE705/AG705,0)))</f>
        <v>0</v>
      </c>
      <c r="AF706" s="203">
        <f>IF($B$703="Лікар-педіатр","x",IF($B$703="Лікар-терапевт",AF705/AG705,IF($B$703="Лікар загальної практики - сімейний лікар",AF705/AG705,0)))</f>
        <v>0</v>
      </c>
      <c r="AG706" s="203">
        <f>SUM(AB706:AF706)</f>
        <v>0</v>
      </c>
      <c r="AH706" s="930"/>
      <c r="AI706" s="201"/>
      <c r="AJ706" s="933"/>
      <c r="AK706" s="927"/>
      <c r="AL706" s="927"/>
      <c r="AM706" s="902"/>
      <c r="AN706" s="924"/>
      <c r="AO706" s="924"/>
      <c r="AP706" s="924"/>
      <c r="AQ706" s="924"/>
      <c r="AR706" s="915"/>
    </row>
    <row r="707" spans="1:44" s="50" customFormat="1" ht="45" hidden="1" customHeight="1" thickBot="1">
      <c r="A707" s="197"/>
      <c r="B707" s="893"/>
      <c r="C707" s="896"/>
      <c r="D707" s="912"/>
      <c r="E707" s="909"/>
      <c r="F707" s="204" t="s">
        <v>585</v>
      </c>
      <c r="G707" s="205">
        <f>IF($B$703="Лікар загальної практики - сімейний лікар",AVERAGE(G703:G705),IF($B$703="Лікар-педіатр",AVERAGE(G703:G705),IF($B$703="Лікар-терапевт","х",0)))</f>
        <v>0</v>
      </c>
      <c r="H707" s="205">
        <f>IF($B$703="Лікар загальної практики - сімейний лікар",AVERAGE(H703:H705),IF($B$703="Лікар-педіатр",AVERAGE(H703:H705),IF($B$703="Лікар-терапевт","х",0)))</f>
        <v>0</v>
      </c>
      <c r="I707" s="205">
        <f>IF($B$703="Лікар загальної практики - сімейний лікар",AVERAGE(I703:I705),IF($B$703="Лікар-педіатр","x",IF($B$703="Лікар-терапевт",AVERAGE(I703:I705),0)))</f>
        <v>0</v>
      </c>
      <c r="J707" s="205">
        <f>IF($B$703="Лікар загальної практики - сімейний лікар",AVERAGE(J703:J705),IF($B$703="Лікар-педіатр","x",IF($B$703="Лікар-терапевт",AVERAGE(J703:J705),0)))</f>
        <v>0</v>
      </c>
      <c r="K707" s="205">
        <f>IF($B$703="Лікар загальної практики - сімейний лікар",AVERAGE(K703:K705),IF($B$703="Лікар-педіатр","x",IF($B$703="Лікар-терапевт",AVERAGE(K703:K705),0)))</f>
        <v>0</v>
      </c>
      <c r="L707" s="206">
        <f>SUM(G707:K707)</f>
        <v>0</v>
      </c>
      <c r="M707" s="930"/>
      <c r="N707" s="205">
        <f>IF($B$703="Лікар загальної практики - сімейний лікар",AVERAGE(N703:N705),IF($B$703="Лікар-педіатр",AVERAGE(N703:N705),IF($B$703="Лікар-терапевт","х",0)))</f>
        <v>0</v>
      </c>
      <c r="O707" s="205">
        <f>IF($B$703="Лікар загальної практики - сімейний лікар",AVERAGE(O703:O705),IF($B$703="Лікар-педіатр",AVERAGE(O703:O705),IF($B$703="Лікар-терапевт","х",0)))</f>
        <v>0</v>
      </c>
      <c r="P707" s="205">
        <f>IF($B$703="Лікар загальної практики - сімейний лікар",AVERAGE(P703:P705),IF($B$703="Лікар-педіатр","x",IF($B$703="Лікар-терапевт",AVERAGE(P703:P705),0)))</f>
        <v>0</v>
      </c>
      <c r="Q707" s="205">
        <f>IF($B$703="Лікар загальної практики - сімейний лікар",AVERAGE(Q703:Q705),IF($B$703="Лікар-педіатр","x",IF($B$703="Лікар-терапевт",AVERAGE(Q703:Q705),0)))</f>
        <v>0</v>
      </c>
      <c r="R707" s="205">
        <f>IF($B$703="Лікар загальної практики - сімейний лікар",AVERAGE(R703:R705),IF($B$703="Лікар-педіатр","x",IF($B$703="Лікар-терапевт",AVERAGE(R703:R705),0)))</f>
        <v>0</v>
      </c>
      <c r="S707" s="206">
        <f>SUM(N707:R707)</f>
        <v>0</v>
      </c>
      <c r="T707" s="930"/>
      <c r="U707" s="205">
        <f>IF($B$703="Лікар загальної практики - сімейний лікар",AVERAGE(U703:U705),IF($B$703="Лікар-педіатр",AVERAGE(U703:U705),IF($B$703="Лікар-терапевт","х",0)))</f>
        <v>0</v>
      </c>
      <c r="V707" s="205">
        <f>IF($B$703="Лікар загальної практики - сімейний лікар",AVERAGE(V703:V705),IF($B$703="Лікар-педіатр",AVERAGE(V703:V705),IF($B$703="Лікар-терапевт","х",0)))</f>
        <v>0</v>
      </c>
      <c r="W707" s="205">
        <f>IF($B$703="Лікар загальної практики - сімейний лікар",AVERAGE(W703:W705),IF($B$703="Лікар-педіатр","x",IF($B$703="Лікар-терапевт",AVERAGE(W703:W705),0)))</f>
        <v>0</v>
      </c>
      <c r="X707" s="205">
        <f>IF($B$703="Лікар загальної практики - сімейний лікар",AVERAGE(X703:X705),IF($B$703="Лікар-педіатр","x",IF($B$703="Лікар-терапевт",AVERAGE(X703:X705),0)))</f>
        <v>0</v>
      </c>
      <c r="Y707" s="205">
        <f>IF($B$703="Лікар загальної практики - сімейний лікар",AVERAGE(Y703:Y705),IF($B$703="Лікар-педіатр","x",IF($B$703="Лікар-терапевт",AVERAGE(Y703:Y705),0)))</f>
        <v>0</v>
      </c>
      <c r="Z707" s="206">
        <f>SUM(U707:Y707)</f>
        <v>0</v>
      </c>
      <c r="AA707" s="930"/>
      <c r="AB707" s="205">
        <f>IF($B$703="Лікар загальної практики - сімейний лікар",AVERAGE(AB703:AB705),IF($B$703="Лікар-педіатр",AVERAGE(AB703:AB705),IF($B$703="Лікар-терапевт","х",0)))</f>
        <v>0</v>
      </c>
      <c r="AC707" s="205">
        <f>IF($B$703="Лікар загальної практики - сімейний лікар",AVERAGE(AC703:AC705),IF($B$703="Лікар-педіатр",AVERAGE(AC703:AC705),IF($B$703="Лікар-терапевт","х",0)))</f>
        <v>0</v>
      </c>
      <c r="AD707" s="205">
        <f>IF($B$703="Лікар загальної практики - сімейний лікар",AVERAGE(AD703:AD705),IF($B$703="Лікар-педіатр","x",IF($B$703="Лікар-терапевт",AVERAGE(AD703:AD705),0)))</f>
        <v>0</v>
      </c>
      <c r="AE707" s="205">
        <f>IF($B$703="Лікар загальної практики - сімейний лікар",AVERAGE(AE703:AE705),IF($B$703="Лікар-педіатр","x",IF($B$703="Лікар-терапевт",AVERAGE(AE703:AE705),0)))</f>
        <v>0</v>
      </c>
      <c r="AF707" s="205">
        <f>IF($B$703="Лікар загальної практики - сімейний лікар",AVERAGE(AF703:AF705),IF($B$703="Лікар-педіатр","x",IF($B$703="Лікар-терапевт",AVERAGE(AF703:AF705),0)))</f>
        <v>0</v>
      </c>
      <c r="AG707" s="206">
        <f>SUM(AB707:AF707)</f>
        <v>0</v>
      </c>
      <c r="AH707" s="930"/>
      <c r="AI707" s="201"/>
      <c r="AJ707" s="933"/>
      <c r="AK707" s="927"/>
      <c r="AL707" s="927"/>
      <c r="AM707" s="903"/>
      <c r="AN707" s="925"/>
      <c r="AO707" s="925"/>
      <c r="AP707" s="925"/>
      <c r="AQ707" s="925"/>
      <c r="AR707" s="916"/>
    </row>
    <row r="708" spans="1:44" s="50" customFormat="1" ht="40.5" hidden="1">
      <c r="A708" s="197"/>
      <c r="B708" s="893"/>
      <c r="C708" s="896"/>
      <c r="D708" s="912"/>
      <c r="E708" s="909"/>
      <c r="F708" s="237" t="str">
        <f ca="1">IF(B703="Лікар-педіатр",Законод!$C$17,IF(B703="Лікар загальної практики - сімейний лікар",Законод!$C$21,IF(B703="Лікар-терапевт",Законод!$C$25,"х")))</f>
        <v>х</v>
      </c>
      <c r="G708" s="208">
        <f ca="1">IF($B$703="Лікар загальної практики - сімейний лікар",IF(L707&lt;=Законод!$C$22,G707,Законод!$C$22*'01_Доходи'!G706),IF($B$703="Лікар-педіатр",IF(L707&lt;=Законод!$C$18,G707,Законод!$C$18*'01_Доходи'!G706),IF($B$703="Лікар-терапевт","x",0)))</f>
        <v>0</v>
      </c>
      <c r="H708" s="208">
        <f ca="1">IF($B$703="Лікар загальної практики - сімейний лікар",IF(L707&lt;=Законод!$C$22,H707,Законод!$C$22*'01_Доходи'!H706),IF($B$703="Лікар-педіатр",IF(L707&lt;=Законод!$C$18,H707,Законод!$C$18*'01_Доходи'!H706),IF($B$703="Лікар-терапевт","x",0)))</f>
        <v>0</v>
      </c>
      <c r="I708" s="208">
        <f ca="1">IF($B$703="Лікар загальної практики - сімейний лікар",IF(L707&lt;=Законод!$C$22,I707,Законод!$C$22*'01_Доходи'!I706),IF($B$703="Лікар-педіатр","x",IF($B$703="Лікар-терапевт",IF(L707&lt;=Законод!$C$26,I707,Законод!$C$26*'01_Доходи'!I706),0)))</f>
        <v>0</v>
      </c>
      <c r="J708" s="208">
        <f ca="1">IF($B$703="Лікар загальної практики - сімейний лікар",IF(L707&lt;=Законод!$C$22,J707,Законод!$C$22*'01_Доходи'!J706),IF($B$703="Лікар-педіатр","x",IF($B$703="Лікар-терапевт",IF(L707&lt;=Законод!$C$26,J707,Законод!$C$26*'01_Доходи'!J706),0)))</f>
        <v>0</v>
      </c>
      <c r="K708" s="208">
        <f ca="1">IF($B$703="Лікар загальної практики - сімейний лікар",IF(L707&lt;=Законод!$C$22,K707,Законод!$C$22*'01_Доходи'!K706),IF($B$703="Лікар-педіатр","x",IF($B$703="Лікар-терапевт",IF(L707&lt;=Законод!$C$26,K707,Законод!$C$26*'01_Доходи'!K706),0)))</f>
        <v>0</v>
      </c>
      <c r="L708" s="209">
        <f ca="1">SUM(G708:K708)</f>
        <v>0</v>
      </c>
      <c r="M708" s="930"/>
      <c r="N708" s="208">
        <f ca="1">IF($B$703="Лікар загальної практики - сімейний лікар",IF(S707&lt;=Законод!$C$22,N707,Законод!$C$22*'01_Доходи'!N706),IF($B$703="Лікар-педіатр",IF(S707&lt;=Законод!$C$18,N707,Законод!$C$18*'01_Доходи'!N706),IF($B$703="Лікар-терапевт","x",0)))</f>
        <v>0</v>
      </c>
      <c r="O708" s="208">
        <f ca="1">IF($B$703="Лікар загальної практики - сімейний лікар",IF(S707&lt;=Законод!$C$22,O707,Законод!$C$22*'01_Доходи'!O706),IF($B$703="Лікар-педіатр",IF(S707&lt;=Законод!$C$18,O707,Законод!$C$18*'01_Доходи'!O706),IF($B$703="Лікар-терапевт","x",0)))</f>
        <v>0</v>
      </c>
      <c r="P708" s="208">
        <f ca="1">IF($B$703="Лікар загальної практики - сімейний лікар",IF(S707&lt;=Законод!$C$22,P707,Законод!$C$22*'01_Доходи'!P706),IF($B$703="Лікар-педіатр","x",IF($B$703="Лікар-терапевт",IF(S707&lt;=Законод!$C$26,P707,Законод!$C$26*'01_Доходи'!P706),0)))</f>
        <v>0</v>
      </c>
      <c r="Q708" s="208">
        <f ca="1">IF($B$703="Лікар загальної практики - сімейний лікар",IF(S707&lt;=Законод!$C$22,Q707,Законод!$C$22*'01_Доходи'!Q706),IF($B$703="Лікар-педіатр","x",IF($B$703="Лікар-терапевт",IF(S707&lt;=Законод!$C$26,Q707,Законод!$C$26*'01_Доходи'!Q706),0)))</f>
        <v>0</v>
      </c>
      <c r="R708" s="208">
        <f ca="1">IF($B$703="Лікар загальної практики - сімейний лікар",IF(S707&lt;=Законод!$C$22,R707,Законод!$C$22*'01_Доходи'!R706),IF($B$703="Лікар-педіатр","x",IF($B$703="Лікар-терапевт",IF(S707&lt;=Законод!$C$26,R707,Законод!$C$26*'01_Доходи'!R706),0)))</f>
        <v>0</v>
      </c>
      <c r="S708" s="209">
        <f ca="1">SUM(N708:R708)</f>
        <v>0</v>
      </c>
      <c r="T708" s="930"/>
      <c r="U708" s="208">
        <f ca="1">IF($B$703="Лікар загальної практики - сімейний лікар",IF(Z707&lt;=Законод!$C$22,U707,Законод!$C$22*'01_Доходи'!U706),IF($B$703="Лікар-педіатр",IF(Z707&lt;=Законод!$C$18,U707,Законод!$C$18*'01_Доходи'!U706),IF($B$703="Лікар-терапевт","x",0)))</f>
        <v>0</v>
      </c>
      <c r="V708" s="208">
        <f ca="1">IF($B$703="Лікар загальної практики - сімейний лікар",IF(Z707&lt;=Законод!$C$22,V707,Законод!$C$22*'01_Доходи'!V706),IF($B$703="Лікар-педіатр",IF(Z707&lt;=Законод!$C$18,V707,Законод!$C$18*'01_Доходи'!V706),IF($B$703="Лікар-терапевт","x",0)))</f>
        <v>0</v>
      </c>
      <c r="W708" s="208">
        <f ca="1">IF($B$703="Лікар загальної практики - сімейний лікар",IF(Z707&lt;=Законод!$C$22,W707,Законод!$C$22*'01_Доходи'!W706),IF($B$703="Лікар-педіатр","x",IF($B$703="Лікар-терапевт",IF(Z707&lt;=Законод!$C$26,W707,Законод!$C$26*'01_Доходи'!W706),0)))</f>
        <v>0</v>
      </c>
      <c r="X708" s="208">
        <f ca="1">IF($B$703="Лікар загальної практики - сімейний лікар",IF(Z707&lt;=Законод!$C$22,X707,Законод!$C$22*'01_Доходи'!X706),IF($B$703="Лікар-педіатр","x",IF($B$703="Лікар-терапевт",IF(Z707&lt;=Законод!$C$26,X707,Законод!$C$26*'01_Доходи'!X706),0)))</f>
        <v>0</v>
      </c>
      <c r="Y708" s="208">
        <f ca="1">IF($B$703="Лікар загальної практики - сімейний лікар",IF(Z707&lt;=Законод!$C$22,Y707,Законод!$C$22*'01_Доходи'!Y706),IF($B$703="Лікар-педіатр","x",IF($B$703="Лікар-терапевт",IF(Z707&lt;=Законод!$C$26,Y707,Законод!$C$26*'01_Доходи'!Y706),0)))</f>
        <v>0</v>
      </c>
      <c r="Z708" s="209">
        <f ca="1">SUM(U708:Y708)</f>
        <v>0</v>
      </c>
      <c r="AA708" s="930"/>
      <c r="AB708" s="208">
        <f ca="1">IF($B$703="Лікар загальної практики - сімейний лікар",IF(AG707&lt;=Законод!$C$22,AB707,Законод!$C$22*'01_Доходи'!AB706),IF($B$703="Лікар-педіатр",IF(AG707&lt;=Законод!$C$18,AB707,Законод!$C$18*'01_Доходи'!AB706),IF($B$703="Лікар-терапевт","x",0)))</f>
        <v>0</v>
      </c>
      <c r="AC708" s="208">
        <f ca="1">IF($B$703="Лікар загальної практики - сімейний лікар",IF(AG707&lt;=Законод!$C$22,AC707,Законод!$C$22*'01_Доходи'!AC706),IF($B$703="Лікар-педіатр",IF(AG707&lt;=Законод!$C$18,AC707,Законод!$C$18*'01_Доходи'!AC706),IF($B$703="Лікар-терапевт","x",0)))</f>
        <v>0</v>
      </c>
      <c r="AD708" s="208">
        <f ca="1">IF($B$703="Лікар загальної практики - сімейний лікар",IF(AG707&lt;=Законод!$C$22,AD707,Законод!$C$22*'01_Доходи'!AD706),IF($B$703="Лікар-педіатр","x",IF($B$703="Лікар-терапевт",IF(AG707&lt;=Законод!$C$26,AD707,Законод!$C$26*'01_Доходи'!AD706),0)))</f>
        <v>0</v>
      </c>
      <c r="AE708" s="208">
        <f ca="1">IF($B$703="Лікар загальної практики - сімейний лікар",IF(AG707&lt;=Законод!$C$22,AE707,Законод!$C$22*'01_Доходи'!AE706),IF($B$703="Лікар-педіатр","x",IF($B$703="Лікар-терапевт",IF(AG707&lt;=Законод!$C$26,AE707,Законод!$C$26*'01_Доходи'!AE706),0)))</f>
        <v>0</v>
      </c>
      <c r="AF708" s="208">
        <f ca="1">IF($B$703="Лікар загальної практики - сімейний лікар",IF(AG707&lt;=Законод!$C$22,AF707,Законод!$C$22*'01_Доходи'!AF706),IF($B$703="Лікар-педіатр","x",IF($B$703="Лікар-терапевт",IF(AG707&lt;=Законод!$C$26,AF707,Законод!$C$26*'01_Доходи'!AF706),0)))</f>
        <v>0</v>
      </c>
      <c r="AG708" s="209">
        <f ca="1">SUM(AB708:AF708)</f>
        <v>0</v>
      </c>
      <c r="AH708" s="930"/>
      <c r="AI708" s="201"/>
      <c r="AJ708" s="933"/>
      <c r="AK708" s="927"/>
      <c r="AL708" s="927"/>
      <c r="AM708" s="348" t="s">
        <v>374</v>
      </c>
      <c r="AN708" s="210">
        <f ca="1">IF(B703="Лікар загальної практики - сімейний лікар",G708*Законод!$C$11+'01_Доходи'!H708*Законод!$D$11+'01_Доходи'!I708*Законод!$E$11+'01_Доходи'!J708*Законод!$F$11+'01_Доходи'!K708*Законод!$G$11,IF(B703="Лікар-педіатр",G708*Законод!$C$11+'01_Доходи'!H708*Законод!$D$11,IF(B703="Лікар-терапевт",'01_Доходи'!I708*Законод!$E$11+'01_Доходи'!J708*Законод!$F$11+'01_Доходи'!K708*Законод!$G$11,0)))</f>
        <v>0</v>
      </c>
      <c r="AO708" s="210">
        <f ca="1">IF(B703="Лікар загальної практики - сімейний лікар",N708*Законод!$C$11+'01_Доходи'!O708*Законод!$D$11+'01_Доходи'!P708*Законод!$E$11+'01_Доходи'!Q708*Законод!$F$11+'01_Доходи'!R708*Законод!$G$11,IF(B703="Лікар-педіатр",N708*Законод!$C$11+'01_Доходи'!O708*Законод!$D$11,IF(B703="Лікар-терапевт",'01_Доходи'!P708*Законод!$E$11+'01_Доходи'!Q708*Законод!$F$11+'01_Доходи'!R708*Законод!$G$11,0)))</f>
        <v>0</v>
      </c>
      <c r="AP708" s="210">
        <f ca="1">IF(B703="Лікар загальної практики - сімейний лікар",U708*Законод!$C$11+'01_Доходи'!V708*Законод!$D$11+'01_Доходи'!W708*Законод!$E$11+'01_Доходи'!X708*Законод!$F$11+'01_Доходи'!Y708*Законод!$G$11,IF(B703="Лікар-педіатр",U708*Законод!$C$11+'01_Доходи'!V708*Законод!$D$11,IF(B703="Лікар-терапевт",'01_Доходи'!W708*Законод!$E$11+'01_Доходи'!X708*Законод!$F$11+'01_Доходи'!Y708*Законод!$G$11,0)))</f>
        <v>0</v>
      </c>
      <c r="AQ708" s="210">
        <f ca="1">IF(B703="Лікар загальної практики - сімейний лікар",AB708*Законод!$C$11+'01_Доходи'!AC708*Законод!$D$11+'01_Доходи'!AD708*Законод!$E$11+'01_Доходи'!AE708*Законод!$F$11+'01_Доходи'!AF708*Законод!$G$11,IF(B703="Лікар-педіатр",AB708*Законод!$C$11+'01_Доходи'!AC708*Законод!$D$11,IF(B703="Лікар-терапевт",'01_Доходи'!AD708*Законод!$E$11+'01_Доходи'!AE708*Законод!$F$11+'01_Доходи'!AF708*Законод!$G$11,0)))</f>
        <v>0</v>
      </c>
      <c r="AR708" s="211">
        <f t="shared" ref="AR708:AR714" si="81">SUM(AN708:AQ708)</f>
        <v>0</v>
      </c>
    </row>
    <row r="709" spans="1:44" s="50" customFormat="1" ht="31.9" hidden="1" customHeight="1">
      <c r="A709" s="197"/>
      <c r="B709" s="893"/>
      <c r="C709" s="896"/>
      <c r="D709" s="912"/>
      <c r="E709" s="909"/>
      <c r="F709" s="238" t="str">
        <f ca="1">IF(B703="Лікар-педіатр",Законод!$E$17,IF(B703="Лікар загальної практики - сімейний лікар",Законод!$E$21,IF(B703="Лікар-терапевт",Законод!$E$25,"х")))</f>
        <v>х</v>
      </c>
      <c r="G709" s="889" t="s">
        <v>346</v>
      </c>
      <c r="H709" s="890"/>
      <c r="I709" s="890"/>
      <c r="J709" s="890"/>
      <c r="K709" s="891"/>
      <c r="L709" s="196">
        <f ca="1">IF($B$703="Лікар загальної практики - сімейний лікар",IF(L707&lt;Законод!$C$22,0,(IF(AND(L707&gt;=Законод!$E$22,L707&lt;=Законод!$E$23),L707-Законод!$C$22,IF('01_Доходи'!L707&gt;=Законод!$F$22,Законод!$E$24,0)))),IF($B$703="Лікар-педіатр",IF(L707&lt;Законод!$C$18,0,(IF(AND(L707&gt;=Законод!$E$18,L707&lt;=Законод!$E$19),L707-Законод!$C$18,IF('01_Доходи'!L707&gt;=Законод!$F$18,Законод!$E$20,0)))),IF($B$703="Лікар-терапевт",IF(L707&lt;Законод!$C$26,0,(IF(AND(L707&gt;=Законод!$E$26,L707&lt;=Законод!$E$27),L707-Законод!$C$26,IF('01_Доходи'!L707&gt;=Законод!$F$26,Законод!$E$28,0)))),0)))</f>
        <v>0</v>
      </c>
      <c r="M709" s="930"/>
      <c r="N709" s="889" t="s">
        <v>346</v>
      </c>
      <c r="O709" s="890"/>
      <c r="P709" s="890"/>
      <c r="Q709" s="890"/>
      <c r="R709" s="891"/>
      <c r="S709" s="196">
        <f ca="1">IF($B$703="Лікар загальної практики - сімейний лікар",IF(S707&lt;Законод!$C$22,0,(IF(AND(S707&gt;=Законод!$E$22,S707&lt;=Законод!$E$23),S707-Законод!$C$22,IF('01_Доходи'!S707&gt;=Законод!$F$22,Законод!$E$24,0)))),IF($B$703="Лікар-педіатр",IF(S707&lt;Законод!$C$18,0,(IF(AND(S707&gt;=Законод!$E$18,S707&lt;=Законод!$E$19),S707-Законод!$C$18,IF('01_Доходи'!S707&gt;=Законод!$F$18,Законод!$E$20,0)))),IF($B$703="Лікар-терапевт",IF(S707&lt;Законод!$C$26,0,(IF(AND(S707&gt;=Законод!$E$26,S707&lt;=Законод!$E$27),S707-Законод!$C$26,IF('01_Доходи'!S707&gt;=Законод!$F$26,Законод!$E$28,0)))),0)))</f>
        <v>0</v>
      </c>
      <c r="T709" s="930"/>
      <c r="U709" s="889" t="s">
        <v>346</v>
      </c>
      <c r="V709" s="890"/>
      <c r="W709" s="890"/>
      <c r="X709" s="890"/>
      <c r="Y709" s="891"/>
      <c r="Z709" s="196">
        <f ca="1">IF($B$703="Лікар загальної практики - сімейний лікар",IF(Z707&lt;Законод!$C$22,0,(IF(AND(Z707&gt;=Законод!$E$22,Z707&lt;=Законод!$E$23),Z707-Законод!$C$22,IF('01_Доходи'!Z707&gt;=Законод!$F$22,Законод!$E$24,0)))),IF($B$703="Лікар-педіатр",IF(Z707&lt;Законод!$C$18,0,(IF(AND(Z707&gt;=Законод!$E$18,Z707&lt;=Законод!$E$19),Z707-Законод!$C$18,IF('01_Доходи'!Z707&gt;=Законод!$F$18,Законод!$E$20,0)))),IF($B$703="Лікар-терапевт",IF(Z707&lt;Законод!$C$26,0,(IF(AND(Z707&gt;=Законод!$E$26,Z707&lt;=Законод!$E$27),Z707-Законод!$C$26,IF('01_Доходи'!Z707&gt;=Законод!$F$26,Законод!$E$28,0)))),0)))</f>
        <v>0</v>
      </c>
      <c r="AA709" s="930"/>
      <c r="AB709" s="889" t="s">
        <v>346</v>
      </c>
      <c r="AC709" s="890"/>
      <c r="AD709" s="890"/>
      <c r="AE709" s="890"/>
      <c r="AF709" s="891"/>
      <c r="AG709" s="196">
        <f ca="1">IF($B$703="Лікар загальної практики - сімейний лікар",IF(AG707&lt;Законод!$C$22,0,(IF(AND(AG707&gt;=Законод!$E$22,AG707&lt;=Законод!$E$23),AG707-Законод!$C$22,IF('01_Доходи'!AG707&gt;=Законод!$F$22,Законод!$E$24,0)))),IF($B$703="Лікар-педіатр",IF(AG707&lt;Законод!$C$18,0,(IF(AND(AG707&gt;=Законод!$E$18,AG707&lt;=Законод!$E$19),AG707-Законод!$C$18,IF('01_Доходи'!AG707&gt;=Законод!$F$18,Законод!$E$20,0)))),IF($B$703="Лікар-терапевт",IF(AG707&lt;Законод!$C$26,0,(IF(AND(AG707&gt;=Законод!$E$26,AG707&lt;=Законод!$E$27),AG707-Законод!$C$26,IF('01_Доходи'!AG707&gt;=Законод!$F$26,Законод!$E$28,0)))),0)))</f>
        <v>0</v>
      </c>
      <c r="AH709" s="930"/>
      <c r="AI709" s="201"/>
      <c r="AJ709" s="933"/>
      <c r="AK709" s="927"/>
      <c r="AL709" s="927"/>
      <c r="AM709" s="898" t="s">
        <v>375</v>
      </c>
      <c r="AN709" s="210">
        <f ca="1">IF(B703="Лікар загальної практики - сімейний лікар",L709*Законод!$C$9/4*Законод!$E$16,IF(B703="Лікар-педіатр",L709*Законод!$C$9/4*Законод!$E$16,IF(B703="Лікар-терапевт",L709*Законод!$C$9/4*Законод!$E$16,0)))</f>
        <v>0</v>
      </c>
      <c r="AO709" s="210">
        <f ca="1">IF(B703="Лікар загальної практики - сімейний лікар",S709*Законод!$C$9/4*Законод!$E$16,IF(B703="Лікар-педіатр",S709*Законод!$C$9/4*Законод!$E$16,IF(B703="Лікар-терапевт",S709*Законод!$C$9/4*Законод!$E$16,0)))</f>
        <v>0</v>
      </c>
      <c r="AP709" s="210">
        <f ca="1">IF(B703="Лікар загальної практики - сімейний лікар",Z709*Законод!$C$9/4*Законод!$E$16,IF(B703="Лікар-педіатр",Z709*Законод!$C$9/4*Законод!$E$16,IF(B703="Лікар-терапевт",Z709*Законод!$C$9/4*Законод!$E$16,0)))</f>
        <v>0</v>
      </c>
      <c r="AQ709" s="210">
        <f ca="1">IF(B703="Лікар загальної практики - сімейний лікар",AG709*Законод!$C$9/4*Законод!$E$16,IF(B703="Лікар-педіатр",AG709*Законод!$C$9/4*Законод!$E$16,IF(B703="Лікар-терапевт",AG709*Законод!$C$9/4*Законод!$E$16,0)))</f>
        <v>0</v>
      </c>
      <c r="AR709" s="211">
        <f t="shared" si="81"/>
        <v>0</v>
      </c>
    </row>
    <row r="710" spans="1:44" s="50" customFormat="1" ht="31.9" hidden="1" customHeight="1">
      <c r="A710" s="197"/>
      <c r="B710" s="893"/>
      <c r="C710" s="896"/>
      <c r="D710" s="912"/>
      <c r="E710" s="909"/>
      <c r="F710" s="238" t="str">
        <f ca="1">IF(B703="Лікар-педіатр",Законод!$F$17,IF(B703="Лікар загальної практики - сімейний лікар",Законод!$F$21,IF(B703="Лікар-терапевт",Законод!$F$25,"х")))</f>
        <v>х</v>
      </c>
      <c r="G710" s="889" t="s">
        <v>346</v>
      </c>
      <c r="H710" s="890"/>
      <c r="I710" s="890"/>
      <c r="J710" s="890"/>
      <c r="K710" s="891"/>
      <c r="L710" s="196">
        <f ca="1">IF($B$703="Лікар загальної практики - сімейний лікар",IF(L707&lt;Законод!$C$22,0,(IF(AND(L707&gt;=Законод!$F$22,L707&lt;=Законод!$F$23),L707-Законод!$E$23,IF('01_Доходи'!L707&gt;=Законод!$G$22,Законод!$F$24,0)))),IF($B$703="Лікар-педіатр",IF(L707&lt;Законод!$C$18,0,(IF(AND(L707&gt;=Законод!$F$18,L707&lt;=Законод!$F$19),L707-Законод!$E$19,IF('01_Доходи'!L707&gt;=Законод!$G$18,Законод!$F$20,0)))),IF($B$703="Лікар-терапевт",IF(L707&lt;Законод!$C$26,0,(IF(AND(L707&gt;=Законод!$F$26,L707&lt;=Законод!$F$27),L707-Законод!$E$27,IF('01_Доходи'!L707&gt;=Законод!$G$26,Законод!$F$28,0)))),0)))</f>
        <v>0</v>
      </c>
      <c r="M710" s="930"/>
      <c r="N710" s="889" t="s">
        <v>346</v>
      </c>
      <c r="O710" s="890"/>
      <c r="P710" s="890"/>
      <c r="Q710" s="890"/>
      <c r="R710" s="891"/>
      <c r="S710" s="196">
        <f ca="1">IF($B$703="Лікар загальної практики - сімейний лікар",IF(S707&lt;Законод!$C$22,0,(IF(AND(S707&gt;=Законод!$F$22,S707&lt;=Законод!$F$23),S707-Законод!$E$23,IF('01_Доходи'!S707&gt;=Законод!$G$22,Законод!$F$24,0)))),IF($B$703="Лікар-педіатр",IF(S707&lt;Законод!$C$18,0,(IF(AND(S707&gt;=Законод!$F$18,S707&lt;=Законод!$F$19),S707-Законод!$E$19,IF('01_Доходи'!S707&gt;=Законод!$G$18,Законод!$F$20,0)))),IF($B$703="Лікар-терапевт",IF(S707&lt;Законод!$C$26,0,(IF(AND(S707&gt;=Законод!$F$26,S707&lt;=Законод!$F$27),S707-Законод!$E$27,IF('01_Доходи'!S707&gt;=Законод!$G$26,Законод!$F$28,0)))),0)))</f>
        <v>0</v>
      </c>
      <c r="T710" s="930"/>
      <c r="U710" s="889" t="s">
        <v>346</v>
      </c>
      <c r="V710" s="890"/>
      <c r="W710" s="890"/>
      <c r="X710" s="890"/>
      <c r="Y710" s="891"/>
      <c r="Z710" s="196">
        <f ca="1">IF($B$703="Лікар загальної практики - сімейний лікар",IF(Z707&lt;Законод!$C$22,0,(IF(AND(Z707&gt;=Законод!$F$22,Z707&lt;=Законод!$F$23),Z707-Законод!$E$23,IF('01_Доходи'!Z707&gt;=Законод!$G$22,Законод!$F$24,0)))),IF($B$703="Лікар-педіатр",IF(Z707&lt;Законод!$C$18,0,(IF(AND(Z707&gt;=Законод!$F$18,Z707&lt;=Законод!$F$19),Z707-Законод!$E$19,IF('01_Доходи'!Z707&gt;=Законод!$G$18,Законод!$F$20,0)))),IF($B$703="Лікар-терапевт",IF(Z707&lt;Законод!$C$26,0,(IF(AND(Z707&gt;=Законод!$F$26,Z707&lt;=Законод!$F$27),Z707-Законод!$E$27,IF('01_Доходи'!Z707&gt;=Законод!$G$26,Законод!$F$28,0)))),0)))</f>
        <v>0</v>
      </c>
      <c r="AA710" s="930"/>
      <c r="AB710" s="889" t="s">
        <v>346</v>
      </c>
      <c r="AC710" s="890"/>
      <c r="AD710" s="890"/>
      <c r="AE710" s="890"/>
      <c r="AF710" s="891"/>
      <c r="AG710" s="196">
        <f ca="1">IF($B$703="Лікар загальної практики - сімейний лікар",IF(AG707&lt;Законод!$C$22,0,(IF(AND(AG707&gt;=Законод!$F$22,AG707&lt;=Законод!$F$23),AG707-Законод!$E$23,IF('01_Доходи'!AG707&gt;=Законод!$G$22,Законод!$F$24,0)))),IF($B$703="Лікар-педіатр",IF(AG707&lt;Законод!$C$18,0,(IF(AND(AG707&gt;=Законод!$F$18,AG707&lt;=Законод!$F$19),AG707-Законод!$E$19,IF('01_Доходи'!AG707&gt;=Законод!$G$18,Законод!$F$20,0)))),IF($B$703="Лікар-терапевт",IF(AG707&lt;Законод!$C$26,0,(IF(AND(AG707&gt;=Законод!$F$26,AG707&lt;=Законод!$F$27),AG707-Законод!$E$27,IF('01_Доходи'!AG707&gt;=Законод!$G$26,Законод!$F$28,0)))),0)))</f>
        <v>0</v>
      </c>
      <c r="AH710" s="930"/>
      <c r="AI710" s="201"/>
      <c r="AJ710" s="933"/>
      <c r="AK710" s="927"/>
      <c r="AL710" s="927"/>
      <c r="AM710" s="899"/>
      <c r="AN710" s="210">
        <f ca="1">IF(B703="Лікар загальної практики - сімейний лікар",L710*Законод!$C$9/4*Законод!$F$16,IF(B703="Лікар-педіатр",L710*Законод!$C$9/4*Законод!$F$16,IF(B703="Лікар-терапевт",L710*Законод!$C$9/4*Законод!$F$16,0)))</f>
        <v>0</v>
      </c>
      <c r="AO710" s="210">
        <f ca="1">IF(B703="Лікар загальної практики - сімейний лікар",S710*Законод!$C$9/4*Законод!$F$16,IF(B703="Лікар-педіатр",S710*Законод!$C$9/4*Законод!$F$16,IF(B703="Лікар-терапевт",S710*Законод!$C$9/4*Законод!$F$16,0)))</f>
        <v>0</v>
      </c>
      <c r="AP710" s="210">
        <f ca="1">IF(B703="Лікар загальної практики - сімейний лікар",Z710*Законод!$C$9/4*Законод!$F$16,IF(B703="Лікар-педіатр",Z710*Законод!$C$9/4*Законод!$F$16,IF(B703="Лікар-терапевт",Z710*Законод!$C$9/4*Законод!$F$16,0)))</f>
        <v>0</v>
      </c>
      <c r="AQ710" s="210">
        <f ca="1">IF(B703="Лікар загальної практики - сімейний лікар",AG710*Законод!$C$9/4*Законод!$F$16,IF(B703="Лікар-педіатр",AG710*Законод!$C$9/4*Законод!$F$16,IF(B703="Лікар-терапевт",AG710*Законод!$C$9/4*Законод!$F$16,0)))</f>
        <v>0</v>
      </c>
      <c r="AR710" s="211">
        <f t="shared" si="81"/>
        <v>0</v>
      </c>
    </row>
    <row r="711" spans="1:44" s="50" customFormat="1" ht="31.9" hidden="1" customHeight="1">
      <c r="A711" s="197"/>
      <c r="B711" s="893"/>
      <c r="C711" s="896"/>
      <c r="D711" s="912"/>
      <c r="E711" s="909"/>
      <c r="F711" s="238" t="str">
        <f ca="1">IF(B703="Лікар-педіатр",Законод!$G$17,IF(B703="Лікар загальної практики - сімейний лікар",Законод!$G$21,IF(B703="Лікар-терапевт",Законод!$G$25,"х")))</f>
        <v>х</v>
      </c>
      <c r="G711" s="889" t="s">
        <v>346</v>
      </c>
      <c r="H711" s="890"/>
      <c r="I711" s="890"/>
      <c r="J711" s="890"/>
      <c r="K711" s="891"/>
      <c r="L711" s="196">
        <f ca="1">IF($B$703="Лікар загальної практики - сімейний лікар",IF(L707&lt;Законод!$C$22,0,(IF(AND(L707&gt;=Законод!$G$22,L707&lt;=Законод!$G$23),L707-Законод!$F$23,IF('01_Доходи'!L707&gt;=Законод!$H$22,Законод!$G$24,0)))),IF($B$703="Лікар-педіатр",IF(L707&lt;Законод!$C$18,0,(IF(AND(L707&gt;=Законод!$G$18,L707&lt;=Законод!$G$19),L707-Законод!$F$19,IF('01_Доходи'!L707&gt;=Законод!$H$18,Законод!$G$20,0)))),IF($B$703="Лікар-терапевт",IF(L707&lt;Законод!$C$26,0,(IF(AND(L707&gt;=Законод!$G$26,L707&lt;=Законод!$G$27),L707-Законод!$F$27,IF('01_Доходи'!L707&gt;=Законод!$H$26,Законод!$G$28,0)))),0)))</f>
        <v>0</v>
      </c>
      <c r="M711" s="930"/>
      <c r="N711" s="889" t="s">
        <v>346</v>
      </c>
      <c r="O711" s="890"/>
      <c r="P711" s="890"/>
      <c r="Q711" s="890"/>
      <c r="R711" s="891"/>
      <c r="S711" s="196">
        <f ca="1">IF($B$703="Лікар загальної практики - сімейний лікар",IF(S707&lt;Законод!$C$22,0,(IF(AND(S707&gt;=Законод!$G$22,S707&lt;=Законод!$G$23),S707-Законод!$F$23,IF('01_Доходи'!S707&gt;=Законод!$H$22,Законод!$G$24,0)))),IF($B$703="Лікар-педіатр",IF(S707&lt;Законод!$C$18,0,(IF(AND(S707&gt;=Законод!$G$18,S707&lt;=Законод!$G$19),S707-Законод!$F$19,IF('01_Доходи'!S707&gt;=Законод!$H$18,Законод!$G$20,0)))),IF($B$703="Лікар-терапевт",IF(S707&lt;Законод!$C$26,0,(IF(AND(S707&gt;=Законод!$G$26,S707&lt;=Законод!$G$27),S707-Законод!$F$27,IF('01_Доходи'!S707&gt;=Законод!$H$26,Законод!$G$28,0)))),0)))</f>
        <v>0</v>
      </c>
      <c r="T711" s="930"/>
      <c r="U711" s="889" t="s">
        <v>346</v>
      </c>
      <c r="V711" s="890"/>
      <c r="W711" s="890"/>
      <c r="X711" s="890"/>
      <c r="Y711" s="891"/>
      <c r="Z711" s="196">
        <f ca="1">IF($B$703="Лікар загальної практики - сімейний лікар",IF(Z707&lt;Законод!$C$22,0,(IF(AND(Z707&gt;=Законод!$G$22,Z707&lt;=Законод!$G$23),Z707-Законод!$F$23,IF('01_Доходи'!Z707&gt;=Законод!$H$22,Законод!$G$24,0)))),IF($B$703="Лікар-педіатр",IF(Z707&lt;Законод!$C$18,0,(IF(AND(Z707&gt;=Законод!$G$18,Z707&lt;=Законод!$G$19),Z707-Законод!$F$19,IF('01_Доходи'!Z707&gt;=Законод!$H$18,Законод!$G$20,0)))),IF($B$703="Лікар-терапевт",IF(Z707&lt;Законод!$C$26,0,(IF(AND(Z707&gt;=Законод!$G$26,Z707&lt;=Законод!$G$27),Z707-Законод!$F$27,IF('01_Доходи'!Z707&gt;=Законод!$H$26,Законод!$G$28,0)))),0)))</f>
        <v>0</v>
      </c>
      <c r="AA711" s="930"/>
      <c r="AB711" s="889" t="s">
        <v>346</v>
      </c>
      <c r="AC711" s="890"/>
      <c r="AD711" s="890"/>
      <c r="AE711" s="890"/>
      <c r="AF711" s="891"/>
      <c r="AG711" s="196">
        <f ca="1">IF($B$703="Лікар загальної практики - сімейний лікар",IF(AG707&lt;Законод!$C$22,0,(IF(AND(AG707&gt;=Законод!$G$22,AG707&lt;=Законод!$G$23),AG707-Законод!$F$23,IF('01_Доходи'!AG707&gt;=Законод!$H$22,Законод!$G$24,0)))),IF($B$703="Лікар-педіатр",IF(AG707&lt;Законод!$C$18,0,(IF(AND(AG707&gt;=Законод!$G$18,AG707&lt;=Законод!$G$19),AG707-Законод!$F$19,IF('01_Доходи'!AG707&gt;=Законод!$H$18,Законод!$G$20,0)))),IF($B$703="Лікар-терапевт",IF(AG707&lt;Законод!$C$26,0,(IF(AND(AG707&gt;=Законод!$G$26,AG707&lt;=Законод!$G$27),AG707-Законод!$F$27,IF('01_Доходи'!AG707&gt;=Законод!$H$26,Законод!$G$28,0)))),0)))</f>
        <v>0</v>
      </c>
      <c r="AH711" s="930"/>
      <c r="AI711" s="201"/>
      <c r="AJ711" s="933"/>
      <c r="AK711" s="927"/>
      <c r="AL711" s="927"/>
      <c r="AM711" s="899"/>
      <c r="AN711" s="210">
        <f ca="1">IF(B703="Лікар загальної практики - сімейний лікар",L711*Законод!$C$9/4*Законод!$G$16,IF(B703="Лікар-педіатр",L711*Законод!$C$9/4*Законод!$G$16,IF(B703="Лікар-терапевт",L711*Законод!$C$9/4*Законод!$G$16,0)))</f>
        <v>0</v>
      </c>
      <c r="AO711" s="210">
        <f ca="1">IF(B703="Лікар загальної практики - сімейний лікар",S711*Законод!$C$9/4*Законод!$G$16,IF(B703="Лікар-педіатр",S711*Законод!$C$9/4*Законод!$G$16,IF(B703="Лікар-терапевт",S711*Законод!$C$9/4*Законод!$G$16,0)))</f>
        <v>0</v>
      </c>
      <c r="AP711" s="210">
        <f ca="1">IF(B703="Лікар загальної практики - сімейний лікар",Z711*Законод!$C$9/4*Законод!$G$16,IF(B703="Лікар-педіатр",Z711*Законод!$C$9/4*Законод!$G$16,IF(B703="Лікар-терапевт",Z711*Законод!$C$9/4*Законод!$G$16,0)))</f>
        <v>0</v>
      </c>
      <c r="AQ711" s="210">
        <f ca="1">IF(B703="Лікар загальної практики - сімейний лікар",AG711*Законод!$C$9/4*Законод!$G$16,IF(B703="Лікар-педіатр",AG711*Законод!$C$9/4*Законод!$G$16,IF(B703="Лікар-терапевт",AG711*Законод!$C$9/4*Законод!$G$16,0)))</f>
        <v>0</v>
      </c>
      <c r="AR711" s="211">
        <f t="shared" si="81"/>
        <v>0</v>
      </c>
    </row>
    <row r="712" spans="1:44" s="50" customFormat="1" ht="31.9" hidden="1" customHeight="1">
      <c r="A712" s="197"/>
      <c r="B712" s="893"/>
      <c r="C712" s="896"/>
      <c r="D712" s="912"/>
      <c r="E712" s="909"/>
      <c r="F712" s="238" t="str">
        <f ca="1">IF(B703="Лікар-педіатр",Законод!$H$17,IF(B703="Лікар загальної практики - сімейний лікар",Законод!$H$21,IF(B703="Лікар-терапевт",Законод!$H$25,"х")))</f>
        <v>х</v>
      </c>
      <c r="G712" s="889" t="s">
        <v>346</v>
      </c>
      <c r="H712" s="890"/>
      <c r="I712" s="890"/>
      <c r="J712" s="890"/>
      <c r="K712" s="891"/>
      <c r="L712" s="196">
        <f ca="1">IF($B$703="Лікар загальної практики - сімейний лікар",IF(L707&lt;Законод!$C$22,0,(IF(AND(L707&gt;=Законод!$H$22,L707&lt;=Законод!$H$23),L707-Законод!$G$23,IF('01_Доходи'!L707&gt;=Законод!$I$22,Законод!$H$24,0)))),IF($B$703="Лікар-педіатр",IF(L707&lt;Законод!$C$18,0,(IF(AND(L707&gt;=Законод!$H$18,L707&lt;=Законод!$H$19),L707-Законод!$G$19,IF('01_Доходи'!L707&gt;=Законод!$I$18,Законод!$H$20,0)))),IF($B$703="Лікар-терапевт",IF(L707&lt;Законод!$C$26,0,(IF(AND(L707&gt;=Законод!$H$26,L707&lt;=Законод!$H$27),L707-Законод!$G$27,IF(L707&gt;=Законод!$I$26,Законод!$H$28,0)))),0)))</f>
        <v>0</v>
      </c>
      <c r="M712" s="930"/>
      <c r="N712" s="889" t="s">
        <v>346</v>
      </c>
      <c r="O712" s="890"/>
      <c r="P712" s="890"/>
      <c r="Q712" s="890"/>
      <c r="R712" s="891"/>
      <c r="S712" s="196">
        <f ca="1">IF($B$703="Лікар загальної практики - сімейний лікар",IF(S707&lt;Законод!$C$22,0,(IF(AND(S707&gt;=Законод!$H$22,S707&lt;=Законод!$H$23),S707-Законод!$G$23,IF('01_Доходи'!S707&gt;=Законод!$I$22,Законод!$H$24,0)))),IF($B$703="Лікар-педіатр",IF(S707&lt;Законод!$C$18,0,(IF(AND(S707&gt;=Законод!$H$18,S707&lt;=Законод!$H$19),S707-Законод!$G$19,IF('01_Доходи'!S707&gt;=Законод!$I$18,Законод!$H$20,0)))),IF($B$703="Лікар-терапевт",IF(S707&lt;Законод!$C$26,0,(IF(AND(S707&gt;=Законод!$H$26,S707&lt;=Законод!$H$27),S707-Законод!$G$27,IF(S707&gt;=Законод!$I$26,Законод!$H$28,0)))),0)))</f>
        <v>0</v>
      </c>
      <c r="T712" s="930"/>
      <c r="U712" s="889" t="s">
        <v>346</v>
      </c>
      <c r="V712" s="890"/>
      <c r="W712" s="890"/>
      <c r="X712" s="890"/>
      <c r="Y712" s="891"/>
      <c r="Z712" s="196">
        <f ca="1">IF($B$703="Лікар загальної практики - сімейний лікар",IF(Z707&lt;Законод!$C$22,0,(IF(AND(Z707&gt;=Законод!$H$22,Z707&lt;=Законод!$H$23),Z707-Законод!$G$23,IF('01_Доходи'!Z707&gt;=Законод!$I$22,Законод!$H$24,0)))),IF($B$703="Лікар-педіатр",IF(Z707&lt;Законод!$C$18,0,(IF(AND(Z707&gt;=Законод!$H$18,Z707&lt;=Законод!$H$19),Z707-Законод!$G$19,IF('01_Доходи'!Z707&gt;=Законод!$I$18,Законод!$H$20,0)))),IF($B$703="Лікар-терапевт",IF(Z707&lt;Законод!$C$26,0,(IF(AND(Z707&gt;=Законод!$H$26,Z707&lt;=Законод!$H$27),Z707-Законод!$G$27,IF(Z707&gt;=Законод!$I$26,Законод!$H$28,0)))),0)))</f>
        <v>0</v>
      </c>
      <c r="AA712" s="930"/>
      <c r="AB712" s="889" t="s">
        <v>346</v>
      </c>
      <c r="AC712" s="890"/>
      <c r="AD712" s="890"/>
      <c r="AE712" s="890"/>
      <c r="AF712" s="891"/>
      <c r="AG712" s="196">
        <f ca="1">IF($B$703="Лікар загальної практики - сімейний лікар",IF(AG707&lt;Законод!$C$22,0,(IF(AND(AG707&gt;=Законод!$H$22,AG707&lt;=Законод!$H$23),AG707-Законод!$G$23,IF('01_Доходи'!AG707&gt;=Законод!$I$22,Законод!$H$24,0)))),IF($B$703="Лікар-педіатр",IF(AG707&lt;Законод!$C$18,0,(IF(AND(AG707&gt;=Законод!$H$18,AG707&lt;=Законод!$H$19),AG707-Законод!$G$19,IF('01_Доходи'!AG707&gt;=Законод!$I$18,Законод!$H$20,0)))),IF($B$703="Лікар-терапевт",IF(AG707&lt;Законод!$C$26,0,(IF(AND(AG707&gt;=Законод!$H$26,AG707&lt;=Законод!$H$27),AG707-Законод!$G$27,IF(AG707&gt;=Законод!$I$26,Законод!$H$28,0)))),0)))</f>
        <v>0</v>
      </c>
      <c r="AH712" s="930"/>
      <c r="AI712" s="201"/>
      <c r="AJ712" s="933"/>
      <c r="AK712" s="927"/>
      <c r="AL712" s="927"/>
      <c r="AM712" s="899"/>
      <c r="AN712" s="210">
        <f ca="1">IF(B703="Лікар загальної практики - сімейний лікар",L712*Законод!$C$9/4*Законод!$H$16,IF(B703="Лікар-педіатр",L712*Законод!$C$9/4*Законод!$H$16,IF(B703="Лікар-терапевт",L712*Законод!$C$9/4*Законод!$H$16,0)))</f>
        <v>0</v>
      </c>
      <c r="AO712" s="210">
        <f ca="1">IF(B703="Лікар загальної практики - сімейний лікар",S712*Законод!$C$9/4*Законод!$H$16,IF(B703="Лікар-педіатр",S712*Законод!$C$9/4*Законод!$H$16,IF(B703="Лікар-терапевт",S712*Законод!$C$9/4*Законод!$H$16,0)))</f>
        <v>0</v>
      </c>
      <c r="AP712" s="210">
        <f ca="1">IF(B703="Лікар загальної практики - сімейний лікар",Z712*Законод!$C$9/4*Законод!$H$16,IF(B703="Лікар-педіатр",Z712*Законод!$C$9/4*Законод!$H$16,IF(B703="Лікар-терапевт",Z712*Законод!$C$9/4*Законод!$H$16,0)))</f>
        <v>0</v>
      </c>
      <c r="AQ712" s="210">
        <f ca="1">IF(B703="Лікар загальної практики - сімейний лікар",AG712*Законод!$C$9/4*Законод!$H$16,IF(B703="Лікар-педіатр",AG712*Законод!$C$9/4*Законод!$H$16,IF(B703="Лікар-терапевт",AG712*Законод!$C$9/4*Законод!$H$16,0)))</f>
        <v>0</v>
      </c>
      <c r="AR712" s="211">
        <f t="shared" si="81"/>
        <v>0</v>
      </c>
    </row>
    <row r="713" spans="1:44" s="50" customFormat="1" ht="31.9" hidden="1" customHeight="1">
      <c r="A713" s="197"/>
      <c r="B713" s="893"/>
      <c r="C713" s="896"/>
      <c r="D713" s="912"/>
      <c r="E713" s="909"/>
      <c r="F713" s="238" t="str">
        <f ca="1">IF(B703="Лікар-педіатр",Законод!$I$17,IF(B703="Лікар загальної практики - сімейний лікар",Законод!$I$21,IF(B703="Лікар-терапевт",Законод!$I$25,"х")))</f>
        <v>х</v>
      </c>
      <c r="G713" s="889" t="s">
        <v>346</v>
      </c>
      <c r="H713" s="890"/>
      <c r="I713" s="890"/>
      <c r="J713" s="890"/>
      <c r="K713" s="891"/>
      <c r="L713" s="196">
        <f ca="1">IF($B$703="Лікар загальної практики - сімейний лікар",IF(L707&lt;Законод!$C$22,0,(IF(AND(L707&gt;=Законод!$I$22,L707&lt;=Законод!$I$23),L707-Законод!$H$23,IF('01_Доходи'!L707&gt;=Законод!$I$22,Законод!$I$24,0)))),IF($B$703="Лікар-педіатр",IF(L707&lt;Законод!$C$18,0,(IF(AND(L707&gt;=Законод!$I$18,L707&lt;=Законод!$I$19),L707-Законод!$H$19,IF('01_Доходи'!L707&gt;=Законод!$I$18,Законод!$H$20,0)))),IF($B$703="Лікар-терапевт",IF(L707&lt;Законод!$C$26,0,(IF(AND(L707&gt;=Законод!$I$26,L707&lt;=Законод!$I$27),L707-Законод!$H$27,IF('01_Доходи'!L707&gt;=Законод!$I$26,Законод!$H$28,0)))),0)))</f>
        <v>0</v>
      </c>
      <c r="M713" s="930"/>
      <c r="N713" s="889" t="s">
        <v>346</v>
      </c>
      <c r="O713" s="890"/>
      <c r="P713" s="890"/>
      <c r="Q713" s="890"/>
      <c r="R713" s="891"/>
      <c r="S713" s="196">
        <f ca="1">IF($B$703="Лікар загальної практики - сімейний лікар",IF(S707&lt;Законод!$C$22,0,(IF(AND(S707&gt;=Законод!$I$22,S707&lt;=Законод!$I$23),S707-Законод!$H$23,IF('01_Доходи'!S707&gt;=Законод!$I$22,Законод!$I$24,0)))),IF($B$703="Лікар-педіатр",IF(S707&lt;Законод!$C$18,0,(IF(AND(S707&gt;=Законод!$I$18,S707&lt;=Законод!$I$19),S707-Законод!$H$19,IF('01_Доходи'!S707&gt;=Законод!$I$18,Законод!$H$20,0)))),IF($B$703="Лікар-терапевт",IF(S707&lt;Законод!$C$26,0,(IF(AND(S707&gt;=Законод!$I$26,S707&lt;=Законод!$I$27),S707-Законод!$H$27,IF('01_Доходи'!S707&gt;=Законод!$I$26,Законод!$H$28,0)))),0)))</f>
        <v>0</v>
      </c>
      <c r="T713" s="930"/>
      <c r="U713" s="889" t="s">
        <v>346</v>
      </c>
      <c r="V713" s="890"/>
      <c r="W713" s="890"/>
      <c r="X713" s="890"/>
      <c r="Y713" s="891"/>
      <c r="Z713" s="196">
        <f ca="1">IF($B$703="Лікар загальної практики - сімейний лікар",IF(Z707&lt;Законод!$C$22,0,(IF(AND(Z707&gt;=Законод!$I$22,Z707&lt;=Законод!$I$23),Z707-Законод!$H$23,IF('01_Доходи'!Z707&gt;=Законод!$I$22,Законод!$I$24,0)))),IF($B$703="Лікар-педіатр",IF(Z707&lt;Законод!$C$18,0,(IF(AND(Z707&gt;=Законод!$I$18,Z707&lt;=Законод!$I$19),Z707-Законод!$H$19,IF('01_Доходи'!Z707&gt;=Законод!$I$18,Законод!$H$20,0)))),IF($B$703="Лікар-терапевт",IF(Z707&lt;Законод!$C$26,0,(IF(AND(Z707&gt;=Законод!$I$26,Z707&lt;=Законод!$I$27),Z707-Законод!$H$27,IF('01_Доходи'!Z707&gt;=Законод!$I$26,Законод!$H$28,0)))),0)))</f>
        <v>0</v>
      </c>
      <c r="AA713" s="930"/>
      <c r="AB713" s="889" t="s">
        <v>346</v>
      </c>
      <c r="AC713" s="890"/>
      <c r="AD713" s="890"/>
      <c r="AE713" s="890"/>
      <c r="AF713" s="891"/>
      <c r="AG713" s="196">
        <f ca="1">IF($B$703="Лікар загальної практики - сімейний лікар",IF(AG707&lt;Законод!$C$22,0,(IF(AND(AG707&gt;=Законод!$I$22,AG707&lt;=Законод!$I$23),AG707-Законод!$H$23,IF('01_Доходи'!AG707&gt;=Законод!$I$22,Законод!$I$24,0)))),IF($B$703="Лікар-педіатр",IF(AG707&lt;Законод!$C$18,0,(IF(AND(AG707&gt;=Законод!$I$18,AG707&lt;=Законод!$I$19),AG707-Законод!$H$19,IF('01_Доходи'!AG707&gt;=Законод!$I$18,Законод!$H$20,0)))),IF($B$703="Лікар-терапевт",IF(AG707&lt;Законод!$C$26,0,(IF(AND(AG707&gt;=Законод!$I$26,AG707&lt;=Законод!$I$27),AG707-Законод!$H$27,IF('01_Доходи'!AG707&gt;=Законод!$I$26,Законод!$H$28,0)))),0)))</f>
        <v>0</v>
      </c>
      <c r="AH713" s="930"/>
      <c r="AI713" s="201"/>
      <c r="AJ713" s="933"/>
      <c r="AK713" s="927"/>
      <c r="AL713" s="927"/>
      <c r="AM713" s="899"/>
      <c r="AN713" s="210">
        <f ca="1">IF(B703="Лікар загальної практики - сімейний лікар",L713*Законод!$C$9/4*Законод!$I$16,IF(B703="Лікар-педіатр",L713*Законод!$C$9/4*Законод!$I$16,IF(B703="Лікар-терапевт",L713*Законод!$C$9/4*Законод!$I$16,0)))</f>
        <v>0</v>
      </c>
      <c r="AO713" s="210">
        <f ca="1">IF(B703="Лікар загальної практики - сімейний лікар",S713*Законод!$C$9/4*Законод!$I$16,IF(B703="Лікар-педіатр",S713*Законод!$C$9/4*Законод!$I$16,IF(B703="Лікар-терапевт",S713*Законод!$C$9/4*Законод!$I$16,0)))</f>
        <v>0</v>
      </c>
      <c r="AP713" s="210">
        <f ca="1">IF(B703="Лікар загальної практики - сімейний лікар",Z713*Законод!$C$9/4*Законод!$I$16,IF(B703="Лікар-педіатр",Z713*Законод!$C$9/4*Законод!$I$16,IF(B703="Лікар-терапевт",Z713*Законод!$C$9/4*Законод!$I$16,0)))</f>
        <v>0</v>
      </c>
      <c r="AQ713" s="210">
        <f ca="1">IF(B703="Лікар загальної практики - сімейний лікар",AG713*Законод!$C$9/4*Законод!$I$16,IF(B703="Лікар-педіатр",AG713*Законод!$C$9/4*Законод!$I$16,IF(B703="Лікар-терапевт",AG713*Законод!$C$9/4*Законод!$I$16,0)))</f>
        <v>0</v>
      </c>
      <c r="AR713" s="211">
        <f t="shared" si="81"/>
        <v>0</v>
      </c>
    </row>
    <row r="714" spans="1:44" s="218" customFormat="1" ht="31.9" hidden="1" customHeight="1" thickBot="1">
      <c r="A714" s="213"/>
      <c r="B714" s="894"/>
      <c r="C714" s="897"/>
      <c r="D714" s="913"/>
      <c r="E714" s="910"/>
      <c r="F714" s="239" t="str">
        <f ca="1">IF(B703="Лікар-педіатр",Законод!$J$17,IF(B703="Лікар загальної практики - сімейний лікар",Законод!$J$21,IF(B703="Лікар-терапевт",Законод!$J$25,"х")))</f>
        <v>х</v>
      </c>
      <c r="G714" s="935" t="s">
        <v>346</v>
      </c>
      <c r="H714" s="936"/>
      <c r="I714" s="936"/>
      <c r="J714" s="936"/>
      <c r="K714" s="937"/>
      <c r="L714" s="196">
        <f ca="1">IF($B$703="Лікар загальної практики - сімейний лікар",IF(L707&gt;=Законод!$J$22,'01_Доходи'!L707-('01_Доходи'!L708+'01_Доходи'!L709+'01_Доходи'!L710+'01_Доходи'!L711+'01_Доходи'!L712+'01_Доходи'!L713),0),IF($B$703="Лікар-педіатр",IF(L707&gt;=Законод!$J$18,'01_Доходи'!L707-('01_Доходи'!L708+'01_Доходи'!L709+'01_Доходи'!L710+'01_Доходи'!L711+'01_Доходи'!L712+'01_Доходи'!L713),0),IF($B$703="Лікар-терапевт",IF('01_Доходи'!L707&gt;=Законод!$J$26,L707-Законод!$I$27,0),0)))</f>
        <v>0</v>
      </c>
      <c r="M714" s="931"/>
      <c r="N714" s="935" t="s">
        <v>346</v>
      </c>
      <c r="O714" s="936"/>
      <c r="P714" s="936"/>
      <c r="Q714" s="936"/>
      <c r="R714" s="937"/>
      <c r="S714" s="196">
        <f ca="1">IF($B$703="Лікар загальної практики - сімейний лікар",IF(S707&gt;=Законод!$J$22,'01_Доходи'!S707-('01_Доходи'!S708+'01_Доходи'!S709+'01_Доходи'!S710+'01_Доходи'!S711+'01_Доходи'!S712+'01_Доходи'!S713),0),IF($B$703="Лікар-педіатр",IF(S707&gt;=Законод!$J$18,'01_Доходи'!S707-('01_Доходи'!S708+'01_Доходи'!S709+'01_Доходи'!S710+'01_Доходи'!S711+'01_Доходи'!S712+'01_Доходи'!S713),0),IF($B$703="Лікар-терапевт",IF('01_Доходи'!S707&gt;=Законод!$J$26,S707-Законод!$I$27,0),0)))</f>
        <v>0</v>
      </c>
      <c r="T714" s="931"/>
      <c r="U714" s="935" t="s">
        <v>346</v>
      </c>
      <c r="V714" s="936"/>
      <c r="W714" s="936"/>
      <c r="X714" s="936"/>
      <c r="Y714" s="937"/>
      <c r="Z714" s="196">
        <f ca="1">IF($B$703="Лікар загальної практики - сімейний лікар",IF(Z707&gt;=Законод!$J$22,'01_Доходи'!Z707-('01_Доходи'!Z708+'01_Доходи'!Z709+'01_Доходи'!Z710+'01_Доходи'!Z711+'01_Доходи'!Z712+'01_Доходи'!Z713),0),IF($B$703="Лікар-педіатр",IF(Z707&gt;=Законод!$J$18,'01_Доходи'!Z707-('01_Доходи'!Z708+'01_Доходи'!Z709+'01_Доходи'!Z710+'01_Доходи'!Z711+'01_Доходи'!Z712+'01_Доходи'!Z713),0),IF($B$703="Лікар-терапевт",IF('01_Доходи'!Z707&gt;=Законод!$J$26,Z707-Законод!$I$27,0),0)))</f>
        <v>0</v>
      </c>
      <c r="AA714" s="931"/>
      <c r="AB714" s="935" t="s">
        <v>346</v>
      </c>
      <c r="AC714" s="936"/>
      <c r="AD714" s="936"/>
      <c r="AE714" s="936"/>
      <c r="AF714" s="937"/>
      <c r="AG714" s="196">
        <f ca="1">IF($B$703="Лікар загальної практики - сімейний лікар",IF(AG707&gt;=Законод!$J$22,'01_Доходи'!AG707-('01_Доходи'!AG708+'01_Доходи'!AG709+'01_Доходи'!AG710+'01_Доходи'!AG711+'01_Доходи'!AG712+'01_Доходи'!AG713),0),IF($B$703="Лікар-педіатр",IF(AG707&gt;=Законод!$J$18,'01_Доходи'!AG707-('01_Доходи'!AG708+'01_Доходи'!AG709+'01_Доходи'!AG710+'01_Доходи'!AG711+'01_Доходи'!AG712+'01_Доходи'!AG713),0),IF($B$703="Лікар-терапевт",IF('01_Доходи'!AG707&gt;=Законод!$J$26,AG707-Законод!$I$27,0),0)))</f>
        <v>0</v>
      </c>
      <c r="AH714" s="931"/>
      <c r="AI714" s="215"/>
      <c r="AJ714" s="934"/>
      <c r="AK714" s="928"/>
      <c r="AL714" s="928"/>
      <c r="AM714" s="900"/>
      <c r="AN714" s="216">
        <f ca="1">IF(B703="Лікар загальної практики - сімейний лікар",L714*Законод!$C$9/4*Законод!$J$16,IF(B703="Лікар-педіатр",L714*Законод!$C$9/4*Законод!$J$16,IF(B703="Лікар-терапевт",L714*Законод!$C$9/4*Законод!$J$16,0)))</f>
        <v>0</v>
      </c>
      <c r="AO714" s="216">
        <f ca="1">IF(B703="Лікар загальної практики - сімейний лікар",S714*Законод!$C$9/4*Законод!$J$16,IF(B703="Лікар-педіатр",S714*Законод!$C$9/4*Законод!$J$16,IF(B703="Лікар-терапевт",S714*Законод!$C$9/4*Законод!$J$16,0)))</f>
        <v>0</v>
      </c>
      <c r="AP714" s="216">
        <f ca="1">IF(B703="Лікар загальної практики - сімейний лікар",S714*Законод!$C$9/4*Законод!$J$16,IF(B703="Лікар-педіатр",S714*Законод!$C$9/4*Законод!$J$16,IF(B703="Лікар-терапевт",S714*Законод!$C$9/4*Законод!$J$16,0)))</f>
        <v>0</v>
      </c>
      <c r="AQ714" s="216">
        <f ca="1">IF(B703="Лікар загальної практики - сімейний лікар",AG714*Законод!$C$9/4*Законод!$J$16,IF(B703="Лікар-педіатр",AG714*Законод!$C$9/4*Законод!$J$16,IF(B703="Лікар-терапевт",AG714*Законод!$C$9/4*Законод!$J$16,0)))</f>
        <v>0</v>
      </c>
      <c r="AR714" s="217">
        <f t="shared" si="81"/>
        <v>0</v>
      </c>
    </row>
    <row r="715" spans="1:44" s="247" customFormat="1" ht="23.45" hidden="1" customHeight="1" thickBot="1">
      <c r="A715" s="243"/>
      <c r="B715" s="244"/>
      <c r="C715" s="244"/>
      <c r="D715" s="244"/>
      <c r="E715" s="244"/>
      <c r="F715" s="245"/>
      <c r="G715" s="246"/>
      <c r="H715" s="246"/>
      <c r="L715" s="248"/>
      <c r="S715" s="248"/>
      <c r="Z715" s="248"/>
      <c r="AG715" s="248"/>
      <c r="AM715" s="249"/>
      <c r="AR715" s="250"/>
    </row>
    <row r="716" spans="1:44" s="191" customFormat="1" ht="24.6" hidden="1" customHeight="1">
      <c r="A716" s="194">
        <f>A703+1</f>
        <v>53</v>
      </c>
      <c r="B716" s="892"/>
      <c r="C716" s="895"/>
      <c r="D716" s="911"/>
      <c r="E716" s="908"/>
      <c r="F716" s="234" t="s">
        <v>582</v>
      </c>
      <c r="G716" s="196">
        <f>IF($B$716="Лікар-педіатр",G719*L716,IF($B$716="Лікар-терапевт","х",IF($B$716="Лікар загальної практики - сімейний лікар",G719*L716,0)))</f>
        <v>0</v>
      </c>
      <c r="H716" s="196">
        <f>IF($B$716="Лікар-педіатр",H719*L716,IF($B$716="Лікар-терапевт","х",IF($B$716="Лікар загальної практики - сімейний лікар",H719*L716,0)))</f>
        <v>0</v>
      </c>
      <c r="I716" s="196">
        <f>IF($B$716="Лікар-педіатр","x",IF($B$716="Лікар-терапевт",I719*L716,IF($B$716="Лікар загальної практики - сімейний лікар",I719*L716,0)))</f>
        <v>0</v>
      </c>
      <c r="J716" s="196">
        <f>IF($B$716="Лікар-педіатр","x",IF($B$716="Лікар-терапевт",J719*L716,IF($B$716="Лікар загальної практики - сімейний лікар",J719*L716,0)))</f>
        <v>0</v>
      </c>
      <c r="K716" s="196">
        <f>IF($B$716="Лікар-педіатр","x",IF($B$716="Лікар-терапевт",K719*L716,IF($B$716="Лікар загальної практики - сімейний лікар",K719*L716,0)))</f>
        <v>0</v>
      </c>
      <c r="L716" s="558"/>
      <c r="M716" s="929"/>
      <c r="N716" s="196">
        <f>IF($B$716="Лікар-педіатр",N719*S716,IF($B$716="Лікар-терапевт","х",IF($B$716="Лікар загальної практики - сімейний лікар",N719*S716,0)))</f>
        <v>0</v>
      </c>
      <c r="O716" s="196">
        <f>IF($B$716="Лікар-педіатр",O719*S716,IF($B$716="Лікар-терапевт","х",IF($B$716="Лікар загальної практики - сімейний лікар",O719*S716,0)))</f>
        <v>0</v>
      </c>
      <c r="P716" s="196">
        <f>IF($B$716="Лікар-педіатр","x",IF($B$716="Лікар-терапевт",P719*S716,IF($B$716="Лікар загальної практики - сімейний лікар",P719*S716,0)))</f>
        <v>0</v>
      </c>
      <c r="Q716" s="196">
        <f>IF($B$716="Лікар-педіатр","x",IF($B$716="Лікар-терапевт",Q719*S716,IF($B$716="Лікар загальної практики - сімейний лікар",Q719*S716,0)))</f>
        <v>0</v>
      </c>
      <c r="R716" s="196">
        <f>IF($B$716="Лікар-педіатр","x",IF($B$716="Лікар-терапевт",R719*S716,IF($B$716="Лікар загальної практики - сімейний лікар",R719*S716,0)))</f>
        <v>0</v>
      </c>
      <c r="S716" s="558"/>
      <c r="T716" s="929"/>
      <c r="U716" s="196">
        <f>IF($B$716="Лікар-педіатр",U719*Z716,IF($B$716="Лікар-терапевт","х",IF($B$716="Лікар загальної практики - сімейний лікар",U719*Z716,0)))</f>
        <v>0</v>
      </c>
      <c r="V716" s="196">
        <f>IF($B$716="Лікар-педіатр",V719*Z716,IF($B$716="Лікар-терапевт","х",IF($B$716="Лікар загальної практики - сімейний лікар",V719*Z716,0)))</f>
        <v>0</v>
      </c>
      <c r="W716" s="196">
        <f>IF($B$716="Лікар-педіатр","x",IF($B$716="Лікар-терапевт",W719*Z716,IF($B$716="Лікар загальної практики - сімейний лікар",W719*Z716,0)))</f>
        <v>0</v>
      </c>
      <c r="X716" s="196">
        <f>IF($B$716="Лікар-педіатр","x",IF($B$716="Лікар-терапевт",X719*Z716,IF($B$716="Лікар загальної практики - сімейний лікар",X719*Z716,0)))</f>
        <v>0</v>
      </c>
      <c r="Y716" s="196">
        <f>IF($B$716="Лікар-педіатр","x",IF($B$716="Лікар-терапевт",Y719*Z716,IF($B$716="Лікар загальної практики - сімейний лікар",Y719*Z716,0)))</f>
        <v>0</v>
      </c>
      <c r="Z716" s="558"/>
      <c r="AA716" s="929"/>
      <c r="AB716" s="196">
        <f>IF($B$716="Лікар-педіатр",AB719*AG716,IF($B$716="Лікар-терапевт","х",IF($B$716="Лікар загальної практики - сімейний лікар",AB719*AG716,0)))</f>
        <v>0</v>
      </c>
      <c r="AC716" s="196">
        <f>IF($B$716="Лікар-педіатр",AC719*AG716,IF($B$716="Лікар-терапевт","х",IF($B$716="Лікар загальної практики - сімейний лікар",AC719*AG716,0)))</f>
        <v>0</v>
      </c>
      <c r="AD716" s="196">
        <f>IF($B$716="Лікар-педіатр","x",IF($B$716="Лікар-терапевт",AD719*AG716,IF($B$716="Лікар загальної практики - сімейний лікар",AD719*AG716,0)))</f>
        <v>0</v>
      </c>
      <c r="AE716" s="196">
        <f>IF($B$716="Лікар-педіатр","x",IF($B$716="Лікар-терапевт",AE719*AG716,IF($B$716="Лікар загальної практики - сімейний лікар",AE719*AG716,0)))</f>
        <v>0</v>
      </c>
      <c r="AF716" s="196">
        <f>IF($B$716="Лікар-педіатр","x",IF($B$716="Лікар-терапевт",AF719*AG716,IF($B$716="Лікар загальної практики - сімейний лікар",AF719*AG716,0)))</f>
        <v>0</v>
      </c>
      <c r="AG716" s="558"/>
      <c r="AH716" s="929"/>
      <c r="AI716" s="541">
        <f>A716</f>
        <v>53</v>
      </c>
      <c r="AJ716" s="932">
        <f>B716</f>
        <v>0</v>
      </c>
      <c r="AK716" s="926">
        <f>C716</f>
        <v>0</v>
      </c>
      <c r="AL716" s="926">
        <f>D716</f>
        <v>0</v>
      </c>
      <c r="AM716" s="901" t="s">
        <v>785</v>
      </c>
      <c r="AN716" s="923">
        <f>SUM(AN721:AN727)</f>
        <v>0</v>
      </c>
      <c r="AO716" s="923">
        <f>SUM(AO721:AO727)</f>
        <v>0</v>
      </c>
      <c r="AP716" s="923">
        <f>SUM(AP721:AP727)</f>
        <v>0</v>
      </c>
      <c r="AQ716" s="923">
        <f>SUM(AQ721:AQ727)</f>
        <v>0</v>
      </c>
      <c r="AR716" s="914">
        <f>SUM(AN716:AQ720)</f>
        <v>0</v>
      </c>
    </row>
    <row r="717" spans="1:44" s="50" customFormat="1" ht="28.15" hidden="1" customHeight="1">
      <c r="A717" s="197"/>
      <c r="B717" s="893"/>
      <c r="C717" s="896"/>
      <c r="D717" s="912"/>
      <c r="E717" s="909"/>
      <c r="F717" s="234" t="s">
        <v>583</v>
      </c>
      <c r="G717" s="196">
        <f>IF($B$716="Лікар-педіатр",G719*L717,IF($B$716="Лікар-терапевт","х",IF($B$716="Лікар загальної практики - сімейний лікар",G719*L717,0)))</f>
        <v>0</v>
      </c>
      <c r="H717" s="196">
        <f>IF($B$716="Лікар-педіатр",H719*L717,IF($B$716="Лікар-терапевт","х",IF($B$716="Лікар загальної практики - сімейний лікар",H719*L717,0)))</f>
        <v>0</v>
      </c>
      <c r="I717" s="196">
        <f>IF($B$716="Лікар-педіатр","x",IF($B$716="Лікар-терапевт",I719*L717,IF($B$716="Лікар загальної практики - сімейний лікар",I719*L717,0)))</f>
        <v>0</v>
      </c>
      <c r="J717" s="196">
        <f>IF($B$716="Лікар-педіатр","x",IF($B$716="Лікар-терапевт",J719*L717,IF($B$716="Лікар загальної практики - сімейний лікар",J719*L717,0)))</f>
        <v>0</v>
      </c>
      <c r="K717" s="196">
        <f>IF($B$716="Лікар-педіатр","x",IF($B$716="Лікар-терапевт",K719*L717,IF($B$716="Лікар загальної практики - сімейний лікар",K719*L717,0)))</f>
        <v>0</v>
      </c>
      <c r="L717" s="558"/>
      <c r="M717" s="930"/>
      <c r="N717" s="196">
        <f>IF($B$716="Лікар-педіатр",N719*S717,IF($B$716="Лікар-терапевт","х",IF($B$716="Лікар загальної практики - сімейний лікар",N719*S717,0)))</f>
        <v>0</v>
      </c>
      <c r="O717" s="196">
        <f>IF($B$716="Лікар-педіатр",O719*S717,IF($B$716="Лікар-терапевт","х",IF($B$716="Лікар загальної практики - сімейний лікар",O719*S717,0)))</f>
        <v>0</v>
      </c>
      <c r="P717" s="196">
        <f>IF($B$716="Лікар-педіатр","x",IF($B$716="Лікар-терапевт",P719*S717,IF($B$716="Лікар загальної практики - сімейний лікар",P719*S717,0)))</f>
        <v>0</v>
      </c>
      <c r="Q717" s="196">
        <f>IF($B$716="Лікар-педіатр","x",IF($B$716="Лікар-терапевт",Q719*S717,IF($B$716="Лікар загальної практики - сімейний лікар",Q719*S717,0)))</f>
        <v>0</v>
      </c>
      <c r="R717" s="196">
        <f>IF($B$716="Лікар-педіатр","x",IF($B$716="Лікар-терапевт",R719*S717,IF($B$716="Лікар загальної практики - сімейний лікар",R719*S717,0)))</f>
        <v>0</v>
      </c>
      <c r="S717" s="558"/>
      <c r="T717" s="930"/>
      <c r="U717" s="196">
        <f>IF($B$716="Лікар-педіатр",U719*Z717,IF($B$716="Лікар-терапевт","х",IF($B$716="Лікар загальної практики - сімейний лікар",U719*Z717,0)))</f>
        <v>0</v>
      </c>
      <c r="V717" s="196">
        <f>IF($B$716="Лікар-педіатр",V719*Z717,IF($B$716="Лікар-терапевт","х",IF($B$716="Лікар загальної практики - сімейний лікар",V719*Z717,0)))</f>
        <v>0</v>
      </c>
      <c r="W717" s="196">
        <f>IF($B$716="Лікар-педіатр","x",IF($B$716="Лікар-терапевт",W719*Z717,IF($B$716="Лікар загальної практики - сімейний лікар",W719*Z717,0)))</f>
        <v>0</v>
      </c>
      <c r="X717" s="196">
        <f>IF($B$716="Лікар-педіатр","x",IF($B$716="Лікар-терапевт",X719*Z717,IF($B$716="Лікар загальної практики - сімейний лікар",X719*Z717,0)))</f>
        <v>0</v>
      </c>
      <c r="Y717" s="196">
        <f>IF($B$716="Лікар-педіатр","x",IF($B$716="Лікар-терапевт",Y719*Z717,IF($B$716="Лікар загальної практики - сімейний лікар",Y719*Z717,0)))</f>
        <v>0</v>
      </c>
      <c r="Z717" s="558"/>
      <c r="AA717" s="930"/>
      <c r="AB717" s="196">
        <f>IF($B$716="Лікар-педіатр",AB719*AG717,IF($B$716="Лікар-терапевт","х",IF($B$716="Лікар загальної практики - сімейний лікар",AB719*AG717,0)))</f>
        <v>0</v>
      </c>
      <c r="AC717" s="196">
        <f>IF($B$716="Лікар-педіатр",AC719*AG717,IF($B$716="Лікар-терапевт","х",IF($B$716="Лікар загальної практики - сімейний лікар",AC719*AG717,0)))</f>
        <v>0</v>
      </c>
      <c r="AD717" s="196">
        <f>IF($B$716="Лікар-педіатр","x",IF($B$716="Лікар-терапевт",AD719*AG717,IF($B$716="Лікар загальної практики - сімейний лікар",AD719*AG717,0)))</f>
        <v>0</v>
      </c>
      <c r="AE717" s="196">
        <f>IF($B$716="Лікар-педіатр","x",IF($B$716="Лікар-терапевт",AE719*AG717,IF($B$716="Лікар загальної практики - сімейний лікар",AE719*AG717,0)))</f>
        <v>0</v>
      </c>
      <c r="AF717" s="196">
        <f>IF($B$716="Лікар-педіатр","x",IF($B$716="Лікар-терапевт",AF719*AG717,IF($B$716="Лікар загальної практики - сімейний лікар",AF719*AG717,0)))</f>
        <v>0</v>
      </c>
      <c r="AG717" s="558"/>
      <c r="AH717" s="930"/>
      <c r="AI717" s="198"/>
      <c r="AJ717" s="933"/>
      <c r="AK717" s="927"/>
      <c r="AL717" s="927"/>
      <c r="AM717" s="902"/>
      <c r="AN717" s="924"/>
      <c r="AO717" s="924"/>
      <c r="AP717" s="924"/>
      <c r="AQ717" s="924"/>
      <c r="AR717" s="915"/>
    </row>
    <row r="718" spans="1:44" s="90" customFormat="1" ht="31.15" hidden="1" customHeight="1">
      <c r="A718" s="240"/>
      <c r="B718" s="893"/>
      <c r="C718" s="896"/>
      <c r="D718" s="912"/>
      <c r="E718" s="909"/>
      <c r="F718" s="241" t="s">
        <v>584</v>
      </c>
      <c r="G718" s="199">
        <f>IF(B716="Лікар загальної практики - сімейний лікар"," ",IF(B716="Лікар-педіатр"," ",IF(B716="Лікар-терапевт","х",0)))</f>
        <v>0</v>
      </c>
      <c r="H718" s="199">
        <f>IF(B716="Лікар загальної практики - сімейний лікар"," ",IF(B716="Лікар-педіатр"," ",IF(B716="Лікар-терапевт","х",0)))</f>
        <v>0</v>
      </c>
      <c r="I718" s="199">
        <f>IF(B716="Лікар загальної практики - сімейний лікар"," ",IF(B716="Лікар-педіатр","х",IF(B716="Лікар-терапевт"," ",0)))</f>
        <v>0</v>
      </c>
      <c r="J718" s="199">
        <f>IF(B716="Лікар загальної практики - сімейний лікар"," ",IF(B716="Лікар-педіатр","х",IF(B716="Лікар-терапевт"," ",0)))</f>
        <v>0</v>
      </c>
      <c r="K718" s="199">
        <f>IF(B716="Лікар загальної практики - сімейний лікар"," ",IF(B716="Лікар-педіатр","х",IF(B716="Лікар-терапевт"," ",0)))</f>
        <v>0</v>
      </c>
      <c r="L718" s="200">
        <f>SUM(G718:K718)</f>
        <v>0</v>
      </c>
      <c r="M718" s="930"/>
      <c r="N718" s="199">
        <f>IF(B716="Лікар загальної практики - сімейний лікар"," ",IF(B716="Лікар-педіатр"," ",IF(B716="Лікар-терапевт","х",0)))</f>
        <v>0</v>
      </c>
      <c r="O718" s="199">
        <f>IF(B716="Лікар загальної практики - сімейний лікар"," ",IF(B716="Лікар-педіатр"," ",IF(B716="Лікар-терапевт","х",0)))</f>
        <v>0</v>
      </c>
      <c r="P718" s="199">
        <f>IF(B716="Лікар загальної практики - сімейний лікар"," ",IF(B716="Лікар-педіатр","х",IF(B716="Лікар-терапевт"," ",0)))</f>
        <v>0</v>
      </c>
      <c r="Q718" s="199">
        <f>IF(B716="Лікар загальної практики - сімейний лікар"," ",IF(B716="Лікар-педіатр","х",IF(B716="Лікар-терапевт"," ",0)))</f>
        <v>0</v>
      </c>
      <c r="R718" s="199">
        <f>IF(B716="Лікар загальної практики - сімейний лікар"," ",IF(B716="Лікар-педіатр","х",IF(B716="Лікар-терапевт"," ",0)))</f>
        <v>0</v>
      </c>
      <c r="S718" s="200">
        <f>SUM(N718:R718)</f>
        <v>0</v>
      </c>
      <c r="T718" s="930"/>
      <c r="U718" s="199">
        <f>IF(B716="Лікар загальної практики - сімейний лікар"," ",IF(B716="Лікар-педіатр"," ",IF(B716="Лікар-терапевт","х",0)))</f>
        <v>0</v>
      </c>
      <c r="V718" s="199">
        <f>IF(B716="Лікар загальної практики - сімейний лікар"," ",IF(B716="Лікар-педіатр"," ",IF(B716="Лікар-терапевт","х",0)))</f>
        <v>0</v>
      </c>
      <c r="W718" s="199">
        <f>IF(B716="Лікар загальної практики - сімейний лікар"," ",IF(B716="Лікар-педіатр","х",IF(B716="Лікар-терапевт"," ",0)))</f>
        <v>0</v>
      </c>
      <c r="X718" s="199">
        <f>IF(B716="Лікар загальної практики - сімейний лікар"," ",IF(B716="Лікар-педіатр","х",IF(B716="Лікар-терапевт"," ",0)))</f>
        <v>0</v>
      </c>
      <c r="Y718" s="199">
        <f>IF(B716="Лікар загальної практики - сімейний лікар"," ",IF(B716="Лікар-педіатр","х",IF(B716="Лікар-терапевт"," ",0)))</f>
        <v>0</v>
      </c>
      <c r="Z718" s="200">
        <f>SUM(U718:Y718)</f>
        <v>0</v>
      </c>
      <c r="AA718" s="930"/>
      <c r="AB718" s="199">
        <f>IF(B716="Лікар загальної практики - сімейний лікар"," ",IF(B716="Лікар-педіатр"," ",IF(B716="Лікар-терапевт","х",0)))</f>
        <v>0</v>
      </c>
      <c r="AC718" s="199">
        <f>IF(B716="Лікар загальної практики - сімейний лікар"," ",IF(B716="Лікар-педіатр"," ",IF(B716="Лікар-терапевт","х",0)))</f>
        <v>0</v>
      </c>
      <c r="AD718" s="199">
        <f>IF(B716="Лікар загальної практики - сімейний лікар"," ",IF(B716="Лікар-педіатр","х",IF(B716="Лікар-терапевт"," ",0)))</f>
        <v>0</v>
      </c>
      <c r="AE718" s="199">
        <f>IF(B716="Лікар загальної практики - сімейний лікар"," ",IF(B716="Лікар-педіатр","х",IF(B716="Лікар-терапевт"," ",0)))</f>
        <v>0</v>
      </c>
      <c r="AF718" s="199">
        <f>IF(B716="Лікар загальної практики - сімейний лікар"," ",IF(B716="Лікар-педіатр","х",IF(B716="Лікар-терапевт"," ",0)))</f>
        <v>0</v>
      </c>
      <c r="AG718" s="200">
        <f>SUM(AB718:AF718)</f>
        <v>0</v>
      </c>
      <c r="AH718" s="930"/>
      <c r="AI718" s="242"/>
      <c r="AJ718" s="933"/>
      <c r="AK718" s="927"/>
      <c r="AL718" s="927"/>
      <c r="AM718" s="902"/>
      <c r="AN718" s="924"/>
      <c r="AO718" s="924"/>
      <c r="AP718" s="924"/>
      <c r="AQ718" s="924"/>
      <c r="AR718" s="915"/>
    </row>
    <row r="719" spans="1:44" s="50" customFormat="1" ht="31.9" hidden="1" customHeight="1" thickBot="1">
      <c r="A719" s="197"/>
      <c r="B719" s="893"/>
      <c r="C719" s="896"/>
      <c r="D719" s="912"/>
      <c r="E719" s="909"/>
      <c r="F719" s="236" t="s">
        <v>349</v>
      </c>
      <c r="G719" s="203">
        <f>IF($B$716="Лікар-педіатр",G718/L718,IF($B$716="Лікар-терапевт","х",IF($B$716="Лікар загальної практики - сімейний лікар",G718/L718,0)))</f>
        <v>0</v>
      </c>
      <c r="H719" s="203">
        <f>IF($B$716="Лікар-педіатр",H718/L718,IF($B$716="Лікар-терапевт","х",IF($B$716="Лікар загальної практики - сімейний лікар",H718/L718,0)))</f>
        <v>0</v>
      </c>
      <c r="I719" s="203">
        <f>IF($B$716="Лікар-педіатр","x",IF($B$716="Лікар-терапевт",I718/L718,IF($B$716="Лікар загальної практики - сімейний лікар",I718/L718,0)))</f>
        <v>0</v>
      </c>
      <c r="J719" s="203">
        <f>IF($B$716="Лікар-педіатр","x",IF($B$716="Лікар-терапевт",J718/L718,IF($B$716="Лікар загальної практики - сімейний лікар",J718/L718,0)))</f>
        <v>0</v>
      </c>
      <c r="K719" s="203">
        <f>IF($B$716="Лікар-педіатр","x",IF($B$716="Лікар-терапевт",K718/L718,IF($B$716="Лікар загальної практики - сімейний лікар",K718/L718,0)))</f>
        <v>0</v>
      </c>
      <c r="L719" s="203">
        <f>SUM(G719:K719)</f>
        <v>0</v>
      </c>
      <c r="M719" s="930"/>
      <c r="N719" s="203">
        <f>IF($B$716="Лікар-педіатр",N718/S718,IF($B$716="Лікар-терапевт","х",IF($B$716="Лікар загальної практики - сімейний лікар",N718/S718,0)))</f>
        <v>0</v>
      </c>
      <c r="O719" s="203">
        <f>IF($B$716="Лікар-педіатр",O718/S718,IF($B$716="Лікар-терапевт","х",IF($B$716="Лікар загальної практики - сімейний лікар",O718/S718,0)))</f>
        <v>0</v>
      </c>
      <c r="P719" s="203">
        <f>IF($B$716="Лікар-педіатр","x",IF($B$716="Лікар-терапевт",P718/S718,IF($B$716="Лікар загальної практики - сімейний лікар",P718/S718,0)))</f>
        <v>0</v>
      </c>
      <c r="Q719" s="203">
        <f>IF($B$716="Лікар-педіатр","x",IF($B$716="Лікар-терапевт",Q718/S718,IF($B$716="Лікар загальної практики - сімейний лікар",Q718/S718,0)))</f>
        <v>0</v>
      </c>
      <c r="R719" s="203">
        <f>IF($B$716="Лікар-педіатр","x",IF($B$716="Лікар-терапевт",R718/S718,IF($B$716="Лікар загальної практики - сімейний лікар",R718/S718,0)))</f>
        <v>0</v>
      </c>
      <c r="S719" s="203">
        <f>SUM(N719:R719)</f>
        <v>0</v>
      </c>
      <c r="T719" s="930"/>
      <c r="U719" s="203">
        <f>IF($B$716="Лікар-педіатр",U718/Z718,IF($B$716="Лікар-терапевт","х",IF($B$716="Лікар загальної практики - сімейний лікар",U718/Z718,0)))</f>
        <v>0</v>
      </c>
      <c r="V719" s="203">
        <f>IF($B$716="Лікар-педіатр",V718/Z718,IF($B$716="Лікар-терапевт","х",IF($B$716="Лікар загальної практики - сімейний лікар",V718/Z718,0)))</f>
        <v>0</v>
      </c>
      <c r="W719" s="203">
        <f>IF($B$716="Лікар-педіатр","x",IF($B$716="Лікар-терапевт",W718/Z718,IF($B$716="Лікар загальної практики - сімейний лікар",W718/Z718,0)))</f>
        <v>0</v>
      </c>
      <c r="X719" s="203">
        <f>IF($B$716="Лікар-педіатр","x",IF($B$716="Лікар-терапевт",X718/Z718,IF($B$716="Лікар загальної практики - сімейний лікар",X718/Z718,0)))</f>
        <v>0</v>
      </c>
      <c r="Y719" s="203">
        <f>IF($B$716="Лікар-педіатр","x",IF($B$716="Лікар-терапевт",Y718/Z718,IF($B$716="Лікар загальної практики - сімейний лікар",Y718/Z718,0)))</f>
        <v>0</v>
      </c>
      <c r="Z719" s="203">
        <f>SUM(U719:Y719)</f>
        <v>0</v>
      </c>
      <c r="AA719" s="930"/>
      <c r="AB719" s="203">
        <f>IF($B$716="Лікар-педіатр",AB718/AG718,IF($B$716="Лікар-терапевт","х",IF($B$716="Лікар загальної практики - сімейний лікар",AB718/AG718,0)))</f>
        <v>0</v>
      </c>
      <c r="AC719" s="203">
        <f>IF($B$716="Лікар-педіатр",AC718/AG718,IF($B$716="Лікар-терапевт","х",IF($B$716="Лікар загальної практики - сімейний лікар",AC718/AG718,0)))</f>
        <v>0</v>
      </c>
      <c r="AD719" s="203">
        <f>IF($B$716="Лікар-педіатр","x",IF($B$716="Лікар-терапевт",AD718/AG718,IF($B$716="Лікар загальної практики - сімейний лікар",AD718/AG718,0)))</f>
        <v>0</v>
      </c>
      <c r="AE719" s="203">
        <f>IF($B$716="Лікар-педіатр","x",IF($B$716="Лікар-терапевт",AE718/AG718,IF($B$716="Лікар загальної практики - сімейний лікар",AE718/AG718,0)))</f>
        <v>0</v>
      </c>
      <c r="AF719" s="203">
        <f>IF($B$716="Лікар-педіатр","x",IF($B$716="Лікар-терапевт",AF718/AG718,IF($B$716="Лікар загальної практики - сімейний лікар",AF718/AG718,0)))</f>
        <v>0</v>
      </c>
      <c r="AG719" s="203">
        <f>SUM(AB719:AF719)</f>
        <v>0</v>
      </c>
      <c r="AH719" s="930"/>
      <c r="AI719" s="201"/>
      <c r="AJ719" s="933"/>
      <c r="AK719" s="927"/>
      <c r="AL719" s="927"/>
      <c r="AM719" s="902"/>
      <c r="AN719" s="924"/>
      <c r="AO719" s="924"/>
      <c r="AP719" s="924"/>
      <c r="AQ719" s="924"/>
      <c r="AR719" s="915"/>
    </row>
    <row r="720" spans="1:44" s="50" customFormat="1" ht="45" hidden="1" customHeight="1" thickBot="1">
      <c r="A720" s="197"/>
      <c r="B720" s="893"/>
      <c r="C720" s="896"/>
      <c r="D720" s="912"/>
      <c r="E720" s="909"/>
      <c r="F720" s="204" t="s">
        <v>585</v>
      </c>
      <c r="G720" s="205">
        <f>IF($B$716="Лікар загальної практики - сімейний лікар",AVERAGE(G716:G718),IF($B$716="Лікар-педіатр",AVERAGE(G716:G718),IF($B$716="Лікар-терапевт","х",0)))</f>
        <v>0</v>
      </c>
      <c r="H720" s="205">
        <f>IF($B$716="Лікар загальної практики - сімейний лікар",AVERAGE(H716:H718),IF($B$716="Лікар-педіатр",AVERAGE(H716:H718),IF($B$716="Лікар-терапевт","х",0)))</f>
        <v>0</v>
      </c>
      <c r="I720" s="205">
        <f>IF($B$716="Лікар загальної практики - сімейний лікар",AVERAGE(I716:I718),IF($B$716="Лікар-педіатр","x",IF($B$716="Лікар-терапевт",AVERAGE(I716:I718),0)))</f>
        <v>0</v>
      </c>
      <c r="J720" s="205">
        <f>IF($B$716="Лікар загальної практики - сімейний лікар",AVERAGE(J716:J718),IF($B$716="Лікар-педіатр","x",IF($B$716="Лікар-терапевт",AVERAGE(J716:J718),0)))</f>
        <v>0</v>
      </c>
      <c r="K720" s="205">
        <f>IF($B$716="Лікар загальної практики - сімейний лікар",AVERAGE(K716:K718),IF($B$716="Лікар-педіатр","x",IF($B$716="Лікар-терапевт",AVERAGE(K716:K718),0)))</f>
        <v>0</v>
      </c>
      <c r="L720" s="206">
        <f>SUM(G720:K720)</f>
        <v>0</v>
      </c>
      <c r="M720" s="930"/>
      <c r="N720" s="205">
        <f>IF($B$716="Лікар загальної практики - сімейний лікар",AVERAGE(N716:N718),IF($B$716="Лікар-педіатр",AVERAGE(N716:N718),IF($B$716="Лікар-терапевт","х",0)))</f>
        <v>0</v>
      </c>
      <c r="O720" s="205">
        <f>IF($B$716="Лікар загальної практики - сімейний лікар",AVERAGE(O716:O718),IF($B$716="Лікар-педіатр",AVERAGE(O716:O718),IF($B$716="Лікар-терапевт","х",0)))</f>
        <v>0</v>
      </c>
      <c r="P720" s="205">
        <f>IF($B$716="Лікар загальної практики - сімейний лікар",AVERAGE(P716:P718),IF($B$716="Лікар-педіатр","x",IF($B$716="Лікар-терапевт",AVERAGE(P716:P718),0)))</f>
        <v>0</v>
      </c>
      <c r="Q720" s="205">
        <f>IF($B$716="Лікар загальної практики - сімейний лікар",AVERAGE(Q716:Q718),IF($B$716="Лікар-педіатр","x",IF($B$716="Лікар-терапевт",AVERAGE(Q716:Q718),0)))</f>
        <v>0</v>
      </c>
      <c r="R720" s="205">
        <f>IF($B$716="Лікар загальної практики - сімейний лікар",AVERAGE(R716:R718),IF($B$716="Лікар-педіатр","x",IF($B$716="Лікар-терапевт",AVERAGE(R716:R718),0)))</f>
        <v>0</v>
      </c>
      <c r="S720" s="206">
        <f>SUM(N720:R720)</f>
        <v>0</v>
      </c>
      <c r="T720" s="930"/>
      <c r="U720" s="205">
        <f>IF($B$716="Лікар загальної практики - сімейний лікар",AVERAGE(U716:U718),IF($B$716="Лікар-педіатр",AVERAGE(U716:U718),IF($B$716="Лікар-терапевт","х",0)))</f>
        <v>0</v>
      </c>
      <c r="V720" s="205">
        <f>IF($B$716="Лікар загальної практики - сімейний лікар",AVERAGE(V716:V718),IF($B$716="Лікар-педіатр",AVERAGE(V716:V718),IF($B$716="Лікар-терапевт","х",0)))</f>
        <v>0</v>
      </c>
      <c r="W720" s="205">
        <f>IF($B$716="Лікар загальної практики - сімейний лікар",AVERAGE(W716:W718),IF($B$716="Лікар-педіатр","x",IF($B$716="Лікар-терапевт",AVERAGE(W716:W718),0)))</f>
        <v>0</v>
      </c>
      <c r="X720" s="205">
        <f>IF($B$716="Лікар загальної практики - сімейний лікар",AVERAGE(X716:X718),IF($B$716="Лікар-педіатр","x",IF($B$716="Лікар-терапевт",AVERAGE(X716:X718),0)))</f>
        <v>0</v>
      </c>
      <c r="Y720" s="205">
        <f>IF($B$716="Лікар загальної практики - сімейний лікар",AVERAGE(Y716:Y718),IF($B$716="Лікар-педіатр","x",IF($B$716="Лікар-терапевт",AVERAGE(Y716:Y718),0)))</f>
        <v>0</v>
      </c>
      <c r="Z720" s="206">
        <f>SUM(U720:Y720)</f>
        <v>0</v>
      </c>
      <c r="AA720" s="930"/>
      <c r="AB720" s="205">
        <f>IF($B$716="Лікар загальної практики - сімейний лікар",AVERAGE(AB716:AB718),IF($B$716="Лікар-педіатр",AVERAGE(AB716:AB718),IF($B$716="Лікар-терапевт","х",0)))</f>
        <v>0</v>
      </c>
      <c r="AC720" s="205">
        <f>IF($B$716="Лікар загальної практики - сімейний лікар",AVERAGE(AC716:AC718),IF($B$716="Лікар-педіатр",AVERAGE(AC716:AC718),IF($B$716="Лікар-терапевт","х",0)))</f>
        <v>0</v>
      </c>
      <c r="AD720" s="205">
        <f>IF($B$716="Лікар загальної практики - сімейний лікар",AVERAGE(AD716:AD718),IF($B$716="Лікар-педіатр","x",IF($B$716="Лікар-терапевт",AVERAGE(AD716:AD718),0)))</f>
        <v>0</v>
      </c>
      <c r="AE720" s="205">
        <f>IF($B$716="Лікар загальної практики - сімейний лікар",AVERAGE(AE716:AE718),IF($B$716="Лікар-педіатр","x",IF($B$716="Лікар-терапевт",AVERAGE(AE716:AE718),0)))</f>
        <v>0</v>
      </c>
      <c r="AF720" s="205">
        <f>IF($B$716="Лікар загальної практики - сімейний лікар",AVERAGE(AF716:AF718),IF($B$716="Лікар-педіатр","x",IF($B$716="Лікар-терапевт",AVERAGE(AF716:AF718),0)))</f>
        <v>0</v>
      </c>
      <c r="AG720" s="206">
        <f>SUM(AB720:AF720)</f>
        <v>0</v>
      </c>
      <c r="AH720" s="930"/>
      <c r="AI720" s="201"/>
      <c r="AJ720" s="933"/>
      <c r="AK720" s="927"/>
      <c r="AL720" s="927"/>
      <c r="AM720" s="903"/>
      <c r="AN720" s="925"/>
      <c r="AO720" s="925"/>
      <c r="AP720" s="925"/>
      <c r="AQ720" s="925"/>
      <c r="AR720" s="916"/>
    </row>
    <row r="721" spans="1:44" s="50" customFormat="1" ht="40.5" hidden="1">
      <c r="A721" s="197"/>
      <c r="B721" s="893"/>
      <c r="C721" s="896"/>
      <c r="D721" s="912"/>
      <c r="E721" s="909"/>
      <c r="F721" s="237" t="str">
        <f ca="1">IF(B716="Лікар-педіатр",Законод!$C$17,IF(B716="Лікар загальної практики - сімейний лікар",Законод!$C$21,IF(B716="Лікар-терапевт",Законод!$C$25,"х")))</f>
        <v>х</v>
      </c>
      <c r="G721" s="208">
        <f ca="1">IF($B$716="Лікар загальної практики - сімейний лікар",IF(L720&lt;=Законод!$C$22,G720,Законод!$C$22*'01_Доходи'!G719),IF($B$716="Лікар-педіатр",IF(L720&lt;=Законод!$C$18,G720,Законод!$C$18*'01_Доходи'!G719),IF($B$716="Лікар-терапевт","x",0)))</f>
        <v>0</v>
      </c>
      <c r="H721" s="208">
        <f ca="1">IF($B$716="Лікар загальної практики - сімейний лікар",IF(L720&lt;=Законод!$C$22,H720,Законод!$C$22*'01_Доходи'!H719),IF($B$716="Лікар-педіатр",IF(L720&lt;=Законод!$C$18,H720,Законод!$C$18*'01_Доходи'!H719),IF($B$716="Лікар-терапевт","x",0)))</f>
        <v>0</v>
      </c>
      <c r="I721" s="208">
        <f ca="1">IF($B$716="Лікар загальної практики - сімейний лікар",IF(L720&lt;=Законод!$C$22,I720,Законод!$C$22*'01_Доходи'!I719),IF($B$716="Лікар-педіатр","x",IF($B$716="Лікар-терапевт",IF(L720&lt;=Законод!$C$26,I720,Законод!$C$26*'01_Доходи'!I719),0)))</f>
        <v>0</v>
      </c>
      <c r="J721" s="208">
        <f ca="1">IF($B$716="Лікар загальної практики - сімейний лікар",IF(L720&lt;=Законод!$C$22,J720,Законод!$C$22*'01_Доходи'!J719),IF($B$716="Лікар-педіатр","x",IF($B$716="Лікар-терапевт",IF(L720&lt;=Законод!$C$26,J720,Законод!$C$26*'01_Доходи'!J719),0)))</f>
        <v>0</v>
      </c>
      <c r="K721" s="208">
        <f ca="1">IF($B$716="Лікар загальної практики - сімейний лікар",IF(L720&lt;=Законод!$C$22,K720,Законод!$C$22*'01_Доходи'!K719),IF($B$716="Лікар-педіатр","x",IF($B$716="Лікар-терапевт",IF(L720&lt;=Законод!$C$26,K720,Законод!$C$26*'01_Доходи'!K719),0)))</f>
        <v>0</v>
      </c>
      <c r="L721" s="209">
        <f ca="1">SUM(G721:K721)</f>
        <v>0</v>
      </c>
      <c r="M721" s="930"/>
      <c r="N721" s="208">
        <f ca="1">IF($B$716="Лікар загальної практики - сімейний лікар",IF(S720&lt;=Законод!$C$22,N720,Законод!$C$22*'01_Доходи'!N719),IF($B$716="Лікар-педіатр",IF(S720&lt;=Законод!$C$18,N720,Законод!$C$18*'01_Доходи'!N719),IF($B$716="Лікар-терапевт","x",0)))</f>
        <v>0</v>
      </c>
      <c r="O721" s="208">
        <f ca="1">IF($B$716="Лікар загальної практики - сімейний лікар",IF(S720&lt;=Законод!$C$22,O720,Законод!$C$22*'01_Доходи'!O719),IF($B$716="Лікар-педіатр",IF(S720&lt;=Законод!$C$18,O720,Законод!$C$18*'01_Доходи'!O719),IF($B$716="Лікар-терапевт","x",0)))</f>
        <v>0</v>
      </c>
      <c r="P721" s="208">
        <f ca="1">IF($B$716="Лікар загальної практики - сімейний лікар",IF(S720&lt;=Законод!$C$22,P720,Законод!$C$22*'01_Доходи'!P719),IF($B$716="Лікар-педіатр","x",IF($B$716="Лікар-терапевт",IF(S720&lt;=Законод!$C$26,P720,Законод!$C$26*'01_Доходи'!P719),0)))</f>
        <v>0</v>
      </c>
      <c r="Q721" s="208">
        <f ca="1">IF($B$716="Лікар загальної практики - сімейний лікар",IF(S720&lt;=Законод!$C$22,Q720,Законод!$C$22*'01_Доходи'!Q719),IF($B$716="Лікар-педіатр","x",IF($B$716="Лікар-терапевт",IF(S720&lt;=Законод!$C$26,Q720,Законод!$C$26*'01_Доходи'!Q719),0)))</f>
        <v>0</v>
      </c>
      <c r="R721" s="208">
        <f ca="1">IF($B$716="Лікар загальної практики - сімейний лікар",IF(S720&lt;=Законод!$C$22,R720,Законод!$C$22*'01_Доходи'!R719),IF($B$716="Лікар-педіатр","x",IF($B$716="Лікар-терапевт",IF(S720&lt;=Законод!$C$26,R720,Законод!$C$26*'01_Доходи'!R719),0)))</f>
        <v>0</v>
      </c>
      <c r="S721" s="209">
        <f ca="1">SUM(N721:R721)</f>
        <v>0</v>
      </c>
      <c r="T721" s="930"/>
      <c r="U721" s="208">
        <f ca="1">IF($B$716="Лікар загальної практики - сімейний лікар",IF(Z720&lt;=Законод!$C$22,U720,Законод!$C$22*'01_Доходи'!U719),IF($B$716="Лікар-педіатр",IF(Z720&lt;=Законод!$C$18,U720,Законод!$C$18*'01_Доходи'!U719),IF($B$716="Лікар-терапевт","x",0)))</f>
        <v>0</v>
      </c>
      <c r="V721" s="208">
        <f ca="1">IF($B$716="Лікар загальної практики - сімейний лікар",IF(Z720&lt;=Законод!$C$22,V720,Законод!$C$22*'01_Доходи'!V719),IF($B$716="Лікар-педіатр",IF(Z720&lt;=Законод!$C$18,V720,Законод!$C$18*'01_Доходи'!V719),IF($B$716="Лікар-терапевт","x",0)))</f>
        <v>0</v>
      </c>
      <c r="W721" s="208">
        <f ca="1">IF($B$716="Лікар загальної практики - сімейний лікар",IF(Z720&lt;=Законод!$C$22,W720,Законод!$C$22*'01_Доходи'!W719),IF($B$716="Лікар-педіатр","x",IF($B$716="Лікар-терапевт",IF(Z720&lt;=Законод!$C$26,W720,Законод!$C$26*'01_Доходи'!W719),0)))</f>
        <v>0</v>
      </c>
      <c r="X721" s="208">
        <f ca="1">IF($B$716="Лікар загальної практики - сімейний лікар",IF(Z720&lt;=Законод!$C$22,X720,Законод!$C$22*'01_Доходи'!X719),IF($B$716="Лікар-педіатр","x",IF($B$716="Лікар-терапевт",IF(Z720&lt;=Законод!$C$26,X720,Законод!$C$26*'01_Доходи'!X719),0)))</f>
        <v>0</v>
      </c>
      <c r="Y721" s="208">
        <f ca="1">IF($B$716="Лікар загальної практики - сімейний лікар",IF(Z720&lt;=Законод!$C$22,Y720,Законод!$C$22*'01_Доходи'!Y719),IF($B$716="Лікар-педіатр","x",IF($B$716="Лікар-терапевт",IF(Z720&lt;=Законод!$C$26,Y720,Законод!$C$26*'01_Доходи'!Y719),0)))</f>
        <v>0</v>
      </c>
      <c r="Z721" s="209">
        <f ca="1">SUM(U721:Y721)</f>
        <v>0</v>
      </c>
      <c r="AA721" s="930"/>
      <c r="AB721" s="208">
        <f ca="1">IF($B$716="Лікар загальної практики - сімейний лікар",IF(AG720&lt;=Законод!$C$22,AB720,Законод!$C$22*'01_Доходи'!AB719),IF($B$716="Лікар-педіатр",IF(AG720&lt;=Законод!$C$18,AB720,Законод!$C$18*'01_Доходи'!AB719),IF($B$716="Лікар-терапевт","x",0)))</f>
        <v>0</v>
      </c>
      <c r="AC721" s="208">
        <f ca="1">IF($B$716="Лікар загальної практики - сімейний лікар",IF(AG720&lt;=Законод!$C$22,AC720,Законод!$C$22*'01_Доходи'!AC719),IF($B$716="Лікар-педіатр",IF(AG720&lt;=Законод!$C$18,AC720,Законод!$C$18*'01_Доходи'!AC719),IF($B$716="Лікар-терапевт","x",0)))</f>
        <v>0</v>
      </c>
      <c r="AD721" s="208">
        <f ca="1">IF($B$716="Лікар загальної практики - сімейний лікар",IF(AG720&lt;=Законод!$C$22,AD720,Законод!$C$22*'01_Доходи'!AD719),IF($B$716="Лікар-педіатр","x",IF($B$716="Лікар-терапевт",IF(AG720&lt;=Законод!$C$26,AD720,Законод!$C$26*'01_Доходи'!AD719),0)))</f>
        <v>0</v>
      </c>
      <c r="AE721" s="208">
        <f ca="1">IF($B$716="Лікар загальної практики - сімейний лікар",IF(AG720&lt;=Законод!$C$22,AE720,Законод!$C$22*'01_Доходи'!AE719),IF($B$716="Лікар-педіатр","x",IF($B$716="Лікар-терапевт",IF(AG720&lt;=Законод!$C$26,AE720,Законод!$C$26*'01_Доходи'!AE719),0)))</f>
        <v>0</v>
      </c>
      <c r="AF721" s="208">
        <f ca="1">IF($B$716="Лікар загальної практики - сімейний лікар",IF(AG720&lt;=Законод!$C$22,AF720,Законод!$C$22*'01_Доходи'!AF719),IF($B$716="Лікар-педіатр","x",IF($B$716="Лікар-терапевт",IF(AG720&lt;=Законод!$C$26,AF720,Законод!$C$26*'01_Доходи'!AF719),0)))</f>
        <v>0</v>
      </c>
      <c r="AG721" s="209">
        <f ca="1">SUM(AB721:AF721)</f>
        <v>0</v>
      </c>
      <c r="AH721" s="930"/>
      <c r="AI721" s="201"/>
      <c r="AJ721" s="933"/>
      <c r="AK721" s="927"/>
      <c r="AL721" s="927"/>
      <c r="AM721" s="348" t="s">
        <v>374</v>
      </c>
      <c r="AN721" s="210">
        <f ca="1">IF(B716="Лікар загальної практики - сімейний лікар",G721*Законод!$C$11+'01_Доходи'!H721*Законод!$D$11+'01_Доходи'!I721*Законод!$E$11+'01_Доходи'!J721*Законод!$F$11+'01_Доходи'!K721*Законод!$G$11,IF(B716="Лікар-педіатр",G721*Законод!$C$11+'01_Доходи'!H721*Законод!$D$11,IF(B716="Лікар-терапевт",'01_Доходи'!I721*Законод!$E$11+'01_Доходи'!J721*Законод!$F$11+'01_Доходи'!K721*Законод!$G$11,0)))</f>
        <v>0</v>
      </c>
      <c r="AO721" s="210">
        <f ca="1">IF(B716="Лікар загальної практики - сімейний лікар",N721*Законод!$C$11+'01_Доходи'!O721*Законод!$D$11+'01_Доходи'!P721*Законод!$E$11+'01_Доходи'!Q721*Законод!$F$11+'01_Доходи'!R721*Законод!$G$11,IF(B716="Лікар-педіатр",N721*Законод!$C$11+'01_Доходи'!O721*Законод!$D$11,IF(B716="Лікар-терапевт",'01_Доходи'!P721*Законод!$E$11+'01_Доходи'!Q721*Законод!$F$11+'01_Доходи'!R721*Законод!$G$11,0)))</f>
        <v>0</v>
      </c>
      <c r="AP721" s="210">
        <f ca="1">IF(B716="Лікар загальної практики - сімейний лікар",U721*Законод!$C$11+'01_Доходи'!V721*Законод!$D$11+'01_Доходи'!W721*Законод!$E$11+'01_Доходи'!X721*Законод!$F$11+'01_Доходи'!Y721*Законод!$G$11,IF(B716="Лікар-педіатр",U721*Законод!$C$11+'01_Доходи'!V721*Законод!$D$11,IF(B716="Лікар-терапевт",'01_Доходи'!W721*Законод!$E$11+'01_Доходи'!X721*Законод!$F$11+'01_Доходи'!Y721*Законод!$G$11,0)))</f>
        <v>0</v>
      </c>
      <c r="AQ721" s="210">
        <f ca="1">IF(B716="Лікар загальної практики - сімейний лікар",AB721*Законод!$C$11+'01_Доходи'!AC721*Законод!$D$11+'01_Доходи'!AD721*Законод!$E$11+'01_Доходи'!AE721*Законод!$F$11+'01_Доходи'!AF721*Законод!$G$11,IF(B716="Лікар-педіатр",AB721*Законод!$C$11+'01_Доходи'!AC721*Законод!$D$11,IF(B716="Лікар-терапевт",'01_Доходи'!AD721*Законод!$E$11+'01_Доходи'!AE721*Законод!$F$11+'01_Доходи'!AF721*Законод!$G$11,0)))</f>
        <v>0</v>
      </c>
      <c r="AR721" s="211">
        <f t="shared" ref="AR721:AR727" si="82">SUM(AN721:AQ721)</f>
        <v>0</v>
      </c>
    </row>
    <row r="722" spans="1:44" s="50" customFormat="1" ht="31.9" hidden="1" customHeight="1">
      <c r="A722" s="197"/>
      <c r="B722" s="893"/>
      <c r="C722" s="896"/>
      <c r="D722" s="912"/>
      <c r="E722" s="909"/>
      <c r="F722" s="238" t="str">
        <f ca="1">IF(B716="Лікар-педіатр",Законод!$E$17,IF(B716="Лікар загальної практики - сімейний лікар",Законод!$E$21,IF(B716="Лікар-терапевт",Законод!$E$25,"х")))</f>
        <v>х</v>
      </c>
      <c r="G722" s="889" t="s">
        <v>346</v>
      </c>
      <c r="H722" s="890"/>
      <c r="I722" s="890"/>
      <c r="J722" s="890"/>
      <c r="K722" s="891"/>
      <c r="L722" s="196">
        <f ca="1">IF($B$716="Лікар загальної практики - сімейний лікар",IF(L720&lt;Законод!$C$22,0,(IF(AND(L720&gt;=Законод!$E$22,L720&lt;=Законод!$E$23),L720-Законод!$C$22,IF('01_Доходи'!L720&gt;=Законод!$F$22,Законод!$E$24,0)))),IF($B$716="Лікар-педіатр",IF(L720&lt;Законод!$C$18,0,(IF(AND(L720&gt;=Законод!$E$18,L720&lt;=Законод!$E$19),L720-Законод!$C$18,IF('01_Доходи'!L720&gt;=Законод!$F$18,Законод!$E$20,0)))),IF($B$716="Лікар-терапевт",IF(L720&lt;Законод!$C$26,0,(IF(AND(L720&gt;=Законод!$E$26,L720&lt;=Законод!$E$27),L720-Законод!$C$26,IF('01_Доходи'!L720&gt;=Законод!$F$26,Законод!$E$28,0)))),0)))</f>
        <v>0</v>
      </c>
      <c r="M722" s="930"/>
      <c r="N722" s="889" t="s">
        <v>346</v>
      </c>
      <c r="O722" s="890"/>
      <c r="P722" s="890"/>
      <c r="Q722" s="890"/>
      <c r="R722" s="891"/>
      <c r="S722" s="196">
        <f ca="1">IF($B$716="Лікар загальної практики - сімейний лікар",IF(S720&lt;Законод!$C$22,0,(IF(AND(S720&gt;=Законод!$E$22,S720&lt;=Законод!$E$23),S720-Законод!$C$22,IF('01_Доходи'!S720&gt;=Законод!$F$22,Законод!$E$24,0)))),IF($B$716="Лікар-педіатр",IF(S720&lt;Законод!$C$18,0,(IF(AND(S720&gt;=Законод!$E$18,S720&lt;=Законод!$E$19),S720-Законод!$C$18,IF('01_Доходи'!S720&gt;=Законод!$F$18,Законод!$E$20,0)))),IF($B$716="Лікар-терапевт",IF(S720&lt;Законод!$C$26,0,(IF(AND(S720&gt;=Законод!$E$26,S720&lt;=Законод!$E$27),S720-Законод!$C$26,IF('01_Доходи'!S720&gt;=Законод!$F$26,Законод!$E$28,0)))),0)))</f>
        <v>0</v>
      </c>
      <c r="T722" s="930"/>
      <c r="U722" s="889" t="s">
        <v>346</v>
      </c>
      <c r="V722" s="890"/>
      <c r="W722" s="890"/>
      <c r="X722" s="890"/>
      <c r="Y722" s="891"/>
      <c r="Z722" s="196">
        <f ca="1">IF($B$716="Лікар загальної практики - сімейний лікар",IF(Z720&lt;Законод!$C$22,0,(IF(AND(Z720&gt;=Законод!$E$22,Z720&lt;=Законод!$E$23),Z720-Законод!$C$22,IF('01_Доходи'!Z720&gt;=Законод!$F$22,Законод!$E$24,0)))),IF($B$716="Лікар-педіатр",IF(Z720&lt;Законод!$C$18,0,(IF(AND(Z720&gt;=Законод!$E$18,Z720&lt;=Законод!$E$19),Z720-Законод!$C$18,IF('01_Доходи'!Z720&gt;=Законод!$F$18,Законод!$E$20,0)))),IF($B$716="Лікар-терапевт",IF(Z720&lt;Законод!$C$26,0,(IF(AND(Z720&gt;=Законод!$E$26,Z720&lt;=Законод!$E$27),Z720-Законод!$C$26,IF('01_Доходи'!Z720&gt;=Законод!$F$26,Законод!$E$28,0)))),0)))</f>
        <v>0</v>
      </c>
      <c r="AA722" s="930"/>
      <c r="AB722" s="889" t="s">
        <v>346</v>
      </c>
      <c r="AC722" s="890"/>
      <c r="AD722" s="890"/>
      <c r="AE722" s="890"/>
      <c r="AF722" s="891"/>
      <c r="AG722" s="196">
        <f ca="1">IF($B$716="Лікар загальної практики - сімейний лікар",IF(AG720&lt;Законод!$C$22,0,(IF(AND(AG720&gt;=Законод!$E$22,AG720&lt;=Законод!$E$23),AG720-Законод!$C$22,IF('01_Доходи'!AG720&gt;=Законод!$F$22,Законод!$E$24,0)))),IF($B$716="Лікар-педіатр",IF(AG720&lt;Законод!$C$18,0,(IF(AND(AG720&gt;=Законод!$E$18,AG720&lt;=Законод!$E$19),AG720-Законод!$C$18,IF('01_Доходи'!AG720&gt;=Законод!$F$18,Законод!$E$20,0)))),IF($B$716="Лікар-терапевт",IF(AG720&lt;Законод!$C$26,0,(IF(AND(AG720&gt;=Законод!$E$26,AG720&lt;=Законод!$E$27),AG720-Законод!$C$26,IF('01_Доходи'!AG720&gt;=Законод!$F$26,Законод!$E$28,0)))),0)))</f>
        <v>0</v>
      </c>
      <c r="AH722" s="930"/>
      <c r="AI722" s="201"/>
      <c r="AJ722" s="933"/>
      <c r="AK722" s="927"/>
      <c r="AL722" s="927"/>
      <c r="AM722" s="898" t="s">
        <v>375</v>
      </c>
      <c r="AN722" s="210">
        <f ca="1">IF(B716="Лікар загальної практики - сімейний лікар",L722*Законод!$C$9/4*Законод!$E$16,IF(B716="Лікар-педіатр",L722*Законод!$C$9/4*Законод!$E$16,IF(B716="Лікар-терапевт",L722*Законод!$C$9/4*Законод!$E$16,0)))</f>
        <v>0</v>
      </c>
      <c r="AO722" s="210">
        <f ca="1">IF(B716="Лікар загальної практики - сімейний лікар",S722*Законод!$C$9/4*Законод!$E$16,IF(B716="Лікар-педіатр",S722*Законод!$C$9/4*Законод!$E$16,IF(B716="Лікар-терапевт",S722*Законод!$C$9/4*Законод!$E$16,0)))</f>
        <v>0</v>
      </c>
      <c r="AP722" s="210">
        <f ca="1">IF(B716="Лікар загальної практики - сімейний лікар",Z722*Законод!$C$9/4*Законод!$E$16,IF(B716="Лікар-педіатр",Z722*Законод!$C$9/4*Законод!$E$16,IF(B716="Лікар-терапевт",Z722*Законод!$C$9/4*Законод!$E$16,0)))</f>
        <v>0</v>
      </c>
      <c r="AQ722" s="210">
        <f ca="1">IF(B716="Лікар загальної практики - сімейний лікар",AG722*Законод!$C$9/4*Законод!$E$16,IF(B716="Лікар-педіатр",AG722*Законод!$C$9/4*Законод!$E$16,IF(B716="Лікар-терапевт",AG722*Законод!$C$9/4*Законод!$E$16,0)))</f>
        <v>0</v>
      </c>
      <c r="AR722" s="211">
        <f t="shared" si="82"/>
        <v>0</v>
      </c>
    </row>
    <row r="723" spans="1:44" s="50" customFormat="1" ht="31.9" hidden="1" customHeight="1">
      <c r="A723" s="197"/>
      <c r="B723" s="893"/>
      <c r="C723" s="896"/>
      <c r="D723" s="912"/>
      <c r="E723" s="909"/>
      <c r="F723" s="238" t="str">
        <f ca="1">IF(B716="Лікар-педіатр",Законод!$F$17,IF(B716="Лікар загальної практики - сімейний лікар",Законод!$F$21,IF(B716="Лікар-терапевт",Законод!$F$25,"х")))</f>
        <v>х</v>
      </c>
      <c r="G723" s="889" t="s">
        <v>346</v>
      </c>
      <c r="H723" s="890"/>
      <c r="I723" s="890"/>
      <c r="J723" s="890"/>
      <c r="K723" s="891"/>
      <c r="L723" s="196">
        <f ca="1">IF($B$716="Лікар загальної практики - сімейний лікар",IF(L720&lt;Законод!$C$22,0,(IF(AND(L720&gt;=Законод!$F$22,L720&lt;=Законод!$F$23),L720-Законод!$E$23,IF('01_Доходи'!L720&gt;=Законод!$G$22,Законод!$F$24,0)))),IF($B$716="Лікар-педіатр",IF(L720&lt;Законод!$C$18,0,(IF(AND(L720&gt;=Законод!$F$18,L720&lt;=Законод!$F$19),L720-Законод!$E$19,IF('01_Доходи'!L720&gt;=Законод!$G$18,Законод!$F$20,0)))),IF($B$716="Лікар-терапевт",IF(L720&lt;Законод!$C$26,0,(IF(AND(L720&gt;=Законод!$F$26,L720&lt;=Законод!$F$27),L720-Законод!$E$27,IF('01_Доходи'!L720&gt;=Законод!$G$26,Законод!$F$28,0)))),0)))</f>
        <v>0</v>
      </c>
      <c r="M723" s="930"/>
      <c r="N723" s="889" t="s">
        <v>346</v>
      </c>
      <c r="O723" s="890"/>
      <c r="P723" s="890"/>
      <c r="Q723" s="890"/>
      <c r="R723" s="891"/>
      <c r="S723" s="196">
        <f ca="1">IF($B$716="Лікар загальної практики - сімейний лікар",IF(S720&lt;Законод!$C$22,0,(IF(AND(S720&gt;=Законод!$F$22,S720&lt;=Законод!$F$23),S720-Законод!$E$23,IF('01_Доходи'!S720&gt;=Законод!$G$22,Законод!$F$24,0)))),IF($B$716="Лікар-педіатр",IF(S720&lt;Законод!$C$18,0,(IF(AND(S720&gt;=Законод!$F$18,S720&lt;=Законод!$F$19),S720-Законод!$E$19,IF('01_Доходи'!S720&gt;=Законод!$G$18,Законод!$F$20,0)))),IF($B$716="Лікар-терапевт",IF(S720&lt;Законод!$C$26,0,(IF(AND(S720&gt;=Законод!$F$26,S720&lt;=Законод!$F$27),S720-Законод!$E$27,IF('01_Доходи'!S720&gt;=Законод!$G$26,Законод!$F$28,0)))),0)))</f>
        <v>0</v>
      </c>
      <c r="T723" s="930"/>
      <c r="U723" s="889" t="s">
        <v>346</v>
      </c>
      <c r="V723" s="890"/>
      <c r="W723" s="890"/>
      <c r="X723" s="890"/>
      <c r="Y723" s="891"/>
      <c r="Z723" s="196">
        <f ca="1">IF($B$716="Лікар загальної практики - сімейний лікар",IF(Z720&lt;Законод!$C$22,0,(IF(AND(Z720&gt;=Законод!$F$22,Z720&lt;=Законод!$F$23),Z720-Законод!$E$23,IF('01_Доходи'!Z720&gt;=Законод!$G$22,Законод!$F$24,0)))),IF($B$716="Лікар-педіатр",IF(Z720&lt;Законод!$C$18,0,(IF(AND(Z720&gt;=Законод!$F$18,Z720&lt;=Законод!$F$19),Z720-Законод!$E$19,IF('01_Доходи'!Z720&gt;=Законод!$G$18,Законод!$F$20,0)))),IF($B$716="Лікар-терапевт",IF(Z720&lt;Законод!$C$26,0,(IF(AND(Z720&gt;=Законод!$F$26,Z720&lt;=Законод!$F$27),Z720-Законод!$E$27,IF('01_Доходи'!Z720&gt;=Законод!$G$26,Законод!$F$28,0)))),0)))</f>
        <v>0</v>
      </c>
      <c r="AA723" s="930"/>
      <c r="AB723" s="889" t="s">
        <v>346</v>
      </c>
      <c r="AC723" s="890"/>
      <c r="AD723" s="890"/>
      <c r="AE723" s="890"/>
      <c r="AF723" s="891"/>
      <c r="AG723" s="196">
        <f ca="1">IF($B$716="Лікар загальної практики - сімейний лікар",IF(AG720&lt;Законод!$C$22,0,(IF(AND(AG720&gt;=Законод!$F$22,AG720&lt;=Законод!$F$23),AG720-Законод!$E$23,IF('01_Доходи'!AG720&gt;=Законод!$G$22,Законод!$F$24,0)))),IF($B$716="Лікар-педіатр",IF(AG720&lt;Законод!$C$18,0,(IF(AND(AG720&gt;=Законод!$F$18,AG720&lt;=Законод!$F$19),AG720-Законод!$E$19,IF('01_Доходи'!AG720&gt;=Законод!$G$18,Законод!$F$20,0)))),IF($B$716="Лікар-терапевт",IF(AG720&lt;Законод!$C$26,0,(IF(AND(AG720&gt;=Законод!$F$26,AG720&lt;=Законод!$F$27),AG720-Законод!$E$27,IF('01_Доходи'!AG720&gt;=Законод!$G$26,Законод!$F$28,0)))),0)))</f>
        <v>0</v>
      </c>
      <c r="AH723" s="930"/>
      <c r="AI723" s="201"/>
      <c r="AJ723" s="933"/>
      <c r="AK723" s="927"/>
      <c r="AL723" s="927"/>
      <c r="AM723" s="899"/>
      <c r="AN723" s="210">
        <f ca="1">IF(B716="Лікар загальної практики - сімейний лікар",L723*Законод!$C$9/4*Законод!$F$16,IF(B716="Лікар-педіатр",L723*Законод!$C$9/4*Законод!$F$16,IF(B716="Лікар-терапевт",L723*Законод!$C$9/4*Законод!$F$16,0)))</f>
        <v>0</v>
      </c>
      <c r="AO723" s="210">
        <f ca="1">IF(B716="Лікар загальної практики - сімейний лікар",S723*Законод!$C$9/4*Законод!$F$16,IF(B716="Лікар-педіатр",S723*Законод!$C$9/4*Законод!$F$16,IF(B716="Лікар-терапевт",S723*Законод!$C$9/4*Законод!$F$16,0)))</f>
        <v>0</v>
      </c>
      <c r="AP723" s="210">
        <f ca="1">IF(B716="Лікар загальної практики - сімейний лікар",Z723*Законод!$C$9/4*Законод!$F$16,IF(B716="Лікар-педіатр",Z723*Законод!$C$9/4*Законод!$F$16,IF(B716="Лікар-терапевт",Z723*Законод!$C$9/4*Законод!$F$16,0)))</f>
        <v>0</v>
      </c>
      <c r="AQ723" s="210">
        <f ca="1">IF(B716="Лікар загальної практики - сімейний лікар",AG723*Законод!$C$9/4*Законод!$F$16,IF(B716="Лікар-педіатр",AG723*Законод!$C$9/4*Законод!$F$16,IF(B716="Лікар-терапевт",AG723*Законод!$C$9/4*Законод!$F$16,0)))</f>
        <v>0</v>
      </c>
      <c r="AR723" s="211">
        <f t="shared" si="82"/>
        <v>0</v>
      </c>
    </row>
    <row r="724" spans="1:44" s="50" customFormat="1" ht="31.9" hidden="1" customHeight="1">
      <c r="A724" s="197"/>
      <c r="B724" s="893"/>
      <c r="C724" s="896"/>
      <c r="D724" s="912"/>
      <c r="E724" s="909"/>
      <c r="F724" s="238" t="str">
        <f ca="1">IF(B716="Лікар-педіатр",Законод!$G$17,IF(B716="Лікар загальної практики - сімейний лікар",Законод!$G$21,IF(B716="Лікар-терапевт",Законод!$G$25,"х")))</f>
        <v>х</v>
      </c>
      <c r="G724" s="889" t="s">
        <v>346</v>
      </c>
      <c r="H724" s="890"/>
      <c r="I724" s="890"/>
      <c r="J724" s="890"/>
      <c r="K724" s="891"/>
      <c r="L724" s="196">
        <f ca="1">IF($B$716="Лікар загальної практики - сімейний лікар",IF(L720&lt;Законод!$C$22,0,(IF(AND(L720&gt;=Законод!$G$22,L720&lt;=Законод!$G$23),L720-Законод!$F$23,IF('01_Доходи'!L720&gt;=Законод!$H$22,Законод!$G$24,0)))),IF($B$716="Лікар-педіатр",IF(L720&lt;Законод!$C$18,0,(IF(AND(L720&gt;=Законод!$G$18,L720&lt;=Законод!$G$19),L720-Законод!$F$19,IF('01_Доходи'!L720&gt;=Законод!$H$18,Законод!$G$20,0)))),IF($B$716="Лікар-терапевт",IF(L720&lt;Законод!$C$26,0,(IF(AND(L720&gt;=Законод!$G$26,L720&lt;=Законод!$G$27),L720-Законод!$F$27,IF('01_Доходи'!L720&gt;=Законод!$H$26,Законод!$G$28,0)))),0)))</f>
        <v>0</v>
      </c>
      <c r="M724" s="930"/>
      <c r="N724" s="889" t="s">
        <v>346</v>
      </c>
      <c r="O724" s="890"/>
      <c r="P724" s="890"/>
      <c r="Q724" s="890"/>
      <c r="R724" s="891"/>
      <c r="S724" s="196">
        <f ca="1">IF($B$716="Лікар загальної практики - сімейний лікар",IF(S720&lt;Законод!$C$22,0,(IF(AND(S720&gt;=Законод!$G$22,S720&lt;=Законод!$G$23),S720-Законод!$F$23,IF('01_Доходи'!S720&gt;=Законод!$H$22,Законод!$G$24,0)))),IF($B$716="Лікар-педіатр",IF(S720&lt;Законод!$C$18,0,(IF(AND(S720&gt;=Законод!$G$18,S720&lt;=Законод!$G$19),S720-Законод!$F$19,IF('01_Доходи'!S720&gt;=Законод!$H$18,Законод!$G$20,0)))),IF($B$716="Лікар-терапевт",IF(S720&lt;Законод!$C$26,0,(IF(AND(S720&gt;=Законод!$G$26,S720&lt;=Законод!$G$27),S720-Законод!$F$27,IF('01_Доходи'!S720&gt;=Законод!$H$26,Законод!$G$28,0)))),0)))</f>
        <v>0</v>
      </c>
      <c r="T724" s="930"/>
      <c r="U724" s="889" t="s">
        <v>346</v>
      </c>
      <c r="V724" s="890"/>
      <c r="W724" s="890"/>
      <c r="X724" s="890"/>
      <c r="Y724" s="891"/>
      <c r="Z724" s="196">
        <f ca="1">IF($B$716="Лікар загальної практики - сімейний лікар",IF(Z720&lt;Законод!$C$22,0,(IF(AND(Z720&gt;=Законод!$G$22,Z720&lt;=Законод!$G$23),Z720-Законод!$F$23,IF('01_Доходи'!Z720&gt;=Законод!$H$22,Законод!$G$24,0)))),IF($B$716="Лікар-педіатр",IF(Z720&lt;Законод!$C$18,0,(IF(AND(Z720&gt;=Законод!$G$18,Z720&lt;=Законод!$G$19),Z720-Законод!$F$19,IF('01_Доходи'!Z720&gt;=Законод!$H$18,Законод!$G$20,0)))),IF($B$716="Лікар-терапевт",IF(Z720&lt;Законод!$C$26,0,(IF(AND(Z720&gt;=Законод!$G$26,Z720&lt;=Законод!$G$27),Z720-Законод!$F$27,IF('01_Доходи'!Z720&gt;=Законод!$H$26,Законод!$G$28,0)))),0)))</f>
        <v>0</v>
      </c>
      <c r="AA724" s="930"/>
      <c r="AB724" s="889" t="s">
        <v>346</v>
      </c>
      <c r="AC724" s="890"/>
      <c r="AD724" s="890"/>
      <c r="AE724" s="890"/>
      <c r="AF724" s="891"/>
      <c r="AG724" s="196">
        <f ca="1">IF($B$716="Лікар загальної практики - сімейний лікар",IF(AG720&lt;Законод!$C$22,0,(IF(AND(AG720&gt;=Законод!$G$22,AG720&lt;=Законод!$G$23),AG720-Законод!$F$23,IF('01_Доходи'!AG720&gt;=Законод!$H$22,Законод!$G$24,0)))),IF($B$716="Лікар-педіатр",IF(AG720&lt;Законод!$C$18,0,(IF(AND(AG720&gt;=Законод!$G$18,AG720&lt;=Законод!$G$19),AG720-Законод!$F$19,IF('01_Доходи'!AG720&gt;=Законод!$H$18,Законод!$G$20,0)))),IF($B$716="Лікар-терапевт",IF(AG720&lt;Законод!$C$26,0,(IF(AND(AG720&gt;=Законод!$G$26,AG720&lt;=Законод!$G$27),AG720-Законод!$F$27,IF('01_Доходи'!AG720&gt;=Законод!$H$26,Законод!$G$28,0)))),0)))</f>
        <v>0</v>
      </c>
      <c r="AH724" s="930"/>
      <c r="AI724" s="201"/>
      <c r="AJ724" s="933"/>
      <c r="AK724" s="927"/>
      <c r="AL724" s="927"/>
      <c r="AM724" s="899"/>
      <c r="AN724" s="210">
        <f ca="1">IF(B716="Лікар загальної практики - сімейний лікар",L724*Законод!$C$9/4*Законод!$G$16,IF(B716="Лікар-педіатр",L724*Законод!$C$9/4*Законод!$G$16,IF(B716="Лікар-терапевт",L724*Законод!$C$9/4*Законод!$G$16,0)))</f>
        <v>0</v>
      </c>
      <c r="AO724" s="210">
        <f ca="1">IF(B716="Лікар загальної практики - сімейний лікар",S724*Законод!$C$9/4*Законод!$G$16,IF(B716="Лікар-педіатр",S724*Законод!$C$9/4*Законод!$G$16,IF(B716="Лікар-терапевт",S724*Законод!$C$9/4*Законод!$G$16,0)))</f>
        <v>0</v>
      </c>
      <c r="AP724" s="210">
        <f ca="1">IF(B716="Лікар загальної практики - сімейний лікар",Z724*Законод!$C$9/4*Законод!$G$16,IF(B716="Лікар-педіатр",Z724*Законод!$C$9/4*Законод!$G$16,IF(B716="Лікар-терапевт",Z724*Законод!$C$9/4*Законод!$G$16,0)))</f>
        <v>0</v>
      </c>
      <c r="AQ724" s="210">
        <f ca="1">IF(B716="Лікар загальної практики - сімейний лікар",AG724*Законод!$C$9/4*Законод!$G$16,IF(B716="Лікар-педіатр",AG724*Законод!$C$9/4*Законод!$G$16,IF(B716="Лікар-терапевт",AG724*Законод!$C$9/4*Законод!$G$16,0)))</f>
        <v>0</v>
      </c>
      <c r="AR724" s="211">
        <f t="shared" si="82"/>
        <v>0</v>
      </c>
    </row>
    <row r="725" spans="1:44" s="50" customFormat="1" ht="31.9" hidden="1" customHeight="1">
      <c r="A725" s="197"/>
      <c r="B725" s="893"/>
      <c r="C725" s="896"/>
      <c r="D725" s="912"/>
      <c r="E725" s="909"/>
      <c r="F725" s="238" t="str">
        <f ca="1">IF(B716="Лікар-педіатр",Законод!$H$17,IF(B716="Лікар загальної практики - сімейний лікар",Законод!$H$21,IF(B716="Лікар-терапевт",Законод!$H$25,"х")))</f>
        <v>х</v>
      </c>
      <c r="G725" s="889" t="s">
        <v>346</v>
      </c>
      <c r="H725" s="890"/>
      <c r="I725" s="890"/>
      <c r="J725" s="890"/>
      <c r="K725" s="891"/>
      <c r="L725" s="196">
        <f ca="1">IF($B$716="Лікар загальної практики - сімейний лікар",IF(L720&lt;Законод!$C$22,0,(IF(AND(L720&gt;=Законод!$H$22,L720&lt;=Законод!$H$23),L720-Законод!$G$23,IF('01_Доходи'!L720&gt;=Законод!$I$22,Законод!$H$24,0)))),IF($B$716="Лікар-педіатр",IF(L720&lt;Законод!$C$18,0,(IF(AND(L720&gt;=Законод!$H$18,L720&lt;=Законод!$H$19),L720-Законод!$G$19,IF('01_Доходи'!L720&gt;=Законод!$I$18,Законод!$H$20,0)))),IF($B$716="Лікар-терапевт",IF(L720&lt;Законод!$C$26,0,(IF(AND(L720&gt;=Законод!$H$26,L720&lt;=Законод!$H$27),L720-Законод!$G$27,IF(L720&gt;=Законод!$I$26,Законод!$H$28,0)))),0)))</f>
        <v>0</v>
      </c>
      <c r="M725" s="930"/>
      <c r="N725" s="889" t="s">
        <v>346</v>
      </c>
      <c r="O725" s="890"/>
      <c r="P725" s="890"/>
      <c r="Q725" s="890"/>
      <c r="R725" s="891"/>
      <c r="S725" s="196">
        <f ca="1">IF($B$716="Лікар загальної практики - сімейний лікар",IF(S720&lt;Законод!$C$22,0,(IF(AND(S720&gt;=Законод!$H$22,S720&lt;=Законод!$H$23),S720-Законод!$G$23,IF('01_Доходи'!S720&gt;=Законод!$I$22,Законод!$H$24,0)))),IF($B$716="Лікар-педіатр",IF(S720&lt;Законод!$C$18,0,(IF(AND(S720&gt;=Законод!$H$18,S720&lt;=Законод!$H$19),S720-Законод!$G$19,IF('01_Доходи'!S720&gt;=Законод!$I$18,Законод!$H$20,0)))),IF($B$716="Лікар-терапевт",IF(S720&lt;Законод!$C$26,0,(IF(AND(S720&gt;=Законод!$H$26,S720&lt;=Законод!$H$27),S720-Законод!$G$27,IF(S720&gt;=Законод!$I$26,Законод!$H$28,0)))),0)))</f>
        <v>0</v>
      </c>
      <c r="T725" s="930"/>
      <c r="U725" s="889" t="s">
        <v>346</v>
      </c>
      <c r="V725" s="890"/>
      <c r="W725" s="890"/>
      <c r="X725" s="890"/>
      <c r="Y725" s="891"/>
      <c r="Z725" s="196">
        <f ca="1">IF($B$716="Лікар загальної практики - сімейний лікар",IF(Z720&lt;Законод!$C$22,0,(IF(AND(Z720&gt;=Законод!$H$22,Z720&lt;=Законод!$H$23),Z720-Законод!$G$23,IF('01_Доходи'!Z720&gt;=Законод!$I$22,Законод!$H$24,0)))),IF($B$716="Лікар-педіатр",IF(Z720&lt;Законод!$C$18,0,(IF(AND(Z720&gt;=Законод!$H$18,Z720&lt;=Законод!$H$19),Z720-Законод!$G$19,IF('01_Доходи'!Z720&gt;=Законод!$I$18,Законод!$H$20,0)))),IF($B$716="Лікар-терапевт",IF(Z720&lt;Законод!$C$26,0,(IF(AND(Z720&gt;=Законод!$H$26,Z720&lt;=Законод!$H$27),Z720-Законод!$G$27,IF(Z720&gt;=Законод!$I$26,Законод!$H$28,0)))),0)))</f>
        <v>0</v>
      </c>
      <c r="AA725" s="930"/>
      <c r="AB725" s="889" t="s">
        <v>346</v>
      </c>
      <c r="AC725" s="890"/>
      <c r="AD725" s="890"/>
      <c r="AE725" s="890"/>
      <c r="AF725" s="891"/>
      <c r="AG725" s="196">
        <f ca="1">IF($B$716="Лікар загальної практики - сімейний лікар",IF(AG720&lt;Законод!$C$22,0,(IF(AND(AG720&gt;=Законод!$H$22,AG720&lt;=Законод!$H$23),AG720-Законод!$G$23,IF('01_Доходи'!AG720&gt;=Законод!$I$22,Законод!$H$24,0)))),IF($B$716="Лікар-педіатр",IF(AG720&lt;Законод!$C$18,0,(IF(AND(AG720&gt;=Законод!$H$18,AG720&lt;=Законод!$H$19),AG720-Законод!$G$19,IF('01_Доходи'!AG720&gt;=Законод!$I$18,Законод!$H$20,0)))),IF($B$716="Лікар-терапевт",IF(AG720&lt;Законод!$C$26,0,(IF(AND(AG720&gt;=Законод!$H$26,AG720&lt;=Законод!$H$27),AG720-Законод!$G$27,IF(AG720&gt;=Законод!$I$26,Законод!$H$28,0)))),0)))</f>
        <v>0</v>
      </c>
      <c r="AH725" s="930"/>
      <c r="AI725" s="201"/>
      <c r="AJ725" s="933"/>
      <c r="AK725" s="927"/>
      <c r="AL725" s="927"/>
      <c r="AM725" s="899"/>
      <c r="AN725" s="210">
        <f ca="1">IF(B716="Лікар загальної практики - сімейний лікар",L725*Законод!$C$9/4*Законод!$H$16,IF(B716="Лікар-педіатр",L725*Законод!$C$9/4*Законод!$H$16,IF(B716="Лікар-терапевт",L725*Законод!$C$9/4*Законод!$H$16,0)))</f>
        <v>0</v>
      </c>
      <c r="AO725" s="210">
        <f ca="1">IF(B716="Лікар загальної практики - сімейний лікар",S725*Законод!$C$9/4*Законод!$H$16,IF(B716="Лікар-педіатр",S725*Законод!$C$9/4*Законод!$H$16,IF(B716="Лікар-терапевт",S725*Законод!$C$9/4*Законод!$H$16,0)))</f>
        <v>0</v>
      </c>
      <c r="AP725" s="210">
        <f ca="1">IF(B716="Лікар загальної практики - сімейний лікар",Z725*Законод!$C$9/4*Законод!$H$16,IF(B716="Лікар-педіатр",Z725*Законод!$C$9/4*Законод!$H$16,IF(B716="Лікар-терапевт",Z725*Законод!$C$9/4*Законод!$H$16,0)))</f>
        <v>0</v>
      </c>
      <c r="AQ725" s="210">
        <f ca="1">IF(B716="Лікар загальної практики - сімейний лікар",AG725*Законод!$C$9/4*Законод!$H$16,IF(B716="Лікар-педіатр",AG725*Законод!$C$9/4*Законод!$H$16,IF(B716="Лікар-терапевт",AG725*Законод!$C$9/4*Законод!$H$16,0)))</f>
        <v>0</v>
      </c>
      <c r="AR725" s="211">
        <f t="shared" si="82"/>
        <v>0</v>
      </c>
    </row>
    <row r="726" spans="1:44" s="50" customFormat="1" ht="31.9" hidden="1" customHeight="1">
      <c r="A726" s="197"/>
      <c r="B726" s="893"/>
      <c r="C726" s="896"/>
      <c r="D726" s="912"/>
      <c r="E726" s="909"/>
      <c r="F726" s="238" t="str">
        <f ca="1">IF(B716="Лікар-педіатр",Законод!$I$17,IF(B716="Лікар загальної практики - сімейний лікар",Законод!$I$21,IF(B716="Лікар-терапевт",Законод!$I$25,"х")))</f>
        <v>х</v>
      </c>
      <c r="G726" s="889" t="s">
        <v>346</v>
      </c>
      <c r="H726" s="890"/>
      <c r="I726" s="890"/>
      <c r="J726" s="890"/>
      <c r="K726" s="891"/>
      <c r="L726" s="196">
        <f ca="1">IF($B$716="Лікар загальної практики - сімейний лікар",IF(L720&lt;Законод!$C$22,0,(IF(AND(L720&gt;=Законод!$I$22,L720&lt;=Законод!$I$23),L720-Законод!$H$23,IF('01_Доходи'!L720&gt;=Законод!$I$22,Законод!$I$24,0)))),IF($B$716="Лікар-педіатр",IF(L720&lt;Законод!$C$18,0,(IF(AND(L720&gt;=Законод!$I$18,L720&lt;=Законод!$I$19),L720-Законод!$H$19,IF('01_Доходи'!L720&gt;=Законод!$I$18,Законод!$H$20,0)))),IF($B$716="Лікар-терапевт",IF(L720&lt;Законод!$C$26,0,(IF(AND(L720&gt;=Законод!$I$26,L720&lt;=Законод!$I$27),L720-Законод!$H$27,IF('01_Доходи'!L720&gt;=Законод!$I$26,Законод!$H$28,0)))),0)))</f>
        <v>0</v>
      </c>
      <c r="M726" s="930"/>
      <c r="N726" s="889" t="s">
        <v>346</v>
      </c>
      <c r="O726" s="890"/>
      <c r="P726" s="890"/>
      <c r="Q726" s="890"/>
      <c r="R726" s="891"/>
      <c r="S726" s="196">
        <f ca="1">IF($B$716="Лікар загальної практики - сімейний лікар",IF(S720&lt;Законод!$C$22,0,(IF(AND(S720&gt;=Законод!$I$22,S720&lt;=Законод!$I$23),S720-Законод!$H$23,IF('01_Доходи'!S720&gt;=Законод!$I$22,Законод!$I$24,0)))),IF($B$716="Лікар-педіатр",IF(S720&lt;Законод!$C$18,0,(IF(AND(S720&gt;=Законод!$I$18,S720&lt;=Законод!$I$19),S720-Законод!$H$19,IF('01_Доходи'!S720&gt;=Законод!$I$18,Законод!$H$20,0)))),IF($B$716="Лікар-терапевт",IF(S720&lt;Законод!$C$26,0,(IF(AND(S720&gt;=Законод!$I$26,S720&lt;=Законод!$I$27),S720-Законод!$H$27,IF('01_Доходи'!S720&gt;=Законод!$I$26,Законод!$H$28,0)))),0)))</f>
        <v>0</v>
      </c>
      <c r="T726" s="930"/>
      <c r="U726" s="889" t="s">
        <v>346</v>
      </c>
      <c r="V726" s="890"/>
      <c r="W726" s="890"/>
      <c r="X726" s="890"/>
      <c r="Y726" s="891"/>
      <c r="Z726" s="196">
        <f ca="1">IF($B$716="Лікар загальної практики - сімейний лікар",IF(Z720&lt;Законод!$C$22,0,(IF(AND(Z720&gt;=Законод!$I$22,Z720&lt;=Законод!$I$23),Z720-Законод!$H$23,IF('01_Доходи'!Z720&gt;=Законод!$I$22,Законод!$I$24,0)))),IF($B$716="Лікар-педіатр",IF(Z720&lt;Законод!$C$18,0,(IF(AND(Z720&gt;=Законод!$I$18,Z720&lt;=Законод!$I$19),Z720-Законод!$H$19,IF('01_Доходи'!Z720&gt;=Законод!$I$18,Законод!$H$20,0)))),IF($B$716="Лікар-терапевт",IF(Z720&lt;Законод!$C$26,0,(IF(AND(Z720&gt;=Законод!$I$26,Z720&lt;=Законод!$I$27),Z720-Законод!$H$27,IF('01_Доходи'!Z720&gt;=Законод!$I$26,Законод!$H$28,0)))),0)))</f>
        <v>0</v>
      </c>
      <c r="AA726" s="930"/>
      <c r="AB726" s="889" t="s">
        <v>346</v>
      </c>
      <c r="AC726" s="890"/>
      <c r="AD726" s="890"/>
      <c r="AE726" s="890"/>
      <c r="AF726" s="891"/>
      <c r="AG726" s="196">
        <f ca="1">IF($B$716="Лікар загальної практики - сімейний лікар",IF(AG720&lt;Законод!$C$22,0,(IF(AND(AG720&gt;=Законод!$I$22,AG720&lt;=Законод!$I$23),AG720-Законод!$H$23,IF('01_Доходи'!AG720&gt;=Законод!$I$22,Законод!$I$24,0)))),IF($B$716="Лікар-педіатр",IF(AG720&lt;Законод!$C$18,0,(IF(AND(AG720&gt;=Законод!$I$18,AG720&lt;=Законод!$I$19),AG720-Законод!$H$19,IF('01_Доходи'!AG720&gt;=Законод!$I$18,Законод!$H$20,0)))),IF($B$716="Лікар-терапевт",IF(AG720&lt;Законод!$C$26,0,(IF(AND(AG720&gt;=Законод!$I$26,AG720&lt;=Законод!$I$27),AG720-Законод!$H$27,IF('01_Доходи'!AG720&gt;=Законод!$I$26,Законод!$H$28,0)))),0)))</f>
        <v>0</v>
      </c>
      <c r="AH726" s="930"/>
      <c r="AI726" s="201"/>
      <c r="AJ726" s="933"/>
      <c r="AK726" s="927"/>
      <c r="AL726" s="927"/>
      <c r="AM726" s="899"/>
      <c r="AN726" s="210">
        <f ca="1">IF(B716="Лікар загальної практики - сімейний лікар",L726*Законод!$C$9/4*Законод!$I$16,IF(B716="Лікар-педіатр",L726*Законод!$C$9/4*Законод!$I$16,IF(B716="Лікар-терапевт",L726*Законод!$C$9/4*Законод!$I$16,0)))</f>
        <v>0</v>
      </c>
      <c r="AO726" s="210">
        <f ca="1">IF(B716="Лікар загальної практики - сімейний лікар",S726*Законод!$C$9/4*Законод!$I$16,IF(B716="Лікар-педіатр",S726*Законод!$C$9/4*Законод!$I$16,IF(B716="Лікар-терапевт",S726*Законод!$C$9/4*Законод!$I$16,0)))</f>
        <v>0</v>
      </c>
      <c r="AP726" s="210">
        <f ca="1">IF(B716="Лікар загальної практики - сімейний лікар",Z726*Законод!$C$9/4*Законод!$I$16,IF(B716="Лікар-педіатр",Z726*Законод!$C$9/4*Законод!$I$16,IF(B716="Лікар-терапевт",Z726*Законод!$C$9/4*Законод!$I$16,0)))</f>
        <v>0</v>
      </c>
      <c r="AQ726" s="210">
        <f ca="1">IF(B716="Лікар загальної практики - сімейний лікар",AG726*Законод!$C$9/4*Законод!$I$16,IF(B716="Лікар-педіатр",AG726*Законод!$C$9/4*Законод!$I$16,IF(B716="Лікар-терапевт",AG726*Законод!$C$9/4*Законод!$I$16,0)))</f>
        <v>0</v>
      </c>
      <c r="AR726" s="211">
        <f t="shared" si="82"/>
        <v>0</v>
      </c>
    </row>
    <row r="727" spans="1:44" s="218" customFormat="1" ht="31.9" hidden="1" customHeight="1" thickBot="1">
      <c r="A727" s="213"/>
      <c r="B727" s="894"/>
      <c r="C727" s="897"/>
      <c r="D727" s="913"/>
      <c r="E727" s="910"/>
      <c r="F727" s="239" t="str">
        <f ca="1">IF(B716="Лікар-педіатр",Законод!$J$17,IF(B716="Лікар загальної практики - сімейний лікар",Законод!$J$21,IF(B716="Лікар-терапевт",Законод!$J$25,"х")))</f>
        <v>х</v>
      </c>
      <c r="G727" s="935" t="s">
        <v>346</v>
      </c>
      <c r="H727" s="936"/>
      <c r="I727" s="936"/>
      <c r="J727" s="936"/>
      <c r="K727" s="937"/>
      <c r="L727" s="196">
        <f ca="1">IF($B$716="Лікар загальної практики - сімейний лікар",IF(L720&gt;=Законод!$J$22,'01_Доходи'!L720-('01_Доходи'!L721+'01_Доходи'!L722+'01_Доходи'!L723+'01_Доходи'!L724+'01_Доходи'!L725+'01_Доходи'!L726),0),IF($B$716="Лікар-педіатр",IF(L720&gt;=Законод!$J$18,'01_Доходи'!L720-('01_Доходи'!L721+'01_Доходи'!L722+'01_Доходи'!L723+'01_Доходи'!L724+'01_Доходи'!L725+'01_Доходи'!L726),0),IF($B$716="Лікар-терапевт",IF('01_Доходи'!L720&gt;=Законод!$J$26,L720-Законод!$I$27,0),0)))</f>
        <v>0</v>
      </c>
      <c r="M727" s="931"/>
      <c r="N727" s="935" t="s">
        <v>346</v>
      </c>
      <c r="O727" s="936"/>
      <c r="P727" s="936"/>
      <c r="Q727" s="936"/>
      <c r="R727" s="937"/>
      <c r="S727" s="196">
        <f ca="1">IF($B$716="Лікар загальної практики - сімейний лікар",IF(S720&gt;=Законод!$J$22,'01_Доходи'!S720-('01_Доходи'!S721+'01_Доходи'!S722+'01_Доходи'!S723+'01_Доходи'!S724+'01_Доходи'!S725+'01_Доходи'!S726),0),IF($B$716="Лікар-педіатр",IF(S720&gt;=Законод!$J$18,'01_Доходи'!S720-('01_Доходи'!S721+'01_Доходи'!S722+'01_Доходи'!S723+'01_Доходи'!S724+'01_Доходи'!S725+'01_Доходи'!S726),0),IF($B$716="Лікар-терапевт",IF('01_Доходи'!S720&gt;=Законод!$J$26,S720-Законод!$I$27,0),0)))</f>
        <v>0</v>
      </c>
      <c r="T727" s="931"/>
      <c r="U727" s="935" t="s">
        <v>346</v>
      </c>
      <c r="V727" s="936"/>
      <c r="W727" s="936"/>
      <c r="X727" s="936"/>
      <c r="Y727" s="937"/>
      <c r="Z727" s="196">
        <f ca="1">IF($B$716="Лікар загальної практики - сімейний лікар",IF(Z720&gt;=Законод!$J$22,'01_Доходи'!Z720-('01_Доходи'!Z721+'01_Доходи'!Z722+'01_Доходи'!Z723+'01_Доходи'!Z724+'01_Доходи'!Z725+'01_Доходи'!Z726),0),IF($B$716="Лікар-педіатр",IF(Z720&gt;=Законод!$J$18,'01_Доходи'!Z720-('01_Доходи'!Z721+'01_Доходи'!Z722+'01_Доходи'!Z723+'01_Доходи'!Z724+'01_Доходи'!Z725+'01_Доходи'!Z726),0),IF($B$716="Лікар-терапевт",IF('01_Доходи'!Z720&gt;=Законод!$J$26,Z720-Законод!$I$27,0),0)))</f>
        <v>0</v>
      </c>
      <c r="AA727" s="931"/>
      <c r="AB727" s="935" t="s">
        <v>346</v>
      </c>
      <c r="AC727" s="936"/>
      <c r="AD727" s="936"/>
      <c r="AE727" s="936"/>
      <c r="AF727" s="937"/>
      <c r="AG727" s="196">
        <f ca="1">IF($B$716="Лікар загальної практики - сімейний лікар",IF(AG720&gt;=Законод!$J$22,'01_Доходи'!AG720-('01_Доходи'!AG721+'01_Доходи'!AG722+'01_Доходи'!AG723+'01_Доходи'!AG724+'01_Доходи'!AG725+'01_Доходи'!AG726),0),IF($B$716="Лікар-педіатр",IF(AG720&gt;=Законод!$J$18,'01_Доходи'!AG720-('01_Доходи'!AG721+'01_Доходи'!AG722+'01_Доходи'!AG723+'01_Доходи'!AG724+'01_Доходи'!AG725+'01_Доходи'!AG726),0),IF($B$716="Лікар-терапевт",IF('01_Доходи'!AG720&gt;=Законод!$J$26,AG720-Законод!$I$27,0),0)))</f>
        <v>0</v>
      </c>
      <c r="AH727" s="931"/>
      <c r="AI727" s="215"/>
      <c r="AJ727" s="934"/>
      <c r="AK727" s="928"/>
      <c r="AL727" s="928"/>
      <c r="AM727" s="900"/>
      <c r="AN727" s="216">
        <f ca="1">IF(B716="Лікар загальної практики - сімейний лікар",L727*Законод!$C$9/4*Законод!$J$16,IF(B716="Лікар-педіатр",L727*Законод!$C$9/4*Законод!$J$16,IF(B716="Лікар-терапевт",L727*Законод!$C$9/4*Законод!$J$16,0)))</f>
        <v>0</v>
      </c>
      <c r="AO727" s="216">
        <f ca="1">IF(B716="Лікар загальної практики - сімейний лікар",S727*Законод!$C$9/4*Законод!$J$16,IF(B716="Лікар-педіатр",S727*Законод!$C$9/4*Законод!$J$16,IF(B716="Лікар-терапевт",S727*Законод!$C$9/4*Законод!$J$16,0)))</f>
        <v>0</v>
      </c>
      <c r="AP727" s="216">
        <f ca="1">IF(B716="Лікар загальної практики - сімейний лікар",S727*Законод!$C$9/4*Законод!$J$16,IF(B716="Лікар-педіатр",S727*Законод!$C$9/4*Законод!$J$16,IF(B716="Лікар-терапевт",S727*Законод!$C$9/4*Законод!$J$16,0)))</f>
        <v>0</v>
      </c>
      <c r="AQ727" s="216">
        <f ca="1">IF(B716="Лікар загальної практики - сімейний лікар",AG727*Законод!$C$9/4*Законод!$J$16,IF(B716="Лікар-педіатр",AG727*Законод!$C$9/4*Законод!$J$16,IF(B716="Лікар-терапевт",AG727*Законод!$C$9/4*Законод!$J$16,0)))</f>
        <v>0</v>
      </c>
      <c r="AR727" s="217">
        <f t="shared" si="82"/>
        <v>0</v>
      </c>
    </row>
    <row r="728" spans="1:44" s="247" customFormat="1" ht="23.45" hidden="1" customHeight="1" thickBot="1">
      <c r="A728" s="243"/>
      <c r="B728" s="244"/>
      <c r="C728" s="244"/>
      <c r="D728" s="244"/>
      <c r="E728" s="244"/>
      <c r="F728" s="245"/>
      <c r="G728" s="246"/>
      <c r="H728" s="246"/>
      <c r="L728" s="248"/>
      <c r="S728" s="248"/>
      <c r="Z728" s="248"/>
      <c r="AG728" s="248"/>
      <c r="AM728" s="249"/>
      <c r="AR728" s="250"/>
    </row>
    <row r="729" spans="1:44" s="191" customFormat="1" ht="24.6" hidden="1" customHeight="1">
      <c r="A729" s="194">
        <f>A716+1</f>
        <v>54</v>
      </c>
      <c r="B729" s="892"/>
      <c r="C729" s="895"/>
      <c r="D729" s="911"/>
      <c r="E729" s="908"/>
      <c r="F729" s="234" t="s">
        <v>582</v>
      </c>
      <c r="G729" s="196">
        <f>IF($B$729="Лікар-педіатр",G732*L729,IF($B$729="Лікар-терапевт","х",IF($B$729="Лікар загальної практики - сімейний лікар",G732*L729,0)))</f>
        <v>0</v>
      </c>
      <c r="H729" s="196">
        <f>IF($B$729="Лікар-педіатр",H732*L729,IF($B$729="Лікар-терапевт","х",IF($B$729="Лікар загальної практики - сімейний лікар",H732*L729,0)))</f>
        <v>0</v>
      </c>
      <c r="I729" s="196">
        <f>IF($B$729="Лікар-педіатр","x",IF($B$729="Лікар-терапевт",I732*L729,IF($B$729="Лікар загальної практики - сімейний лікар",I732*L729,0)))</f>
        <v>0</v>
      </c>
      <c r="J729" s="196">
        <f>IF($B$729="Лікар-педіатр","x",IF($B$729="Лікар-терапевт",J732*L729,IF($B$729="Лікар загальної практики - сімейний лікар",J732*L729,0)))</f>
        <v>0</v>
      </c>
      <c r="K729" s="196">
        <f>IF($B$729="Лікар-педіатр","x",IF($B$729="Лікар-терапевт",K732*L729,IF($B$729="Лікар загальної практики - сімейний лікар",K732*L729,0)))</f>
        <v>0</v>
      </c>
      <c r="L729" s="558"/>
      <c r="M729" s="929"/>
      <c r="N729" s="196">
        <f>IF($B$729="Лікар-педіатр",N732*S729,IF($B$729="Лікар-терапевт","х",IF($B$729="Лікар загальної практики - сімейний лікар",N732*S729,0)))</f>
        <v>0</v>
      </c>
      <c r="O729" s="196">
        <f>IF($B$729="Лікар-педіатр",O732*S729,IF($B$729="Лікар-терапевт","х",IF($B$729="Лікар загальної практики - сімейний лікар",O732*S729,0)))</f>
        <v>0</v>
      </c>
      <c r="P729" s="196">
        <f>IF($B$729="Лікар-педіатр","x",IF($B$729="Лікар-терапевт",P732*S729,IF($B$729="Лікар загальної практики - сімейний лікар",P732*S729,0)))</f>
        <v>0</v>
      </c>
      <c r="Q729" s="196">
        <f>IF($B$729="Лікар-педіатр","x",IF($B$729="Лікар-терапевт",Q732*S729,IF($B$729="Лікар загальної практики - сімейний лікар",Q732*S729,0)))</f>
        <v>0</v>
      </c>
      <c r="R729" s="196">
        <f>IF($B$729="Лікар-педіатр","x",IF($B$729="Лікар-терапевт",R732*S729,IF($B$729="Лікар загальної практики - сімейний лікар",R732*S729,0)))</f>
        <v>0</v>
      </c>
      <c r="S729" s="558"/>
      <c r="T729" s="929"/>
      <c r="U729" s="196">
        <f>IF($B$729="Лікар-педіатр",U732*Z729,IF($B$729="Лікар-терапевт","х",IF($B$729="Лікар загальної практики - сімейний лікар",U732*Z729,0)))</f>
        <v>0</v>
      </c>
      <c r="V729" s="196">
        <f>IF($B$729="Лікар-педіатр",V732*Z729,IF($B$729="Лікар-терапевт","х",IF($B$729="Лікар загальної практики - сімейний лікар",V732*Z729,0)))</f>
        <v>0</v>
      </c>
      <c r="W729" s="196">
        <f>IF($B$729="Лікар-педіатр","x",IF($B$729="Лікар-терапевт",W732*Z729,IF($B$729="Лікар загальної практики - сімейний лікар",W732*Z729,0)))</f>
        <v>0</v>
      </c>
      <c r="X729" s="196">
        <f>IF($B$729="Лікар-педіатр","x",IF($B$729="Лікар-терапевт",X732*Z729,IF($B$729="Лікар загальної практики - сімейний лікар",X732*Z729,0)))</f>
        <v>0</v>
      </c>
      <c r="Y729" s="196">
        <f>IF($B$729="Лікар-педіатр","x",IF($B$729="Лікар-терапевт",Y732*Z729,IF($B$729="Лікар загальної практики - сімейний лікар",Y732*Z729,0)))</f>
        <v>0</v>
      </c>
      <c r="Z729" s="558"/>
      <c r="AA729" s="929"/>
      <c r="AB729" s="196">
        <f>IF($B$729="Лікар-педіатр",AB732*AG729,IF($B$729="Лікар-терапевт","х",IF($B$729="Лікар загальної практики - сімейний лікар",AB732*AG729,0)))</f>
        <v>0</v>
      </c>
      <c r="AC729" s="196">
        <f>IF($B$729="Лікар-педіатр",AC732*AG729,IF($B$729="Лікар-терапевт","х",IF($B$729="Лікар загальної практики - сімейний лікар",AC732*AG729,0)))</f>
        <v>0</v>
      </c>
      <c r="AD729" s="196">
        <f>IF($B$729="Лікар-педіатр","x",IF($B$729="Лікар-терапевт",AD732*AG729,IF($B$729="Лікар загальної практики - сімейний лікар",AD732*AG729,0)))</f>
        <v>0</v>
      </c>
      <c r="AE729" s="196">
        <f>IF($B$729="Лікар-педіатр","x",IF($B$729="Лікар-терапевт",AE732*AG729,IF($B$729="Лікар загальної практики - сімейний лікар",AE732*AG729,0)))</f>
        <v>0</v>
      </c>
      <c r="AF729" s="196">
        <f>IF($B$729="Лікар-педіатр","x",IF($B$729="Лікар-терапевт",AF732*AG729,IF($B$729="Лікар загальної практики - сімейний лікар",AF732*AG729,0)))</f>
        <v>0</v>
      </c>
      <c r="AG729" s="558"/>
      <c r="AH729" s="929"/>
      <c r="AI729" s="541">
        <f>A729</f>
        <v>54</v>
      </c>
      <c r="AJ729" s="932">
        <f>B729</f>
        <v>0</v>
      </c>
      <c r="AK729" s="926">
        <f>C729</f>
        <v>0</v>
      </c>
      <c r="AL729" s="926">
        <f>D729</f>
        <v>0</v>
      </c>
      <c r="AM729" s="901" t="s">
        <v>785</v>
      </c>
      <c r="AN729" s="923">
        <f>SUM(AN734:AN740)</f>
        <v>0</v>
      </c>
      <c r="AO729" s="923">
        <f>SUM(AO734:AO740)</f>
        <v>0</v>
      </c>
      <c r="AP729" s="923">
        <f>SUM(AP734:AP740)</f>
        <v>0</v>
      </c>
      <c r="AQ729" s="923">
        <f>SUM(AQ734:AQ740)</f>
        <v>0</v>
      </c>
      <c r="AR729" s="914">
        <f>SUM(AN729:AQ733)</f>
        <v>0</v>
      </c>
    </row>
    <row r="730" spans="1:44" s="50" customFormat="1" ht="28.15" hidden="1" customHeight="1">
      <c r="A730" s="197"/>
      <c r="B730" s="893"/>
      <c r="C730" s="896"/>
      <c r="D730" s="912"/>
      <c r="E730" s="909"/>
      <c r="F730" s="234" t="s">
        <v>583</v>
      </c>
      <c r="G730" s="196">
        <f>IF($B$729="Лікар-педіатр",G732*L730,IF($B$729="Лікар-терапевт","х",IF($B$729="Лікар загальної практики - сімейний лікар",G732*L730,0)))</f>
        <v>0</v>
      </c>
      <c r="H730" s="196">
        <f>IF($B$729="Лікар-педіатр",H732*L730,IF($B$729="Лікар-терапевт","х",IF($B$729="Лікар загальної практики - сімейний лікар",H732*L730,0)))</f>
        <v>0</v>
      </c>
      <c r="I730" s="196">
        <f>IF($B$729="Лікар-педіатр","x",IF($B$729="Лікар-терапевт",I732*L730,IF($B$729="Лікар загальної практики - сімейний лікар",I732*L730,0)))</f>
        <v>0</v>
      </c>
      <c r="J730" s="196">
        <f>IF($B$729="Лікар-педіатр","x",IF($B$729="Лікар-терапевт",J732*L730,IF($B$729="Лікар загальної практики - сімейний лікар",J732*L730,0)))</f>
        <v>0</v>
      </c>
      <c r="K730" s="196">
        <f>IF($B$729="Лікар-педіатр","x",IF($B$729="Лікар-терапевт",K732*L730,IF($B$729="Лікар загальної практики - сімейний лікар",K732*L730,0)))</f>
        <v>0</v>
      </c>
      <c r="L730" s="558"/>
      <c r="M730" s="930"/>
      <c r="N730" s="196">
        <f>IF($B$729="Лікар-педіатр",N732*S730,IF($B$729="Лікар-терапевт","х",IF($B$729="Лікар загальної практики - сімейний лікар",N732*S730,0)))</f>
        <v>0</v>
      </c>
      <c r="O730" s="196">
        <f>IF($B$729="Лікар-педіатр",O732*S730,IF($B$729="Лікар-терапевт","х",IF($B$729="Лікар загальної практики - сімейний лікар",O732*S730,0)))</f>
        <v>0</v>
      </c>
      <c r="P730" s="196">
        <f>IF($B$729="Лікар-педіатр","x",IF($B$729="Лікар-терапевт",P732*S730,IF($B$729="Лікар загальної практики - сімейний лікар",P732*S730,0)))</f>
        <v>0</v>
      </c>
      <c r="Q730" s="196">
        <f>IF($B$729="Лікар-педіатр","x",IF($B$729="Лікар-терапевт",Q732*S730,IF($B$729="Лікар загальної практики - сімейний лікар",Q732*S730,0)))</f>
        <v>0</v>
      </c>
      <c r="R730" s="196">
        <f>IF($B$729="Лікар-педіатр","x",IF($B$729="Лікар-терапевт",R732*S730,IF($B$729="Лікар загальної практики - сімейний лікар",R732*S730,0)))</f>
        <v>0</v>
      </c>
      <c r="S730" s="558"/>
      <c r="T730" s="930"/>
      <c r="U730" s="196">
        <f>IF($B$729="Лікар-педіатр",U732*Z730,IF($B$729="Лікар-терапевт","х",IF($B$729="Лікар загальної практики - сімейний лікар",U732*Z730,0)))</f>
        <v>0</v>
      </c>
      <c r="V730" s="196">
        <f>IF($B$729="Лікар-педіатр",V732*Z730,IF($B$729="Лікар-терапевт","х",IF($B$729="Лікар загальної практики - сімейний лікар",V732*Z730,0)))</f>
        <v>0</v>
      </c>
      <c r="W730" s="196">
        <f>IF($B$729="Лікар-педіатр","x",IF($B$729="Лікар-терапевт",W732*Z730,IF($B$729="Лікар загальної практики - сімейний лікар",W732*Z730,0)))</f>
        <v>0</v>
      </c>
      <c r="X730" s="196">
        <f>IF($B$729="Лікар-педіатр","x",IF($B$729="Лікар-терапевт",X732*Z730,IF($B$729="Лікар загальної практики - сімейний лікар",X732*Z730,0)))</f>
        <v>0</v>
      </c>
      <c r="Y730" s="196">
        <f>IF($B$729="Лікар-педіатр","x",IF($B$729="Лікар-терапевт",Y732*Z730,IF($B$729="Лікар загальної практики - сімейний лікар",Y732*Z730,0)))</f>
        <v>0</v>
      </c>
      <c r="Z730" s="558"/>
      <c r="AA730" s="930"/>
      <c r="AB730" s="196">
        <f>IF($B$729="Лікар-педіатр",AB732*AG730,IF($B$729="Лікар-терапевт","х",IF($B$729="Лікар загальної практики - сімейний лікар",AB732*AG730,0)))</f>
        <v>0</v>
      </c>
      <c r="AC730" s="196">
        <f>IF($B$729="Лікар-педіатр",AC732*AG730,IF($B$729="Лікар-терапевт","х",IF($B$729="Лікар загальної практики - сімейний лікар",AC732*AG730,0)))</f>
        <v>0</v>
      </c>
      <c r="AD730" s="196">
        <f>IF($B$729="Лікар-педіатр","x",IF($B$729="Лікар-терапевт",AD732*AG730,IF($B$729="Лікар загальної практики - сімейний лікар",AD732*AG730,0)))</f>
        <v>0</v>
      </c>
      <c r="AE730" s="196">
        <f>IF($B$729="Лікар-педіатр","x",IF($B$729="Лікар-терапевт",AE732*AG730,IF($B$729="Лікар загальної практики - сімейний лікар",AE732*AG730,0)))</f>
        <v>0</v>
      </c>
      <c r="AF730" s="196">
        <f>IF($B$729="Лікар-педіатр","x",IF($B$729="Лікар-терапевт",AF732*AG730,IF($B$729="Лікар загальної практики - сімейний лікар",AF732*AG730,0)))</f>
        <v>0</v>
      </c>
      <c r="AG730" s="558"/>
      <c r="AH730" s="930"/>
      <c r="AI730" s="198"/>
      <c r="AJ730" s="933"/>
      <c r="AK730" s="927"/>
      <c r="AL730" s="927"/>
      <c r="AM730" s="902"/>
      <c r="AN730" s="924"/>
      <c r="AO730" s="924"/>
      <c r="AP730" s="924"/>
      <c r="AQ730" s="924"/>
      <c r="AR730" s="915"/>
    </row>
    <row r="731" spans="1:44" s="90" customFormat="1" ht="31.15" hidden="1" customHeight="1">
      <c r="A731" s="240"/>
      <c r="B731" s="893"/>
      <c r="C731" s="896"/>
      <c r="D731" s="912"/>
      <c r="E731" s="909"/>
      <c r="F731" s="241" t="s">
        <v>584</v>
      </c>
      <c r="G731" s="199">
        <f>IF(B729="Лікар загальної практики - сімейний лікар"," ",IF(B729="Лікар-педіатр"," ",IF(B729="Лікар-терапевт","х",0)))</f>
        <v>0</v>
      </c>
      <c r="H731" s="199">
        <f>IF(B729="Лікар загальної практики - сімейний лікар"," ",IF(B729="Лікар-педіатр"," ",IF(B729="Лікар-терапевт","х",0)))</f>
        <v>0</v>
      </c>
      <c r="I731" s="199">
        <f>IF(B729="Лікар загальної практики - сімейний лікар"," ",IF(B729="Лікар-педіатр","х",IF(B729="Лікар-терапевт"," ",0)))</f>
        <v>0</v>
      </c>
      <c r="J731" s="199">
        <f>IF(B729="Лікар загальної практики - сімейний лікар"," ",IF(B729="Лікар-педіатр","х",IF(B729="Лікар-терапевт"," ",0)))</f>
        <v>0</v>
      </c>
      <c r="K731" s="199">
        <f>IF(B729="Лікар загальної практики - сімейний лікар"," ",IF(B729="Лікар-педіатр","х",IF(B729="Лікар-терапевт"," ",0)))</f>
        <v>0</v>
      </c>
      <c r="L731" s="200">
        <f>SUM(G731:K731)</f>
        <v>0</v>
      </c>
      <c r="M731" s="930"/>
      <c r="N731" s="199">
        <f>IF(B729="Лікар загальної практики - сімейний лікар"," ",IF(B729="Лікар-педіатр"," ",IF(B729="Лікар-терапевт","х",0)))</f>
        <v>0</v>
      </c>
      <c r="O731" s="199">
        <f>IF(B729="Лікар загальної практики - сімейний лікар"," ",IF(B729="Лікар-педіатр"," ",IF(B729="Лікар-терапевт","х",0)))</f>
        <v>0</v>
      </c>
      <c r="P731" s="199">
        <f>IF(B729="Лікар загальної практики - сімейний лікар"," ",IF(B729="Лікар-педіатр","х",IF(B729="Лікар-терапевт"," ",0)))</f>
        <v>0</v>
      </c>
      <c r="Q731" s="199">
        <f>IF(B729="Лікар загальної практики - сімейний лікар"," ",IF(B729="Лікар-педіатр","х",IF(B729="Лікар-терапевт"," ",0)))</f>
        <v>0</v>
      </c>
      <c r="R731" s="199">
        <f>IF(B729="Лікар загальної практики - сімейний лікар"," ",IF(B729="Лікар-педіатр","х",IF(B729="Лікар-терапевт"," ",0)))</f>
        <v>0</v>
      </c>
      <c r="S731" s="200">
        <f>SUM(N731:R731)</f>
        <v>0</v>
      </c>
      <c r="T731" s="930"/>
      <c r="U731" s="199">
        <f>IF(B729="Лікар загальної практики - сімейний лікар"," ",IF(B729="Лікар-педіатр"," ",IF(B729="Лікар-терапевт","х",0)))</f>
        <v>0</v>
      </c>
      <c r="V731" s="199">
        <f>IF(B729="Лікар загальної практики - сімейний лікар"," ",IF(B729="Лікар-педіатр"," ",IF(B729="Лікар-терапевт","х",0)))</f>
        <v>0</v>
      </c>
      <c r="W731" s="199">
        <f>IF(B729="Лікар загальної практики - сімейний лікар"," ",IF(B729="Лікар-педіатр","х",IF(B729="Лікар-терапевт"," ",0)))</f>
        <v>0</v>
      </c>
      <c r="X731" s="199">
        <f>IF(B729="Лікар загальної практики - сімейний лікар"," ",IF(B729="Лікар-педіатр","х",IF(B729="Лікар-терапевт"," ",0)))</f>
        <v>0</v>
      </c>
      <c r="Y731" s="199">
        <f>IF(B729="Лікар загальної практики - сімейний лікар"," ",IF(B729="Лікар-педіатр","х",IF(B729="Лікар-терапевт"," ",0)))</f>
        <v>0</v>
      </c>
      <c r="Z731" s="200">
        <f>SUM(U731:Y731)</f>
        <v>0</v>
      </c>
      <c r="AA731" s="930"/>
      <c r="AB731" s="199">
        <f>IF(B729="Лікар загальної практики - сімейний лікар"," ",IF(B729="Лікар-педіатр"," ",IF(B729="Лікар-терапевт","х",0)))</f>
        <v>0</v>
      </c>
      <c r="AC731" s="199">
        <f>IF(B729="Лікар загальної практики - сімейний лікар"," ",IF(B729="Лікар-педіатр"," ",IF(B729="Лікар-терапевт","х",0)))</f>
        <v>0</v>
      </c>
      <c r="AD731" s="199">
        <f>IF(B729="Лікар загальної практики - сімейний лікар"," ",IF(B729="Лікар-педіатр","х",IF(B729="Лікар-терапевт"," ",0)))</f>
        <v>0</v>
      </c>
      <c r="AE731" s="199">
        <f>IF(B729="Лікар загальної практики - сімейний лікар"," ",IF(B729="Лікар-педіатр","х",IF(B729="Лікар-терапевт"," ",0)))</f>
        <v>0</v>
      </c>
      <c r="AF731" s="199">
        <f>IF(B729="Лікар загальної практики - сімейний лікар"," ",IF(B729="Лікар-педіатр","х",IF(B729="Лікар-терапевт"," ",0)))</f>
        <v>0</v>
      </c>
      <c r="AG731" s="200">
        <f>SUM(AB731:AF731)</f>
        <v>0</v>
      </c>
      <c r="AH731" s="930"/>
      <c r="AI731" s="242"/>
      <c r="AJ731" s="933"/>
      <c r="AK731" s="927"/>
      <c r="AL731" s="927"/>
      <c r="AM731" s="902"/>
      <c r="AN731" s="924"/>
      <c r="AO731" s="924"/>
      <c r="AP731" s="924"/>
      <c r="AQ731" s="924"/>
      <c r="AR731" s="915"/>
    </row>
    <row r="732" spans="1:44" s="50" customFormat="1" ht="31.9" hidden="1" customHeight="1" thickBot="1">
      <c r="A732" s="197"/>
      <c r="B732" s="893"/>
      <c r="C732" s="896"/>
      <c r="D732" s="912"/>
      <c r="E732" s="909"/>
      <c r="F732" s="236" t="s">
        <v>349</v>
      </c>
      <c r="G732" s="203">
        <f>IF($B$729="Лікар-педіатр",G731/L731,IF($B$729="Лікар-терапевт","х",IF($B$729="Лікар загальної практики - сімейний лікар",G731/L731,0)))</f>
        <v>0</v>
      </c>
      <c r="H732" s="203">
        <f>IF($B$729="Лікар-педіатр",H731/L731,IF($B$729="Лікар-терапевт","х",IF($B$729="Лікар загальної практики - сімейний лікар",H731/L731,0)))</f>
        <v>0</v>
      </c>
      <c r="I732" s="203">
        <f>IF($B$729="Лікар-педіатр","x",IF($B$729="Лікар-терапевт",I731/L731,IF($B$729="Лікар загальної практики - сімейний лікар",I731/L731,0)))</f>
        <v>0</v>
      </c>
      <c r="J732" s="203">
        <f>IF($B$729="Лікар-педіатр","x",IF($B$729="Лікар-терапевт",J731/L731,IF($B$729="Лікар загальної практики - сімейний лікар",J731/L731,0)))</f>
        <v>0</v>
      </c>
      <c r="K732" s="203">
        <f>IF($B$729="Лікар-педіатр","x",IF($B$729="Лікар-терапевт",K731/L731,IF($B$729="Лікар загальної практики - сімейний лікар",K731/L731,0)))</f>
        <v>0</v>
      </c>
      <c r="L732" s="203">
        <f>SUM(G732:K732)</f>
        <v>0</v>
      </c>
      <c r="M732" s="930"/>
      <c r="N732" s="203">
        <f>IF($B$729="Лікар-педіатр",N731/S731,IF($B$729="Лікар-терапевт","х",IF($B$729="Лікар загальної практики - сімейний лікар",N731/S731,0)))</f>
        <v>0</v>
      </c>
      <c r="O732" s="203">
        <f>IF($B$729="Лікар-педіатр",O731/S731,IF($B$729="Лікар-терапевт","х",IF($B$729="Лікар загальної практики - сімейний лікар",O731/S731,0)))</f>
        <v>0</v>
      </c>
      <c r="P732" s="203">
        <f>IF($B$729="Лікар-педіатр","x",IF($B$729="Лікар-терапевт",P731/S731,IF($B$729="Лікар загальної практики - сімейний лікар",P731/S731,0)))</f>
        <v>0</v>
      </c>
      <c r="Q732" s="203">
        <f>IF($B$729="Лікар-педіатр","x",IF($B$729="Лікар-терапевт",Q731/S731,IF($B$729="Лікар загальної практики - сімейний лікар",Q731/S731,0)))</f>
        <v>0</v>
      </c>
      <c r="R732" s="203">
        <f>IF($B$729="Лікар-педіатр","x",IF($B$729="Лікар-терапевт",R731/S731,IF($B$729="Лікар загальної практики - сімейний лікар",R731/S731,0)))</f>
        <v>0</v>
      </c>
      <c r="S732" s="203">
        <f>SUM(N732:R732)</f>
        <v>0</v>
      </c>
      <c r="T732" s="930"/>
      <c r="U732" s="203">
        <f>IF($B$729="Лікар-педіатр",U731/Z731,IF($B$729="Лікар-терапевт","х",IF($B$729="Лікар загальної практики - сімейний лікар",U731/Z731,0)))</f>
        <v>0</v>
      </c>
      <c r="V732" s="203">
        <f>IF($B$729="Лікар-педіатр",V731/Z731,IF($B$729="Лікар-терапевт","х",IF($B$729="Лікар загальної практики - сімейний лікар",V731/Z731,0)))</f>
        <v>0</v>
      </c>
      <c r="W732" s="203">
        <f>IF($B$729="Лікар-педіатр","x",IF($B$729="Лікар-терапевт",W731/Z731,IF($B$729="Лікар загальної практики - сімейний лікар",W731/Z731,0)))</f>
        <v>0</v>
      </c>
      <c r="X732" s="203">
        <f>IF($B$729="Лікар-педіатр","x",IF($B$729="Лікар-терапевт",X731/Z731,IF($B$729="Лікар загальної практики - сімейний лікар",X731/Z731,0)))</f>
        <v>0</v>
      </c>
      <c r="Y732" s="203">
        <f>IF($B$729="Лікар-педіатр","x",IF($B$729="Лікар-терапевт",Y731/Z731,IF($B$729="Лікар загальної практики - сімейний лікар",Y731/Z731,0)))</f>
        <v>0</v>
      </c>
      <c r="Z732" s="203">
        <f>SUM(U732:Y732)</f>
        <v>0</v>
      </c>
      <c r="AA732" s="930"/>
      <c r="AB732" s="203">
        <f>IF($B$729="Лікар-педіатр",AB731/AG731,IF($B$729="Лікар-терапевт","х",IF($B$729="Лікар загальної практики - сімейний лікар",AB731/AG731,0)))</f>
        <v>0</v>
      </c>
      <c r="AC732" s="203">
        <f>IF($B$729="Лікар-педіатр",AC731/AG731,IF($B$729="Лікар-терапевт","х",IF($B$729="Лікар загальної практики - сімейний лікар",AC731/AG731,0)))</f>
        <v>0</v>
      </c>
      <c r="AD732" s="203">
        <f>IF($B$729="Лікар-педіатр","x",IF($B$729="Лікар-терапевт",AD731/AG731,IF($B$729="Лікар загальної практики - сімейний лікар",AD731/AG731,0)))</f>
        <v>0</v>
      </c>
      <c r="AE732" s="203">
        <f>IF($B$729="Лікар-педіатр","x",IF($B$729="Лікар-терапевт",AE731/AG731,IF($B$729="Лікар загальної практики - сімейний лікар",AE731/AG731,0)))</f>
        <v>0</v>
      </c>
      <c r="AF732" s="203">
        <f>IF($B$729="Лікар-педіатр","x",IF($B$729="Лікар-терапевт",AF731/AG731,IF($B$729="Лікар загальної практики - сімейний лікар",AF731/AG731,0)))</f>
        <v>0</v>
      </c>
      <c r="AG732" s="203">
        <f>SUM(AB732:AF732)</f>
        <v>0</v>
      </c>
      <c r="AH732" s="930"/>
      <c r="AI732" s="201"/>
      <c r="AJ732" s="933"/>
      <c r="AK732" s="927"/>
      <c r="AL732" s="927"/>
      <c r="AM732" s="902"/>
      <c r="AN732" s="924"/>
      <c r="AO732" s="924"/>
      <c r="AP732" s="924"/>
      <c r="AQ732" s="924"/>
      <c r="AR732" s="915"/>
    </row>
    <row r="733" spans="1:44" s="50" customFormat="1" ht="45" hidden="1" customHeight="1" thickBot="1">
      <c r="A733" s="197"/>
      <c r="B733" s="893"/>
      <c r="C733" s="896"/>
      <c r="D733" s="912"/>
      <c r="E733" s="909"/>
      <c r="F733" s="204" t="s">
        <v>585</v>
      </c>
      <c r="G733" s="205">
        <f>IF($B$729="Лікар загальної практики - сімейний лікар",AVERAGE(G729:G731),IF($B$729="Лікар-педіатр",AVERAGE(G729:G731),IF($B$729="Лікар-терапевт","х",0)))</f>
        <v>0</v>
      </c>
      <c r="H733" s="205">
        <f>IF($B$729="Лікар загальної практики - сімейний лікар",AVERAGE(H729:H731),IF($B$729="Лікар-педіатр",AVERAGE(H729:H731),IF($B$729="Лікар-терапевт","х",0)))</f>
        <v>0</v>
      </c>
      <c r="I733" s="205">
        <f>IF($B$729="Лікар загальної практики - сімейний лікар",AVERAGE(I729:I731),IF($B$729="Лікар-педіатр","x",IF($B$729="Лікар-терапевт",AVERAGE(I729:I731),0)))</f>
        <v>0</v>
      </c>
      <c r="J733" s="205">
        <f>IF($B$729="Лікар загальної практики - сімейний лікар",AVERAGE(J729:J731),IF($B$729="Лікар-педіатр","x",IF($B$729="Лікар-терапевт",AVERAGE(J729:J731),0)))</f>
        <v>0</v>
      </c>
      <c r="K733" s="205">
        <f>IF($B$729="Лікар загальної практики - сімейний лікар",AVERAGE(K729:K731),IF($B$729="Лікар-педіатр","x",IF($B$729="Лікар-терапевт",AVERAGE(K729:K731),0)))</f>
        <v>0</v>
      </c>
      <c r="L733" s="206">
        <f>SUM(G733:K733)</f>
        <v>0</v>
      </c>
      <c r="M733" s="930"/>
      <c r="N733" s="205">
        <f>IF($B$729="Лікар загальної практики - сімейний лікар",AVERAGE(N729:N731),IF($B$729="Лікар-педіатр",AVERAGE(N729:N731),IF($B$729="Лікар-терапевт","х",0)))</f>
        <v>0</v>
      </c>
      <c r="O733" s="205">
        <f>IF($B$729="Лікар загальної практики - сімейний лікар",AVERAGE(O729:O731),IF($B$729="Лікар-педіатр",AVERAGE(O729:O731),IF($B$729="Лікар-терапевт","х",0)))</f>
        <v>0</v>
      </c>
      <c r="P733" s="205">
        <f>IF($B$729="Лікар загальної практики - сімейний лікар",AVERAGE(P729:P731),IF($B$729="Лікар-педіатр","x",IF($B$729="Лікар-терапевт",AVERAGE(P729:P731),0)))</f>
        <v>0</v>
      </c>
      <c r="Q733" s="205">
        <f>IF($B$729="Лікар загальної практики - сімейний лікар",AVERAGE(Q729:Q731),IF($B$729="Лікар-педіатр","x",IF($B$729="Лікар-терапевт",AVERAGE(Q729:Q731),0)))</f>
        <v>0</v>
      </c>
      <c r="R733" s="205">
        <f>IF($B$729="Лікар загальної практики - сімейний лікар",AVERAGE(R729:R731),IF($B$729="Лікар-педіатр","x",IF($B$729="Лікар-терапевт",AVERAGE(R729:R731),0)))</f>
        <v>0</v>
      </c>
      <c r="S733" s="206">
        <f>SUM(N733:R733)</f>
        <v>0</v>
      </c>
      <c r="T733" s="930"/>
      <c r="U733" s="205">
        <f>IF($B$729="Лікар загальної практики - сімейний лікар",AVERAGE(U729:U731),IF($B$729="Лікар-педіатр",AVERAGE(U729:U731),IF($B$729="Лікар-терапевт","х",0)))</f>
        <v>0</v>
      </c>
      <c r="V733" s="205">
        <f>IF($B$729="Лікар загальної практики - сімейний лікар",AVERAGE(V729:V731),IF($B$729="Лікар-педіатр",AVERAGE(V729:V731),IF($B$729="Лікар-терапевт","х",0)))</f>
        <v>0</v>
      </c>
      <c r="W733" s="205">
        <f>IF($B$729="Лікар загальної практики - сімейний лікар",AVERAGE(W729:W731),IF($B$729="Лікар-педіатр","x",IF($B$729="Лікар-терапевт",AVERAGE(W729:W731),0)))</f>
        <v>0</v>
      </c>
      <c r="X733" s="205">
        <f>IF($B$729="Лікар загальної практики - сімейний лікар",AVERAGE(X729:X731),IF($B$729="Лікар-педіатр","x",IF($B$729="Лікар-терапевт",AVERAGE(X729:X731),0)))</f>
        <v>0</v>
      </c>
      <c r="Y733" s="205">
        <f>IF($B$729="Лікар загальної практики - сімейний лікар",AVERAGE(Y729:Y731),IF($B$729="Лікар-педіатр","x",IF($B$729="Лікар-терапевт",AVERAGE(Y729:Y731),0)))</f>
        <v>0</v>
      </c>
      <c r="Z733" s="206">
        <f>SUM(U733:Y733)</f>
        <v>0</v>
      </c>
      <c r="AA733" s="930"/>
      <c r="AB733" s="205">
        <f>IF($B$729="Лікар загальної практики - сімейний лікар",AVERAGE(AB729:AB731),IF($B$729="Лікар-педіатр",AVERAGE(AB729:AB731),IF($B$729="Лікар-терапевт","х",0)))</f>
        <v>0</v>
      </c>
      <c r="AC733" s="205">
        <f>IF($B$729="Лікар загальної практики - сімейний лікар",AVERAGE(AC729:AC731),IF($B$729="Лікар-педіатр",AVERAGE(AC729:AC731),IF($B$729="Лікар-терапевт","х",0)))</f>
        <v>0</v>
      </c>
      <c r="AD733" s="205">
        <f>IF($B$729="Лікар загальної практики - сімейний лікар",AVERAGE(AD729:AD731),IF($B$729="Лікар-педіатр","x",IF($B$729="Лікар-терапевт",AVERAGE(AD729:AD731),0)))</f>
        <v>0</v>
      </c>
      <c r="AE733" s="205">
        <f>IF($B$729="Лікар загальної практики - сімейний лікар",AVERAGE(AE729:AE731),IF($B$729="Лікар-педіатр","x",IF($B$729="Лікар-терапевт",AVERAGE(AE729:AE731),0)))</f>
        <v>0</v>
      </c>
      <c r="AF733" s="205">
        <f>IF($B$729="Лікар загальної практики - сімейний лікар",AVERAGE(AF729:AF731),IF($B$729="Лікар-педіатр","x",IF($B$729="Лікар-терапевт",AVERAGE(AF729:AF731),0)))</f>
        <v>0</v>
      </c>
      <c r="AG733" s="206">
        <f>SUM(AB733:AF733)</f>
        <v>0</v>
      </c>
      <c r="AH733" s="930"/>
      <c r="AI733" s="201"/>
      <c r="AJ733" s="933"/>
      <c r="AK733" s="927"/>
      <c r="AL733" s="927"/>
      <c r="AM733" s="903"/>
      <c r="AN733" s="925"/>
      <c r="AO733" s="925"/>
      <c r="AP733" s="925"/>
      <c r="AQ733" s="925"/>
      <c r="AR733" s="916"/>
    </row>
    <row r="734" spans="1:44" s="50" customFormat="1" ht="40.5" hidden="1">
      <c r="A734" s="197"/>
      <c r="B734" s="893"/>
      <c r="C734" s="896"/>
      <c r="D734" s="912"/>
      <c r="E734" s="909"/>
      <c r="F734" s="237" t="str">
        <f ca="1">IF(B729="Лікар-педіатр",Законод!$C$17,IF(B729="Лікар загальної практики - сімейний лікар",Законод!$C$21,IF(B729="Лікар-терапевт",Законод!$C$25,"х")))</f>
        <v>х</v>
      </c>
      <c r="G734" s="208">
        <f ca="1">IF($B$729="Лікар загальної практики - сімейний лікар",IF(L733&lt;=Законод!$C$22,G733,Законод!$C$22*'01_Доходи'!G732),IF($B$729="Лікар-педіатр",IF(L733&lt;=Законод!$C$18,G733,Законод!$C$18*'01_Доходи'!G732),IF($B$729="Лікар-терапевт","x",0)))</f>
        <v>0</v>
      </c>
      <c r="H734" s="208">
        <f ca="1">IF($B$729="Лікар загальної практики - сімейний лікар",IF(L733&lt;=Законод!$C$22,H733,Законод!$C$22*'01_Доходи'!H732),IF($B$729="Лікар-педіатр",IF(L733&lt;=Законод!$C$18,H733,Законод!$C$18*'01_Доходи'!H732),IF($B$729="Лікар-терапевт","x",0)))</f>
        <v>0</v>
      </c>
      <c r="I734" s="208">
        <f ca="1">IF($B$729="Лікар загальної практики - сімейний лікар",IF(L733&lt;=Законод!$C$22,I733,Законод!$C$22*'01_Доходи'!I732),IF($B$729="Лікар-педіатр","x",IF($B$729="Лікар-терапевт",IF(L733&lt;=Законод!$C$26,I733,Законод!$C$26*'01_Доходи'!I732),0)))</f>
        <v>0</v>
      </c>
      <c r="J734" s="208">
        <f ca="1">IF($B$729="Лікар загальної практики - сімейний лікар",IF(L733&lt;=Законод!$C$22,J733,Законод!$C$22*'01_Доходи'!J732),IF($B$729="Лікар-педіатр","x",IF($B$729="Лікар-терапевт",IF(L733&lt;=Законод!$C$26,J733,Законод!$C$26*'01_Доходи'!J732),0)))</f>
        <v>0</v>
      </c>
      <c r="K734" s="208">
        <f ca="1">IF($B$729="Лікар загальної практики - сімейний лікар",IF(L733&lt;=Законод!$C$22,K733,Законод!$C$22*'01_Доходи'!K732),IF($B$729="Лікар-педіатр","x",IF($B$729="Лікар-терапевт",IF(L733&lt;=Законод!$C$26,K733,Законод!$C$26*'01_Доходи'!K732),0)))</f>
        <v>0</v>
      </c>
      <c r="L734" s="209">
        <f ca="1">SUM(G734:K734)</f>
        <v>0</v>
      </c>
      <c r="M734" s="930"/>
      <c r="N734" s="208">
        <f ca="1">IF($B$729="Лікар загальної практики - сімейний лікар",IF(S733&lt;=Законод!$C$22,N733,Законод!$C$22*'01_Доходи'!N732),IF($B$729="Лікар-педіатр",IF(S733&lt;=Законод!$C$18,N733,Законод!$C$18*'01_Доходи'!N732),IF($B$729="Лікар-терапевт","x",0)))</f>
        <v>0</v>
      </c>
      <c r="O734" s="208">
        <f ca="1">IF($B$729="Лікар загальної практики - сімейний лікар",IF(S733&lt;=Законод!$C$22,O733,Законод!$C$22*'01_Доходи'!O732),IF($B$729="Лікар-педіатр",IF(S733&lt;=Законод!$C$18,O733,Законод!$C$18*'01_Доходи'!O732),IF($B$729="Лікар-терапевт","x",0)))</f>
        <v>0</v>
      </c>
      <c r="P734" s="208">
        <f ca="1">IF($B$729="Лікар загальної практики - сімейний лікар",IF(S733&lt;=Законод!$C$22,P733,Законод!$C$22*'01_Доходи'!P732),IF($B$729="Лікар-педіатр","x",IF($B$729="Лікар-терапевт",IF(S733&lt;=Законод!$C$26,P733,Законод!$C$26*'01_Доходи'!P732),0)))</f>
        <v>0</v>
      </c>
      <c r="Q734" s="208">
        <f ca="1">IF($B$729="Лікар загальної практики - сімейний лікар",IF(S733&lt;=Законод!$C$22,Q733,Законод!$C$22*'01_Доходи'!Q732),IF($B$729="Лікар-педіатр","x",IF($B$729="Лікар-терапевт",IF(S733&lt;=Законод!$C$26,Q733,Законод!$C$26*'01_Доходи'!Q732),0)))</f>
        <v>0</v>
      </c>
      <c r="R734" s="208">
        <f ca="1">IF($B$729="Лікар загальної практики - сімейний лікар",IF(S733&lt;=Законод!$C$22,R733,Законод!$C$22*'01_Доходи'!R732),IF($B$729="Лікар-педіатр","x",IF($B$729="Лікар-терапевт",IF(S733&lt;=Законод!$C$26,R733,Законод!$C$26*'01_Доходи'!R732),0)))</f>
        <v>0</v>
      </c>
      <c r="S734" s="209">
        <f ca="1">SUM(N734:R734)</f>
        <v>0</v>
      </c>
      <c r="T734" s="930"/>
      <c r="U734" s="208">
        <f ca="1">IF($B$729="Лікар загальної практики - сімейний лікар",IF(Z733&lt;=Законод!$C$22,U733,Законод!$C$22*'01_Доходи'!U732),IF($B$729="Лікар-педіатр",IF(Z733&lt;=Законод!$C$18,U733,Законод!$C$18*'01_Доходи'!U732),IF($B$729="Лікар-терапевт","x",0)))</f>
        <v>0</v>
      </c>
      <c r="V734" s="208">
        <f ca="1">IF($B$729="Лікар загальної практики - сімейний лікар",IF(Z733&lt;=Законод!$C$22,V733,Законод!$C$22*'01_Доходи'!V732),IF($B$729="Лікар-педіатр",IF(Z733&lt;=Законод!$C$18,V733,Законод!$C$18*'01_Доходи'!V732),IF($B$729="Лікар-терапевт","x",0)))</f>
        <v>0</v>
      </c>
      <c r="W734" s="208">
        <f ca="1">IF($B$729="Лікар загальної практики - сімейний лікар",IF(Z733&lt;=Законод!$C$22,W733,Законод!$C$22*'01_Доходи'!W732),IF($B$729="Лікар-педіатр","x",IF($B$729="Лікар-терапевт",IF(Z733&lt;=Законод!$C$26,W733,Законод!$C$26*'01_Доходи'!W732),0)))</f>
        <v>0</v>
      </c>
      <c r="X734" s="208">
        <f ca="1">IF($B$729="Лікар загальної практики - сімейний лікар",IF(Z733&lt;=Законод!$C$22,X733,Законод!$C$22*'01_Доходи'!X732),IF($B$729="Лікар-педіатр","x",IF($B$729="Лікар-терапевт",IF(Z733&lt;=Законод!$C$26,X733,Законод!$C$26*'01_Доходи'!X732),0)))</f>
        <v>0</v>
      </c>
      <c r="Y734" s="208">
        <f ca="1">IF($B$729="Лікар загальної практики - сімейний лікар",IF(Z733&lt;=Законод!$C$22,Y733,Законод!$C$22*'01_Доходи'!Y732),IF($B$729="Лікар-педіатр","x",IF($B$729="Лікар-терапевт",IF(Z733&lt;=Законод!$C$26,Y733,Законод!$C$26*'01_Доходи'!Y732),0)))</f>
        <v>0</v>
      </c>
      <c r="Z734" s="209">
        <f ca="1">SUM(U734:Y734)</f>
        <v>0</v>
      </c>
      <c r="AA734" s="930"/>
      <c r="AB734" s="208">
        <f ca="1">IF($B$729="Лікар загальної практики - сімейний лікар",IF(AG733&lt;=Законод!$C$22,AB733,Законод!$C$22*'01_Доходи'!AB732),IF($B$729="Лікар-педіатр",IF(AG733&lt;=Законод!$C$18,AB733,Законод!$C$18*'01_Доходи'!AB732),IF($B$729="Лікар-терапевт","x",0)))</f>
        <v>0</v>
      </c>
      <c r="AC734" s="208">
        <f ca="1">IF($B$729="Лікар загальної практики - сімейний лікар",IF(AG733&lt;=Законод!$C$22,AC733,Законод!$C$22*'01_Доходи'!AC732),IF($B$729="Лікар-педіатр",IF(AG733&lt;=Законод!$C$18,AC733,Законод!$C$18*'01_Доходи'!AC732),IF($B$729="Лікар-терапевт","x",0)))</f>
        <v>0</v>
      </c>
      <c r="AD734" s="208">
        <f ca="1">IF($B$729="Лікар загальної практики - сімейний лікар",IF(AG733&lt;=Законод!$C$22,AD733,Законод!$C$22*'01_Доходи'!AD732),IF($B$729="Лікар-педіатр","x",IF($B$729="Лікар-терапевт",IF(AG733&lt;=Законод!$C$26,AD733,Законод!$C$26*'01_Доходи'!AD732),0)))</f>
        <v>0</v>
      </c>
      <c r="AE734" s="208">
        <f ca="1">IF($B$729="Лікар загальної практики - сімейний лікар",IF(AG733&lt;=Законод!$C$22,AE733,Законод!$C$22*'01_Доходи'!AE732),IF($B$729="Лікар-педіатр","x",IF($B$729="Лікар-терапевт",IF(AG733&lt;=Законод!$C$26,AE733,Законод!$C$26*'01_Доходи'!AE732),0)))</f>
        <v>0</v>
      </c>
      <c r="AF734" s="208">
        <f ca="1">IF($B$729="Лікар загальної практики - сімейний лікар",IF(AG733&lt;=Законод!$C$22,AF733,Законод!$C$22*'01_Доходи'!AF732),IF($B$729="Лікар-педіатр","x",IF($B$729="Лікар-терапевт",IF(AG733&lt;=Законод!$C$26,AF733,Законод!$C$26*'01_Доходи'!AF732),0)))</f>
        <v>0</v>
      </c>
      <c r="AG734" s="209">
        <f ca="1">SUM(AB734:AF734)</f>
        <v>0</v>
      </c>
      <c r="AH734" s="930"/>
      <c r="AI734" s="201"/>
      <c r="AJ734" s="933"/>
      <c r="AK734" s="927"/>
      <c r="AL734" s="927"/>
      <c r="AM734" s="348" t="s">
        <v>374</v>
      </c>
      <c r="AN734" s="210">
        <f ca="1">IF(B729="Лікар загальної практики - сімейний лікар",G734*Законод!$C$11+'01_Доходи'!H734*Законод!$D$11+'01_Доходи'!I734*Законод!$E$11+'01_Доходи'!J734*Законод!$F$11+'01_Доходи'!K734*Законод!$G$11,IF(B729="Лікар-педіатр",G734*Законод!$C$11+'01_Доходи'!H734*Законод!$D$11,IF(B729="Лікар-терапевт",'01_Доходи'!I734*Законод!$E$11+'01_Доходи'!J734*Законод!$F$11+'01_Доходи'!K734*Законод!$G$11,0)))</f>
        <v>0</v>
      </c>
      <c r="AO734" s="210">
        <f ca="1">IF(B729="Лікар загальної практики - сімейний лікар",N734*Законод!$C$11+'01_Доходи'!O734*Законод!$D$11+'01_Доходи'!P734*Законод!$E$11+'01_Доходи'!Q734*Законод!$F$11+'01_Доходи'!R734*Законод!$G$11,IF(B729="Лікар-педіатр",N734*Законод!$C$11+'01_Доходи'!O734*Законод!$D$11,IF(B729="Лікар-терапевт",'01_Доходи'!P734*Законод!$E$11+'01_Доходи'!Q734*Законод!$F$11+'01_Доходи'!R734*Законод!$G$11,0)))</f>
        <v>0</v>
      </c>
      <c r="AP734" s="210">
        <f ca="1">IF(B729="Лікар загальної практики - сімейний лікар",U734*Законод!$C$11+'01_Доходи'!V734*Законод!$D$11+'01_Доходи'!W734*Законод!$E$11+'01_Доходи'!X734*Законод!$F$11+'01_Доходи'!Y734*Законод!$G$11,IF(B729="Лікар-педіатр",U734*Законод!$C$11+'01_Доходи'!V734*Законод!$D$11,IF(B729="Лікар-терапевт",'01_Доходи'!W734*Законод!$E$11+'01_Доходи'!X734*Законод!$F$11+'01_Доходи'!Y734*Законод!$G$11,0)))</f>
        <v>0</v>
      </c>
      <c r="AQ734" s="210">
        <f ca="1">IF(B729="Лікар загальної практики - сімейний лікар",AB734*Законод!$C$11+'01_Доходи'!AC734*Законод!$D$11+'01_Доходи'!AD734*Законод!$E$11+'01_Доходи'!AE734*Законод!$F$11+'01_Доходи'!AF734*Законод!$G$11,IF(B729="Лікар-педіатр",AB734*Законод!$C$11+'01_Доходи'!AC734*Законод!$D$11,IF(B729="Лікар-терапевт",'01_Доходи'!AD734*Законод!$E$11+'01_Доходи'!AE734*Законод!$F$11+'01_Доходи'!AF734*Законод!$G$11,0)))</f>
        <v>0</v>
      </c>
      <c r="AR734" s="211">
        <f t="shared" ref="AR734:AR740" si="83">SUM(AN734:AQ734)</f>
        <v>0</v>
      </c>
    </row>
    <row r="735" spans="1:44" s="50" customFormat="1" ht="31.9" hidden="1" customHeight="1">
      <c r="A735" s="197"/>
      <c r="B735" s="893"/>
      <c r="C735" s="896"/>
      <c r="D735" s="912"/>
      <c r="E735" s="909"/>
      <c r="F735" s="238" t="str">
        <f ca="1">IF(B729="Лікар-педіатр",Законод!$E$17,IF(B729="Лікар загальної практики - сімейний лікар",Законод!$E$21,IF(B729="Лікар-терапевт",Законод!$E$25,"х")))</f>
        <v>х</v>
      </c>
      <c r="G735" s="889" t="s">
        <v>346</v>
      </c>
      <c r="H735" s="890"/>
      <c r="I735" s="890"/>
      <c r="J735" s="890"/>
      <c r="K735" s="891"/>
      <c r="L735" s="196">
        <f ca="1">IF($B$729="Лікар загальної практики - сімейний лікар",IF(L733&lt;Законод!$C$22,0,(IF(AND(L733&gt;=Законод!$E$22,L733&lt;=Законод!$E$23),L733-Законод!$C$22,IF('01_Доходи'!L733&gt;=Законод!$F$22,Законод!$E$24,0)))),IF($B$729="Лікар-педіатр",IF(L733&lt;Законод!$C$18,0,(IF(AND(L733&gt;=Законод!$E$18,L733&lt;=Законод!$E$19),L733-Законод!$C$18,IF('01_Доходи'!L733&gt;=Законод!$F$18,Законод!$E$20,0)))),IF($B$729="Лікар-терапевт",IF(L733&lt;Законод!$C$26,0,(IF(AND(L733&gt;=Законод!$E$26,L733&lt;=Законод!$E$27),L733-Законод!$C$26,IF('01_Доходи'!L733&gt;=Законод!$F$26,Законод!$E$28,0)))),0)))</f>
        <v>0</v>
      </c>
      <c r="M735" s="930"/>
      <c r="N735" s="889" t="s">
        <v>346</v>
      </c>
      <c r="O735" s="890"/>
      <c r="P735" s="890"/>
      <c r="Q735" s="890"/>
      <c r="R735" s="891"/>
      <c r="S735" s="196">
        <f ca="1">IF($B$729="Лікар загальної практики - сімейний лікар",IF(S733&lt;Законод!$C$22,0,(IF(AND(S733&gt;=Законод!$E$22,S733&lt;=Законод!$E$23),S733-Законод!$C$22,IF('01_Доходи'!S733&gt;=Законод!$F$22,Законод!$E$24,0)))),IF($B$729="Лікар-педіатр",IF(S733&lt;Законод!$C$18,0,(IF(AND(S733&gt;=Законод!$E$18,S733&lt;=Законод!$E$19),S733-Законод!$C$18,IF('01_Доходи'!S733&gt;=Законод!$F$18,Законод!$E$20,0)))),IF($B$729="Лікар-терапевт",IF(S733&lt;Законод!$C$26,0,(IF(AND(S733&gt;=Законод!$E$26,S733&lt;=Законод!$E$27),S733-Законод!$C$26,IF('01_Доходи'!S733&gt;=Законод!$F$26,Законод!$E$28,0)))),0)))</f>
        <v>0</v>
      </c>
      <c r="T735" s="930"/>
      <c r="U735" s="889" t="s">
        <v>346</v>
      </c>
      <c r="V735" s="890"/>
      <c r="W735" s="890"/>
      <c r="X735" s="890"/>
      <c r="Y735" s="891"/>
      <c r="Z735" s="196">
        <f ca="1">IF($B$729="Лікар загальної практики - сімейний лікар",IF(Z733&lt;Законод!$C$22,0,(IF(AND(Z733&gt;=Законод!$E$22,Z733&lt;=Законод!$E$23),Z733-Законод!$C$22,IF('01_Доходи'!Z733&gt;=Законод!$F$22,Законод!$E$24,0)))),IF($B$729="Лікар-педіатр",IF(Z733&lt;Законод!$C$18,0,(IF(AND(Z733&gt;=Законод!$E$18,Z733&lt;=Законод!$E$19),Z733-Законод!$C$18,IF('01_Доходи'!Z733&gt;=Законод!$F$18,Законод!$E$20,0)))),IF($B$729="Лікар-терапевт",IF(Z733&lt;Законод!$C$26,0,(IF(AND(Z733&gt;=Законод!$E$26,Z733&lt;=Законод!$E$27),Z733-Законод!$C$26,IF('01_Доходи'!Z733&gt;=Законод!$F$26,Законод!$E$28,0)))),0)))</f>
        <v>0</v>
      </c>
      <c r="AA735" s="930"/>
      <c r="AB735" s="889" t="s">
        <v>346</v>
      </c>
      <c r="AC735" s="890"/>
      <c r="AD735" s="890"/>
      <c r="AE735" s="890"/>
      <c r="AF735" s="891"/>
      <c r="AG735" s="196">
        <f ca="1">IF($B$729="Лікар загальної практики - сімейний лікар",IF(AG733&lt;Законод!$C$22,0,(IF(AND(AG733&gt;=Законод!$E$22,AG733&lt;=Законод!$E$23),AG733-Законод!$C$22,IF('01_Доходи'!AG733&gt;=Законод!$F$22,Законод!$E$24,0)))),IF($B$729="Лікар-педіатр",IF(AG733&lt;Законод!$C$18,0,(IF(AND(AG733&gt;=Законод!$E$18,AG733&lt;=Законод!$E$19),AG733-Законод!$C$18,IF('01_Доходи'!AG733&gt;=Законод!$F$18,Законод!$E$20,0)))),IF($B$729="Лікар-терапевт",IF(AG733&lt;Законод!$C$26,0,(IF(AND(AG733&gt;=Законод!$E$26,AG733&lt;=Законод!$E$27),AG733-Законод!$C$26,IF('01_Доходи'!AG733&gt;=Законод!$F$26,Законод!$E$28,0)))),0)))</f>
        <v>0</v>
      </c>
      <c r="AH735" s="930"/>
      <c r="AI735" s="201"/>
      <c r="AJ735" s="933"/>
      <c r="AK735" s="927"/>
      <c r="AL735" s="927"/>
      <c r="AM735" s="898" t="s">
        <v>375</v>
      </c>
      <c r="AN735" s="210">
        <f ca="1">IF(B729="Лікар загальної практики - сімейний лікар",L735*Законод!$C$9/4*Законод!$E$16,IF(B729="Лікар-педіатр",L735*Законод!$C$9/4*Законод!$E$16,IF(B729="Лікар-терапевт",L735*Законод!$C$9/4*Законод!$E$16,0)))</f>
        <v>0</v>
      </c>
      <c r="AO735" s="210">
        <f ca="1">IF(B729="Лікар загальної практики - сімейний лікар",S735*Законод!$C$9/4*Законод!$E$16,IF(B729="Лікар-педіатр",S735*Законод!$C$9/4*Законод!$E$16,IF(B729="Лікар-терапевт",S735*Законод!$C$9/4*Законод!$E$16,0)))</f>
        <v>0</v>
      </c>
      <c r="AP735" s="210">
        <f ca="1">IF(B729="Лікар загальної практики - сімейний лікар",Z735*Законод!$C$9/4*Законод!$E$16,IF(B729="Лікар-педіатр",Z735*Законод!$C$9/4*Законод!$E$16,IF(B729="Лікар-терапевт",Z735*Законод!$C$9/4*Законод!$E$16,0)))</f>
        <v>0</v>
      </c>
      <c r="AQ735" s="210">
        <f ca="1">IF(B729="Лікар загальної практики - сімейний лікар",AG735*Законод!$C$9/4*Законод!$E$16,IF(B729="Лікар-педіатр",AG735*Законод!$C$9/4*Законод!$E$16,IF(B729="Лікар-терапевт",AG735*Законод!$C$9/4*Законод!$E$16,0)))</f>
        <v>0</v>
      </c>
      <c r="AR735" s="211">
        <f t="shared" si="83"/>
        <v>0</v>
      </c>
    </row>
    <row r="736" spans="1:44" s="50" customFormat="1" ht="31.9" hidden="1" customHeight="1">
      <c r="A736" s="197"/>
      <c r="B736" s="893"/>
      <c r="C736" s="896"/>
      <c r="D736" s="912"/>
      <c r="E736" s="909"/>
      <c r="F736" s="238" t="str">
        <f ca="1">IF(B729="Лікар-педіатр",Законод!$F$17,IF(B729="Лікар загальної практики - сімейний лікар",Законод!$F$21,IF(B729="Лікар-терапевт",Законод!$F$25,"х")))</f>
        <v>х</v>
      </c>
      <c r="G736" s="889" t="s">
        <v>346</v>
      </c>
      <c r="H736" s="890"/>
      <c r="I736" s="890"/>
      <c r="J736" s="890"/>
      <c r="K736" s="891"/>
      <c r="L736" s="196">
        <f ca="1">IF($B$729="Лікар загальної практики - сімейний лікар",IF(L733&lt;Законод!$C$22,0,(IF(AND(L733&gt;=Законод!$F$22,L733&lt;=Законод!$F$23),L733-Законод!$E$23,IF('01_Доходи'!L733&gt;=Законод!$G$22,Законод!$F$24,0)))),IF($B$729="Лікар-педіатр",IF(L733&lt;Законод!$C$18,0,(IF(AND(L733&gt;=Законод!$F$18,L733&lt;=Законод!$F$19),L733-Законод!$E$19,IF('01_Доходи'!L733&gt;=Законод!$G$18,Законод!$F$20,0)))),IF($B$729="Лікар-терапевт",IF(L733&lt;Законод!$C$26,0,(IF(AND(L733&gt;=Законод!$F$26,L733&lt;=Законод!$F$27),L733-Законод!$E$27,IF('01_Доходи'!L733&gt;=Законод!$G$26,Законод!$F$28,0)))),0)))</f>
        <v>0</v>
      </c>
      <c r="M736" s="930"/>
      <c r="N736" s="889" t="s">
        <v>346</v>
      </c>
      <c r="O736" s="890"/>
      <c r="P736" s="890"/>
      <c r="Q736" s="890"/>
      <c r="R736" s="891"/>
      <c r="S736" s="196">
        <f ca="1">IF($B$729="Лікар загальної практики - сімейний лікар",IF(S733&lt;Законод!$C$22,0,(IF(AND(S733&gt;=Законод!$F$22,S733&lt;=Законод!$F$23),S733-Законод!$E$23,IF('01_Доходи'!S733&gt;=Законод!$G$22,Законод!$F$24,0)))),IF($B$729="Лікар-педіатр",IF(S733&lt;Законод!$C$18,0,(IF(AND(S733&gt;=Законод!$F$18,S733&lt;=Законод!$F$19),S733-Законод!$E$19,IF('01_Доходи'!S733&gt;=Законод!$G$18,Законод!$F$20,0)))),IF($B$729="Лікар-терапевт",IF(S733&lt;Законод!$C$26,0,(IF(AND(S733&gt;=Законод!$F$26,S733&lt;=Законод!$F$27),S733-Законод!$E$27,IF('01_Доходи'!S733&gt;=Законод!$G$26,Законод!$F$28,0)))),0)))</f>
        <v>0</v>
      </c>
      <c r="T736" s="930"/>
      <c r="U736" s="889" t="s">
        <v>346</v>
      </c>
      <c r="V736" s="890"/>
      <c r="W736" s="890"/>
      <c r="X736" s="890"/>
      <c r="Y736" s="891"/>
      <c r="Z736" s="196">
        <f ca="1">IF($B$729="Лікар загальної практики - сімейний лікар",IF(Z733&lt;Законод!$C$22,0,(IF(AND(Z733&gt;=Законод!$F$22,Z733&lt;=Законод!$F$23),Z733-Законод!$E$23,IF('01_Доходи'!Z733&gt;=Законод!$G$22,Законод!$F$24,0)))),IF($B$729="Лікар-педіатр",IF(Z733&lt;Законод!$C$18,0,(IF(AND(Z733&gt;=Законод!$F$18,Z733&lt;=Законод!$F$19),Z733-Законод!$E$19,IF('01_Доходи'!Z733&gt;=Законод!$G$18,Законод!$F$20,0)))),IF($B$729="Лікар-терапевт",IF(Z733&lt;Законод!$C$26,0,(IF(AND(Z733&gt;=Законод!$F$26,Z733&lt;=Законод!$F$27),Z733-Законод!$E$27,IF('01_Доходи'!Z733&gt;=Законод!$G$26,Законод!$F$28,0)))),0)))</f>
        <v>0</v>
      </c>
      <c r="AA736" s="930"/>
      <c r="AB736" s="889" t="s">
        <v>346</v>
      </c>
      <c r="AC736" s="890"/>
      <c r="AD736" s="890"/>
      <c r="AE736" s="890"/>
      <c r="AF736" s="891"/>
      <c r="AG736" s="196">
        <f ca="1">IF($B$729="Лікар загальної практики - сімейний лікар",IF(AG733&lt;Законод!$C$22,0,(IF(AND(AG733&gt;=Законод!$F$22,AG733&lt;=Законод!$F$23),AG733-Законод!$E$23,IF('01_Доходи'!AG733&gt;=Законод!$G$22,Законод!$F$24,0)))),IF($B$729="Лікар-педіатр",IF(AG733&lt;Законод!$C$18,0,(IF(AND(AG733&gt;=Законод!$F$18,AG733&lt;=Законод!$F$19),AG733-Законод!$E$19,IF('01_Доходи'!AG733&gt;=Законод!$G$18,Законод!$F$20,0)))),IF($B$729="Лікар-терапевт",IF(AG733&lt;Законод!$C$26,0,(IF(AND(AG733&gt;=Законод!$F$26,AG733&lt;=Законод!$F$27),AG733-Законод!$E$27,IF('01_Доходи'!AG733&gt;=Законод!$G$26,Законод!$F$28,0)))),0)))</f>
        <v>0</v>
      </c>
      <c r="AH736" s="930"/>
      <c r="AI736" s="201"/>
      <c r="AJ736" s="933"/>
      <c r="AK736" s="927"/>
      <c r="AL736" s="927"/>
      <c r="AM736" s="899"/>
      <c r="AN736" s="210">
        <f ca="1">IF(B729="Лікар загальної практики - сімейний лікар",L736*Законод!$C$9/4*Законод!$F$16,IF(B729="Лікар-педіатр",L736*Законод!$C$9/4*Законод!$F$16,IF(B729="Лікар-терапевт",L736*Законод!$C$9/4*Законод!$F$16,0)))</f>
        <v>0</v>
      </c>
      <c r="AO736" s="210">
        <f ca="1">IF(B729="Лікар загальної практики - сімейний лікар",S736*Законод!$C$9/4*Законод!$F$16,IF(B729="Лікар-педіатр",S736*Законод!$C$9/4*Законод!$F$16,IF(B729="Лікар-терапевт",S736*Законод!$C$9/4*Законод!$F$16,0)))</f>
        <v>0</v>
      </c>
      <c r="AP736" s="210">
        <f ca="1">IF(B729="Лікар загальної практики - сімейний лікар",Z736*Законод!$C$9/4*Законод!$F$16,IF(B729="Лікар-педіатр",Z736*Законод!$C$9/4*Законод!$F$16,IF(B729="Лікар-терапевт",Z736*Законод!$C$9/4*Законод!$F$16,0)))</f>
        <v>0</v>
      </c>
      <c r="AQ736" s="210">
        <f ca="1">IF(B729="Лікар загальної практики - сімейний лікар",AG736*Законод!$C$9/4*Законод!$F$16,IF(B729="Лікар-педіатр",AG736*Законод!$C$9/4*Законод!$F$16,IF(B729="Лікар-терапевт",AG736*Законод!$C$9/4*Законод!$F$16,0)))</f>
        <v>0</v>
      </c>
      <c r="AR736" s="211">
        <f t="shared" si="83"/>
        <v>0</v>
      </c>
    </row>
    <row r="737" spans="1:44" s="50" customFormat="1" ht="31.9" hidden="1" customHeight="1">
      <c r="A737" s="197"/>
      <c r="B737" s="893"/>
      <c r="C737" s="896"/>
      <c r="D737" s="912"/>
      <c r="E737" s="909"/>
      <c r="F737" s="238" t="str">
        <f ca="1">IF(B729="Лікар-педіатр",Законод!$G$17,IF(B729="Лікар загальної практики - сімейний лікар",Законод!$G$21,IF(B729="Лікар-терапевт",Законод!$G$25,"х")))</f>
        <v>х</v>
      </c>
      <c r="G737" s="889" t="s">
        <v>346</v>
      </c>
      <c r="H737" s="890"/>
      <c r="I737" s="890"/>
      <c r="J737" s="890"/>
      <c r="K737" s="891"/>
      <c r="L737" s="196">
        <f ca="1">IF($B$729="Лікар загальної практики - сімейний лікар",IF(L733&lt;Законод!$C$22,0,(IF(AND(L733&gt;=Законод!$G$22,L733&lt;=Законод!$G$23),L733-Законод!$F$23,IF('01_Доходи'!L733&gt;=Законод!$H$22,Законод!$G$24,0)))),IF($B$729="Лікар-педіатр",IF(L733&lt;Законод!$C$18,0,(IF(AND(L733&gt;=Законод!$G$18,L733&lt;=Законод!$G$19),L733-Законод!$F$19,IF('01_Доходи'!L733&gt;=Законод!$H$18,Законод!$G$20,0)))),IF($B$729="Лікар-терапевт",IF(L733&lt;Законод!$C$26,0,(IF(AND(L733&gt;=Законод!$G$26,L733&lt;=Законод!$G$27),L733-Законод!$F$27,IF('01_Доходи'!L733&gt;=Законод!$H$26,Законод!$G$28,0)))),0)))</f>
        <v>0</v>
      </c>
      <c r="M737" s="930"/>
      <c r="N737" s="889" t="s">
        <v>346</v>
      </c>
      <c r="O737" s="890"/>
      <c r="P737" s="890"/>
      <c r="Q737" s="890"/>
      <c r="R737" s="891"/>
      <c r="S737" s="196">
        <f ca="1">IF($B$729="Лікар загальної практики - сімейний лікар",IF(S733&lt;Законод!$C$22,0,(IF(AND(S733&gt;=Законод!$G$22,S733&lt;=Законод!$G$23),S733-Законод!$F$23,IF('01_Доходи'!S733&gt;=Законод!$H$22,Законод!$G$24,0)))),IF($B$729="Лікар-педіатр",IF(S733&lt;Законод!$C$18,0,(IF(AND(S733&gt;=Законод!$G$18,S733&lt;=Законод!$G$19),S733-Законод!$F$19,IF('01_Доходи'!S733&gt;=Законод!$H$18,Законод!$G$20,0)))),IF($B$729="Лікар-терапевт",IF(S733&lt;Законод!$C$26,0,(IF(AND(S733&gt;=Законод!$G$26,S733&lt;=Законод!$G$27),S733-Законод!$F$27,IF('01_Доходи'!S733&gt;=Законод!$H$26,Законод!$G$28,0)))),0)))</f>
        <v>0</v>
      </c>
      <c r="T737" s="930"/>
      <c r="U737" s="889" t="s">
        <v>346</v>
      </c>
      <c r="V737" s="890"/>
      <c r="W737" s="890"/>
      <c r="X737" s="890"/>
      <c r="Y737" s="891"/>
      <c r="Z737" s="196">
        <f ca="1">IF($B$729="Лікар загальної практики - сімейний лікар",IF(Z733&lt;Законод!$C$22,0,(IF(AND(Z733&gt;=Законод!$G$22,Z733&lt;=Законод!$G$23),Z733-Законод!$F$23,IF('01_Доходи'!Z733&gt;=Законод!$H$22,Законод!$G$24,0)))),IF($B$729="Лікар-педіатр",IF(Z733&lt;Законод!$C$18,0,(IF(AND(Z733&gt;=Законод!$G$18,Z733&lt;=Законод!$G$19),Z733-Законод!$F$19,IF('01_Доходи'!Z733&gt;=Законод!$H$18,Законод!$G$20,0)))),IF($B$729="Лікар-терапевт",IF(Z733&lt;Законод!$C$26,0,(IF(AND(Z733&gt;=Законод!$G$26,Z733&lt;=Законод!$G$27),Z733-Законод!$F$27,IF('01_Доходи'!Z733&gt;=Законод!$H$26,Законод!$G$28,0)))),0)))</f>
        <v>0</v>
      </c>
      <c r="AA737" s="930"/>
      <c r="AB737" s="889" t="s">
        <v>346</v>
      </c>
      <c r="AC737" s="890"/>
      <c r="AD737" s="890"/>
      <c r="AE737" s="890"/>
      <c r="AF737" s="891"/>
      <c r="AG737" s="196">
        <f ca="1">IF($B$729="Лікар загальної практики - сімейний лікар",IF(AG733&lt;Законод!$C$22,0,(IF(AND(AG733&gt;=Законод!$G$22,AG733&lt;=Законод!$G$23),AG733-Законод!$F$23,IF('01_Доходи'!AG733&gt;=Законод!$H$22,Законод!$G$24,0)))),IF($B$729="Лікар-педіатр",IF(AG733&lt;Законод!$C$18,0,(IF(AND(AG733&gt;=Законод!$G$18,AG733&lt;=Законод!$G$19),AG733-Законод!$F$19,IF('01_Доходи'!AG733&gt;=Законод!$H$18,Законод!$G$20,0)))),IF($B$729="Лікар-терапевт",IF(AG733&lt;Законод!$C$26,0,(IF(AND(AG733&gt;=Законод!$G$26,AG733&lt;=Законод!$G$27),AG733-Законод!$F$27,IF('01_Доходи'!AG733&gt;=Законод!$H$26,Законод!$G$28,0)))),0)))</f>
        <v>0</v>
      </c>
      <c r="AH737" s="930"/>
      <c r="AI737" s="201"/>
      <c r="AJ737" s="933"/>
      <c r="AK737" s="927"/>
      <c r="AL737" s="927"/>
      <c r="AM737" s="899"/>
      <c r="AN737" s="210">
        <f ca="1">IF(B729="Лікар загальної практики - сімейний лікар",L737*Законод!$C$9/4*Законод!$G$16,IF(B729="Лікар-педіатр",L737*Законод!$C$9/4*Законод!$G$16,IF(B729="Лікар-терапевт",L737*Законод!$C$9/4*Законод!$G$16,0)))</f>
        <v>0</v>
      </c>
      <c r="AO737" s="210">
        <f ca="1">IF(B729="Лікар загальної практики - сімейний лікар",S737*Законод!$C$9/4*Законод!$G$16,IF(B729="Лікар-педіатр",S737*Законод!$C$9/4*Законод!$G$16,IF(B729="Лікар-терапевт",S737*Законод!$C$9/4*Законод!$G$16,0)))</f>
        <v>0</v>
      </c>
      <c r="AP737" s="210">
        <f ca="1">IF(B729="Лікар загальної практики - сімейний лікар",Z737*Законод!$C$9/4*Законод!$G$16,IF(B729="Лікар-педіатр",Z737*Законод!$C$9/4*Законод!$G$16,IF(B729="Лікар-терапевт",Z737*Законод!$C$9/4*Законод!$G$16,0)))</f>
        <v>0</v>
      </c>
      <c r="AQ737" s="210">
        <f ca="1">IF(B729="Лікар загальної практики - сімейний лікар",AG737*Законод!$C$9/4*Законод!$G$16,IF(B729="Лікар-педіатр",AG737*Законод!$C$9/4*Законод!$G$16,IF(B729="Лікар-терапевт",AG737*Законод!$C$9/4*Законод!$G$16,0)))</f>
        <v>0</v>
      </c>
      <c r="AR737" s="211">
        <f t="shared" si="83"/>
        <v>0</v>
      </c>
    </row>
    <row r="738" spans="1:44" s="50" customFormat="1" ht="31.9" hidden="1" customHeight="1">
      <c r="A738" s="197"/>
      <c r="B738" s="893"/>
      <c r="C738" s="896"/>
      <c r="D738" s="912"/>
      <c r="E738" s="909"/>
      <c r="F738" s="238" t="str">
        <f ca="1">IF(B729="Лікар-педіатр",Законод!$H$17,IF(B729="Лікар загальної практики - сімейний лікар",Законод!$H$21,IF(B729="Лікар-терапевт",Законод!$H$25,"х")))</f>
        <v>х</v>
      </c>
      <c r="G738" s="889" t="s">
        <v>346</v>
      </c>
      <c r="H738" s="890"/>
      <c r="I738" s="890"/>
      <c r="J738" s="890"/>
      <c r="K738" s="891"/>
      <c r="L738" s="196">
        <f ca="1">IF($B$729="Лікар загальної практики - сімейний лікар",IF(L733&lt;Законод!$C$22,0,(IF(AND(L733&gt;=Законод!$H$22,L733&lt;=Законод!$H$23),L733-Законод!$G$23,IF('01_Доходи'!L733&gt;=Законод!$I$22,Законод!$H$24,0)))),IF($B$729="Лікар-педіатр",IF(L733&lt;Законод!$C$18,0,(IF(AND(L733&gt;=Законод!$H$18,L733&lt;=Законод!$H$19),L733-Законод!$G$19,IF('01_Доходи'!L733&gt;=Законод!$I$18,Законод!$H$20,0)))),IF($B$729="Лікар-терапевт",IF(L733&lt;Законод!$C$26,0,(IF(AND(L733&gt;=Законод!$H$26,L733&lt;=Законод!$H$27),L733-Законод!$G$27,IF(L733&gt;=Законод!$I$26,Законод!$H$28,0)))),0)))</f>
        <v>0</v>
      </c>
      <c r="M738" s="930"/>
      <c r="N738" s="889" t="s">
        <v>346</v>
      </c>
      <c r="O738" s="890"/>
      <c r="P738" s="890"/>
      <c r="Q738" s="890"/>
      <c r="R738" s="891"/>
      <c r="S738" s="196">
        <f ca="1">IF($B$729="Лікар загальної практики - сімейний лікар",IF(S733&lt;Законод!$C$22,0,(IF(AND(S733&gt;=Законод!$H$22,S733&lt;=Законод!$H$23),S733-Законод!$G$23,IF('01_Доходи'!S733&gt;=Законод!$I$22,Законод!$H$24,0)))),IF($B$729="Лікар-педіатр",IF(S733&lt;Законод!$C$18,0,(IF(AND(S733&gt;=Законод!$H$18,S733&lt;=Законод!$H$19),S733-Законод!$G$19,IF('01_Доходи'!S733&gt;=Законод!$I$18,Законод!$H$20,0)))),IF($B$729="Лікар-терапевт",IF(S733&lt;Законод!$C$26,0,(IF(AND(S733&gt;=Законод!$H$26,S733&lt;=Законод!$H$27),S733-Законод!$G$27,IF(S733&gt;=Законод!$I$26,Законод!$H$28,0)))),0)))</f>
        <v>0</v>
      </c>
      <c r="T738" s="930"/>
      <c r="U738" s="889" t="s">
        <v>346</v>
      </c>
      <c r="V738" s="890"/>
      <c r="W738" s="890"/>
      <c r="X738" s="890"/>
      <c r="Y738" s="891"/>
      <c r="Z738" s="196">
        <f ca="1">IF($B$729="Лікар загальної практики - сімейний лікар",IF(Z733&lt;Законод!$C$22,0,(IF(AND(Z733&gt;=Законод!$H$22,Z733&lt;=Законод!$H$23),Z733-Законод!$G$23,IF('01_Доходи'!Z733&gt;=Законод!$I$22,Законод!$H$24,0)))),IF($B$729="Лікар-педіатр",IF(Z733&lt;Законод!$C$18,0,(IF(AND(Z733&gt;=Законод!$H$18,Z733&lt;=Законод!$H$19),Z733-Законод!$G$19,IF('01_Доходи'!Z733&gt;=Законод!$I$18,Законод!$H$20,0)))),IF($B$729="Лікар-терапевт",IF(Z733&lt;Законод!$C$26,0,(IF(AND(Z733&gt;=Законод!$H$26,Z733&lt;=Законод!$H$27),Z733-Законод!$G$27,IF(Z733&gt;=Законод!$I$26,Законод!$H$28,0)))),0)))</f>
        <v>0</v>
      </c>
      <c r="AA738" s="930"/>
      <c r="AB738" s="889" t="s">
        <v>346</v>
      </c>
      <c r="AC738" s="890"/>
      <c r="AD738" s="890"/>
      <c r="AE738" s="890"/>
      <c r="AF738" s="891"/>
      <c r="AG738" s="196">
        <f ca="1">IF($B$729="Лікар загальної практики - сімейний лікар",IF(AG733&lt;Законод!$C$22,0,(IF(AND(AG733&gt;=Законод!$H$22,AG733&lt;=Законод!$H$23),AG733-Законод!$G$23,IF('01_Доходи'!AG733&gt;=Законод!$I$22,Законод!$H$24,0)))),IF($B$729="Лікар-педіатр",IF(AG733&lt;Законод!$C$18,0,(IF(AND(AG733&gt;=Законод!$H$18,AG733&lt;=Законод!$H$19),AG733-Законод!$G$19,IF('01_Доходи'!AG733&gt;=Законод!$I$18,Законод!$H$20,0)))),IF($B$729="Лікар-терапевт",IF(AG733&lt;Законод!$C$26,0,(IF(AND(AG733&gt;=Законод!$H$26,AG733&lt;=Законод!$H$27),AG733-Законод!$G$27,IF(AG733&gt;=Законод!$I$26,Законод!$H$28,0)))),0)))</f>
        <v>0</v>
      </c>
      <c r="AH738" s="930"/>
      <c r="AI738" s="201"/>
      <c r="AJ738" s="933"/>
      <c r="AK738" s="927"/>
      <c r="AL738" s="927"/>
      <c r="AM738" s="899"/>
      <c r="AN738" s="210">
        <f ca="1">IF(B729="Лікар загальної практики - сімейний лікар",L738*Законод!$C$9/4*Законод!$H$16,IF(B729="Лікар-педіатр",L738*Законод!$C$9/4*Законод!$H$16,IF(B729="Лікар-терапевт",L738*Законод!$C$9/4*Законод!$H$16,0)))</f>
        <v>0</v>
      </c>
      <c r="AO738" s="210">
        <f ca="1">IF(B729="Лікар загальної практики - сімейний лікар",S738*Законод!$C$9/4*Законод!$H$16,IF(B729="Лікар-педіатр",S738*Законод!$C$9/4*Законод!$H$16,IF(B729="Лікар-терапевт",S738*Законод!$C$9/4*Законод!$H$16,0)))</f>
        <v>0</v>
      </c>
      <c r="AP738" s="210">
        <f ca="1">IF(B729="Лікар загальної практики - сімейний лікар",Z738*Законод!$C$9/4*Законод!$H$16,IF(B729="Лікар-педіатр",Z738*Законод!$C$9/4*Законод!$H$16,IF(B729="Лікар-терапевт",Z738*Законод!$C$9/4*Законод!$H$16,0)))</f>
        <v>0</v>
      </c>
      <c r="AQ738" s="210">
        <f ca="1">IF(B729="Лікар загальної практики - сімейний лікар",AG738*Законод!$C$9/4*Законод!$H$16,IF(B729="Лікар-педіатр",AG738*Законод!$C$9/4*Законод!$H$16,IF(B729="Лікар-терапевт",AG738*Законод!$C$9/4*Законод!$H$16,0)))</f>
        <v>0</v>
      </c>
      <c r="AR738" s="211">
        <f t="shared" si="83"/>
        <v>0</v>
      </c>
    </row>
    <row r="739" spans="1:44" s="50" customFormat="1" ht="31.9" hidden="1" customHeight="1">
      <c r="A739" s="197"/>
      <c r="B739" s="893"/>
      <c r="C739" s="896"/>
      <c r="D739" s="912"/>
      <c r="E739" s="909"/>
      <c r="F739" s="238" t="str">
        <f ca="1">IF(B729="Лікар-педіатр",Законод!$I$17,IF(B729="Лікар загальної практики - сімейний лікар",Законод!$I$21,IF(B729="Лікар-терапевт",Законод!$I$25,"х")))</f>
        <v>х</v>
      </c>
      <c r="G739" s="889" t="s">
        <v>346</v>
      </c>
      <c r="H739" s="890"/>
      <c r="I739" s="890"/>
      <c r="J739" s="890"/>
      <c r="K739" s="891"/>
      <c r="L739" s="196">
        <f ca="1">IF($B$729="Лікар загальної практики - сімейний лікар",IF(L733&lt;Законод!$C$22,0,(IF(AND(L733&gt;=Законод!$I$22,L733&lt;=Законод!$I$23),L733-Законод!$H$23,IF('01_Доходи'!L733&gt;=Законод!$I$22,Законод!$I$24,0)))),IF($B$729="Лікар-педіатр",IF(L733&lt;Законод!$C$18,0,(IF(AND(L733&gt;=Законод!$I$18,L733&lt;=Законод!$I$19),L733-Законод!$H$19,IF('01_Доходи'!L733&gt;=Законод!$I$18,Законод!$H$20,0)))),IF($B$729="Лікар-терапевт",IF(L733&lt;Законод!$C$26,0,(IF(AND(L733&gt;=Законод!$I$26,L733&lt;=Законод!$I$27),L733-Законод!$H$27,IF('01_Доходи'!L733&gt;=Законод!$I$26,Законод!$H$28,0)))),0)))</f>
        <v>0</v>
      </c>
      <c r="M739" s="930"/>
      <c r="N739" s="889" t="s">
        <v>346</v>
      </c>
      <c r="O739" s="890"/>
      <c r="P739" s="890"/>
      <c r="Q739" s="890"/>
      <c r="R739" s="891"/>
      <c r="S739" s="196">
        <f ca="1">IF($B$729="Лікар загальної практики - сімейний лікар",IF(S733&lt;Законод!$C$22,0,(IF(AND(S733&gt;=Законод!$I$22,S733&lt;=Законод!$I$23),S733-Законод!$H$23,IF('01_Доходи'!S733&gt;=Законод!$I$22,Законод!$I$24,0)))),IF($B$729="Лікар-педіатр",IF(S733&lt;Законод!$C$18,0,(IF(AND(S733&gt;=Законод!$I$18,S733&lt;=Законод!$I$19),S733-Законод!$H$19,IF('01_Доходи'!S733&gt;=Законод!$I$18,Законод!$H$20,0)))),IF($B$729="Лікар-терапевт",IF(S733&lt;Законод!$C$26,0,(IF(AND(S733&gt;=Законод!$I$26,S733&lt;=Законод!$I$27),S733-Законод!$H$27,IF('01_Доходи'!S733&gt;=Законод!$I$26,Законод!$H$28,0)))),0)))</f>
        <v>0</v>
      </c>
      <c r="T739" s="930"/>
      <c r="U739" s="889" t="s">
        <v>346</v>
      </c>
      <c r="V739" s="890"/>
      <c r="W739" s="890"/>
      <c r="X739" s="890"/>
      <c r="Y739" s="891"/>
      <c r="Z739" s="196">
        <f ca="1">IF($B$729="Лікар загальної практики - сімейний лікар",IF(Z733&lt;Законод!$C$22,0,(IF(AND(Z733&gt;=Законод!$I$22,Z733&lt;=Законод!$I$23),Z733-Законод!$H$23,IF('01_Доходи'!Z733&gt;=Законод!$I$22,Законод!$I$24,0)))),IF($B$729="Лікар-педіатр",IF(Z733&lt;Законод!$C$18,0,(IF(AND(Z733&gt;=Законод!$I$18,Z733&lt;=Законод!$I$19),Z733-Законод!$H$19,IF('01_Доходи'!Z733&gt;=Законод!$I$18,Законод!$H$20,0)))),IF($B$729="Лікар-терапевт",IF(Z733&lt;Законод!$C$26,0,(IF(AND(Z733&gt;=Законод!$I$26,Z733&lt;=Законод!$I$27),Z733-Законод!$H$27,IF('01_Доходи'!Z733&gt;=Законод!$I$26,Законод!$H$28,0)))),0)))</f>
        <v>0</v>
      </c>
      <c r="AA739" s="930"/>
      <c r="AB739" s="889" t="s">
        <v>346</v>
      </c>
      <c r="AC739" s="890"/>
      <c r="AD739" s="890"/>
      <c r="AE739" s="890"/>
      <c r="AF739" s="891"/>
      <c r="AG739" s="196">
        <f ca="1">IF($B$729="Лікар загальної практики - сімейний лікар",IF(AG733&lt;Законод!$C$22,0,(IF(AND(AG733&gt;=Законод!$I$22,AG733&lt;=Законод!$I$23),AG733-Законод!$H$23,IF('01_Доходи'!AG733&gt;=Законод!$I$22,Законод!$I$24,0)))),IF($B$729="Лікар-педіатр",IF(AG733&lt;Законод!$C$18,0,(IF(AND(AG733&gt;=Законод!$I$18,AG733&lt;=Законод!$I$19),AG733-Законод!$H$19,IF('01_Доходи'!AG733&gt;=Законод!$I$18,Законод!$H$20,0)))),IF($B$729="Лікар-терапевт",IF(AG733&lt;Законод!$C$26,0,(IF(AND(AG733&gt;=Законод!$I$26,AG733&lt;=Законод!$I$27),AG733-Законод!$H$27,IF('01_Доходи'!AG733&gt;=Законод!$I$26,Законод!$H$28,0)))),0)))</f>
        <v>0</v>
      </c>
      <c r="AH739" s="930"/>
      <c r="AI739" s="201"/>
      <c r="AJ739" s="933"/>
      <c r="AK739" s="927"/>
      <c r="AL739" s="927"/>
      <c r="AM739" s="899"/>
      <c r="AN739" s="210">
        <f ca="1">IF(B729="Лікар загальної практики - сімейний лікар",L739*Законод!$C$9/4*Законод!$I$16,IF(B729="Лікар-педіатр",L739*Законод!$C$9/4*Законод!$I$16,IF(B729="Лікар-терапевт",L739*Законод!$C$9/4*Законод!$I$16,0)))</f>
        <v>0</v>
      </c>
      <c r="AO739" s="210">
        <f ca="1">IF(B729="Лікар загальної практики - сімейний лікар",S739*Законод!$C$9/4*Законод!$I$16,IF(B729="Лікар-педіатр",S739*Законод!$C$9/4*Законод!$I$16,IF(B729="Лікар-терапевт",S739*Законод!$C$9/4*Законод!$I$16,0)))</f>
        <v>0</v>
      </c>
      <c r="AP739" s="210">
        <f ca="1">IF(B729="Лікар загальної практики - сімейний лікар",Z739*Законод!$C$9/4*Законод!$I$16,IF(B729="Лікар-педіатр",Z739*Законод!$C$9/4*Законод!$I$16,IF(B729="Лікар-терапевт",Z739*Законод!$C$9/4*Законод!$I$16,0)))</f>
        <v>0</v>
      </c>
      <c r="AQ739" s="210">
        <f ca="1">IF(B729="Лікар загальної практики - сімейний лікар",AG739*Законод!$C$9/4*Законод!$I$16,IF(B729="Лікар-педіатр",AG739*Законод!$C$9/4*Законод!$I$16,IF(B729="Лікар-терапевт",AG739*Законод!$C$9/4*Законод!$I$16,0)))</f>
        <v>0</v>
      </c>
      <c r="AR739" s="211">
        <f t="shared" si="83"/>
        <v>0</v>
      </c>
    </row>
    <row r="740" spans="1:44" s="218" customFormat="1" ht="31.9" hidden="1" customHeight="1" thickBot="1">
      <c r="A740" s="213"/>
      <c r="B740" s="894"/>
      <c r="C740" s="897"/>
      <c r="D740" s="913"/>
      <c r="E740" s="910"/>
      <c r="F740" s="239" t="str">
        <f ca="1">IF(B729="Лікар-педіатр",Законод!$J$17,IF(B729="Лікар загальної практики - сімейний лікар",Законод!$J$21,IF(B729="Лікар-терапевт",Законод!$J$25,"х")))</f>
        <v>х</v>
      </c>
      <c r="G740" s="935" t="s">
        <v>346</v>
      </c>
      <c r="H740" s="936"/>
      <c r="I740" s="936"/>
      <c r="J740" s="936"/>
      <c r="K740" s="937"/>
      <c r="L740" s="196">
        <f ca="1">IF($B$729="Лікар загальної практики - сімейний лікар",IF(L733&gt;=Законод!$J$22,'01_Доходи'!L733-('01_Доходи'!L734+'01_Доходи'!L735+'01_Доходи'!L736+'01_Доходи'!L737+'01_Доходи'!L738+'01_Доходи'!L739),0),IF($B$729="Лікар-педіатр",IF(L733&gt;=Законод!$J$18,'01_Доходи'!L733-('01_Доходи'!L734+'01_Доходи'!L735+'01_Доходи'!L736+'01_Доходи'!L737+'01_Доходи'!L738+'01_Доходи'!L739),0),IF($B$729="Лікар-терапевт",IF('01_Доходи'!L733&gt;=Законод!$J$26,L733-Законод!$I$27,0),0)))</f>
        <v>0</v>
      </c>
      <c r="M740" s="931"/>
      <c r="N740" s="935" t="s">
        <v>346</v>
      </c>
      <c r="O740" s="936"/>
      <c r="P740" s="936"/>
      <c r="Q740" s="936"/>
      <c r="R740" s="937"/>
      <c r="S740" s="196">
        <f ca="1">IF($B$729="Лікар загальної практики - сімейний лікар",IF(S733&gt;=Законод!$J$22,'01_Доходи'!S733-('01_Доходи'!S734+'01_Доходи'!S735+'01_Доходи'!S736+'01_Доходи'!S737+'01_Доходи'!S738+'01_Доходи'!S739),0),IF($B$729="Лікар-педіатр",IF(S733&gt;=Законод!$J$18,'01_Доходи'!S733-('01_Доходи'!S734+'01_Доходи'!S735+'01_Доходи'!S736+'01_Доходи'!S737+'01_Доходи'!S738+'01_Доходи'!S739),0),IF($B$729="Лікар-терапевт",IF('01_Доходи'!S733&gt;=Законод!$J$26,S733-Законод!$I$27,0),0)))</f>
        <v>0</v>
      </c>
      <c r="T740" s="931"/>
      <c r="U740" s="935" t="s">
        <v>346</v>
      </c>
      <c r="V740" s="936"/>
      <c r="W740" s="936"/>
      <c r="X740" s="936"/>
      <c r="Y740" s="937"/>
      <c r="Z740" s="196">
        <f ca="1">IF($B$729="Лікар загальної практики - сімейний лікар",IF(Z733&gt;=Законод!$J$22,'01_Доходи'!Z733-('01_Доходи'!Z734+'01_Доходи'!Z735+'01_Доходи'!Z736+'01_Доходи'!Z737+'01_Доходи'!Z738+'01_Доходи'!Z739),0),IF($B$729="Лікар-педіатр",IF(Z733&gt;=Законод!$J$18,'01_Доходи'!Z733-('01_Доходи'!Z734+'01_Доходи'!Z735+'01_Доходи'!Z736+'01_Доходи'!Z737+'01_Доходи'!Z738+'01_Доходи'!Z739),0),IF($B$729="Лікар-терапевт",IF('01_Доходи'!Z733&gt;=Законод!$J$26,Z733-Законод!$I$27,0),0)))</f>
        <v>0</v>
      </c>
      <c r="AA740" s="931"/>
      <c r="AB740" s="935" t="s">
        <v>346</v>
      </c>
      <c r="AC740" s="936"/>
      <c r="AD740" s="936"/>
      <c r="AE740" s="936"/>
      <c r="AF740" s="937"/>
      <c r="AG740" s="196">
        <f ca="1">IF($B$729="Лікар загальної практики - сімейний лікар",IF(AG733&gt;=Законод!$J$22,'01_Доходи'!AG733-('01_Доходи'!AG734+'01_Доходи'!AG735+'01_Доходи'!AG736+'01_Доходи'!AG737+'01_Доходи'!AG738+'01_Доходи'!AG739),0),IF($B$729="Лікар-педіатр",IF(AG733&gt;=Законод!$J$18,'01_Доходи'!AG733-('01_Доходи'!AG734+'01_Доходи'!AG735+'01_Доходи'!AG736+'01_Доходи'!AG737+'01_Доходи'!AG738+'01_Доходи'!AG739),0),IF($B$729="Лікар-терапевт",IF('01_Доходи'!AG733&gt;=Законод!$J$26,AG733-Законод!$I$27,0),0)))</f>
        <v>0</v>
      </c>
      <c r="AH740" s="931"/>
      <c r="AI740" s="215"/>
      <c r="AJ740" s="934"/>
      <c r="AK740" s="928"/>
      <c r="AL740" s="928"/>
      <c r="AM740" s="900"/>
      <c r="AN740" s="216">
        <f ca="1">IF(B729="Лікар загальної практики - сімейний лікар",L740*Законод!$C$9/4*Законод!$J$16,IF(B729="Лікар-педіатр",L740*Законод!$C$9/4*Законод!$J$16,IF(B729="Лікар-терапевт",L740*Законод!$C$9/4*Законод!$J$16,0)))</f>
        <v>0</v>
      </c>
      <c r="AO740" s="216">
        <f ca="1">IF(B729="Лікар загальної практики - сімейний лікар",S740*Законод!$C$9/4*Законод!$J$16,IF(B729="Лікар-педіатр",S740*Законод!$C$9/4*Законод!$J$16,IF(B729="Лікар-терапевт",S740*Законод!$C$9/4*Законод!$J$16,0)))</f>
        <v>0</v>
      </c>
      <c r="AP740" s="216">
        <f ca="1">IF(B729="Лікар загальної практики - сімейний лікар",S740*Законод!$C$9/4*Законод!$J$16,IF(B729="Лікар-педіатр",S740*Законод!$C$9/4*Законод!$J$16,IF(B729="Лікар-терапевт",S740*Законод!$C$9/4*Законод!$J$16,0)))</f>
        <v>0</v>
      </c>
      <c r="AQ740" s="216">
        <f ca="1">IF(B729="Лікар загальної практики - сімейний лікар",AG740*Законод!$C$9/4*Законод!$J$16,IF(B729="Лікар-педіатр",AG740*Законод!$C$9/4*Законод!$J$16,IF(B729="Лікар-терапевт",AG740*Законод!$C$9/4*Законод!$J$16,0)))</f>
        <v>0</v>
      </c>
      <c r="AR740" s="217">
        <f t="shared" si="83"/>
        <v>0</v>
      </c>
    </row>
    <row r="741" spans="1:44" s="247" customFormat="1" ht="23.45" hidden="1" customHeight="1" thickBot="1">
      <c r="A741" s="243"/>
      <c r="B741" s="244"/>
      <c r="C741" s="244"/>
      <c r="D741" s="244"/>
      <c r="E741" s="244"/>
      <c r="F741" s="245"/>
      <c r="G741" s="246"/>
      <c r="H741" s="246"/>
      <c r="L741" s="248"/>
      <c r="S741" s="248"/>
      <c r="Z741" s="248"/>
      <c r="AG741" s="248"/>
      <c r="AM741" s="249"/>
      <c r="AR741" s="250"/>
    </row>
    <row r="742" spans="1:44" s="191" customFormat="1" ht="24.6" hidden="1" customHeight="1">
      <c r="A742" s="194">
        <f>A729+1</f>
        <v>55</v>
      </c>
      <c r="B742" s="892"/>
      <c r="C742" s="895"/>
      <c r="D742" s="911"/>
      <c r="E742" s="908"/>
      <c r="F742" s="234" t="s">
        <v>582</v>
      </c>
      <c r="G742" s="196">
        <f>IF($B$742="Лікар-педіатр",G745*L742,IF($B$742="Лікар-терапевт","х",IF($B$742="Лікар загальної практики - сімейний лікар",G745*L742,0)))</f>
        <v>0</v>
      </c>
      <c r="H742" s="196">
        <f>IF($B$742="Лікар-педіатр",H745*L742,IF($B$742="Лікар-терапевт","х",IF($B$742="Лікар загальної практики - сімейний лікар",H745*L742,0)))</f>
        <v>0</v>
      </c>
      <c r="I742" s="196">
        <f>IF($B$742="Лікар-педіатр","x",IF($B$742="Лікар-терапевт",I745*L742,IF($B$742="Лікар загальної практики - сімейний лікар",I745*L742,0)))</f>
        <v>0</v>
      </c>
      <c r="J742" s="196">
        <f>IF($B$742="Лікар-педіатр","x",IF($B$742="Лікар-терапевт",J745*L742,IF($B$742="Лікар загальної практики - сімейний лікар",J745*L742,0)))</f>
        <v>0</v>
      </c>
      <c r="K742" s="196">
        <f>IF($B$742="Лікар-педіатр","x",IF($B$742="Лікар-терапевт",K745*L742,IF($B$742="Лікар загальної практики - сімейний лікар",K745*L742,0)))</f>
        <v>0</v>
      </c>
      <c r="L742" s="558"/>
      <c r="M742" s="929"/>
      <c r="N742" s="196">
        <f>IF($B$742="Лікар-педіатр",N745*S742,IF($B$742="Лікар-терапевт","х",IF($B$742="Лікар загальної практики - сімейний лікар",N745*S742,0)))</f>
        <v>0</v>
      </c>
      <c r="O742" s="196">
        <f>IF($B$742="Лікар-педіатр",O745*S742,IF($B$742="Лікар-терапевт","х",IF($B$742="Лікар загальної практики - сімейний лікар",O745*S742,0)))</f>
        <v>0</v>
      </c>
      <c r="P742" s="196">
        <f>IF($B$742="Лікар-педіатр","x",IF($B$742="Лікар-терапевт",P745*S742,IF($B$742="Лікар загальної практики - сімейний лікар",P745*S742,0)))</f>
        <v>0</v>
      </c>
      <c r="Q742" s="196">
        <f>IF($B$742="Лікар-педіатр","x",IF($B$742="Лікар-терапевт",Q745*S742,IF($B$742="Лікар загальної практики - сімейний лікар",Q745*S742,0)))</f>
        <v>0</v>
      </c>
      <c r="R742" s="196">
        <f>IF($B$742="Лікар-педіатр","x",IF($B$742="Лікар-терапевт",R745*S742,IF($B$742="Лікар загальної практики - сімейний лікар",R745*S742,0)))</f>
        <v>0</v>
      </c>
      <c r="S742" s="558"/>
      <c r="T742" s="929"/>
      <c r="U742" s="196">
        <f>IF($B$742="Лікар-педіатр",U745*Z742,IF($B$742="Лікар-терапевт","х",IF($B$742="Лікар загальної практики - сімейний лікар",U745*Z742,0)))</f>
        <v>0</v>
      </c>
      <c r="V742" s="196">
        <f>IF($B$742="Лікар-педіатр",V745*Z742,IF($B$742="Лікар-терапевт","х",IF($B$742="Лікар загальної практики - сімейний лікар",V745*Z742,0)))</f>
        <v>0</v>
      </c>
      <c r="W742" s="196">
        <f>IF($B$742="Лікар-педіатр","x",IF($B$742="Лікар-терапевт",W745*Z742,IF($B$742="Лікар загальної практики - сімейний лікар",W745*Z742,0)))</f>
        <v>0</v>
      </c>
      <c r="X742" s="196">
        <f>IF($B$742="Лікар-педіатр","x",IF($B$742="Лікар-терапевт",X745*Z742,IF($B$742="Лікар загальної практики - сімейний лікар",X745*Z742,0)))</f>
        <v>0</v>
      </c>
      <c r="Y742" s="196">
        <f>IF($B$742="Лікар-педіатр","x",IF($B$742="Лікар-терапевт",Y745*Z742,IF($B$742="Лікар загальної практики - сімейний лікар",Y745*Z742,0)))</f>
        <v>0</v>
      </c>
      <c r="Z742" s="558"/>
      <c r="AA742" s="929"/>
      <c r="AB742" s="196">
        <f>IF($B$742="Лікар-педіатр",AB745*AG742,IF($B$742="Лікар-терапевт","х",IF($B$742="Лікар загальної практики - сімейний лікар",AB745*AG742,0)))</f>
        <v>0</v>
      </c>
      <c r="AC742" s="196">
        <f>IF($B$742="Лікар-педіатр",AC745*AG742,IF($B$742="Лікар-терапевт","х",IF($B$742="Лікар загальної практики - сімейний лікар",AC745*AG742,0)))</f>
        <v>0</v>
      </c>
      <c r="AD742" s="196">
        <f>IF($B$742="Лікар-педіатр","x",IF($B$742="Лікар-терапевт",AD745*AG742,IF($B$742="Лікар загальної практики - сімейний лікар",AD745*AG742,0)))</f>
        <v>0</v>
      </c>
      <c r="AE742" s="196">
        <f>IF($B$742="Лікар-педіатр","x",IF($B$742="Лікар-терапевт",AE745*AG742,IF($B$742="Лікар загальної практики - сімейний лікар",AE745*AG742,0)))</f>
        <v>0</v>
      </c>
      <c r="AF742" s="196">
        <f>IF($B$742="Лікар-педіатр","x",IF($B$742="Лікар-терапевт",AF745*AG742,IF($B$742="Лікар загальної практики - сімейний лікар",AF745*AG742,0)))</f>
        <v>0</v>
      </c>
      <c r="AG742" s="558"/>
      <c r="AH742" s="929"/>
      <c r="AI742" s="541">
        <f>A742</f>
        <v>55</v>
      </c>
      <c r="AJ742" s="932">
        <f>B742</f>
        <v>0</v>
      </c>
      <c r="AK742" s="926">
        <f>C742</f>
        <v>0</v>
      </c>
      <c r="AL742" s="926">
        <f>D742</f>
        <v>0</v>
      </c>
      <c r="AM742" s="901" t="s">
        <v>785</v>
      </c>
      <c r="AN742" s="923">
        <f>SUM(AN747:AN753)</f>
        <v>0</v>
      </c>
      <c r="AO742" s="923">
        <f>SUM(AO747:AO753)</f>
        <v>0</v>
      </c>
      <c r="AP742" s="923">
        <f>SUM(AP747:AP753)</f>
        <v>0</v>
      </c>
      <c r="AQ742" s="923">
        <f>SUM(AQ747:AQ753)</f>
        <v>0</v>
      </c>
      <c r="AR742" s="914">
        <f>SUM(AN742:AQ746)</f>
        <v>0</v>
      </c>
    </row>
    <row r="743" spans="1:44" s="50" customFormat="1" ht="28.15" hidden="1" customHeight="1">
      <c r="A743" s="197"/>
      <c r="B743" s="893"/>
      <c r="C743" s="896"/>
      <c r="D743" s="912"/>
      <c r="E743" s="909"/>
      <c r="F743" s="234" t="s">
        <v>583</v>
      </c>
      <c r="G743" s="196">
        <f>IF($B$742="Лікар-педіатр",G745*L743,IF($B$742="Лікар-терапевт","х",IF($B$742="Лікар загальної практики - сімейний лікар",G745*L743,0)))</f>
        <v>0</v>
      </c>
      <c r="H743" s="196">
        <f>IF($B$742="Лікар-педіатр",H745*L743,IF($B$742="Лікар-терапевт","х",IF($B$742="Лікар загальної практики - сімейний лікар",H745*L743,0)))</f>
        <v>0</v>
      </c>
      <c r="I743" s="196">
        <f>IF($B$742="Лікар-педіатр","x",IF($B$742="Лікар-терапевт",I745*L743,IF($B$742="Лікар загальної практики - сімейний лікар",I745*L743,0)))</f>
        <v>0</v>
      </c>
      <c r="J743" s="196">
        <f>IF($B$742="Лікар-педіатр","x",IF($B$742="Лікар-терапевт",J745*L743,IF($B$742="Лікар загальної практики - сімейний лікар",J745*L743,0)))</f>
        <v>0</v>
      </c>
      <c r="K743" s="196">
        <f>IF($B$742="Лікар-педіатр","x",IF($B$742="Лікар-терапевт",K745*L743,IF($B$742="Лікар загальної практики - сімейний лікар",K745*L743,0)))</f>
        <v>0</v>
      </c>
      <c r="L743" s="558"/>
      <c r="M743" s="930"/>
      <c r="N743" s="196">
        <f>IF($B$742="Лікар-педіатр",N745*S743,IF($B$742="Лікар-терапевт","х",IF($B$742="Лікар загальної практики - сімейний лікар",N745*S743,0)))</f>
        <v>0</v>
      </c>
      <c r="O743" s="196">
        <f>IF($B$742="Лікар-педіатр",O745*S743,IF($B$742="Лікар-терапевт","х",IF($B$742="Лікар загальної практики - сімейний лікар",O745*S743,0)))</f>
        <v>0</v>
      </c>
      <c r="P743" s="196">
        <f>IF($B$742="Лікар-педіатр","x",IF($B$742="Лікар-терапевт",P745*S743,IF($B$742="Лікар загальної практики - сімейний лікар",P745*S743,0)))</f>
        <v>0</v>
      </c>
      <c r="Q743" s="196">
        <f>IF($B$742="Лікар-педіатр","x",IF($B$742="Лікар-терапевт",Q745*S743,IF($B$742="Лікар загальної практики - сімейний лікар",Q745*S743,0)))</f>
        <v>0</v>
      </c>
      <c r="R743" s="196">
        <f>IF($B$742="Лікар-педіатр","x",IF($B$742="Лікар-терапевт",R745*S743,IF($B$742="Лікар загальної практики - сімейний лікар",R745*S743,0)))</f>
        <v>0</v>
      </c>
      <c r="S743" s="558"/>
      <c r="T743" s="930"/>
      <c r="U743" s="196">
        <f>IF($B$742="Лікар-педіатр",U745*Z743,IF($B$742="Лікар-терапевт","х",IF($B$742="Лікар загальної практики - сімейний лікар",U745*Z743,0)))</f>
        <v>0</v>
      </c>
      <c r="V743" s="196">
        <f>IF($B$742="Лікар-педіатр",V745*Z743,IF($B$742="Лікар-терапевт","х",IF($B$742="Лікар загальної практики - сімейний лікар",V745*Z743,0)))</f>
        <v>0</v>
      </c>
      <c r="W743" s="196">
        <f>IF($B$742="Лікар-педіатр","x",IF($B$742="Лікар-терапевт",W745*Z743,IF($B$742="Лікар загальної практики - сімейний лікар",W745*Z743,0)))</f>
        <v>0</v>
      </c>
      <c r="X743" s="196">
        <f>IF($B$742="Лікар-педіатр","x",IF($B$742="Лікар-терапевт",X745*Z743,IF($B$742="Лікар загальної практики - сімейний лікар",X745*Z743,0)))</f>
        <v>0</v>
      </c>
      <c r="Y743" s="196">
        <f>IF($B$742="Лікар-педіатр","x",IF($B$742="Лікар-терапевт",Y745*Z743,IF($B$742="Лікар загальної практики - сімейний лікар",Y745*Z743,0)))</f>
        <v>0</v>
      </c>
      <c r="Z743" s="558"/>
      <c r="AA743" s="930"/>
      <c r="AB743" s="196">
        <f>IF($B$742="Лікар-педіатр",AB745*AG743,IF($B$742="Лікар-терапевт","х",IF($B$742="Лікар загальної практики - сімейний лікар",AB745*AG743,0)))</f>
        <v>0</v>
      </c>
      <c r="AC743" s="196">
        <f>IF($B$742="Лікар-педіатр",AC745*AG743,IF($B$742="Лікар-терапевт","х",IF($B$742="Лікар загальної практики - сімейний лікар",AC745*AG743,0)))</f>
        <v>0</v>
      </c>
      <c r="AD743" s="196">
        <f>IF($B$742="Лікар-педіатр","x",IF($B$742="Лікар-терапевт",AD745*AG743,IF($B$742="Лікар загальної практики - сімейний лікар",AD745*AG743,0)))</f>
        <v>0</v>
      </c>
      <c r="AE743" s="196">
        <f>IF($B$742="Лікар-педіатр","x",IF($B$742="Лікар-терапевт",AE745*AG743,IF($B$742="Лікар загальної практики - сімейний лікар",AE745*AG743,0)))</f>
        <v>0</v>
      </c>
      <c r="AF743" s="196">
        <f>IF($B$742="Лікар-педіатр","x",IF($B$742="Лікар-терапевт",AF745*AG743,IF($B$742="Лікар загальної практики - сімейний лікар",AF745*AG743,0)))</f>
        <v>0</v>
      </c>
      <c r="AG743" s="558"/>
      <c r="AH743" s="930"/>
      <c r="AI743" s="198"/>
      <c r="AJ743" s="933"/>
      <c r="AK743" s="927"/>
      <c r="AL743" s="927"/>
      <c r="AM743" s="902"/>
      <c r="AN743" s="924"/>
      <c r="AO743" s="924"/>
      <c r="AP743" s="924"/>
      <c r="AQ743" s="924"/>
      <c r="AR743" s="915"/>
    </row>
    <row r="744" spans="1:44" s="90" customFormat="1" ht="31.15" hidden="1" customHeight="1">
      <c r="A744" s="240"/>
      <c r="B744" s="893"/>
      <c r="C744" s="896"/>
      <c r="D744" s="912"/>
      <c r="E744" s="909"/>
      <c r="F744" s="241" t="s">
        <v>584</v>
      </c>
      <c r="G744" s="199">
        <f>IF(B742="Лікар загальної практики - сімейний лікар"," ",IF(B742="Лікар-педіатр"," ",IF(B742="Лікар-терапевт","х",0)))</f>
        <v>0</v>
      </c>
      <c r="H744" s="199">
        <f>IF(B742="Лікар загальної практики - сімейний лікар"," ",IF(B742="Лікар-педіатр"," ",IF(B742="Лікар-терапевт","х",0)))</f>
        <v>0</v>
      </c>
      <c r="I744" s="199">
        <f>IF(B742="Лікар загальної практики - сімейний лікар"," ",IF(B742="Лікар-педіатр","х",IF(B742="Лікар-терапевт"," ",0)))</f>
        <v>0</v>
      </c>
      <c r="J744" s="199">
        <f>IF(B742="Лікар загальної практики - сімейний лікар"," ",IF(B742="Лікар-педіатр","х",IF(B742="Лікар-терапевт"," ",0)))</f>
        <v>0</v>
      </c>
      <c r="K744" s="199">
        <f>IF(B742="Лікар загальної практики - сімейний лікар"," ",IF(B742="Лікар-педіатр","х",IF(B742="Лікар-терапевт"," ",0)))</f>
        <v>0</v>
      </c>
      <c r="L744" s="200">
        <f>SUM(G744:K744)</f>
        <v>0</v>
      </c>
      <c r="M744" s="930"/>
      <c r="N744" s="199">
        <f>IF(B742="Лікар загальної практики - сімейний лікар"," ",IF(B742="Лікар-педіатр"," ",IF(B742="Лікар-терапевт","х",0)))</f>
        <v>0</v>
      </c>
      <c r="O744" s="199">
        <f>IF(B742="Лікар загальної практики - сімейний лікар"," ",IF(B742="Лікар-педіатр"," ",IF(B742="Лікар-терапевт","х",0)))</f>
        <v>0</v>
      </c>
      <c r="P744" s="199">
        <f>IF(B742="Лікар загальної практики - сімейний лікар"," ",IF(B742="Лікар-педіатр","х",IF(B742="Лікар-терапевт"," ",0)))</f>
        <v>0</v>
      </c>
      <c r="Q744" s="199">
        <f>IF(B742="Лікар загальної практики - сімейний лікар"," ",IF(B742="Лікар-педіатр","х",IF(B742="Лікар-терапевт"," ",0)))</f>
        <v>0</v>
      </c>
      <c r="R744" s="199">
        <f>IF(B742="Лікар загальної практики - сімейний лікар"," ",IF(B742="Лікар-педіатр","х",IF(B742="Лікар-терапевт"," ",0)))</f>
        <v>0</v>
      </c>
      <c r="S744" s="200">
        <f>SUM(N744:R744)</f>
        <v>0</v>
      </c>
      <c r="T744" s="930"/>
      <c r="U744" s="199">
        <f>IF(B742="Лікар загальної практики - сімейний лікар"," ",IF(B742="Лікар-педіатр"," ",IF(B742="Лікар-терапевт","х",0)))</f>
        <v>0</v>
      </c>
      <c r="V744" s="199">
        <f>IF(B742="Лікар загальної практики - сімейний лікар"," ",IF(B742="Лікар-педіатр"," ",IF(B742="Лікар-терапевт","х",0)))</f>
        <v>0</v>
      </c>
      <c r="W744" s="199">
        <f>IF(B742="Лікар загальної практики - сімейний лікар"," ",IF(B742="Лікар-педіатр","х",IF(B742="Лікар-терапевт"," ",0)))</f>
        <v>0</v>
      </c>
      <c r="X744" s="199">
        <f>IF(B742="Лікар загальної практики - сімейний лікар"," ",IF(B742="Лікар-педіатр","х",IF(B742="Лікар-терапевт"," ",0)))</f>
        <v>0</v>
      </c>
      <c r="Y744" s="199">
        <f>IF(B742="Лікар загальної практики - сімейний лікар"," ",IF(B742="Лікар-педіатр","х",IF(B742="Лікар-терапевт"," ",0)))</f>
        <v>0</v>
      </c>
      <c r="Z744" s="200">
        <f>SUM(U744:Y744)</f>
        <v>0</v>
      </c>
      <c r="AA744" s="930"/>
      <c r="AB744" s="199">
        <f>IF(B742="Лікар загальної практики - сімейний лікар"," ",IF(B742="Лікар-педіатр"," ",IF(B742="Лікар-терапевт","х",0)))</f>
        <v>0</v>
      </c>
      <c r="AC744" s="199">
        <f>IF(B742="Лікар загальної практики - сімейний лікар"," ",IF(B742="Лікар-педіатр"," ",IF(B742="Лікар-терапевт","х",0)))</f>
        <v>0</v>
      </c>
      <c r="AD744" s="199">
        <f>IF(B742="Лікар загальної практики - сімейний лікар"," ",IF(B742="Лікар-педіатр","х",IF(B742="Лікар-терапевт"," ",0)))</f>
        <v>0</v>
      </c>
      <c r="AE744" s="199">
        <f>IF(B742="Лікар загальної практики - сімейний лікар"," ",IF(B742="Лікар-педіатр","х",IF(B742="Лікар-терапевт"," ",0)))</f>
        <v>0</v>
      </c>
      <c r="AF744" s="199">
        <f>IF(B742="Лікар загальної практики - сімейний лікар"," ",IF(B742="Лікар-педіатр","х",IF(B742="Лікар-терапевт"," ",0)))</f>
        <v>0</v>
      </c>
      <c r="AG744" s="200">
        <f>SUM(AB744:AF744)</f>
        <v>0</v>
      </c>
      <c r="AH744" s="930"/>
      <c r="AI744" s="242"/>
      <c r="AJ744" s="933"/>
      <c r="AK744" s="927"/>
      <c r="AL744" s="927"/>
      <c r="AM744" s="902"/>
      <c r="AN744" s="924"/>
      <c r="AO744" s="924"/>
      <c r="AP744" s="924"/>
      <c r="AQ744" s="924"/>
      <c r="AR744" s="915"/>
    </row>
    <row r="745" spans="1:44" s="50" customFormat="1" ht="31.9" hidden="1" customHeight="1" thickBot="1">
      <c r="A745" s="197"/>
      <c r="B745" s="893"/>
      <c r="C745" s="896"/>
      <c r="D745" s="912"/>
      <c r="E745" s="909"/>
      <c r="F745" s="236" t="s">
        <v>349</v>
      </c>
      <c r="G745" s="203">
        <f>IF($B$742="Лікар-педіатр",G744/L744,IF($B$742="Лікар-терапевт","х",IF($B$742="Лікар загальної практики - сімейний лікар",G744/L744,0)))</f>
        <v>0</v>
      </c>
      <c r="H745" s="203">
        <f>IF($B$742="Лікар-педіатр",H744/L744,IF($B$742="Лікар-терапевт","х",IF($B$742="Лікар загальної практики - сімейний лікар",H744/L744,0)))</f>
        <v>0</v>
      </c>
      <c r="I745" s="203">
        <f>IF($B$742="Лікар-педіатр","x",IF($B$742="Лікар-терапевт",I744/L744,IF($B$742="Лікар загальної практики - сімейний лікар",I744/L744,0)))</f>
        <v>0</v>
      </c>
      <c r="J745" s="203">
        <f>IF($B$742="Лікар-педіатр","x",IF($B$742="Лікар-терапевт",J744/L744,IF($B$742="Лікар загальної практики - сімейний лікар",J744/L744,0)))</f>
        <v>0</v>
      </c>
      <c r="K745" s="203">
        <f>IF($B$742="Лікар-педіатр","x",IF($B$742="Лікар-терапевт",K744/L744,IF($B$742="Лікар загальної практики - сімейний лікар",K744/L744,0)))</f>
        <v>0</v>
      </c>
      <c r="L745" s="203">
        <f>SUM(G745:K745)</f>
        <v>0</v>
      </c>
      <c r="M745" s="930"/>
      <c r="N745" s="203">
        <f>IF($B$742="Лікар-педіатр",N744/S744,IF($B$742="Лікар-терапевт","х",IF($B$742="Лікар загальної практики - сімейний лікар",N744/S744,0)))</f>
        <v>0</v>
      </c>
      <c r="O745" s="203">
        <f>IF($B$742="Лікар-педіатр",O744/S744,IF($B$742="Лікар-терапевт","х",IF($B$742="Лікар загальної практики - сімейний лікар",O744/S744,0)))</f>
        <v>0</v>
      </c>
      <c r="P745" s="203">
        <f>IF($B$742="Лікар-педіатр","x",IF($B$742="Лікар-терапевт",P744/S744,IF($B$742="Лікар загальної практики - сімейний лікар",P744/S744,0)))</f>
        <v>0</v>
      </c>
      <c r="Q745" s="203">
        <f>IF($B$742="Лікар-педіатр","x",IF($B$742="Лікар-терапевт",Q744/S744,IF($B$742="Лікар загальної практики - сімейний лікар",Q744/S744,0)))</f>
        <v>0</v>
      </c>
      <c r="R745" s="203">
        <f>IF($B$742="Лікар-педіатр","x",IF($B$742="Лікар-терапевт",R744/S744,IF($B$742="Лікар загальної практики - сімейний лікар",R744/S744,0)))</f>
        <v>0</v>
      </c>
      <c r="S745" s="203">
        <f>SUM(N745:R745)</f>
        <v>0</v>
      </c>
      <c r="T745" s="930"/>
      <c r="U745" s="203">
        <f>IF($B$742="Лікар-педіатр",U744/Z744,IF($B$742="Лікар-терапевт","х",IF($B$742="Лікар загальної практики - сімейний лікар",U744/Z744,0)))</f>
        <v>0</v>
      </c>
      <c r="V745" s="203">
        <f>IF($B$742="Лікар-педіатр",V744/Z744,IF($B$742="Лікар-терапевт","х",IF($B$742="Лікар загальної практики - сімейний лікар",V744/Z744,0)))</f>
        <v>0</v>
      </c>
      <c r="W745" s="203">
        <f>IF($B$742="Лікар-педіатр","x",IF($B$742="Лікар-терапевт",W744/Z744,IF($B$742="Лікар загальної практики - сімейний лікар",W744/Z744,0)))</f>
        <v>0</v>
      </c>
      <c r="X745" s="203">
        <f>IF($B$742="Лікар-педіатр","x",IF($B$742="Лікар-терапевт",X744/Z744,IF($B$742="Лікар загальної практики - сімейний лікар",X744/Z744,0)))</f>
        <v>0</v>
      </c>
      <c r="Y745" s="203">
        <f>IF($B$742="Лікар-педіатр","x",IF($B$742="Лікар-терапевт",Y744/Z744,IF($B$742="Лікар загальної практики - сімейний лікар",Y744/Z744,0)))</f>
        <v>0</v>
      </c>
      <c r="Z745" s="203">
        <f>SUM(U745:Y745)</f>
        <v>0</v>
      </c>
      <c r="AA745" s="930"/>
      <c r="AB745" s="203">
        <f>IF($B$742="Лікар-педіатр",AB744/AG744,IF($B$742="Лікар-терапевт","х",IF($B$742="Лікар загальної практики - сімейний лікар",AB744/AG744,0)))</f>
        <v>0</v>
      </c>
      <c r="AC745" s="203">
        <f>IF($B$742="Лікар-педіатр",AC744/AG744,IF($B$742="Лікар-терапевт","х",IF($B$742="Лікар загальної практики - сімейний лікар",AC744/AG744,0)))</f>
        <v>0</v>
      </c>
      <c r="AD745" s="203">
        <f>IF($B$742="Лікар-педіатр","x",IF($B$742="Лікар-терапевт",AD744/AG744,IF($B$742="Лікар загальної практики - сімейний лікар",AD744/AG744,0)))</f>
        <v>0</v>
      </c>
      <c r="AE745" s="203">
        <f>IF($B$742="Лікар-педіатр","x",IF($B$742="Лікар-терапевт",AE744/AG744,IF($B$742="Лікар загальної практики - сімейний лікар",AE744/AG744,0)))</f>
        <v>0</v>
      </c>
      <c r="AF745" s="203">
        <f>IF($B$742="Лікар-педіатр","x",IF($B$742="Лікар-терапевт",AF744/AG744,IF($B$742="Лікар загальної практики - сімейний лікар",AF744/AG744,0)))</f>
        <v>0</v>
      </c>
      <c r="AG745" s="203">
        <f>SUM(AB745:AF745)</f>
        <v>0</v>
      </c>
      <c r="AH745" s="930"/>
      <c r="AI745" s="201"/>
      <c r="AJ745" s="933"/>
      <c r="AK745" s="927"/>
      <c r="AL745" s="927"/>
      <c r="AM745" s="902"/>
      <c r="AN745" s="924"/>
      <c r="AO745" s="924"/>
      <c r="AP745" s="924"/>
      <c r="AQ745" s="924"/>
      <c r="AR745" s="915"/>
    </row>
    <row r="746" spans="1:44" s="50" customFormat="1" ht="45" hidden="1" customHeight="1" thickBot="1">
      <c r="A746" s="197"/>
      <c r="B746" s="893"/>
      <c r="C746" s="896"/>
      <c r="D746" s="912"/>
      <c r="E746" s="909"/>
      <c r="F746" s="204" t="s">
        <v>585</v>
      </c>
      <c r="G746" s="205">
        <f>IF($B$742="Лікар загальної практики - сімейний лікар",AVERAGE(G742:G744),IF($B$742="Лікар-педіатр",AVERAGE(G742:G744),IF($B$742="Лікар-терапевт","х",0)))</f>
        <v>0</v>
      </c>
      <c r="H746" s="205">
        <f>IF($B$742="Лікар загальної практики - сімейний лікар",AVERAGE(H742:H744),IF($B$742="Лікар-педіатр",AVERAGE(H742:H744),IF($B$742="Лікар-терапевт","х",0)))</f>
        <v>0</v>
      </c>
      <c r="I746" s="205">
        <f>IF($B$742="Лікар загальної практики - сімейний лікар",AVERAGE(I742:I744),IF($B$742="Лікар-педіатр","x",IF($B$742="Лікар-терапевт",AVERAGE(I742:I744),0)))</f>
        <v>0</v>
      </c>
      <c r="J746" s="205">
        <f>IF($B$742="Лікар загальної практики - сімейний лікар",AVERAGE(J742:J744),IF($B$742="Лікар-педіатр","x",IF($B$742="Лікар-терапевт",AVERAGE(J742:J744),0)))</f>
        <v>0</v>
      </c>
      <c r="K746" s="205">
        <f>IF($B$742="Лікар загальної практики - сімейний лікар",AVERAGE(K742:K744),IF($B$742="Лікар-педіатр","x",IF($B$742="Лікар-терапевт",AVERAGE(K742:K744),0)))</f>
        <v>0</v>
      </c>
      <c r="L746" s="206">
        <f>SUM(G746:K746)</f>
        <v>0</v>
      </c>
      <c r="M746" s="930"/>
      <c r="N746" s="205">
        <f>IF($B$742="Лікар загальної практики - сімейний лікар",AVERAGE(N742:N744),IF($B$742="Лікар-педіатр",AVERAGE(N742:N744),IF($B$742="Лікар-терапевт","х",0)))</f>
        <v>0</v>
      </c>
      <c r="O746" s="205">
        <f>IF($B$742="Лікар загальної практики - сімейний лікар",AVERAGE(O742:O744),IF($B$742="Лікар-педіатр",AVERAGE(O742:O744),IF($B$742="Лікар-терапевт","х",0)))</f>
        <v>0</v>
      </c>
      <c r="P746" s="205">
        <f>IF($B$742="Лікар загальної практики - сімейний лікар",AVERAGE(P742:P744),IF($B$742="Лікар-педіатр","x",IF($B$742="Лікар-терапевт",AVERAGE(P742:P744),0)))</f>
        <v>0</v>
      </c>
      <c r="Q746" s="205">
        <f>IF($B$742="Лікар загальної практики - сімейний лікар",AVERAGE(Q742:Q744),IF($B$742="Лікар-педіатр","x",IF($B$742="Лікар-терапевт",AVERAGE(Q742:Q744),0)))</f>
        <v>0</v>
      </c>
      <c r="R746" s="205">
        <f>IF($B$742="Лікар загальної практики - сімейний лікар",AVERAGE(R742:R744),IF($B$742="Лікар-педіатр","x",IF($B$742="Лікар-терапевт",AVERAGE(R742:R744),0)))</f>
        <v>0</v>
      </c>
      <c r="S746" s="206">
        <f>SUM(N746:R746)</f>
        <v>0</v>
      </c>
      <c r="T746" s="930"/>
      <c r="U746" s="205">
        <f>IF($B$742="Лікар загальної практики - сімейний лікар",AVERAGE(U742:U744),IF($B$742="Лікар-педіатр",AVERAGE(U742:U744),IF($B$742="Лікар-терапевт","х",0)))</f>
        <v>0</v>
      </c>
      <c r="V746" s="205">
        <f>IF($B$742="Лікар загальної практики - сімейний лікар",AVERAGE(V742:V744),IF($B$742="Лікар-педіатр",AVERAGE(V742:V744),IF($B$742="Лікар-терапевт","х",0)))</f>
        <v>0</v>
      </c>
      <c r="W746" s="205">
        <f>IF($B$742="Лікар загальної практики - сімейний лікар",AVERAGE(W742:W744),IF($B$742="Лікар-педіатр","x",IF($B$742="Лікар-терапевт",AVERAGE(W742:W744),0)))</f>
        <v>0</v>
      </c>
      <c r="X746" s="205">
        <f>IF($B$742="Лікар загальної практики - сімейний лікар",AVERAGE(X742:X744),IF($B$742="Лікар-педіатр","x",IF($B$742="Лікар-терапевт",AVERAGE(X742:X744),0)))</f>
        <v>0</v>
      </c>
      <c r="Y746" s="205">
        <f>IF($B$742="Лікар загальної практики - сімейний лікар",AVERAGE(Y742:Y744),IF($B$742="Лікар-педіатр","x",IF($B$742="Лікар-терапевт",AVERAGE(Y742:Y744),0)))</f>
        <v>0</v>
      </c>
      <c r="Z746" s="206">
        <f>SUM(U746:Y746)</f>
        <v>0</v>
      </c>
      <c r="AA746" s="930"/>
      <c r="AB746" s="205">
        <f>IF($B$742="Лікар загальної практики - сімейний лікар",AVERAGE(AB742:AB744),IF($B$742="Лікар-педіатр",AVERAGE(AB742:AB744),IF($B$742="Лікар-терапевт","х",0)))</f>
        <v>0</v>
      </c>
      <c r="AC746" s="205">
        <f>IF($B$742="Лікар загальної практики - сімейний лікар",AVERAGE(AC742:AC744),IF($B$742="Лікар-педіатр",AVERAGE(AC742:AC744),IF($B$742="Лікар-терапевт","х",0)))</f>
        <v>0</v>
      </c>
      <c r="AD746" s="205">
        <f>IF($B$742="Лікар загальної практики - сімейний лікар",AVERAGE(AD742:AD744),IF($B$742="Лікар-педіатр","x",IF($B$742="Лікар-терапевт",AVERAGE(AD742:AD744),0)))</f>
        <v>0</v>
      </c>
      <c r="AE746" s="205">
        <f>IF($B$742="Лікар загальної практики - сімейний лікар",AVERAGE(AE742:AE744),IF($B$742="Лікар-педіатр","x",IF($B$742="Лікар-терапевт",AVERAGE(AE742:AE744),0)))</f>
        <v>0</v>
      </c>
      <c r="AF746" s="205">
        <f>IF($B$742="Лікар загальної практики - сімейний лікар",AVERAGE(AF742:AF744),IF($B$742="Лікар-педіатр","x",IF($B$742="Лікар-терапевт",AVERAGE(AF742:AF744),0)))</f>
        <v>0</v>
      </c>
      <c r="AG746" s="206">
        <f>SUM(AB746:AF746)</f>
        <v>0</v>
      </c>
      <c r="AH746" s="930"/>
      <c r="AI746" s="201"/>
      <c r="AJ746" s="933"/>
      <c r="AK746" s="927"/>
      <c r="AL746" s="927"/>
      <c r="AM746" s="903"/>
      <c r="AN746" s="925"/>
      <c r="AO746" s="925"/>
      <c r="AP746" s="925"/>
      <c r="AQ746" s="925"/>
      <c r="AR746" s="916"/>
    </row>
    <row r="747" spans="1:44" s="50" customFormat="1" ht="40.5" hidden="1">
      <c r="A747" s="197"/>
      <c r="B747" s="893"/>
      <c r="C747" s="896"/>
      <c r="D747" s="912"/>
      <c r="E747" s="909"/>
      <c r="F747" s="237" t="str">
        <f ca="1">IF(B742="Лікар-педіатр",Законод!$C$17,IF(B742="Лікар загальної практики - сімейний лікар",Законод!$C$21,IF(B742="Лікар-терапевт",Законод!$C$25,"х")))</f>
        <v>х</v>
      </c>
      <c r="G747" s="208">
        <f ca="1">IF($B$742="Лікар загальної практики - сімейний лікар",IF(L746&lt;=Законод!$C$22,G746,Законод!$C$22*'01_Доходи'!G745),IF($B$742="Лікар-педіатр",IF(L746&lt;=Законод!$C$18,G746,Законод!$C$18*'01_Доходи'!G745),IF($B$742="Лікар-терапевт","x",0)))</f>
        <v>0</v>
      </c>
      <c r="H747" s="208">
        <f ca="1">IF($B$742="Лікар загальної практики - сімейний лікар",IF(L746&lt;=Законод!$C$22,H746,Законод!$C$22*'01_Доходи'!H745),IF($B$742="Лікар-педіатр",IF(L746&lt;=Законод!$C$18,H746,Законод!$C$18*'01_Доходи'!H745),IF($B$742="Лікар-терапевт","x",0)))</f>
        <v>0</v>
      </c>
      <c r="I747" s="208">
        <f ca="1">IF($B$742="Лікар загальної практики - сімейний лікар",IF(L746&lt;=Законод!$C$22,I746,Законод!$C$22*'01_Доходи'!I745),IF($B$742="Лікар-педіатр","x",IF($B$742="Лікар-терапевт",IF(L746&lt;=Законод!$C$26,I746,Законод!$C$26*'01_Доходи'!I745),0)))</f>
        <v>0</v>
      </c>
      <c r="J747" s="208">
        <f ca="1">IF($B$742="Лікар загальної практики - сімейний лікар",IF(L746&lt;=Законод!$C$22,J746,Законод!$C$22*'01_Доходи'!J745),IF($B$742="Лікар-педіатр","x",IF($B$742="Лікар-терапевт",IF(L746&lt;=Законод!$C$26,J746,Законод!$C$26*'01_Доходи'!J745),0)))</f>
        <v>0</v>
      </c>
      <c r="K747" s="208">
        <f ca="1">IF($B$742="Лікар загальної практики - сімейний лікар",IF(L746&lt;=Законод!$C$22,K746,Законод!$C$22*'01_Доходи'!K745),IF($B$742="Лікар-педіатр","x",IF($B$742="Лікар-терапевт",IF(L746&lt;=Законод!$C$26,K746,Законод!$C$26*'01_Доходи'!K745),0)))</f>
        <v>0</v>
      </c>
      <c r="L747" s="209">
        <f ca="1">SUM(G747:K747)</f>
        <v>0</v>
      </c>
      <c r="M747" s="930"/>
      <c r="N747" s="208">
        <f ca="1">IF($B$742="Лікар загальної практики - сімейний лікар",IF(S746&lt;=Законод!$C$22,N746,Законод!$C$22*'01_Доходи'!N745),IF($B$742="Лікар-педіатр",IF(S746&lt;=Законод!$C$18,N746,Законод!$C$18*'01_Доходи'!N745),IF($B$742="Лікар-терапевт","x",0)))</f>
        <v>0</v>
      </c>
      <c r="O747" s="208">
        <f ca="1">IF($B$742="Лікар загальної практики - сімейний лікар",IF(S746&lt;=Законод!$C$22,O746,Законод!$C$22*'01_Доходи'!O745),IF($B$742="Лікар-педіатр",IF(S746&lt;=Законод!$C$18,O746,Законод!$C$18*'01_Доходи'!O745),IF($B$742="Лікар-терапевт","x",0)))</f>
        <v>0</v>
      </c>
      <c r="P747" s="208">
        <f ca="1">IF($B$742="Лікар загальної практики - сімейний лікар",IF(S746&lt;=Законод!$C$22,P746,Законод!$C$22*'01_Доходи'!P745),IF($B$742="Лікар-педіатр","x",IF($B$742="Лікар-терапевт",IF(S746&lt;=Законод!$C$26,P746,Законод!$C$26*'01_Доходи'!P745),0)))</f>
        <v>0</v>
      </c>
      <c r="Q747" s="208">
        <f ca="1">IF($B$742="Лікар загальної практики - сімейний лікар",IF(S746&lt;=Законод!$C$22,Q746,Законод!$C$22*'01_Доходи'!Q745),IF($B$742="Лікар-педіатр","x",IF($B$742="Лікар-терапевт",IF(S746&lt;=Законод!$C$26,Q746,Законод!$C$26*'01_Доходи'!Q745),0)))</f>
        <v>0</v>
      </c>
      <c r="R747" s="208">
        <f ca="1">IF($B$742="Лікар загальної практики - сімейний лікар",IF(S746&lt;=Законод!$C$22,R746,Законод!$C$22*'01_Доходи'!R745),IF($B$742="Лікар-педіатр","x",IF($B$742="Лікар-терапевт",IF(S746&lt;=Законод!$C$26,R746,Законод!$C$26*'01_Доходи'!R745),0)))</f>
        <v>0</v>
      </c>
      <c r="S747" s="209">
        <f ca="1">SUM(N747:R747)</f>
        <v>0</v>
      </c>
      <c r="T747" s="930"/>
      <c r="U747" s="208">
        <f ca="1">IF($B$742="Лікар загальної практики - сімейний лікар",IF(Z746&lt;=Законод!$C$22,U746,Законод!$C$22*'01_Доходи'!U745),IF($B$742="Лікар-педіатр",IF(Z746&lt;=Законод!$C$18,U746,Законод!$C$18*'01_Доходи'!U745),IF($B$742="Лікар-терапевт","x",0)))</f>
        <v>0</v>
      </c>
      <c r="V747" s="208">
        <f ca="1">IF($B$742="Лікар загальної практики - сімейний лікар",IF(Z746&lt;=Законод!$C$22,V746,Законод!$C$22*'01_Доходи'!V745),IF($B$742="Лікар-педіатр",IF(Z746&lt;=Законод!$C$18,V746,Законод!$C$18*'01_Доходи'!V745),IF($B$742="Лікар-терапевт","x",0)))</f>
        <v>0</v>
      </c>
      <c r="W747" s="208">
        <f ca="1">IF($B$742="Лікар загальної практики - сімейний лікар",IF(Z746&lt;=Законод!$C$22,W746,Законод!$C$22*'01_Доходи'!W745),IF($B$742="Лікар-педіатр","x",IF($B$742="Лікар-терапевт",IF(Z746&lt;=Законод!$C$26,W746,Законод!$C$26*'01_Доходи'!W745),0)))</f>
        <v>0</v>
      </c>
      <c r="X747" s="208">
        <f ca="1">IF($B$742="Лікар загальної практики - сімейний лікар",IF(Z746&lt;=Законод!$C$22,X746,Законод!$C$22*'01_Доходи'!X745),IF($B$742="Лікар-педіатр","x",IF($B$742="Лікар-терапевт",IF(Z746&lt;=Законод!$C$26,X746,Законод!$C$26*'01_Доходи'!X745),0)))</f>
        <v>0</v>
      </c>
      <c r="Y747" s="208">
        <f ca="1">IF($B$742="Лікар загальної практики - сімейний лікар",IF(Z746&lt;=Законод!$C$22,Y746,Законод!$C$22*'01_Доходи'!Y745),IF($B$742="Лікар-педіатр","x",IF($B$742="Лікар-терапевт",IF(Z746&lt;=Законод!$C$26,Y746,Законод!$C$26*'01_Доходи'!Y745),0)))</f>
        <v>0</v>
      </c>
      <c r="Z747" s="209">
        <f ca="1">SUM(U747:Y747)</f>
        <v>0</v>
      </c>
      <c r="AA747" s="930"/>
      <c r="AB747" s="208">
        <f ca="1">IF($B$742="Лікар загальної практики - сімейний лікар",IF(AG746&lt;=Законод!$C$22,AB746,Законод!$C$22*'01_Доходи'!AB745),IF($B$742="Лікар-педіатр",IF(AG746&lt;=Законод!$C$18,AB746,Законод!$C$18*'01_Доходи'!AB745),IF($B$742="Лікар-терапевт","x",0)))</f>
        <v>0</v>
      </c>
      <c r="AC747" s="208">
        <f ca="1">IF($B$742="Лікар загальної практики - сімейний лікар",IF(AG746&lt;=Законод!$C$22,AC746,Законод!$C$22*'01_Доходи'!AC745),IF($B$742="Лікар-педіатр",IF(AG746&lt;=Законод!$C$18,AC746,Законод!$C$18*'01_Доходи'!AC745),IF($B$742="Лікар-терапевт","x",0)))</f>
        <v>0</v>
      </c>
      <c r="AD747" s="208">
        <f ca="1">IF($B$742="Лікар загальної практики - сімейний лікар",IF(AG746&lt;=Законод!$C$22,AD746,Законод!$C$22*'01_Доходи'!AD745),IF($B$742="Лікар-педіатр","x",IF($B$742="Лікар-терапевт",IF(AG746&lt;=Законод!$C$26,AD746,Законод!$C$26*'01_Доходи'!AD745),0)))</f>
        <v>0</v>
      </c>
      <c r="AE747" s="208">
        <f ca="1">IF($B$742="Лікар загальної практики - сімейний лікар",IF(AG746&lt;=Законод!$C$22,AE746,Законод!$C$22*'01_Доходи'!AE745),IF($B$742="Лікар-педіатр","x",IF($B$742="Лікар-терапевт",IF(AG746&lt;=Законод!$C$26,AE746,Законод!$C$26*'01_Доходи'!AE745),0)))</f>
        <v>0</v>
      </c>
      <c r="AF747" s="208">
        <f ca="1">IF($B$742="Лікар загальної практики - сімейний лікар",IF(AG746&lt;=Законод!$C$22,AF746,Законод!$C$22*'01_Доходи'!AF745),IF($B$742="Лікар-педіатр","x",IF($B$742="Лікар-терапевт",IF(AG746&lt;=Законод!$C$26,AF746,Законод!$C$26*'01_Доходи'!AF745),0)))</f>
        <v>0</v>
      </c>
      <c r="AG747" s="209">
        <f ca="1">SUM(AB747:AF747)</f>
        <v>0</v>
      </c>
      <c r="AH747" s="930"/>
      <c r="AI747" s="201"/>
      <c r="AJ747" s="933"/>
      <c r="AK747" s="927"/>
      <c r="AL747" s="927"/>
      <c r="AM747" s="348" t="s">
        <v>374</v>
      </c>
      <c r="AN747" s="210">
        <f ca="1">IF(B742="Лікар загальної практики - сімейний лікар",G747*Законод!$C$11+'01_Доходи'!H747*Законод!$D$11+'01_Доходи'!I747*Законод!$E$11+'01_Доходи'!J747*Законод!$F$11+'01_Доходи'!K747*Законод!$G$11,IF(B742="Лікар-педіатр",G747*Законод!$C$11+'01_Доходи'!H747*Законод!$D$11,IF(B742="Лікар-терапевт",'01_Доходи'!I747*Законод!$E$11+'01_Доходи'!J747*Законод!$F$11+'01_Доходи'!K747*Законод!$G$11,0)))</f>
        <v>0</v>
      </c>
      <c r="AO747" s="210">
        <f ca="1">IF(B742="Лікар загальної практики - сімейний лікар",N747*Законод!$C$11+'01_Доходи'!O747*Законод!$D$11+'01_Доходи'!P747*Законод!$E$11+'01_Доходи'!Q747*Законод!$F$11+'01_Доходи'!R747*Законод!$G$11,IF(B742="Лікар-педіатр",N747*Законод!$C$11+'01_Доходи'!O747*Законод!$D$11,IF(B742="Лікар-терапевт",'01_Доходи'!P747*Законод!$E$11+'01_Доходи'!Q747*Законод!$F$11+'01_Доходи'!R747*Законод!$G$11,0)))</f>
        <v>0</v>
      </c>
      <c r="AP747" s="210">
        <f ca="1">IF(B742="Лікар загальної практики - сімейний лікар",U747*Законод!$C$11+'01_Доходи'!V747*Законод!$D$11+'01_Доходи'!W747*Законод!$E$11+'01_Доходи'!X747*Законод!$F$11+'01_Доходи'!Y747*Законод!$G$11,IF(B742="Лікар-педіатр",U747*Законод!$C$11+'01_Доходи'!V747*Законод!$D$11,IF(B742="Лікар-терапевт",'01_Доходи'!W747*Законод!$E$11+'01_Доходи'!X747*Законод!$F$11+'01_Доходи'!Y747*Законод!$G$11,0)))</f>
        <v>0</v>
      </c>
      <c r="AQ747" s="210">
        <f ca="1">IF(B742="Лікар загальної практики - сімейний лікар",AB747*Законод!$C$11+'01_Доходи'!AC747*Законод!$D$11+'01_Доходи'!AD747*Законод!$E$11+'01_Доходи'!AE747*Законод!$F$11+'01_Доходи'!AF747*Законод!$G$11,IF(B742="Лікар-педіатр",AB747*Законод!$C$11+'01_Доходи'!AC747*Законод!$D$11,IF(B742="Лікар-терапевт",'01_Доходи'!AD747*Законод!$E$11+'01_Доходи'!AE747*Законод!$F$11+'01_Доходи'!AF747*Законод!$G$11,0)))</f>
        <v>0</v>
      </c>
      <c r="AR747" s="211">
        <f t="shared" ref="AR747:AR753" si="84">SUM(AN747:AQ747)</f>
        <v>0</v>
      </c>
    </row>
    <row r="748" spans="1:44" s="50" customFormat="1" ht="31.9" hidden="1" customHeight="1">
      <c r="A748" s="197"/>
      <c r="B748" s="893"/>
      <c r="C748" s="896"/>
      <c r="D748" s="912"/>
      <c r="E748" s="909"/>
      <c r="F748" s="238" t="str">
        <f ca="1">IF(B742="Лікар-педіатр",Законод!$E$17,IF(B742="Лікар загальної практики - сімейний лікар",Законод!$E$21,IF(B742="Лікар-терапевт",Законод!$E$25,"х")))</f>
        <v>х</v>
      </c>
      <c r="G748" s="889" t="s">
        <v>346</v>
      </c>
      <c r="H748" s="890"/>
      <c r="I748" s="890"/>
      <c r="J748" s="890"/>
      <c r="K748" s="891"/>
      <c r="L748" s="196">
        <f ca="1">IF($B$742="Лікар загальної практики - сімейний лікар",IF(L746&lt;Законод!$C$22,0,(IF(AND(L746&gt;=Законод!$E$22,L746&lt;=Законод!$E$23),L746-Законод!$C$22,IF('01_Доходи'!L746&gt;=Законод!$F$22,Законод!$E$24,0)))),IF($B$742="Лікар-педіатр",IF(L746&lt;Законод!$C$18,0,(IF(AND(L746&gt;=Законод!$E$18,L746&lt;=Законод!$E$19),L746-Законод!$C$18,IF('01_Доходи'!L746&gt;=Законод!$F$18,Законод!$E$20,0)))),IF($B$742="Лікар-терапевт",IF(L746&lt;Законод!$C$26,0,(IF(AND(L746&gt;=Законод!$E$26,L746&lt;=Законод!$E$27),L746-Законод!$C$26,IF('01_Доходи'!L746&gt;=Законод!$F$26,Законод!$E$28,0)))),0)))</f>
        <v>0</v>
      </c>
      <c r="M748" s="930"/>
      <c r="N748" s="889" t="s">
        <v>346</v>
      </c>
      <c r="O748" s="890"/>
      <c r="P748" s="890"/>
      <c r="Q748" s="890"/>
      <c r="R748" s="891"/>
      <c r="S748" s="196">
        <f ca="1">IF($B$742="Лікар загальної практики - сімейний лікар",IF(S746&lt;Законод!$C$22,0,(IF(AND(S746&gt;=Законод!$E$22,S746&lt;=Законод!$E$23),S746-Законод!$C$22,IF('01_Доходи'!S746&gt;=Законод!$F$22,Законод!$E$24,0)))),IF($B$742="Лікар-педіатр",IF(S746&lt;Законод!$C$18,0,(IF(AND(S746&gt;=Законод!$E$18,S746&lt;=Законод!$E$19),S746-Законод!$C$18,IF('01_Доходи'!S746&gt;=Законод!$F$18,Законод!$E$20,0)))),IF($B$742="Лікар-терапевт",IF(S746&lt;Законод!$C$26,0,(IF(AND(S746&gt;=Законод!$E$26,S746&lt;=Законод!$E$27),S746-Законод!$C$26,IF('01_Доходи'!S746&gt;=Законод!$F$26,Законод!$E$28,0)))),0)))</f>
        <v>0</v>
      </c>
      <c r="T748" s="930"/>
      <c r="U748" s="889" t="s">
        <v>346</v>
      </c>
      <c r="V748" s="890"/>
      <c r="W748" s="890"/>
      <c r="X748" s="890"/>
      <c r="Y748" s="891"/>
      <c r="Z748" s="196">
        <f ca="1">IF($B$742="Лікар загальної практики - сімейний лікар",IF(Z746&lt;Законод!$C$22,0,(IF(AND(Z746&gt;=Законод!$E$22,Z746&lt;=Законод!$E$23),Z746-Законод!$C$22,IF('01_Доходи'!Z746&gt;=Законод!$F$22,Законод!$E$24,0)))),IF($B$742="Лікар-педіатр",IF(Z746&lt;Законод!$C$18,0,(IF(AND(Z746&gt;=Законод!$E$18,Z746&lt;=Законод!$E$19),Z746-Законод!$C$18,IF('01_Доходи'!Z746&gt;=Законод!$F$18,Законод!$E$20,0)))),IF($B$742="Лікар-терапевт",IF(Z746&lt;Законод!$C$26,0,(IF(AND(Z746&gt;=Законод!$E$26,Z746&lt;=Законод!$E$27),Z746-Законод!$C$26,IF('01_Доходи'!Z746&gt;=Законод!$F$26,Законод!$E$28,0)))),0)))</f>
        <v>0</v>
      </c>
      <c r="AA748" s="930"/>
      <c r="AB748" s="889" t="s">
        <v>346</v>
      </c>
      <c r="AC748" s="890"/>
      <c r="AD748" s="890"/>
      <c r="AE748" s="890"/>
      <c r="AF748" s="891"/>
      <c r="AG748" s="196">
        <f ca="1">IF($B$742="Лікар загальної практики - сімейний лікар",IF(AG746&lt;Законод!$C$22,0,(IF(AND(AG746&gt;=Законод!$E$22,AG746&lt;=Законод!$E$23),AG746-Законод!$C$22,IF('01_Доходи'!AG746&gt;=Законод!$F$22,Законод!$E$24,0)))),IF($B$742="Лікар-педіатр",IF(AG746&lt;Законод!$C$18,0,(IF(AND(AG746&gt;=Законод!$E$18,AG746&lt;=Законод!$E$19),AG746-Законод!$C$18,IF('01_Доходи'!AG746&gt;=Законод!$F$18,Законод!$E$20,0)))),IF($B$742="Лікар-терапевт",IF(AG746&lt;Законод!$C$26,0,(IF(AND(AG746&gt;=Законод!$E$26,AG746&lt;=Законод!$E$27),AG746-Законод!$C$26,IF('01_Доходи'!AG746&gt;=Законод!$F$26,Законод!$E$28,0)))),0)))</f>
        <v>0</v>
      </c>
      <c r="AH748" s="930"/>
      <c r="AI748" s="201"/>
      <c r="AJ748" s="933"/>
      <c r="AK748" s="927"/>
      <c r="AL748" s="927"/>
      <c r="AM748" s="898" t="s">
        <v>375</v>
      </c>
      <c r="AN748" s="210">
        <f ca="1">IF(B742="Лікар загальної практики - сімейний лікар",L748*Законод!$C$9/4*Законод!$E$16,IF(B742="Лікар-педіатр",L748*Законод!$C$9/4*Законод!$E$16,IF(B742="Лікар-терапевт",L748*Законод!$C$9/4*Законод!$E$16,0)))</f>
        <v>0</v>
      </c>
      <c r="AO748" s="210">
        <f ca="1">IF(B742="Лікар загальної практики - сімейний лікар",S748*Законод!$C$9/4*Законод!$E$16,IF(B742="Лікар-педіатр",S748*Законод!$C$9/4*Законод!$E$16,IF(B742="Лікар-терапевт",S748*Законод!$C$9/4*Законод!$E$16,0)))</f>
        <v>0</v>
      </c>
      <c r="AP748" s="210">
        <f ca="1">IF(B742="Лікар загальної практики - сімейний лікар",Z748*Законод!$C$9/4*Законод!$E$16,IF(B742="Лікар-педіатр",Z748*Законод!$C$9/4*Законод!$E$16,IF(B742="Лікар-терапевт",Z748*Законод!$C$9/4*Законод!$E$16,0)))</f>
        <v>0</v>
      </c>
      <c r="AQ748" s="210">
        <f ca="1">IF(B742="Лікар загальної практики - сімейний лікар",AG748*Законод!$C$9/4*Законод!$E$16,IF(B742="Лікар-педіатр",AG748*Законод!$C$9/4*Законод!$E$16,IF(B742="Лікар-терапевт",AG748*Законод!$C$9/4*Законод!$E$16,0)))</f>
        <v>0</v>
      </c>
      <c r="AR748" s="211">
        <f t="shared" si="84"/>
        <v>0</v>
      </c>
    </row>
    <row r="749" spans="1:44" s="50" customFormat="1" ht="31.9" hidden="1" customHeight="1">
      <c r="A749" s="197"/>
      <c r="B749" s="893"/>
      <c r="C749" s="896"/>
      <c r="D749" s="912"/>
      <c r="E749" s="909"/>
      <c r="F749" s="238" t="str">
        <f ca="1">IF(B742="Лікар-педіатр",Законод!$F$17,IF(B742="Лікар загальної практики - сімейний лікар",Законод!$F$21,IF(B742="Лікар-терапевт",Законод!$F$25,"х")))</f>
        <v>х</v>
      </c>
      <c r="G749" s="889" t="s">
        <v>346</v>
      </c>
      <c r="H749" s="890"/>
      <c r="I749" s="890"/>
      <c r="J749" s="890"/>
      <c r="K749" s="891"/>
      <c r="L749" s="196">
        <f ca="1">IF($B$742="Лікар загальної практики - сімейний лікар",IF(L746&lt;Законод!$C$22,0,(IF(AND(L746&gt;=Законод!$F$22,L746&lt;=Законод!$F$23),L746-Законод!$E$23,IF('01_Доходи'!L746&gt;=Законод!$G$22,Законод!$F$24,0)))),IF($B$742="Лікар-педіатр",IF(L746&lt;Законод!$C$18,0,(IF(AND(L746&gt;=Законод!$F$18,L746&lt;=Законод!$F$19),L746-Законод!$E$19,IF('01_Доходи'!L746&gt;=Законод!$G$18,Законод!$F$20,0)))),IF($B$742="Лікар-терапевт",IF(L746&lt;Законод!$C$26,0,(IF(AND(L746&gt;=Законод!$F$26,L746&lt;=Законод!$F$27),L746-Законод!$E$27,IF('01_Доходи'!L746&gt;=Законод!$G$26,Законод!$F$28,0)))),0)))</f>
        <v>0</v>
      </c>
      <c r="M749" s="930"/>
      <c r="N749" s="889" t="s">
        <v>346</v>
      </c>
      <c r="O749" s="890"/>
      <c r="P749" s="890"/>
      <c r="Q749" s="890"/>
      <c r="R749" s="891"/>
      <c r="S749" s="196">
        <f ca="1">IF($B$742="Лікар загальної практики - сімейний лікар",IF(S746&lt;Законод!$C$22,0,(IF(AND(S746&gt;=Законод!$F$22,S746&lt;=Законод!$F$23),S746-Законод!$E$23,IF('01_Доходи'!S746&gt;=Законод!$G$22,Законод!$F$24,0)))),IF($B$742="Лікар-педіатр",IF(S746&lt;Законод!$C$18,0,(IF(AND(S746&gt;=Законод!$F$18,S746&lt;=Законод!$F$19),S746-Законод!$E$19,IF('01_Доходи'!S746&gt;=Законод!$G$18,Законод!$F$20,0)))),IF($B$742="Лікар-терапевт",IF(S746&lt;Законод!$C$26,0,(IF(AND(S746&gt;=Законод!$F$26,S746&lt;=Законод!$F$27),S746-Законод!$E$27,IF('01_Доходи'!S746&gt;=Законод!$G$26,Законод!$F$28,0)))),0)))</f>
        <v>0</v>
      </c>
      <c r="T749" s="930"/>
      <c r="U749" s="889" t="s">
        <v>346</v>
      </c>
      <c r="V749" s="890"/>
      <c r="W749" s="890"/>
      <c r="X749" s="890"/>
      <c r="Y749" s="891"/>
      <c r="Z749" s="196">
        <f ca="1">IF($B$742="Лікар загальної практики - сімейний лікар",IF(Z746&lt;Законод!$C$22,0,(IF(AND(Z746&gt;=Законод!$F$22,Z746&lt;=Законод!$F$23),Z746-Законод!$E$23,IF('01_Доходи'!Z746&gt;=Законод!$G$22,Законод!$F$24,0)))),IF($B$742="Лікар-педіатр",IF(Z746&lt;Законод!$C$18,0,(IF(AND(Z746&gt;=Законод!$F$18,Z746&lt;=Законод!$F$19),Z746-Законод!$E$19,IF('01_Доходи'!Z746&gt;=Законод!$G$18,Законод!$F$20,0)))),IF($B$742="Лікар-терапевт",IF(Z746&lt;Законод!$C$26,0,(IF(AND(Z746&gt;=Законод!$F$26,Z746&lt;=Законод!$F$27),Z746-Законод!$E$27,IF('01_Доходи'!Z746&gt;=Законод!$G$26,Законод!$F$28,0)))),0)))</f>
        <v>0</v>
      </c>
      <c r="AA749" s="930"/>
      <c r="AB749" s="889" t="s">
        <v>346</v>
      </c>
      <c r="AC749" s="890"/>
      <c r="AD749" s="890"/>
      <c r="AE749" s="890"/>
      <c r="AF749" s="891"/>
      <c r="AG749" s="196">
        <f ca="1">IF($B$742="Лікар загальної практики - сімейний лікар",IF(AG746&lt;Законод!$C$22,0,(IF(AND(AG746&gt;=Законод!$F$22,AG746&lt;=Законод!$F$23),AG746-Законод!$E$23,IF('01_Доходи'!AG746&gt;=Законод!$G$22,Законод!$F$24,0)))),IF($B$742="Лікар-педіатр",IF(AG746&lt;Законод!$C$18,0,(IF(AND(AG746&gt;=Законод!$F$18,AG746&lt;=Законод!$F$19),AG746-Законод!$E$19,IF('01_Доходи'!AG746&gt;=Законод!$G$18,Законод!$F$20,0)))),IF($B$742="Лікар-терапевт",IF(AG746&lt;Законод!$C$26,0,(IF(AND(AG746&gt;=Законод!$F$26,AG746&lt;=Законод!$F$27),AG746-Законод!$E$27,IF('01_Доходи'!AG746&gt;=Законод!$G$26,Законод!$F$28,0)))),0)))</f>
        <v>0</v>
      </c>
      <c r="AH749" s="930"/>
      <c r="AI749" s="201"/>
      <c r="AJ749" s="933"/>
      <c r="AK749" s="927"/>
      <c r="AL749" s="927"/>
      <c r="AM749" s="899"/>
      <c r="AN749" s="210">
        <f ca="1">IF(B742="Лікар загальної практики - сімейний лікар",L749*Законод!$C$9/4*Законод!$F$16,IF(B742="Лікар-педіатр",L749*Законод!$C$9/4*Законод!$F$16,IF(B742="Лікар-терапевт",L749*Законод!$C$9/4*Законод!$F$16,0)))</f>
        <v>0</v>
      </c>
      <c r="AO749" s="210">
        <f ca="1">IF(B742="Лікар загальної практики - сімейний лікар",S749*Законод!$C$9/4*Законод!$F$16,IF(B742="Лікар-педіатр",S749*Законод!$C$9/4*Законод!$F$16,IF(B742="Лікар-терапевт",S749*Законод!$C$9/4*Законод!$F$16,0)))</f>
        <v>0</v>
      </c>
      <c r="AP749" s="210">
        <f ca="1">IF(B742="Лікар загальної практики - сімейний лікар",Z749*Законод!$C$9/4*Законод!$F$16,IF(B742="Лікар-педіатр",Z749*Законод!$C$9/4*Законод!$F$16,IF(B742="Лікар-терапевт",Z749*Законод!$C$9/4*Законод!$F$16,0)))</f>
        <v>0</v>
      </c>
      <c r="AQ749" s="210">
        <f ca="1">IF(B742="Лікар загальної практики - сімейний лікар",AG749*Законод!$C$9/4*Законод!$F$16,IF(B742="Лікар-педіатр",AG749*Законод!$C$9/4*Законод!$F$16,IF(B742="Лікар-терапевт",AG749*Законод!$C$9/4*Законод!$F$16,0)))</f>
        <v>0</v>
      </c>
      <c r="AR749" s="211">
        <f t="shared" si="84"/>
        <v>0</v>
      </c>
    </row>
    <row r="750" spans="1:44" s="50" customFormat="1" ht="31.9" hidden="1" customHeight="1">
      <c r="A750" s="197"/>
      <c r="B750" s="893"/>
      <c r="C750" s="896"/>
      <c r="D750" s="912"/>
      <c r="E750" s="909"/>
      <c r="F750" s="238" t="str">
        <f ca="1">IF(B742="Лікар-педіатр",Законод!$G$17,IF(B742="Лікар загальної практики - сімейний лікар",Законод!$G$21,IF(B742="Лікар-терапевт",Законод!$G$25,"х")))</f>
        <v>х</v>
      </c>
      <c r="G750" s="889" t="s">
        <v>346</v>
      </c>
      <c r="H750" s="890"/>
      <c r="I750" s="890"/>
      <c r="J750" s="890"/>
      <c r="K750" s="891"/>
      <c r="L750" s="196">
        <f ca="1">IF($B$742="Лікар загальної практики - сімейний лікар",IF(L746&lt;Законод!$C$22,0,(IF(AND(L746&gt;=Законод!$G$22,L746&lt;=Законод!$G$23),L746-Законод!$F$23,IF('01_Доходи'!L746&gt;=Законод!$H$22,Законод!$G$24,0)))),IF($B$742="Лікар-педіатр",IF(L746&lt;Законод!$C$18,0,(IF(AND(L746&gt;=Законод!$G$18,L746&lt;=Законод!$G$19),L746-Законод!$F$19,IF('01_Доходи'!L746&gt;=Законод!$H$18,Законод!$G$20,0)))),IF($B$742="Лікар-терапевт",IF(L746&lt;Законод!$C$26,0,(IF(AND(L746&gt;=Законод!$G$26,L746&lt;=Законод!$G$27),L746-Законод!$F$27,IF('01_Доходи'!L746&gt;=Законод!$H$26,Законод!$G$28,0)))),0)))</f>
        <v>0</v>
      </c>
      <c r="M750" s="930"/>
      <c r="N750" s="889" t="s">
        <v>346</v>
      </c>
      <c r="O750" s="890"/>
      <c r="P750" s="890"/>
      <c r="Q750" s="890"/>
      <c r="R750" s="891"/>
      <c r="S750" s="196">
        <f ca="1">IF($B$742="Лікар загальної практики - сімейний лікар",IF(S746&lt;Законод!$C$22,0,(IF(AND(S746&gt;=Законод!$G$22,S746&lt;=Законод!$G$23),S746-Законод!$F$23,IF('01_Доходи'!S746&gt;=Законод!$H$22,Законод!$G$24,0)))),IF($B$742="Лікар-педіатр",IF(S746&lt;Законод!$C$18,0,(IF(AND(S746&gt;=Законод!$G$18,S746&lt;=Законод!$G$19),S746-Законод!$F$19,IF('01_Доходи'!S746&gt;=Законод!$H$18,Законод!$G$20,0)))),IF($B$742="Лікар-терапевт",IF(S746&lt;Законод!$C$26,0,(IF(AND(S746&gt;=Законод!$G$26,S746&lt;=Законод!$G$27),S746-Законод!$F$27,IF('01_Доходи'!S746&gt;=Законод!$H$26,Законод!$G$28,0)))),0)))</f>
        <v>0</v>
      </c>
      <c r="T750" s="930"/>
      <c r="U750" s="889" t="s">
        <v>346</v>
      </c>
      <c r="V750" s="890"/>
      <c r="W750" s="890"/>
      <c r="X750" s="890"/>
      <c r="Y750" s="891"/>
      <c r="Z750" s="196">
        <f ca="1">IF($B$742="Лікар загальної практики - сімейний лікар",IF(Z746&lt;Законод!$C$22,0,(IF(AND(Z746&gt;=Законод!$G$22,Z746&lt;=Законод!$G$23),Z746-Законод!$F$23,IF('01_Доходи'!Z746&gt;=Законод!$H$22,Законод!$G$24,0)))),IF($B$742="Лікар-педіатр",IF(Z746&lt;Законод!$C$18,0,(IF(AND(Z746&gt;=Законод!$G$18,Z746&lt;=Законод!$G$19),Z746-Законод!$F$19,IF('01_Доходи'!Z746&gt;=Законод!$H$18,Законод!$G$20,0)))),IF($B$742="Лікар-терапевт",IF(Z746&lt;Законод!$C$26,0,(IF(AND(Z746&gt;=Законод!$G$26,Z746&lt;=Законод!$G$27),Z746-Законод!$F$27,IF('01_Доходи'!Z746&gt;=Законод!$H$26,Законод!$G$28,0)))),0)))</f>
        <v>0</v>
      </c>
      <c r="AA750" s="930"/>
      <c r="AB750" s="889" t="s">
        <v>346</v>
      </c>
      <c r="AC750" s="890"/>
      <c r="AD750" s="890"/>
      <c r="AE750" s="890"/>
      <c r="AF750" s="891"/>
      <c r="AG750" s="196">
        <f ca="1">IF($B$742="Лікар загальної практики - сімейний лікар",IF(AG746&lt;Законод!$C$22,0,(IF(AND(AG746&gt;=Законод!$G$22,AG746&lt;=Законод!$G$23),AG746-Законод!$F$23,IF('01_Доходи'!AG746&gt;=Законод!$H$22,Законод!$G$24,0)))),IF($B$742="Лікар-педіатр",IF(AG746&lt;Законод!$C$18,0,(IF(AND(AG746&gt;=Законод!$G$18,AG746&lt;=Законод!$G$19),AG746-Законод!$F$19,IF('01_Доходи'!AG746&gt;=Законод!$H$18,Законод!$G$20,0)))),IF($B$742="Лікар-терапевт",IF(AG746&lt;Законод!$C$26,0,(IF(AND(AG746&gt;=Законод!$G$26,AG746&lt;=Законод!$G$27),AG746-Законод!$F$27,IF('01_Доходи'!AG746&gt;=Законод!$H$26,Законод!$G$28,0)))),0)))</f>
        <v>0</v>
      </c>
      <c r="AH750" s="930"/>
      <c r="AI750" s="201"/>
      <c r="AJ750" s="933"/>
      <c r="AK750" s="927"/>
      <c r="AL750" s="927"/>
      <c r="AM750" s="899"/>
      <c r="AN750" s="210">
        <f ca="1">IF(B742="Лікар загальної практики - сімейний лікар",L750*Законод!$C$9/4*Законод!$G$16,IF(B742="Лікар-педіатр",L750*Законод!$C$9/4*Законод!$G$16,IF(B742="Лікар-терапевт",L750*Законод!$C$9/4*Законод!$G$16,0)))</f>
        <v>0</v>
      </c>
      <c r="AO750" s="210">
        <f ca="1">IF(B742="Лікар загальної практики - сімейний лікар",S750*Законод!$C$9/4*Законод!$G$16,IF(B742="Лікар-педіатр",S750*Законод!$C$9/4*Законод!$G$16,IF(B742="Лікар-терапевт",S750*Законод!$C$9/4*Законод!$G$16,0)))</f>
        <v>0</v>
      </c>
      <c r="AP750" s="210">
        <f ca="1">IF(B742="Лікар загальної практики - сімейний лікар",Z750*Законод!$C$9/4*Законод!$G$16,IF(B742="Лікар-педіатр",Z750*Законод!$C$9/4*Законод!$G$16,IF(B742="Лікар-терапевт",Z750*Законод!$C$9/4*Законод!$G$16,0)))</f>
        <v>0</v>
      </c>
      <c r="AQ750" s="210">
        <f ca="1">IF(B742="Лікар загальної практики - сімейний лікар",AG750*Законод!$C$9/4*Законод!$G$16,IF(B742="Лікар-педіатр",AG750*Законод!$C$9/4*Законод!$G$16,IF(B742="Лікар-терапевт",AG750*Законод!$C$9/4*Законод!$G$16,0)))</f>
        <v>0</v>
      </c>
      <c r="AR750" s="211">
        <f t="shared" si="84"/>
        <v>0</v>
      </c>
    </row>
    <row r="751" spans="1:44" s="50" customFormat="1" ht="31.9" hidden="1" customHeight="1">
      <c r="A751" s="197"/>
      <c r="B751" s="893"/>
      <c r="C751" s="896"/>
      <c r="D751" s="912"/>
      <c r="E751" s="909"/>
      <c r="F751" s="238" t="str">
        <f ca="1">IF(B742="Лікар-педіатр",Законод!$H$17,IF(B742="Лікар загальної практики - сімейний лікар",Законод!$H$21,IF(B742="Лікар-терапевт",Законод!$H$25,"х")))</f>
        <v>х</v>
      </c>
      <c r="G751" s="889" t="s">
        <v>346</v>
      </c>
      <c r="H751" s="890"/>
      <c r="I751" s="890"/>
      <c r="J751" s="890"/>
      <c r="K751" s="891"/>
      <c r="L751" s="196">
        <f ca="1">IF($B$742="Лікар загальної практики - сімейний лікар",IF(L746&lt;Законод!$C$22,0,(IF(AND(L746&gt;=Законод!$H$22,L746&lt;=Законод!$H$23),L746-Законод!$G$23,IF('01_Доходи'!L746&gt;=Законод!$I$22,Законод!$H$24,0)))),IF($B$742="Лікар-педіатр",IF(L746&lt;Законод!$C$18,0,(IF(AND(L746&gt;=Законод!$H$18,L746&lt;=Законод!$H$19),L746-Законод!$G$19,IF('01_Доходи'!L746&gt;=Законод!$I$18,Законод!$H$20,0)))),IF($B$742="Лікар-терапевт",IF(L746&lt;Законод!$C$26,0,(IF(AND(L746&gt;=Законод!$H$26,L746&lt;=Законод!$H$27),L746-Законод!$G$27,IF(L746&gt;=Законод!$I$26,Законод!$H$28,0)))),0)))</f>
        <v>0</v>
      </c>
      <c r="M751" s="930"/>
      <c r="N751" s="889" t="s">
        <v>346</v>
      </c>
      <c r="O751" s="890"/>
      <c r="P751" s="890"/>
      <c r="Q751" s="890"/>
      <c r="R751" s="891"/>
      <c r="S751" s="196">
        <f ca="1">IF($B$742="Лікар загальної практики - сімейний лікар",IF(S746&lt;Законод!$C$22,0,(IF(AND(S746&gt;=Законод!$H$22,S746&lt;=Законод!$H$23),S746-Законод!$G$23,IF('01_Доходи'!S746&gt;=Законод!$I$22,Законод!$H$24,0)))),IF($B$742="Лікар-педіатр",IF(S746&lt;Законод!$C$18,0,(IF(AND(S746&gt;=Законод!$H$18,S746&lt;=Законод!$H$19),S746-Законод!$G$19,IF('01_Доходи'!S746&gt;=Законод!$I$18,Законод!$H$20,0)))),IF($B$742="Лікар-терапевт",IF(S746&lt;Законод!$C$26,0,(IF(AND(S746&gt;=Законод!$H$26,S746&lt;=Законод!$H$27),S746-Законод!$G$27,IF(S746&gt;=Законод!$I$26,Законод!$H$28,0)))),0)))</f>
        <v>0</v>
      </c>
      <c r="T751" s="930"/>
      <c r="U751" s="889" t="s">
        <v>346</v>
      </c>
      <c r="V751" s="890"/>
      <c r="W751" s="890"/>
      <c r="X751" s="890"/>
      <c r="Y751" s="891"/>
      <c r="Z751" s="196">
        <f ca="1">IF($B$742="Лікар загальної практики - сімейний лікар",IF(Z746&lt;Законод!$C$22,0,(IF(AND(Z746&gt;=Законод!$H$22,Z746&lt;=Законод!$H$23),Z746-Законод!$G$23,IF('01_Доходи'!Z746&gt;=Законод!$I$22,Законод!$H$24,0)))),IF($B$742="Лікар-педіатр",IF(Z746&lt;Законод!$C$18,0,(IF(AND(Z746&gt;=Законод!$H$18,Z746&lt;=Законод!$H$19),Z746-Законод!$G$19,IF('01_Доходи'!Z746&gt;=Законод!$I$18,Законод!$H$20,0)))),IF($B$742="Лікар-терапевт",IF(Z746&lt;Законод!$C$26,0,(IF(AND(Z746&gt;=Законод!$H$26,Z746&lt;=Законод!$H$27),Z746-Законод!$G$27,IF(Z746&gt;=Законод!$I$26,Законод!$H$28,0)))),0)))</f>
        <v>0</v>
      </c>
      <c r="AA751" s="930"/>
      <c r="AB751" s="889" t="s">
        <v>346</v>
      </c>
      <c r="AC751" s="890"/>
      <c r="AD751" s="890"/>
      <c r="AE751" s="890"/>
      <c r="AF751" s="891"/>
      <c r="AG751" s="196">
        <f ca="1">IF($B$742="Лікар загальної практики - сімейний лікар",IF(AG746&lt;Законод!$C$22,0,(IF(AND(AG746&gt;=Законод!$H$22,AG746&lt;=Законод!$H$23),AG746-Законод!$G$23,IF('01_Доходи'!AG746&gt;=Законод!$I$22,Законод!$H$24,0)))),IF($B$742="Лікар-педіатр",IF(AG746&lt;Законод!$C$18,0,(IF(AND(AG746&gt;=Законод!$H$18,AG746&lt;=Законод!$H$19),AG746-Законод!$G$19,IF('01_Доходи'!AG746&gt;=Законод!$I$18,Законод!$H$20,0)))),IF($B$742="Лікар-терапевт",IF(AG746&lt;Законод!$C$26,0,(IF(AND(AG746&gt;=Законод!$H$26,AG746&lt;=Законод!$H$27),AG746-Законод!$G$27,IF(AG746&gt;=Законод!$I$26,Законод!$H$28,0)))),0)))</f>
        <v>0</v>
      </c>
      <c r="AH751" s="930"/>
      <c r="AI751" s="201"/>
      <c r="AJ751" s="933"/>
      <c r="AK751" s="927"/>
      <c r="AL751" s="927"/>
      <c r="AM751" s="899"/>
      <c r="AN751" s="210">
        <f ca="1">IF(B742="Лікар загальної практики - сімейний лікар",L751*Законод!$C$9/4*Законод!$H$16,IF(B742="Лікар-педіатр",L751*Законод!$C$9/4*Законод!$H$16,IF(B742="Лікар-терапевт",L751*Законод!$C$9/4*Законод!$H$16,0)))</f>
        <v>0</v>
      </c>
      <c r="AO751" s="210">
        <f ca="1">IF(B742="Лікар загальної практики - сімейний лікар",S751*Законод!$C$9/4*Законод!$H$16,IF(B742="Лікар-педіатр",S751*Законод!$C$9/4*Законод!$H$16,IF(B742="Лікар-терапевт",S751*Законод!$C$9/4*Законод!$H$16,0)))</f>
        <v>0</v>
      </c>
      <c r="AP751" s="210">
        <f ca="1">IF(B742="Лікар загальної практики - сімейний лікар",Z751*Законод!$C$9/4*Законод!$H$16,IF(B742="Лікар-педіатр",Z751*Законод!$C$9/4*Законод!$H$16,IF(B742="Лікар-терапевт",Z751*Законод!$C$9/4*Законод!$H$16,0)))</f>
        <v>0</v>
      </c>
      <c r="AQ751" s="210">
        <f ca="1">IF(B742="Лікар загальної практики - сімейний лікар",AG751*Законод!$C$9/4*Законод!$H$16,IF(B742="Лікар-педіатр",AG751*Законод!$C$9/4*Законод!$H$16,IF(B742="Лікар-терапевт",AG751*Законод!$C$9/4*Законод!$H$16,0)))</f>
        <v>0</v>
      </c>
      <c r="AR751" s="211">
        <f t="shared" si="84"/>
        <v>0</v>
      </c>
    </row>
    <row r="752" spans="1:44" s="50" customFormat="1" ht="31.9" hidden="1" customHeight="1">
      <c r="A752" s="197"/>
      <c r="B752" s="893"/>
      <c r="C752" s="896"/>
      <c r="D752" s="912"/>
      <c r="E752" s="909"/>
      <c r="F752" s="238" t="str">
        <f ca="1">IF(B742="Лікар-педіатр",Законод!$I$17,IF(B742="Лікар загальної практики - сімейний лікар",Законод!$I$21,IF(B742="Лікар-терапевт",Законод!$I$25,"х")))</f>
        <v>х</v>
      </c>
      <c r="G752" s="889" t="s">
        <v>346</v>
      </c>
      <c r="H752" s="890"/>
      <c r="I752" s="890"/>
      <c r="J752" s="890"/>
      <c r="K752" s="891"/>
      <c r="L752" s="196">
        <f ca="1">IF($B$742="Лікар загальної практики - сімейний лікар",IF(L746&lt;Законод!$C$22,0,(IF(AND(L746&gt;=Законод!$I$22,L746&lt;=Законод!$I$23),L746-Законод!$H$23,IF('01_Доходи'!L746&gt;=Законод!$I$22,Законод!$I$24,0)))),IF($B$742="Лікар-педіатр",IF(L746&lt;Законод!$C$18,0,(IF(AND(L746&gt;=Законод!$I$18,L746&lt;=Законод!$I$19),L746-Законод!$H$19,IF('01_Доходи'!L746&gt;=Законод!$I$18,Законод!$H$20,0)))),IF($B$742="Лікар-терапевт",IF(L746&lt;Законод!$C$26,0,(IF(AND(L746&gt;=Законод!$I$26,L746&lt;=Законод!$I$27),L746-Законод!$H$27,IF('01_Доходи'!L746&gt;=Законод!$I$26,Законод!$H$28,0)))),0)))</f>
        <v>0</v>
      </c>
      <c r="M752" s="930"/>
      <c r="N752" s="889" t="s">
        <v>346</v>
      </c>
      <c r="O752" s="890"/>
      <c r="P752" s="890"/>
      <c r="Q752" s="890"/>
      <c r="R752" s="891"/>
      <c r="S752" s="196">
        <f ca="1">IF($B$742="Лікар загальної практики - сімейний лікар",IF(S746&lt;Законод!$C$22,0,(IF(AND(S746&gt;=Законод!$I$22,S746&lt;=Законод!$I$23),S746-Законод!$H$23,IF('01_Доходи'!S746&gt;=Законод!$I$22,Законод!$I$24,0)))),IF($B$742="Лікар-педіатр",IF(S746&lt;Законод!$C$18,0,(IF(AND(S746&gt;=Законод!$I$18,S746&lt;=Законод!$I$19),S746-Законод!$H$19,IF('01_Доходи'!S746&gt;=Законод!$I$18,Законод!$H$20,0)))),IF($B$742="Лікар-терапевт",IF(S746&lt;Законод!$C$26,0,(IF(AND(S746&gt;=Законод!$I$26,S746&lt;=Законод!$I$27),S746-Законод!$H$27,IF('01_Доходи'!S746&gt;=Законод!$I$26,Законод!$H$28,0)))),0)))</f>
        <v>0</v>
      </c>
      <c r="T752" s="930"/>
      <c r="U752" s="889" t="s">
        <v>346</v>
      </c>
      <c r="V752" s="890"/>
      <c r="W752" s="890"/>
      <c r="X752" s="890"/>
      <c r="Y752" s="891"/>
      <c r="Z752" s="196">
        <f ca="1">IF($B$742="Лікар загальної практики - сімейний лікар",IF(Z746&lt;Законод!$C$22,0,(IF(AND(Z746&gt;=Законод!$I$22,Z746&lt;=Законод!$I$23),Z746-Законод!$H$23,IF('01_Доходи'!Z746&gt;=Законод!$I$22,Законод!$I$24,0)))),IF($B$742="Лікар-педіатр",IF(Z746&lt;Законод!$C$18,0,(IF(AND(Z746&gt;=Законод!$I$18,Z746&lt;=Законод!$I$19),Z746-Законод!$H$19,IF('01_Доходи'!Z746&gt;=Законод!$I$18,Законод!$H$20,0)))),IF($B$742="Лікар-терапевт",IF(Z746&lt;Законод!$C$26,0,(IF(AND(Z746&gt;=Законод!$I$26,Z746&lt;=Законод!$I$27),Z746-Законод!$H$27,IF('01_Доходи'!Z746&gt;=Законод!$I$26,Законод!$H$28,0)))),0)))</f>
        <v>0</v>
      </c>
      <c r="AA752" s="930"/>
      <c r="AB752" s="889" t="s">
        <v>346</v>
      </c>
      <c r="AC752" s="890"/>
      <c r="AD752" s="890"/>
      <c r="AE752" s="890"/>
      <c r="AF752" s="891"/>
      <c r="AG752" s="196">
        <f ca="1">IF($B$742="Лікар загальної практики - сімейний лікар",IF(AG746&lt;Законод!$C$22,0,(IF(AND(AG746&gt;=Законод!$I$22,AG746&lt;=Законод!$I$23),AG746-Законод!$H$23,IF('01_Доходи'!AG746&gt;=Законод!$I$22,Законод!$I$24,0)))),IF($B$742="Лікар-педіатр",IF(AG746&lt;Законод!$C$18,0,(IF(AND(AG746&gt;=Законод!$I$18,AG746&lt;=Законод!$I$19),AG746-Законод!$H$19,IF('01_Доходи'!AG746&gt;=Законод!$I$18,Законод!$H$20,0)))),IF($B$742="Лікар-терапевт",IF(AG746&lt;Законод!$C$26,0,(IF(AND(AG746&gt;=Законод!$I$26,AG746&lt;=Законод!$I$27),AG746-Законод!$H$27,IF('01_Доходи'!AG746&gt;=Законод!$I$26,Законод!$H$28,0)))),0)))</f>
        <v>0</v>
      </c>
      <c r="AH752" s="930"/>
      <c r="AI752" s="201"/>
      <c r="AJ752" s="933"/>
      <c r="AK752" s="927"/>
      <c r="AL752" s="927"/>
      <c r="AM752" s="899"/>
      <c r="AN752" s="210">
        <f ca="1">IF(B742="Лікар загальної практики - сімейний лікар",L752*Законод!$C$9/4*Законод!$I$16,IF(B742="Лікар-педіатр",L752*Законод!$C$9/4*Законод!$I$16,IF(B742="Лікар-терапевт",L752*Законод!$C$9/4*Законод!$I$16,0)))</f>
        <v>0</v>
      </c>
      <c r="AO752" s="210">
        <f ca="1">IF(B742="Лікар загальної практики - сімейний лікар",S752*Законод!$C$9/4*Законод!$I$16,IF(B742="Лікар-педіатр",S752*Законод!$C$9/4*Законод!$I$16,IF(B742="Лікар-терапевт",S752*Законод!$C$9/4*Законод!$I$16,0)))</f>
        <v>0</v>
      </c>
      <c r="AP752" s="210">
        <f ca="1">IF(B742="Лікар загальної практики - сімейний лікар",Z752*Законод!$C$9/4*Законод!$I$16,IF(B742="Лікар-педіатр",Z752*Законод!$C$9/4*Законод!$I$16,IF(B742="Лікар-терапевт",Z752*Законод!$C$9/4*Законод!$I$16,0)))</f>
        <v>0</v>
      </c>
      <c r="AQ752" s="210">
        <f ca="1">IF(B742="Лікар загальної практики - сімейний лікар",AG752*Законод!$C$9/4*Законод!$I$16,IF(B742="Лікар-педіатр",AG752*Законод!$C$9/4*Законод!$I$16,IF(B742="Лікар-терапевт",AG752*Законод!$C$9/4*Законод!$I$16,0)))</f>
        <v>0</v>
      </c>
      <c r="AR752" s="211">
        <f t="shared" si="84"/>
        <v>0</v>
      </c>
    </row>
    <row r="753" spans="1:44" s="218" customFormat="1" ht="31.9" hidden="1" customHeight="1" thickBot="1">
      <c r="A753" s="213"/>
      <c r="B753" s="894"/>
      <c r="C753" s="897"/>
      <c r="D753" s="913"/>
      <c r="E753" s="910"/>
      <c r="F753" s="239" t="str">
        <f ca="1">IF(B742="Лікар-педіатр",Законод!$J$17,IF(B742="Лікар загальної практики - сімейний лікар",Законод!$J$21,IF(B742="Лікар-терапевт",Законод!$J$25,"х")))</f>
        <v>х</v>
      </c>
      <c r="G753" s="935" t="s">
        <v>346</v>
      </c>
      <c r="H753" s="936"/>
      <c r="I753" s="936"/>
      <c r="J753" s="936"/>
      <c r="K753" s="937"/>
      <c r="L753" s="196">
        <f ca="1">IF($B$742="Лікар загальної практики - сімейний лікар",IF(L746&gt;=Законод!$J$22,'01_Доходи'!L746-('01_Доходи'!L747+'01_Доходи'!L748+'01_Доходи'!L749+'01_Доходи'!L750+'01_Доходи'!L751+'01_Доходи'!L752),0),IF($B$742="Лікар-педіатр",IF(L746&gt;=Законод!$J$18,'01_Доходи'!L746-('01_Доходи'!L747+'01_Доходи'!L748+'01_Доходи'!L749+'01_Доходи'!L750+'01_Доходи'!L751+'01_Доходи'!L752),0),IF($B$742="Лікар-терапевт",IF('01_Доходи'!L746&gt;=Законод!$J$26,L746-Законод!$I$27,0),0)))</f>
        <v>0</v>
      </c>
      <c r="M753" s="931"/>
      <c r="N753" s="935" t="s">
        <v>346</v>
      </c>
      <c r="O753" s="936"/>
      <c r="P753" s="936"/>
      <c r="Q753" s="936"/>
      <c r="R753" s="937"/>
      <c r="S753" s="196">
        <f ca="1">IF($B$742="Лікар загальної практики - сімейний лікар",IF(S746&gt;=Законод!$J$22,'01_Доходи'!S746-('01_Доходи'!S747+'01_Доходи'!S748+'01_Доходи'!S749+'01_Доходи'!S750+'01_Доходи'!S751+'01_Доходи'!S752),0),IF($B$742="Лікар-педіатр",IF(S746&gt;=Законод!$J$18,'01_Доходи'!S746-('01_Доходи'!S747+'01_Доходи'!S748+'01_Доходи'!S749+'01_Доходи'!S750+'01_Доходи'!S751+'01_Доходи'!S752),0),IF($B$742="Лікар-терапевт",IF('01_Доходи'!S746&gt;=Законод!$J$26,S746-Законод!$I$27,0),0)))</f>
        <v>0</v>
      </c>
      <c r="T753" s="931"/>
      <c r="U753" s="935" t="s">
        <v>346</v>
      </c>
      <c r="V753" s="936"/>
      <c r="W753" s="936"/>
      <c r="X753" s="936"/>
      <c r="Y753" s="937"/>
      <c r="Z753" s="196">
        <f ca="1">IF($B$742="Лікар загальної практики - сімейний лікар",IF(Z746&gt;=Законод!$J$22,'01_Доходи'!Z746-('01_Доходи'!Z747+'01_Доходи'!Z748+'01_Доходи'!Z749+'01_Доходи'!Z750+'01_Доходи'!Z751+'01_Доходи'!Z752),0),IF($B$742="Лікар-педіатр",IF(Z746&gt;=Законод!$J$18,'01_Доходи'!Z746-('01_Доходи'!Z747+'01_Доходи'!Z748+'01_Доходи'!Z749+'01_Доходи'!Z750+'01_Доходи'!Z751+'01_Доходи'!Z752),0),IF($B$742="Лікар-терапевт",IF('01_Доходи'!Z746&gt;=Законод!$J$26,Z746-Законод!$I$27,0),0)))</f>
        <v>0</v>
      </c>
      <c r="AA753" s="931"/>
      <c r="AB753" s="935" t="s">
        <v>346</v>
      </c>
      <c r="AC753" s="936"/>
      <c r="AD753" s="936"/>
      <c r="AE753" s="936"/>
      <c r="AF753" s="937"/>
      <c r="AG753" s="196">
        <f ca="1">IF($B$742="Лікар загальної практики - сімейний лікар",IF(AG746&gt;=Законод!$J$22,'01_Доходи'!AG746-('01_Доходи'!AG747+'01_Доходи'!AG748+'01_Доходи'!AG749+'01_Доходи'!AG750+'01_Доходи'!AG751+'01_Доходи'!AG752),0),IF($B$742="Лікар-педіатр",IF(AG746&gt;=Законод!$J$18,'01_Доходи'!AG746-('01_Доходи'!AG747+'01_Доходи'!AG748+'01_Доходи'!AG749+'01_Доходи'!AG750+'01_Доходи'!AG751+'01_Доходи'!AG752),0),IF($B$742="Лікар-терапевт",IF('01_Доходи'!AG746&gt;=Законод!$J$26,AG746-Законод!$I$27,0),0)))</f>
        <v>0</v>
      </c>
      <c r="AH753" s="931"/>
      <c r="AI753" s="215"/>
      <c r="AJ753" s="934"/>
      <c r="AK753" s="928"/>
      <c r="AL753" s="928"/>
      <c r="AM753" s="900"/>
      <c r="AN753" s="216">
        <f ca="1">IF(B742="Лікар загальної практики - сімейний лікар",L753*Законод!$C$9/4*Законод!$J$16,IF(B742="Лікар-педіатр",L753*Законод!$C$9/4*Законод!$J$16,IF(B742="Лікар-терапевт",L753*Законод!$C$9/4*Законод!$J$16,0)))</f>
        <v>0</v>
      </c>
      <c r="AO753" s="216">
        <f ca="1">IF(B742="Лікар загальної практики - сімейний лікар",S753*Законод!$C$9/4*Законод!$J$16,IF(B742="Лікар-педіатр",S753*Законод!$C$9/4*Законод!$J$16,IF(B742="Лікар-терапевт",S753*Законод!$C$9/4*Законод!$J$16,0)))</f>
        <v>0</v>
      </c>
      <c r="AP753" s="216">
        <f ca="1">IF(B742="Лікар загальної практики - сімейний лікар",S753*Законод!$C$9/4*Законод!$J$16,IF(B742="Лікар-педіатр",S753*Законод!$C$9/4*Законод!$J$16,IF(B742="Лікар-терапевт",S753*Законод!$C$9/4*Законод!$J$16,0)))</f>
        <v>0</v>
      </c>
      <c r="AQ753" s="216">
        <f ca="1">IF(B742="Лікар загальної практики - сімейний лікар",AG753*Законод!$C$9/4*Законод!$J$16,IF(B742="Лікар-педіатр",AG753*Законод!$C$9/4*Законод!$J$16,IF(B742="Лікар-терапевт",AG753*Законод!$C$9/4*Законод!$J$16,0)))</f>
        <v>0</v>
      </c>
      <c r="AR753" s="217">
        <f t="shared" si="84"/>
        <v>0</v>
      </c>
    </row>
    <row r="754" spans="1:44" s="247" customFormat="1" ht="23.45" hidden="1" customHeight="1" thickBot="1">
      <c r="A754" s="243"/>
      <c r="B754" s="244"/>
      <c r="C754" s="244"/>
      <c r="D754" s="244"/>
      <c r="E754" s="244"/>
      <c r="F754" s="245"/>
      <c r="G754" s="246"/>
      <c r="H754" s="246"/>
      <c r="L754" s="248"/>
      <c r="S754" s="248"/>
      <c r="Z754" s="248"/>
      <c r="AG754" s="248"/>
      <c r="AM754" s="249"/>
      <c r="AR754" s="250"/>
    </row>
    <row r="755" spans="1:44" s="191" customFormat="1" ht="24.6" hidden="1" customHeight="1">
      <c r="A755" s="194">
        <f>A742+1</f>
        <v>56</v>
      </c>
      <c r="B755" s="892"/>
      <c r="C755" s="895"/>
      <c r="D755" s="911"/>
      <c r="E755" s="908"/>
      <c r="F755" s="234" t="s">
        <v>582</v>
      </c>
      <c r="G755" s="196">
        <f>IF($B$755="Лікар-педіатр",G758*L755,IF($B$755="Лікар-терапевт","х",IF($B$755="Лікар загальної практики - сімейний лікар",G758*L755,0)))</f>
        <v>0</v>
      </c>
      <c r="H755" s="196">
        <f>IF($B$755="Лікар-педіатр",H758*L755,IF($B$755="Лікар-терапевт","х",IF($B$755="Лікар загальної практики - сімейний лікар",H758*L755,0)))</f>
        <v>0</v>
      </c>
      <c r="I755" s="196">
        <f>IF($B$755="Лікар-педіатр","x",IF($B$755="Лікар-терапевт",I758*L755,IF($B$755="Лікар загальної практики - сімейний лікар",I758*L755,0)))</f>
        <v>0</v>
      </c>
      <c r="J755" s="196">
        <f>IF($B$755="Лікар-педіатр","x",IF($B$755="Лікар-терапевт",J758*L755,IF($B$755="Лікар загальної практики - сімейний лікар",J758*L755,0)))</f>
        <v>0</v>
      </c>
      <c r="K755" s="196">
        <f>IF($B$755="Лікар-педіатр","x",IF($B$755="Лікар-терапевт",K758*L755,IF($B$755="Лікар загальної практики - сімейний лікар",K758*L755,0)))</f>
        <v>0</v>
      </c>
      <c r="L755" s="558"/>
      <c r="M755" s="929"/>
      <c r="N755" s="196">
        <f>IF($B$755="Лікар-педіатр",N758*S755,IF($B$755="Лікар-терапевт","х",IF($B$755="Лікар загальної практики - сімейний лікар",N758*S755,0)))</f>
        <v>0</v>
      </c>
      <c r="O755" s="196">
        <f>IF($B$755="Лікар-педіатр",O758*S755,IF($B$755="Лікар-терапевт","х",IF($B$755="Лікар загальної практики - сімейний лікар",O758*S755,0)))</f>
        <v>0</v>
      </c>
      <c r="P755" s="196">
        <f>IF($B$755="Лікар-педіатр","x",IF($B$755="Лікар-терапевт",P758*S755,IF($B$755="Лікар загальної практики - сімейний лікар",P758*S755,0)))</f>
        <v>0</v>
      </c>
      <c r="Q755" s="196">
        <f>IF($B$755="Лікар-педіатр","x",IF($B$755="Лікар-терапевт",Q758*S755,IF($B$755="Лікар загальної практики - сімейний лікар",Q758*S755,0)))</f>
        <v>0</v>
      </c>
      <c r="R755" s="196">
        <f>IF($B$755="Лікар-педіатр","x",IF($B$755="Лікар-терапевт",R758*S755,IF($B$755="Лікар загальної практики - сімейний лікар",R758*S755,0)))</f>
        <v>0</v>
      </c>
      <c r="S755" s="558"/>
      <c r="T755" s="929"/>
      <c r="U755" s="196">
        <f>IF($B$755="Лікар-педіатр",U758*Z755,IF($B$755="Лікар-терапевт","х",IF($B$755="Лікар загальної практики - сімейний лікар",U758*Z755,0)))</f>
        <v>0</v>
      </c>
      <c r="V755" s="196">
        <f>IF($B$755="Лікар-педіатр",V758*Z755,IF($B$755="Лікар-терапевт","х",IF($B$755="Лікар загальної практики - сімейний лікар",V758*Z755,0)))</f>
        <v>0</v>
      </c>
      <c r="W755" s="196">
        <f>IF($B$755="Лікар-педіатр","x",IF($B$755="Лікар-терапевт",W758*Z755,IF($B$755="Лікар загальної практики - сімейний лікар",W758*Z755,0)))</f>
        <v>0</v>
      </c>
      <c r="X755" s="196">
        <f>IF($B$755="Лікар-педіатр","x",IF($B$755="Лікар-терапевт",X758*Z755,IF($B$755="Лікар загальної практики - сімейний лікар",X758*Z755,0)))</f>
        <v>0</v>
      </c>
      <c r="Y755" s="196">
        <f>IF($B$755="Лікар-педіатр","x",IF($B$755="Лікар-терапевт",Y758*Z755,IF($B$755="Лікар загальної практики - сімейний лікар",Y758*Z755,0)))</f>
        <v>0</v>
      </c>
      <c r="Z755" s="558"/>
      <c r="AA755" s="929"/>
      <c r="AB755" s="196">
        <f>IF($B$755="Лікар-педіатр",AB758*AG755,IF($B$755="Лікар-терапевт","х",IF($B$755="Лікар загальної практики - сімейний лікар",AB758*AG755,0)))</f>
        <v>0</v>
      </c>
      <c r="AC755" s="196">
        <f>IF($B$755="Лікар-педіатр",AC758*AG755,IF($B$755="Лікар-терапевт","х",IF($B$755="Лікар загальної практики - сімейний лікар",AC758*AG755,0)))</f>
        <v>0</v>
      </c>
      <c r="AD755" s="196">
        <f>IF($B$755="Лікар-педіатр","x",IF($B$755="Лікар-терапевт",AD758*AG755,IF($B$755="Лікар загальної практики - сімейний лікар",AD758*AG755,0)))</f>
        <v>0</v>
      </c>
      <c r="AE755" s="196">
        <f>IF($B$755="Лікар-педіатр","x",IF($B$755="Лікар-терапевт",AE758*AG755,IF($B$755="Лікар загальної практики - сімейний лікар",AE758*AG755,0)))</f>
        <v>0</v>
      </c>
      <c r="AF755" s="196">
        <f>IF($B$755="Лікар-педіатр","x",IF($B$755="Лікар-терапевт",AF758*AG755,IF($B$755="Лікар загальної практики - сімейний лікар",AF758*AG755,0)))</f>
        <v>0</v>
      </c>
      <c r="AG755" s="558"/>
      <c r="AH755" s="929"/>
      <c r="AI755" s="541">
        <f>A755</f>
        <v>56</v>
      </c>
      <c r="AJ755" s="932">
        <f>B755</f>
        <v>0</v>
      </c>
      <c r="AK755" s="926">
        <f>C755</f>
        <v>0</v>
      </c>
      <c r="AL755" s="926">
        <f>D755</f>
        <v>0</v>
      </c>
      <c r="AM755" s="901" t="s">
        <v>785</v>
      </c>
      <c r="AN755" s="923">
        <f>SUM(AN760:AN766)</f>
        <v>0</v>
      </c>
      <c r="AO755" s="923">
        <f>SUM(AO760:AO766)</f>
        <v>0</v>
      </c>
      <c r="AP755" s="923">
        <f>SUM(AP760:AP766)</f>
        <v>0</v>
      </c>
      <c r="AQ755" s="923">
        <f>SUM(AQ760:AQ766)</f>
        <v>0</v>
      </c>
      <c r="AR755" s="914">
        <f>SUM(AN755:AQ759)</f>
        <v>0</v>
      </c>
    </row>
    <row r="756" spans="1:44" s="50" customFormat="1" ht="28.15" hidden="1" customHeight="1">
      <c r="A756" s="197"/>
      <c r="B756" s="893"/>
      <c r="C756" s="896"/>
      <c r="D756" s="912"/>
      <c r="E756" s="909"/>
      <c r="F756" s="234" t="s">
        <v>583</v>
      </c>
      <c r="G756" s="196">
        <f>IF($B$755="Лікар-педіатр",G758*L756,IF($B$755="Лікар-терапевт","х",IF($B$755="Лікар загальної практики - сімейний лікар",G758*L756,0)))</f>
        <v>0</v>
      </c>
      <c r="H756" s="196">
        <f>IF($B$755="Лікар-педіатр",H758*L756,IF($B$755="Лікар-терапевт","х",IF($B$755="Лікар загальної практики - сімейний лікар",H758*L756,0)))</f>
        <v>0</v>
      </c>
      <c r="I756" s="196">
        <f>IF($B$755="Лікар-педіатр","x",IF($B$755="Лікар-терапевт",I758*L756,IF($B$755="Лікар загальної практики - сімейний лікар",I758*L756,0)))</f>
        <v>0</v>
      </c>
      <c r="J756" s="196">
        <f>IF($B$755="Лікар-педіатр","x",IF($B$755="Лікар-терапевт",J758*L756,IF($B$755="Лікар загальної практики - сімейний лікар",J758*L756,0)))</f>
        <v>0</v>
      </c>
      <c r="K756" s="196">
        <f>IF($B$755="Лікар-педіатр","x",IF($B$755="Лікар-терапевт",K758*L756,IF($B$755="Лікар загальної практики - сімейний лікар",K758*L756,0)))</f>
        <v>0</v>
      </c>
      <c r="L756" s="558"/>
      <c r="M756" s="930"/>
      <c r="N756" s="196">
        <f>IF($B$755="Лікар-педіатр",N758*S756,IF($B$755="Лікар-терапевт","х",IF($B$755="Лікар загальної практики - сімейний лікар",N758*S756,0)))</f>
        <v>0</v>
      </c>
      <c r="O756" s="196">
        <f>IF($B$755="Лікар-педіатр",O758*S756,IF($B$755="Лікар-терапевт","х",IF($B$755="Лікар загальної практики - сімейний лікар",O758*S756,0)))</f>
        <v>0</v>
      </c>
      <c r="P756" s="196">
        <f>IF($B$755="Лікар-педіатр","x",IF($B$755="Лікар-терапевт",P758*S756,IF($B$755="Лікар загальної практики - сімейний лікар",P758*S756,0)))</f>
        <v>0</v>
      </c>
      <c r="Q756" s="196">
        <f>IF($B$755="Лікар-педіатр","x",IF($B$755="Лікар-терапевт",Q758*S756,IF($B$755="Лікар загальної практики - сімейний лікар",Q758*S756,0)))</f>
        <v>0</v>
      </c>
      <c r="R756" s="196">
        <f>IF($B$755="Лікар-педіатр","x",IF($B$755="Лікар-терапевт",R758*S756,IF($B$755="Лікар загальної практики - сімейний лікар",R758*S756,0)))</f>
        <v>0</v>
      </c>
      <c r="S756" s="558"/>
      <c r="T756" s="930"/>
      <c r="U756" s="196">
        <f>IF($B$755="Лікар-педіатр",U758*Z756,IF($B$755="Лікар-терапевт","х",IF($B$755="Лікар загальної практики - сімейний лікар",U758*Z756,0)))</f>
        <v>0</v>
      </c>
      <c r="V756" s="196">
        <f>IF($B$755="Лікар-педіатр",V758*Z756,IF($B$755="Лікар-терапевт","х",IF($B$755="Лікар загальної практики - сімейний лікар",V758*Z756,0)))</f>
        <v>0</v>
      </c>
      <c r="W756" s="196">
        <f>IF($B$755="Лікар-педіатр","x",IF($B$755="Лікар-терапевт",W758*Z756,IF($B$755="Лікар загальної практики - сімейний лікар",W758*Z756,0)))</f>
        <v>0</v>
      </c>
      <c r="X756" s="196">
        <f>IF($B$755="Лікар-педіатр","x",IF($B$755="Лікар-терапевт",X758*Z756,IF($B$755="Лікар загальної практики - сімейний лікар",X758*Z756,0)))</f>
        <v>0</v>
      </c>
      <c r="Y756" s="196">
        <f>IF($B$755="Лікар-педіатр","x",IF($B$755="Лікар-терапевт",Y758*Z756,IF($B$755="Лікар загальної практики - сімейний лікар",Y758*Z756,0)))</f>
        <v>0</v>
      </c>
      <c r="Z756" s="558"/>
      <c r="AA756" s="930"/>
      <c r="AB756" s="196">
        <f>IF($B$755="Лікар-педіатр",AB758*AG756,IF($B$755="Лікар-терапевт","х",IF($B$755="Лікар загальної практики - сімейний лікар",AB758*AG756,0)))</f>
        <v>0</v>
      </c>
      <c r="AC756" s="196">
        <f>IF($B$755="Лікар-педіатр",AC758*AG756,IF($B$755="Лікар-терапевт","х",IF($B$755="Лікар загальної практики - сімейний лікар",AC758*AG756,0)))</f>
        <v>0</v>
      </c>
      <c r="AD756" s="196">
        <f>IF($B$755="Лікар-педіатр","x",IF($B$755="Лікар-терапевт",AD758*AG756,IF($B$755="Лікар загальної практики - сімейний лікар",AD758*AG756,0)))</f>
        <v>0</v>
      </c>
      <c r="AE756" s="196">
        <f>IF($B$755="Лікар-педіатр","x",IF($B$755="Лікар-терапевт",AE758*AG756,IF($B$755="Лікар загальної практики - сімейний лікар",AE758*AG756,0)))</f>
        <v>0</v>
      </c>
      <c r="AF756" s="196">
        <f>IF($B$755="Лікар-педіатр","x",IF($B$755="Лікар-терапевт",AF758*AG756,IF($B$755="Лікар загальної практики - сімейний лікар",AF758*AG756,0)))</f>
        <v>0</v>
      </c>
      <c r="AG756" s="558"/>
      <c r="AH756" s="930"/>
      <c r="AI756" s="198"/>
      <c r="AJ756" s="933"/>
      <c r="AK756" s="927"/>
      <c r="AL756" s="927"/>
      <c r="AM756" s="902"/>
      <c r="AN756" s="924"/>
      <c r="AO756" s="924"/>
      <c r="AP756" s="924"/>
      <c r="AQ756" s="924"/>
      <c r="AR756" s="915"/>
    </row>
    <row r="757" spans="1:44" s="90" customFormat="1" ht="31.15" hidden="1" customHeight="1">
      <c r="A757" s="240"/>
      <c r="B757" s="893"/>
      <c r="C757" s="896"/>
      <c r="D757" s="912"/>
      <c r="E757" s="909"/>
      <c r="F757" s="241" t="s">
        <v>584</v>
      </c>
      <c r="G757" s="199">
        <f>IF(B755="Лікар загальної практики - сімейний лікар"," ",IF(B755="Лікар-педіатр"," ",IF(B755="Лікар-терапевт","х",0)))</f>
        <v>0</v>
      </c>
      <c r="H757" s="199">
        <f>IF(B755="Лікар загальної практики - сімейний лікар"," ",IF(B755="Лікар-педіатр"," ",IF(B755="Лікар-терапевт","х",0)))</f>
        <v>0</v>
      </c>
      <c r="I757" s="199">
        <f>IF(B755="Лікар загальної практики - сімейний лікар"," ",IF(B755="Лікар-педіатр","х",IF(B755="Лікар-терапевт"," ",0)))</f>
        <v>0</v>
      </c>
      <c r="J757" s="199">
        <f>IF(B755="Лікар загальної практики - сімейний лікар"," ",IF(B755="Лікар-педіатр","х",IF(B755="Лікар-терапевт"," ",0)))</f>
        <v>0</v>
      </c>
      <c r="K757" s="199">
        <f>IF(B755="Лікар загальної практики - сімейний лікар"," ",IF(B755="Лікар-педіатр","х",IF(B755="Лікар-терапевт"," ",0)))</f>
        <v>0</v>
      </c>
      <c r="L757" s="200">
        <f>SUM(G757:K757)</f>
        <v>0</v>
      </c>
      <c r="M757" s="930"/>
      <c r="N757" s="199">
        <f>IF(B755="Лікар загальної практики - сімейний лікар"," ",IF(B755="Лікар-педіатр"," ",IF(B755="Лікар-терапевт","х",0)))</f>
        <v>0</v>
      </c>
      <c r="O757" s="199">
        <f>IF(B755="Лікар загальної практики - сімейний лікар"," ",IF(B755="Лікар-педіатр"," ",IF(B755="Лікар-терапевт","х",0)))</f>
        <v>0</v>
      </c>
      <c r="P757" s="199">
        <f>IF(B755="Лікар загальної практики - сімейний лікар"," ",IF(B755="Лікар-педіатр","х",IF(B755="Лікар-терапевт"," ",0)))</f>
        <v>0</v>
      </c>
      <c r="Q757" s="199">
        <f>IF(B755="Лікар загальної практики - сімейний лікар"," ",IF(B755="Лікар-педіатр","х",IF(B755="Лікар-терапевт"," ",0)))</f>
        <v>0</v>
      </c>
      <c r="R757" s="199">
        <f>IF(B755="Лікар загальної практики - сімейний лікар"," ",IF(B755="Лікар-педіатр","х",IF(B755="Лікар-терапевт"," ",0)))</f>
        <v>0</v>
      </c>
      <c r="S757" s="200">
        <f>SUM(N757:R757)</f>
        <v>0</v>
      </c>
      <c r="T757" s="930"/>
      <c r="U757" s="199">
        <f>IF(B755="Лікар загальної практики - сімейний лікар"," ",IF(B755="Лікар-педіатр"," ",IF(B755="Лікар-терапевт","х",0)))</f>
        <v>0</v>
      </c>
      <c r="V757" s="199">
        <f>IF(B755="Лікар загальної практики - сімейний лікар"," ",IF(B755="Лікар-педіатр"," ",IF(B755="Лікар-терапевт","х",0)))</f>
        <v>0</v>
      </c>
      <c r="W757" s="199">
        <f>IF(B755="Лікар загальної практики - сімейний лікар"," ",IF(B755="Лікар-педіатр","х",IF(B755="Лікар-терапевт"," ",0)))</f>
        <v>0</v>
      </c>
      <c r="X757" s="199">
        <f>IF(B755="Лікар загальної практики - сімейний лікар"," ",IF(B755="Лікар-педіатр","х",IF(B755="Лікар-терапевт"," ",0)))</f>
        <v>0</v>
      </c>
      <c r="Y757" s="199">
        <f>IF(B755="Лікар загальної практики - сімейний лікар"," ",IF(B755="Лікар-педіатр","х",IF(B755="Лікар-терапевт"," ",0)))</f>
        <v>0</v>
      </c>
      <c r="Z757" s="200">
        <f>SUM(U757:Y757)</f>
        <v>0</v>
      </c>
      <c r="AA757" s="930"/>
      <c r="AB757" s="199">
        <f>IF(B755="Лікар загальної практики - сімейний лікар"," ",IF(B755="Лікар-педіатр"," ",IF(B755="Лікар-терапевт","х",0)))</f>
        <v>0</v>
      </c>
      <c r="AC757" s="199">
        <f>IF(B755="Лікар загальної практики - сімейний лікар"," ",IF(B755="Лікар-педіатр"," ",IF(B755="Лікар-терапевт","х",0)))</f>
        <v>0</v>
      </c>
      <c r="AD757" s="199">
        <f>IF(B755="Лікар загальної практики - сімейний лікар"," ",IF(B755="Лікар-педіатр","х",IF(B755="Лікар-терапевт"," ",0)))</f>
        <v>0</v>
      </c>
      <c r="AE757" s="199">
        <f>IF(B755="Лікар загальної практики - сімейний лікар"," ",IF(B755="Лікар-педіатр","х",IF(B755="Лікар-терапевт"," ",0)))</f>
        <v>0</v>
      </c>
      <c r="AF757" s="199">
        <f>IF(B755="Лікар загальної практики - сімейний лікар"," ",IF(B755="Лікар-педіатр","х",IF(B755="Лікар-терапевт"," ",0)))</f>
        <v>0</v>
      </c>
      <c r="AG757" s="200">
        <f>SUM(AB757:AF757)</f>
        <v>0</v>
      </c>
      <c r="AH757" s="930"/>
      <c r="AI757" s="242"/>
      <c r="AJ757" s="933"/>
      <c r="AK757" s="927"/>
      <c r="AL757" s="927"/>
      <c r="AM757" s="902"/>
      <c r="AN757" s="924"/>
      <c r="AO757" s="924"/>
      <c r="AP757" s="924"/>
      <c r="AQ757" s="924"/>
      <c r="AR757" s="915"/>
    </row>
    <row r="758" spans="1:44" s="50" customFormat="1" ht="31.9" hidden="1" customHeight="1" thickBot="1">
      <c r="A758" s="197"/>
      <c r="B758" s="893"/>
      <c r="C758" s="896"/>
      <c r="D758" s="912"/>
      <c r="E758" s="909"/>
      <c r="F758" s="236" t="s">
        <v>349</v>
      </c>
      <c r="G758" s="203">
        <f>IF($B$755="Лікар-педіатр",G757/L757,IF($B$755="Лікар-терапевт","х",IF($B$755="Лікар загальної практики - сімейний лікар",G757/L757,0)))</f>
        <v>0</v>
      </c>
      <c r="H758" s="203">
        <f>IF($B$755="Лікар-педіатр",H757/L757,IF($B$755="Лікар-терапевт","х",IF($B$755="Лікар загальної практики - сімейний лікар",H757/L757,0)))</f>
        <v>0</v>
      </c>
      <c r="I758" s="203">
        <f>IF($B$755="Лікар-педіатр","x",IF($B$755="Лікар-терапевт",I757/L757,IF($B$755="Лікар загальної практики - сімейний лікар",I757/L757,0)))</f>
        <v>0</v>
      </c>
      <c r="J758" s="203">
        <f>IF($B$755="Лікар-педіатр","x",IF($B$755="Лікар-терапевт",J757/L757,IF($B$755="Лікар загальної практики - сімейний лікар",J757/L757,0)))</f>
        <v>0</v>
      </c>
      <c r="K758" s="203">
        <f>IF($B$755="Лікар-педіатр","x",IF($B$755="Лікар-терапевт",K757/L757,IF($B$755="Лікар загальної практики - сімейний лікар",K757/L757,0)))</f>
        <v>0</v>
      </c>
      <c r="L758" s="203">
        <f>SUM(G758:K758)</f>
        <v>0</v>
      </c>
      <c r="M758" s="930"/>
      <c r="N758" s="203">
        <f>IF($B$755="Лікар-педіатр",N757/S757,IF($B$755="Лікар-терапевт","х",IF($B$755="Лікар загальної практики - сімейний лікар",N757/S757,0)))</f>
        <v>0</v>
      </c>
      <c r="O758" s="203">
        <f>IF($B$755="Лікар-педіатр",O757/S757,IF($B$755="Лікар-терапевт","х",IF($B$755="Лікар загальної практики - сімейний лікар",O757/S757,0)))</f>
        <v>0</v>
      </c>
      <c r="P758" s="203">
        <f>IF($B$755="Лікар-педіатр","x",IF($B$755="Лікар-терапевт",P757/S757,IF($B$755="Лікар загальної практики - сімейний лікар",P757/S757,0)))</f>
        <v>0</v>
      </c>
      <c r="Q758" s="203">
        <f>IF($B$755="Лікар-педіатр","x",IF($B$755="Лікар-терапевт",Q757/S757,IF($B$755="Лікар загальної практики - сімейний лікар",Q757/S757,0)))</f>
        <v>0</v>
      </c>
      <c r="R758" s="203">
        <f>IF($B$755="Лікар-педіатр","x",IF($B$755="Лікар-терапевт",R757/S757,IF($B$755="Лікар загальної практики - сімейний лікар",R757/S757,0)))</f>
        <v>0</v>
      </c>
      <c r="S758" s="203">
        <f>SUM(N758:R758)</f>
        <v>0</v>
      </c>
      <c r="T758" s="930"/>
      <c r="U758" s="203">
        <f>IF($B$755="Лікар-педіатр",U757/Z757,IF($B$755="Лікар-терапевт","х",IF($B$755="Лікар загальної практики - сімейний лікар",U757/Z757,0)))</f>
        <v>0</v>
      </c>
      <c r="V758" s="203">
        <f>IF($B$755="Лікар-педіатр",V757/Z757,IF($B$755="Лікар-терапевт","х",IF($B$755="Лікар загальної практики - сімейний лікар",V757/Z757,0)))</f>
        <v>0</v>
      </c>
      <c r="W758" s="203">
        <f>IF($B$755="Лікар-педіатр","x",IF($B$755="Лікар-терапевт",W757/Z757,IF($B$755="Лікар загальної практики - сімейний лікар",W757/Z757,0)))</f>
        <v>0</v>
      </c>
      <c r="X758" s="203">
        <f>IF($B$755="Лікар-педіатр","x",IF($B$755="Лікар-терапевт",X757/Z757,IF($B$755="Лікар загальної практики - сімейний лікар",X757/Z757,0)))</f>
        <v>0</v>
      </c>
      <c r="Y758" s="203">
        <f>IF($B$755="Лікар-педіатр","x",IF($B$755="Лікар-терапевт",Y757/Z757,IF($B$755="Лікар загальної практики - сімейний лікар",Y757/Z757,0)))</f>
        <v>0</v>
      </c>
      <c r="Z758" s="203">
        <f>SUM(U758:Y758)</f>
        <v>0</v>
      </c>
      <c r="AA758" s="930"/>
      <c r="AB758" s="203">
        <f>IF($B$755="Лікар-педіатр",AB757/AG757,IF($B$755="Лікар-терапевт","х",IF($B$755="Лікар загальної практики - сімейний лікар",AB757/AG757,0)))</f>
        <v>0</v>
      </c>
      <c r="AC758" s="203">
        <f>IF($B$755="Лікар-педіатр",AC757/AG757,IF($B$755="Лікар-терапевт","х",IF($B$755="Лікар загальної практики - сімейний лікар",AC757/AG757,0)))</f>
        <v>0</v>
      </c>
      <c r="AD758" s="203">
        <f>IF($B$755="Лікар-педіатр","x",IF($B$755="Лікар-терапевт",AD757/AG757,IF($B$755="Лікар загальної практики - сімейний лікар",AD757/AG757,0)))</f>
        <v>0</v>
      </c>
      <c r="AE758" s="203">
        <f>IF($B$755="Лікар-педіатр","x",IF($B$755="Лікар-терапевт",AE757/AG757,IF($B$755="Лікар загальної практики - сімейний лікар",AE757/AG757,0)))</f>
        <v>0</v>
      </c>
      <c r="AF758" s="203">
        <f>IF($B$755="Лікар-педіатр","x",IF($B$755="Лікар-терапевт",AF757/AG757,IF($B$755="Лікар загальної практики - сімейний лікар",AF757/AG757,0)))</f>
        <v>0</v>
      </c>
      <c r="AG758" s="203">
        <f>SUM(AB758:AF758)</f>
        <v>0</v>
      </c>
      <c r="AH758" s="930"/>
      <c r="AI758" s="201"/>
      <c r="AJ758" s="933"/>
      <c r="AK758" s="927"/>
      <c r="AL758" s="927"/>
      <c r="AM758" s="902"/>
      <c r="AN758" s="924"/>
      <c r="AO758" s="924"/>
      <c r="AP758" s="924"/>
      <c r="AQ758" s="924"/>
      <c r="AR758" s="915"/>
    </row>
    <row r="759" spans="1:44" s="50" customFormat="1" ht="45" hidden="1" customHeight="1" thickBot="1">
      <c r="A759" s="197"/>
      <c r="B759" s="893"/>
      <c r="C759" s="896"/>
      <c r="D759" s="912"/>
      <c r="E759" s="909"/>
      <c r="F759" s="204" t="s">
        <v>585</v>
      </c>
      <c r="G759" s="205">
        <f>IF($B$755="Лікар загальної практики - сімейний лікар",AVERAGE(G755:G757),IF($B$755="Лікар-педіатр",AVERAGE(G755:G757),IF($B$755="Лікар-терапевт","х",0)))</f>
        <v>0</v>
      </c>
      <c r="H759" s="205">
        <f>IF($B$755="Лікар загальної практики - сімейний лікар",AVERAGE(H755:H757),IF($B$755="Лікар-педіатр",AVERAGE(H755:H757),IF($B$755="Лікар-терапевт","х",0)))</f>
        <v>0</v>
      </c>
      <c r="I759" s="205">
        <f>IF($B$755="Лікар загальної практики - сімейний лікар",AVERAGE(I755:I757),IF($B$755="Лікар-педіатр","x",IF($B$755="Лікар-терапевт",AVERAGE(I755:I757),0)))</f>
        <v>0</v>
      </c>
      <c r="J759" s="205">
        <f>IF($B$755="Лікар загальної практики - сімейний лікар",AVERAGE(J755:J757),IF($B$755="Лікар-педіатр","x",IF($B$755="Лікар-терапевт",AVERAGE(J755:J757),0)))</f>
        <v>0</v>
      </c>
      <c r="K759" s="205">
        <f>IF($B$755="Лікар загальної практики - сімейний лікар",AVERAGE(K755:K757),IF($B$755="Лікар-педіатр","x",IF($B$755="Лікар-терапевт",AVERAGE(K755:K757),0)))</f>
        <v>0</v>
      </c>
      <c r="L759" s="206">
        <f>SUM(G759:K759)</f>
        <v>0</v>
      </c>
      <c r="M759" s="930"/>
      <c r="N759" s="205">
        <f>IF($B$755="Лікар загальної практики - сімейний лікар",AVERAGE(N755:N757),IF($B$755="Лікар-педіатр",AVERAGE(N755:N757),IF($B$755="Лікар-терапевт","х",0)))</f>
        <v>0</v>
      </c>
      <c r="O759" s="205">
        <f>IF($B$755="Лікар загальної практики - сімейний лікар",AVERAGE(O755:O757),IF($B$755="Лікар-педіатр",AVERAGE(O755:O757),IF($B$755="Лікар-терапевт","х",0)))</f>
        <v>0</v>
      </c>
      <c r="P759" s="205">
        <f>IF($B$755="Лікар загальної практики - сімейний лікар",AVERAGE(P755:P757),IF($B$755="Лікар-педіатр","x",IF($B$755="Лікар-терапевт",AVERAGE(P755:P757),0)))</f>
        <v>0</v>
      </c>
      <c r="Q759" s="205">
        <f>IF($B$755="Лікар загальної практики - сімейний лікар",AVERAGE(Q755:Q757),IF($B$755="Лікар-педіатр","x",IF($B$755="Лікар-терапевт",AVERAGE(Q755:Q757),0)))</f>
        <v>0</v>
      </c>
      <c r="R759" s="205">
        <f>IF($B$755="Лікар загальної практики - сімейний лікар",AVERAGE(R755:R757),IF($B$755="Лікар-педіатр","x",IF($B$755="Лікар-терапевт",AVERAGE(R755:R757),0)))</f>
        <v>0</v>
      </c>
      <c r="S759" s="206">
        <f>SUM(N759:R759)</f>
        <v>0</v>
      </c>
      <c r="T759" s="930"/>
      <c r="U759" s="205">
        <f>IF($B$755="Лікар загальної практики - сімейний лікар",AVERAGE(U755:U757),IF($B$755="Лікар-педіатр",AVERAGE(U755:U757),IF($B$755="Лікар-терапевт","х",0)))</f>
        <v>0</v>
      </c>
      <c r="V759" s="205">
        <f>IF($B$755="Лікар загальної практики - сімейний лікар",AVERAGE(V755:V757),IF($B$755="Лікар-педіатр",AVERAGE(V755:V757),IF($B$755="Лікар-терапевт","х",0)))</f>
        <v>0</v>
      </c>
      <c r="W759" s="205">
        <f>IF($B$755="Лікар загальної практики - сімейний лікар",AVERAGE(W755:W757),IF($B$755="Лікар-педіатр","x",IF($B$755="Лікар-терапевт",AVERAGE(W755:W757),0)))</f>
        <v>0</v>
      </c>
      <c r="X759" s="205">
        <f>IF($B$755="Лікар загальної практики - сімейний лікар",AVERAGE(X755:X757),IF($B$755="Лікар-педіатр","x",IF($B$755="Лікар-терапевт",AVERAGE(X755:X757),0)))</f>
        <v>0</v>
      </c>
      <c r="Y759" s="205">
        <f>IF($B$755="Лікар загальної практики - сімейний лікар",AVERAGE(Y755:Y757),IF($B$755="Лікар-педіатр","x",IF($B$755="Лікар-терапевт",AVERAGE(Y755:Y757),0)))</f>
        <v>0</v>
      </c>
      <c r="Z759" s="206">
        <f>SUM(U759:Y759)</f>
        <v>0</v>
      </c>
      <c r="AA759" s="930"/>
      <c r="AB759" s="205">
        <f>IF($B$755="Лікар загальної практики - сімейний лікар",AVERAGE(AB755:AB757),IF($B$755="Лікар-педіатр",AVERAGE(AB755:AB757),IF($B$755="Лікар-терапевт","х",0)))</f>
        <v>0</v>
      </c>
      <c r="AC759" s="205">
        <f>IF($B$755="Лікар загальної практики - сімейний лікар",AVERAGE(AC755:AC757),IF($B$755="Лікар-педіатр",AVERAGE(AC755:AC757),IF($B$755="Лікар-терапевт","х",0)))</f>
        <v>0</v>
      </c>
      <c r="AD759" s="205">
        <f>IF($B$755="Лікар загальної практики - сімейний лікар",AVERAGE(AD755:AD757),IF($B$755="Лікар-педіатр","x",IF($B$755="Лікар-терапевт",AVERAGE(AD755:AD757),0)))</f>
        <v>0</v>
      </c>
      <c r="AE759" s="205">
        <f>IF($B$755="Лікар загальної практики - сімейний лікар",AVERAGE(AE755:AE757),IF($B$755="Лікар-педіатр","x",IF($B$755="Лікар-терапевт",AVERAGE(AE755:AE757),0)))</f>
        <v>0</v>
      </c>
      <c r="AF759" s="205">
        <f>IF($B$755="Лікар загальної практики - сімейний лікар",AVERAGE(AF755:AF757),IF($B$755="Лікар-педіатр","x",IF($B$755="Лікар-терапевт",AVERAGE(AF755:AF757),0)))</f>
        <v>0</v>
      </c>
      <c r="AG759" s="206">
        <f>SUM(AB759:AF759)</f>
        <v>0</v>
      </c>
      <c r="AH759" s="930"/>
      <c r="AI759" s="201"/>
      <c r="AJ759" s="933"/>
      <c r="AK759" s="927"/>
      <c r="AL759" s="927"/>
      <c r="AM759" s="903"/>
      <c r="AN759" s="925"/>
      <c r="AO759" s="925"/>
      <c r="AP759" s="925"/>
      <c r="AQ759" s="925"/>
      <c r="AR759" s="916"/>
    </row>
    <row r="760" spans="1:44" s="50" customFormat="1" ht="40.5" hidden="1">
      <c r="A760" s="197"/>
      <c r="B760" s="893"/>
      <c r="C760" s="896"/>
      <c r="D760" s="912"/>
      <c r="E760" s="909"/>
      <c r="F760" s="237" t="str">
        <f ca="1">IF(B755="Лікар-педіатр",Законод!$C$17,IF(B755="Лікар загальної практики - сімейний лікар",Законод!$C$21,IF(B755="Лікар-терапевт",Законод!$C$25,"х")))</f>
        <v>х</v>
      </c>
      <c r="G760" s="208">
        <f ca="1">IF($B$755="Лікар загальної практики - сімейний лікар",IF(L759&lt;=Законод!$C$22,G759,Законод!$C$22*'01_Доходи'!G758),IF($B$755="Лікар-педіатр",IF(L759&lt;=Законод!$C$18,G759,Законод!$C$18*'01_Доходи'!G758),IF($B$755="Лікар-терапевт","x",0)))</f>
        <v>0</v>
      </c>
      <c r="H760" s="208">
        <f ca="1">IF($B$755="Лікар загальної практики - сімейний лікар",IF(L759&lt;=Законод!$C$22,H759,Законод!$C$22*'01_Доходи'!H758),IF($B$755="Лікар-педіатр",IF(L759&lt;=Законод!$C$18,H759,Законод!$C$18*'01_Доходи'!H758),IF($B$755="Лікар-терапевт","x",0)))</f>
        <v>0</v>
      </c>
      <c r="I760" s="208">
        <f ca="1">IF($B$755="Лікар загальної практики - сімейний лікар",IF(L759&lt;=Законод!$C$22,I759,Законод!$C$22*'01_Доходи'!I758),IF($B$755="Лікар-педіатр","x",IF($B$755="Лікар-терапевт",IF(L759&lt;=Законод!$C$26,I759,Законод!$C$26*'01_Доходи'!I758),0)))</f>
        <v>0</v>
      </c>
      <c r="J760" s="208">
        <f ca="1">IF($B$755="Лікар загальної практики - сімейний лікар",IF(L759&lt;=Законод!$C$22,J759,Законод!$C$22*'01_Доходи'!J758),IF($B$755="Лікар-педіатр","x",IF($B$755="Лікар-терапевт",IF(L759&lt;=Законод!$C$26,J759,Законод!$C$26*'01_Доходи'!J758),0)))</f>
        <v>0</v>
      </c>
      <c r="K760" s="208">
        <f ca="1">IF($B$755="Лікар загальної практики - сімейний лікар",IF(L759&lt;=Законод!$C$22,K759,Законод!$C$22*'01_Доходи'!K758),IF($B$755="Лікар-педіатр","x",IF($B$755="Лікар-терапевт",IF(L759&lt;=Законод!$C$26,K759,Законод!$C$26*'01_Доходи'!K758),0)))</f>
        <v>0</v>
      </c>
      <c r="L760" s="209">
        <f ca="1">SUM(G760:K760)</f>
        <v>0</v>
      </c>
      <c r="M760" s="930"/>
      <c r="N760" s="208">
        <f ca="1">IF($B$755="Лікар загальної практики - сімейний лікар",IF(S759&lt;=Законод!$C$22,N759,Законод!$C$22*'01_Доходи'!N758),IF($B$755="Лікар-педіатр",IF(S759&lt;=Законод!$C$18,N759,Законод!$C$18*'01_Доходи'!N758),IF($B$755="Лікар-терапевт","x",0)))</f>
        <v>0</v>
      </c>
      <c r="O760" s="208">
        <f ca="1">IF($B$755="Лікар загальної практики - сімейний лікар",IF(S759&lt;=Законод!$C$22,O759,Законод!$C$22*'01_Доходи'!O758),IF($B$755="Лікар-педіатр",IF(S759&lt;=Законод!$C$18,O759,Законод!$C$18*'01_Доходи'!O758),IF($B$755="Лікар-терапевт","x",0)))</f>
        <v>0</v>
      </c>
      <c r="P760" s="208">
        <f ca="1">IF($B$755="Лікар загальної практики - сімейний лікар",IF(S759&lt;=Законод!$C$22,P759,Законод!$C$22*'01_Доходи'!P758),IF($B$755="Лікар-педіатр","x",IF($B$755="Лікар-терапевт",IF(S759&lt;=Законод!$C$26,P759,Законод!$C$26*'01_Доходи'!P758),0)))</f>
        <v>0</v>
      </c>
      <c r="Q760" s="208">
        <f ca="1">IF($B$755="Лікар загальної практики - сімейний лікар",IF(S759&lt;=Законод!$C$22,Q759,Законод!$C$22*'01_Доходи'!Q758),IF($B$755="Лікар-педіатр","x",IF($B$755="Лікар-терапевт",IF(S759&lt;=Законод!$C$26,Q759,Законод!$C$26*'01_Доходи'!Q758),0)))</f>
        <v>0</v>
      </c>
      <c r="R760" s="208">
        <f ca="1">IF($B$755="Лікар загальної практики - сімейний лікар",IF(S759&lt;=Законод!$C$22,R759,Законод!$C$22*'01_Доходи'!R758),IF($B$755="Лікар-педіатр","x",IF($B$755="Лікар-терапевт",IF(S759&lt;=Законод!$C$26,R759,Законод!$C$26*'01_Доходи'!R758),0)))</f>
        <v>0</v>
      </c>
      <c r="S760" s="209">
        <f ca="1">SUM(N760:R760)</f>
        <v>0</v>
      </c>
      <c r="T760" s="930"/>
      <c r="U760" s="208">
        <f ca="1">IF($B$755="Лікар загальної практики - сімейний лікар",IF(Z759&lt;=Законод!$C$22,U759,Законод!$C$22*'01_Доходи'!U758),IF($B$755="Лікар-педіатр",IF(Z759&lt;=Законод!$C$18,U759,Законод!$C$18*'01_Доходи'!U758),IF($B$755="Лікар-терапевт","x",0)))</f>
        <v>0</v>
      </c>
      <c r="V760" s="208">
        <f ca="1">IF($B$755="Лікар загальної практики - сімейний лікар",IF(Z759&lt;=Законод!$C$22,V759,Законод!$C$22*'01_Доходи'!V758),IF($B$755="Лікар-педіатр",IF(Z759&lt;=Законод!$C$18,V759,Законод!$C$18*'01_Доходи'!V758),IF($B$755="Лікар-терапевт","x",0)))</f>
        <v>0</v>
      </c>
      <c r="W760" s="208">
        <f ca="1">IF($B$755="Лікар загальної практики - сімейний лікар",IF(Z759&lt;=Законод!$C$22,W759,Законод!$C$22*'01_Доходи'!W758),IF($B$755="Лікар-педіатр","x",IF($B$755="Лікар-терапевт",IF(Z759&lt;=Законод!$C$26,W759,Законод!$C$26*'01_Доходи'!W758),0)))</f>
        <v>0</v>
      </c>
      <c r="X760" s="208">
        <f ca="1">IF($B$755="Лікар загальної практики - сімейний лікар",IF(Z759&lt;=Законод!$C$22,X759,Законод!$C$22*'01_Доходи'!X758),IF($B$755="Лікар-педіатр","x",IF($B$755="Лікар-терапевт",IF(Z759&lt;=Законод!$C$26,X759,Законод!$C$26*'01_Доходи'!X758),0)))</f>
        <v>0</v>
      </c>
      <c r="Y760" s="208">
        <f ca="1">IF($B$755="Лікар загальної практики - сімейний лікар",IF(Z759&lt;=Законод!$C$22,Y759,Законод!$C$22*'01_Доходи'!Y758),IF($B$755="Лікар-педіатр","x",IF($B$755="Лікар-терапевт",IF(Z759&lt;=Законод!$C$26,Y759,Законод!$C$26*'01_Доходи'!Y758),0)))</f>
        <v>0</v>
      </c>
      <c r="Z760" s="209">
        <f ca="1">SUM(U760:Y760)</f>
        <v>0</v>
      </c>
      <c r="AA760" s="930"/>
      <c r="AB760" s="208">
        <f ca="1">IF($B$755="Лікар загальної практики - сімейний лікар",IF(AG759&lt;=Законод!$C$22,AB759,Законод!$C$22*'01_Доходи'!AB758),IF($B$755="Лікар-педіатр",IF(AG759&lt;=Законод!$C$18,AB759,Законод!$C$18*'01_Доходи'!AB758),IF($B$755="Лікар-терапевт","x",0)))</f>
        <v>0</v>
      </c>
      <c r="AC760" s="208">
        <f ca="1">IF($B$755="Лікар загальної практики - сімейний лікар",IF(AG759&lt;=Законод!$C$22,AC759,Законод!$C$22*'01_Доходи'!AC758),IF($B$755="Лікар-педіатр",IF(AG759&lt;=Законод!$C$18,AC759,Законод!$C$18*'01_Доходи'!AC758),IF($B$755="Лікар-терапевт","x",0)))</f>
        <v>0</v>
      </c>
      <c r="AD760" s="208">
        <f ca="1">IF($B$755="Лікар загальної практики - сімейний лікар",IF(AG759&lt;=Законод!$C$22,AD759,Законод!$C$22*'01_Доходи'!AD758),IF($B$755="Лікар-педіатр","x",IF($B$755="Лікар-терапевт",IF(AG759&lt;=Законод!$C$26,AD759,Законод!$C$26*'01_Доходи'!AD758),0)))</f>
        <v>0</v>
      </c>
      <c r="AE760" s="208">
        <f ca="1">IF($B$755="Лікар загальної практики - сімейний лікар",IF(AG759&lt;=Законод!$C$22,AE759,Законод!$C$22*'01_Доходи'!AE758),IF($B$755="Лікар-педіатр","x",IF($B$755="Лікар-терапевт",IF(AG759&lt;=Законод!$C$26,AE759,Законод!$C$26*'01_Доходи'!AE758),0)))</f>
        <v>0</v>
      </c>
      <c r="AF760" s="208">
        <f ca="1">IF($B$755="Лікар загальної практики - сімейний лікар",IF(AG759&lt;=Законод!$C$22,AF759,Законод!$C$22*'01_Доходи'!AF758),IF($B$755="Лікар-педіатр","x",IF($B$755="Лікар-терапевт",IF(AG759&lt;=Законод!$C$26,AF759,Законод!$C$26*'01_Доходи'!AF758),0)))</f>
        <v>0</v>
      </c>
      <c r="AG760" s="209">
        <f ca="1">SUM(AB760:AF760)</f>
        <v>0</v>
      </c>
      <c r="AH760" s="930"/>
      <c r="AI760" s="201"/>
      <c r="AJ760" s="933"/>
      <c r="AK760" s="927"/>
      <c r="AL760" s="927"/>
      <c r="AM760" s="348" t="s">
        <v>374</v>
      </c>
      <c r="AN760" s="210">
        <f ca="1">IF(B755="Лікар загальної практики - сімейний лікар",G760*Законод!$C$11+'01_Доходи'!H760*Законод!$D$11+'01_Доходи'!I760*Законод!$E$11+'01_Доходи'!J760*Законод!$F$11+'01_Доходи'!K760*Законод!$G$11,IF(B755="Лікар-педіатр",G760*Законод!$C$11+'01_Доходи'!H760*Законод!$D$11,IF(B755="Лікар-терапевт",'01_Доходи'!I760*Законод!$E$11+'01_Доходи'!J760*Законод!$F$11+'01_Доходи'!K760*Законод!$G$11,0)))</f>
        <v>0</v>
      </c>
      <c r="AO760" s="210">
        <f ca="1">IF(B755="Лікар загальної практики - сімейний лікар",N760*Законод!$C$11+'01_Доходи'!O760*Законод!$D$11+'01_Доходи'!P760*Законод!$E$11+'01_Доходи'!Q760*Законод!$F$11+'01_Доходи'!R760*Законод!$G$11,IF(B755="Лікар-педіатр",N760*Законод!$C$11+'01_Доходи'!O760*Законод!$D$11,IF(B755="Лікар-терапевт",'01_Доходи'!P760*Законод!$E$11+'01_Доходи'!Q760*Законод!$F$11+'01_Доходи'!R760*Законод!$G$11,0)))</f>
        <v>0</v>
      </c>
      <c r="AP760" s="210">
        <f ca="1">IF(B755="Лікар загальної практики - сімейний лікар",U760*Законод!$C$11+'01_Доходи'!V760*Законод!$D$11+'01_Доходи'!W760*Законод!$E$11+'01_Доходи'!X760*Законод!$F$11+'01_Доходи'!Y760*Законод!$G$11,IF(B755="Лікар-педіатр",U760*Законод!$C$11+'01_Доходи'!V760*Законод!$D$11,IF(B755="Лікар-терапевт",'01_Доходи'!W760*Законод!$E$11+'01_Доходи'!X760*Законод!$F$11+'01_Доходи'!Y760*Законод!$G$11,0)))</f>
        <v>0</v>
      </c>
      <c r="AQ760" s="210">
        <f ca="1">IF(B755="Лікар загальної практики - сімейний лікар",AB760*Законод!$C$11+'01_Доходи'!AC760*Законод!$D$11+'01_Доходи'!AD760*Законод!$E$11+'01_Доходи'!AE760*Законод!$F$11+'01_Доходи'!AF760*Законод!$G$11,IF(B755="Лікар-педіатр",AB760*Законод!$C$11+'01_Доходи'!AC760*Законод!$D$11,IF(B755="Лікар-терапевт",'01_Доходи'!AD760*Законод!$E$11+'01_Доходи'!AE760*Законод!$F$11+'01_Доходи'!AF760*Законод!$G$11,0)))</f>
        <v>0</v>
      </c>
      <c r="AR760" s="211">
        <f t="shared" ref="AR760:AR766" si="85">SUM(AN760:AQ760)</f>
        <v>0</v>
      </c>
    </row>
    <row r="761" spans="1:44" s="50" customFormat="1" ht="31.9" hidden="1" customHeight="1">
      <c r="A761" s="197"/>
      <c r="B761" s="893"/>
      <c r="C761" s="896"/>
      <c r="D761" s="912"/>
      <c r="E761" s="909"/>
      <c r="F761" s="238" t="str">
        <f ca="1">IF(B755="Лікар-педіатр",Законод!$E$17,IF(B755="Лікар загальної практики - сімейний лікар",Законод!$E$21,IF(B755="Лікар-терапевт",Законод!$E$25,"х")))</f>
        <v>х</v>
      </c>
      <c r="G761" s="889" t="s">
        <v>346</v>
      </c>
      <c r="H761" s="890"/>
      <c r="I761" s="890"/>
      <c r="J761" s="890"/>
      <c r="K761" s="891"/>
      <c r="L761" s="196">
        <f ca="1">IF($B$755="Лікар загальної практики - сімейний лікар",IF(L759&lt;Законод!$C$22,0,(IF(AND(L759&gt;=Законод!$E$22,L759&lt;=Законод!$E$23),L759-Законод!$C$22,IF('01_Доходи'!L759&gt;=Законод!$F$22,Законод!$E$24,0)))),IF($B$755="Лікар-педіатр",IF(L759&lt;Законод!$C$18,0,(IF(AND(L759&gt;=Законод!$E$18,L759&lt;=Законод!$E$19),L759-Законод!$C$18,IF('01_Доходи'!L759&gt;=Законод!$F$18,Законод!$E$20,0)))),IF($B$755="Лікар-терапевт",IF(L759&lt;Законод!$C$26,0,(IF(AND(L759&gt;=Законод!$E$26,L759&lt;=Законод!$E$27),L759-Законод!$C$26,IF('01_Доходи'!L759&gt;=Законод!$F$26,Законод!$E$28,0)))),0)))</f>
        <v>0</v>
      </c>
      <c r="M761" s="930"/>
      <c r="N761" s="889" t="s">
        <v>346</v>
      </c>
      <c r="O761" s="890"/>
      <c r="P761" s="890"/>
      <c r="Q761" s="890"/>
      <c r="R761" s="891"/>
      <c r="S761" s="196">
        <f ca="1">IF($B$755="Лікар загальної практики - сімейний лікар",IF(S759&lt;Законод!$C$22,0,(IF(AND(S759&gt;=Законод!$E$22,S759&lt;=Законод!$E$23),S759-Законод!$C$22,IF('01_Доходи'!S759&gt;=Законод!$F$22,Законод!$E$24,0)))),IF($B$755="Лікар-педіатр",IF(S759&lt;Законод!$C$18,0,(IF(AND(S759&gt;=Законод!$E$18,S759&lt;=Законод!$E$19),S759-Законод!$C$18,IF('01_Доходи'!S759&gt;=Законод!$F$18,Законод!$E$20,0)))),IF($B$755="Лікар-терапевт",IF(S759&lt;Законод!$C$26,0,(IF(AND(S759&gt;=Законод!$E$26,S759&lt;=Законод!$E$27),S759-Законод!$C$26,IF('01_Доходи'!S759&gt;=Законод!$F$26,Законод!$E$28,0)))),0)))</f>
        <v>0</v>
      </c>
      <c r="T761" s="930"/>
      <c r="U761" s="889" t="s">
        <v>346</v>
      </c>
      <c r="V761" s="890"/>
      <c r="W761" s="890"/>
      <c r="X761" s="890"/>
      <c r="Y761" s="891"/>
      <c r="Z761" s="196">
        <f ca="1">IF($B$755="Лікар загальної практики - сімейний лікар",IF(Z759&lt;Законод!$C$22,0,(IF(AND(Z759&gt;=Законод!$E$22,Z759&lt;=Законод!$E$23),Z759-Законод!$C$22,IF('01_Доходи'!Z759&gt;=Законод!$F$22,Законод!$E$24,0)))),IF($B$755="Лікар-педіатр",IF(Z759&lt;Законод!$C$18,0,(IF(AND(Z759&gt;=Законод!$E$18,Z759&lt;=Законод!$E$19),Z759-Законод!$C$18,IF('01_Доходи'!Z759&gt;=Законод!$F$18,Законод!$E$20,0)))),IF($B$755="Лікар-терапевт",IF(Z759&lt;Законод!$C$26,0,(IF(AND(Z759&gt;=Законод!$E$26,Z759&lt;=Законод!$E$27),Z759-Законод!$C$26,IF('01_Доходи'!Z759&gt;=Законод!$F$26,Законод!$E$28,0)))),0)))</f>
        <v>0</v>
      </c>
      <c r="AA761" s="930"/>
      <c r="AB761" s="889" t="s">
        <v>346</v>
      </c>
      <c r="AC761" s="890"/>
      <c r="AD761" s="890"/>
      <c r="AE761" s="890"/>
      <c r="AF761" s="891"/>
      <c r="AG761" s="196">
        <f ca="1">IF($B$755="Лікар загальної практики - сімейний лікар",IF(AG759&lt;Законод!$C$22,0,(IF(AND(AG759&gt;=Законод!$E$22,AG759&lt;=Законод!$E$23),AG759-Законод!$C$22,IF('01_Доходи'!AG759&gt;=Законод!$F$22,Законод!$E$24,0)))),IF($B$755="Лікар-педіатр",IF(AG759&lt;Законод!$C$18,0,(IF(AND(AG759&gt;=Законод!$E$18,AG759&lt;=Законод!$E$19),AG759-Законод!$C$18,IF('01_Доходи'!AG759&gt;=Законод!$F$18,Законод!$E$20,0)))),IF($B$755="Лікар-терапевт",IF(AG759&lt;Законод!$C$26,0,(IF(AND(AG759&gt;=Законод!$E$26,AG759&lt;=Законод!$E$27),AG759-Законод!$C$26,IF('01_Доходи'!AG759&gt;=Законод!$F$26,Законод!$E$28,0)))),0)))</f>
        <v>0</v>
      </c>
      <c r="AH761" s="930"/>
      <c r="AI761" s="201"/>
      <c r="AJ761" s="933"/>
      <c r="AK761" s="927"/>
      <c r="AL761" s="927"/>
      <c r="AM761" s="898" t="s">
        <v>375</v>
      </c>
      <c r="AN761" s="210">
        <f ca="1">IF(B755="Лікар загальної практики - сімейний лікар",L761*Законод!$C$9/4*Законод!$E$16,IF(B755="Лікар-педіатр",L761*Законод!$C$9/4*Законод!$E$16,IF(B755="Лікар-терапевт",L761*Законод!$C$9/4*Законод!$E$16,0)))</f>
        <v>0</v>
      </c>
      <c r="AO761" s="210">
        <f ca="1">IF(B755="Лікар загальної практики - сімейний лікар",S761*Законод!$C$9/4*Законод!$E$16,IF(B755="Лікар-педіатр",S761*Законод!$C$9/4*Законод!$E$16,IF(B755="Лікар-терапевт",S761*Законод!$C$9/4*Законод!$E$16,0)))</f>
        <v>0</v>
      </c>
      <c r="AP761" s="210">
        <f ca="1">IF(B755="Лікар загальної практики - сімейний лікар",Z761*Законод!$C$9/4*Законод!$E$16,IF(B755="Лікар-педіатр",Z761*Законод!$C$9/4*Законод!$E$16,IF(B755="Лікар-терапевт",Z761*Законод!$C$9/4*Законод!$E$16,0)))</f>
        <v>0</v>
      </c>
      <c r="AQ761" s="210">
        <f ca="1">IF(B755="Лікар загальної практики - сімейний лікар",AG761*Законод!$C$9/4*Законод!$E$16,IF(B755="Лікар-педіатр",AG761*Законод!$C$9/4*Законод!$E$16,IF(B755="Лікар-терапевт",AG761*Законод!$C$9/4*Законод!$E$16,0)))</f>
        <v>0</v>
      </c>
      <c r="AR761" s="211">
        <f t="shared" si="85"/>
        <v>0</v>
      </c>
    </row>
    <row r="762" spans="1:44" s="50" customFormat="1" ht="31.9" hidden="1" customHeight="1">
      <c r="A762" s="197"/>
      <c r="B762" s="893"/>
      <c r="C762" s="896"/>
      <c r="D762" s="912"/>
      <c r="E762" s="909"/>
      <c r="F762" s="238" t="str">
        <f ca="1">IF(B755="Лікар-педіатр",Законод!$F$17,IF(B755="Лікар загальної практики - сімейний лікар",Законод!$F$21,IF(B755="Лікар-терапевт",Законод!$F$25,"х")))</f>
        <v>х</v>
      </c>
      <c r="G762" s="889" t="s">
        <v>346</v>
      </c>
      <c r="H762" s="890"/>
      <c r="I762" s="890"/>
      <c r="J762" s="890"/>
      <c r="K762" s="891"/>
      <c r="L762" s="196">
        <f ca="1">IF($B$755="Лікар загальної практики - сімейний лікар",IF(L759&lt;Законод!$C$22,0,(IF(AND(L759&gt;=Законод!$F$22,L759&lt;=Законод!$F$23),L759-Законод!$E$23,IF('01_Доходи'!L759&gt;=Законод!$G$22,Законод!$F$24,0)))),IF($B$755="Лікар-педіатр",IF(L759&lt;Законод!$C$18,0,(IF(AND(L759&gt;=Законод!$F$18,L759&lt;=Законод!$F$19),L759-Законод!$E$19,IF('01_Доходи'!L759&gt;=Законод!$G$18,Законод!$F$20,0)))),IF($B$755="Лікар-терапевт",IF(L759&lt;Законод!$C$26,0,(IF(AND(L759&gt;=Законод!$F$26,L759&lt;=Законод!$F$27),L759-Законод!$E$27,IF('01_Доходи'!L759&gt;=Законод!$G$26,Законод!$F$28,0)))),0)))</f>
        <v>0</v>
      </c>
      <c r="M762" s="930"/>
      <c r="N762" s="889" t="s">
        <v>346</v>
      </c>
      <c r="O762" s="890"/>
      <c r="P762" s="890"/>
      <c r="Q762" s="890"/>
      <c r="R762" s="891"/>
      <c r="S762" s="196">
        <f ca="1">IF($B$755="Лікар загальної практики - сімейний лікар",IF(S759&lt;Законод!$C$22,0,(IF(AND(S759&gt;=Законод!$F$22,S759&lt;=Законод!$F$23),S759-Законод!$E$23,IF('01_Доходи'!S759&gt;=Законод!$G$22,Законод!$F$24,0)))),IF($B$755="Лікар-педіатр",IF(S759&lt;Законод!$C$18,0,(IF(AND(S759&gt;=Законод!$F$18,S759&lt;=Законод!$F$19),S759-Законод!$E$19,IF('01_Доходи'!S759&gt;=Законод!$G$18,Законод!$F$20,0)))),IF($B$755="Лікар-терапевт",IF(S759&lt;Законод!$C$26,0,(IF(AND(S759&gt;=Законод!$F$26,S759&lt;=Законод!$F$27),S759-Законод!$E$27,IF('01_Доходи'!S759&gt;=Законод!$G$26,Законод!$F$28,0)))),0)))</f>
        <v>0</v>
      </c>
      <c r="T762" s="930"/>
      <c r="U762" s="889" t="s">
        <v>346</v>
      </c>
      <c r="V762" s="890"/>
      <c r="W762" s="890"/>
      <c r="X762" s="890"/>
      <c r="Y762" s="891"/>
      <c r="Z762" s="196">
        <f ca="1">IF($B$755="Лікар загальної практики - сімейний лікар",IF(Z759&lt;Законод!$C$22,0,(IF(AND(Z759&gt;=Законод!$F$22,Z759&lt;=Законод!$F$23),Z759-Законод!$E$23,IF('01_Доходи'!Z759&gt;=Законод!$G$22,Законод!$F$24,0)))),IF($B$755="Лікар-педіатр",IF(Z759&lt;Законод!$C$18,0,(IF(AND(Z759&gt;=Законод!$F$18,Z759&lt;=Законод!$F$19),Z759-Законод!$E$19,IF('01_Доходи'!Z759&gt;=Законод!$G$18,Законод!$F$20,0)))),IF($B$755="Лікар-терапевт",IF(Z759&lt;Законод!$C$26,0,(IF(AND(Z759&gt;=Законод!$F$26,Z759&lt;=Законод!$F$27),Z759-Законод!$E$27,IF('01_Доходи'!Z759&gt;=Законод!$G$26,Законод!$F$28,0)))),0)))</f>
        <v>0</v>
      </c>
      <c r="AA762" s="930"/>
      <c r="AB762" s="889" t="s">
        <v>346</v>
      </c>
      <c r="AC762" s="890"/>
      <c r="AD762" s="890"/>
      <c r="AE762" s="890"/>
      <c r="AF762" s="891"/>
      <c r="AG762" s="196">
        <f ca="1">IF($B$755="Лікар загальної практики - сімейний лікар",IF(AG759&lt;Законод!$C$22,0,(IF(AND(AG759&gt;=Законод!$F$22,AG759&lt;=Законод!$F$23),AG759-Законод!$E$23,IF('01_Доходи'!AG759&gt;=Законод!$G$22,Законод!$F$24,0)))),IF($B$755="Лікар-педіатр",IF(AG759&lt;Законод!$C$18,0,(IF(AND(AG759&gt;=Законод!$F$18,AG759&lt;=Законод!$F$19),AG759-Законод!$E$19,IF('01_Доходи'!AG759&gt;=Законод!$G$18,Законод!$F$20,0)))),IF($B$755="Лікар-терапевт",IF(AG759&lt;Законод!$C$26,0,(IF(AND(AG759&gt;=Законод!$F$26,AG759&lt;=Законод!$F$27),AG759-Законод!$E$27,IF('01_Доходи'!AG759&gt;=Законод!$G$26,Законод!$F$28,0)))),0)))</f>
        <v>0</v>
      </c>
      <c r="AH762" s="930"/>
      <c r="AI762" s="201"/>
      <c r="AJ762" s="933"/>
      <c r="AK762" s="927"/>
      <c r="AL762" s="927"/>
      <c r="AM762" s="899"/>
      <c r="AN762" s="210">
        <f ca="1">IF(B755="Лікар загальної практики - сімейний лікар",L762*Законод!$C$9/4*Законод!$F$16,IF(B755="Лікар-педіатр",L762*Законод!$C$9/4*Законод!$F$16,IF(B755="Лікар-терапевт",L762*Законод!$C$9/4*Законод!$F$16,0)))</f>
        <v>0</v>
      </c>
      <c r="AO762" s="210">
        <f ca="1">IF(B755="Лікар загальної практики - сімейний лікар",S762*Законод!$C$9/4*Законод!$F$16,IF(B755="Лікар-педіатр",S762*Законод!$C$9/4*Законод!$F$16,IF(B755="Лікар-терапевт",S762*Законод!$C$9/4*Законод!$F$16,0)))</f>
        <v>0</v>
      </c>
      <c r="AP762" s="210">
        <f ca="1">IF(B755="Лікар загальної практики - сімейний лікар",Z762*Законод!$C$9/4*Законод!$F$16,IF(B755="Лікар-педіатр",Z762*Законод!$C$9/4*Законод!$F$16,IF(B755="Лікар-терапевт",Z762*Законод!$C$9/4*Законод!$F$16,0)))</f>
        <v>0</v>
      </c>
      <c r="AQ762" s="210">
        <f ca="1">IF(B755="Лікар загальної практики - сімейний лікар",AG762*Законод!$C$9/4*Законод!$F$16,IF(B755="Лікар-педіатр",AG762*Законод!$C$9/4*Законод!$F$16,IF(B755="Лікар-терапевт",AG762*Законод!$C$9/4*Законод!$F$16,0)))</f>
        <v>0</v>
      </c>
      <c r="AR762" s="211">
        <f t="shared" si="85"/>
        <v>0</v>
      </c>
    </row>
    <row r="763" spans="1:44" s="50" customFormat="1" ht="31.9" hidden="1" customHeight="1">
      <c r="A763" s="197"/>
      <c r="B763" s="893"/>
      <c r="C763" s="896"/>
      <c r="D763" s="912"/>
      <c r="E763" s="909"/>
      <c r="F763" s="238" t="str">
        <f ca="1">IF(B755="Лікар-педіатр",Законод!$G$17,IF(B755="Лікар загальної практики - сімейний лікар",Законод!$G$21,IF(B755="Лікар-терапевт",Законод!$G$25,"х")))</f>
        <v>х</v>
      </c>
      <c r="G763" s="889" t="s">
        <v>346</v>
      </c>
      <c r="H763" s="890"/>
      <c r="I763" s="890"/>
      <c r="J763" s="890"/>
      <c r="K763" s="891"/>
      <c r="L763" s="196">
        <f ca="1">IF($B$755="Лікар загальної практики - сімейний лікар",IF(L759&lt;Законод!$C$22,0,(IF(AND(L759&gt;=Законод!$G$22,L759&lt;=Законод!$G$23),L759-Законод!$F$23,IF('01_Доходи'!L759&gt;=Законод!$H$22,Законод!$G$24,0)))),IF($B$755="Лікар-педіатр",IF(L759&lt;Законод!$C$18,0,(IF(AND(L759&gt;=Законод!$G$18,L759&lt;=Законод!$G$19),L759-Законод!$F$19,IF('01_Доходи'!L759&gt;=Законод!$H$18,Законод!$G$20,0)))),IF($B$755="Лікар-терапевт",IF(L759&lt;Законод!$C$26,0,(IF(AND(L759&gt;=Законод!$G$26,L759&lt;=Законод!$G$27),L759-Законод!$F$27,IF('01_Доходи'!L759&gt;=Законод!$H$26,Законод!$G$28,0)))),0)))</f>
        <v>0</v>
      </c>
      <c r="M763" s="930"/>
      <c r="N763" s="889" t="s">
        <v>346</v>
      </c>
      <c r="O763" s="890"/>
      <c r="P763" s="890"/>
      <c r="Q763" s="890"/>
      <c r="R763" s="891"/>
      <c r="S763" s="196">
        <f ca="1">IF($B$755="Лікар загальної практики - сімейний лікар",IF(S759&lt;Законод!$C$22,0,(IF(AND(S759&gt;=Законод!$G$22,S759&lt;=Законод!$G$23),S759-Законод!$F$23,IF('01_Доходи'!S759&gt;=Законод!$H$22,Законод!$G$24,0)))),IF($B$755="Лікар-педіатр",IF(S759&lt;Законод!$C$18,0,(IF(AND(S759&gt;=Законод!$G$18,S759&lt;=Законод!$G$19),S759-Законод!$F$19,IF('01_Доходи'!S759&gt;=Законод!$H$18,Законод!$G$20,0)))),IF($B$755="Лікар-терапевт",IF(S759&lt;Законод!$C$26,0,(IF(AND(S759&gt;=Законод!$G$26,S759&lt;=Законод!$G$27),S759-Законод!$F$27,IF('01_Доходи'!S759&gt;=Законод!$H$26,Законод!$G$28,0)))),0)))</f>
        <v>0</v>
      </c>
      <c r="T763" s="930"/>
      <c r="U763" s="889" t="s">
        <v>346</v>
      </c>
      <c r="V763" s="890"/>
      <c r="W763" s="890"/>
      <c r="X763" s="890"/>
      <c r="Y763" s="891"/>
      <c r="Z763" s="196">
        <f ca="1">IF($B$755="Лікар загальної практики - сімейний лікар",IF(Z759&lt;Законод!$C$22,0,(IF(AND(Z759&gt;=Законод!$G$22,Z759&lt;=Законод!$G$23),Z759-Законод!$F$23,IF('01_Доходи'!Z759&gt;=Законод!$H$22,Законод!$G$24,0)))),IF($B$755="Лікар-педіатр",IF(Z759&lt;Законод!$C$18,0,(IF(AND(Z759&gt;=Законод!$G$18,Z759&lt;=Законод!$G$19),Z759-Законод!$F$19,IF('01_Доходи'!Z759&gt;=Законод!$H$18,Законод!$G$20,0)))),IF($B$755="Лікар-терапевт",IF(Z759&lt;Законод!$C$26,0,(IF(AND(Z759&gt;=Законод!$G$26,Z759&lt;=Законод!$G$27),Z759-Законод!$F$27,IF('01_Доходи'!Z759&gt;=Законод!$H$26,Законод!$G$28,0)))),0)))</f>
        <v>0</v>
      </c>
      <c r="AA763" s="930"/>
      <c r="AB763" s="889" t="s">
        <v>346</v>
      </c>
      <c r="AC763" s="890"/>
      <c r="AD763" s="890"/>
      <c r="AE763" s="890"/>
      <c r="AF763" s="891"/>
      <c r="AG763" s="196">
        <f ca="1">IF($B$755="Лікар загальної практики - сімейний лікар",IF(AG759&lt;Законод!$C$22,0,(IF(AND(AG759&gt;=Законод!$G$22,AG759&lt;=Законод!$G$23),AG759-Законод!$F$23,IF('01_Доходи'!AG759&gt;=Законод!$H$22,Законод!$G$24,0)))),IF($B$755="Лікар-педіатр",IF(AG759&lt;Законод!$C$18,0,(IF(AND(AG759&gt;=Законод!$G$18,AG759&lt;=Законод!$G$19),AG759-Законод!$F$19,IF('01_Доходи'!AG759&gt;=Законод!$H$18,Законод!$G$20,0)))),IF($B$755="Лікар-терапевт",IF(AG759&lt;Законод!$C$26,0,(IF(AND(AG759&gt;=Законод!$G$26,AG759&lt;=Законод!$G$27),AG759-Законод!$F$27,IF('01_Доходи'!AG759&gt;=Законод!$H$26,Законод!$G$28,0)))),0)))</f>
        <v>0</v>
      </c>
      <c r="AH763" s="930"/>
      <c r="AI763" s="201"/>
      <c r="AJ763" s="933"/>
      <c r="AK763" s="927"/>
      <c r="AL763" s="927"/>
      <c r="AM763" s="899"/>
      <c r="AN763" s="210">
        <f ca="1">IF(B755="Лікар загальної практики - сімейний лікар",L763*Законод!$C$9/4*Законод!$G$16,IF(B755="Лікар-педіатр",L763*Законод!$C$9/4*Законод!$G$16,IF(B755="Лікар-терапевт",L763*Законод!$C$9/4*Законод!$G$16,0)))</f>
        <v>0</v>
      </c>
      <c r="AO763" s="210">
        <f ca="1">IF(B755="Лікар загальної практики - сімейний лікар",S763*Законод!$C$9/4*Законод!$G$16,IF(B755="Лікар-педіатр",S763*Законод!$C$9/4*Законод!$G$16,IF(B755="Лікар-терапевт",S763*Законод!$C$9/4*Законод!$G$16,0)))</f>
        <v>0</v>
      </c>
      <c r="AP763" s="210">
        <f ca="1">IF(B755="Лікар загальної практики - сімейний лікар",Z763*Законод!$C$9/4*Законод!$G$16,IF(B755="Лікар-педіатр",Z763*Законод!$C$9/4*Законод!$G$16,IF(B755="Лікар-терапевт",Z763*Законод!$C$9/4*Законод!$G$16,0)))</f>
        <v>0</v>
      </c>
      <c r="AQ763" s="210">
        <f ca="1">IF(B755="Лікар загальної практики - сімейний лікар",AG763*Законод!$C$9/4*Законод!$G$16,IF(B755="Лікар-педіатр",AG763*Законод!$C$9/4*Законод!$G$16,IF(B755="Лікар-терапевт",AG763*Законод!$C$9/4*Законод!$G$16,0)))</f>
        <v>0</v>
      </c>
      <c r="AR763" s="211">
        <f t="shared" si="85"/>
        <v>0</v>
      </c>
    </row>
    <row r="764" spans="1:44" s="50" customFormat="1" ht="31.9" hidden="1" customHeight="1">
      <c r="A764" s="197"/>
      <c r="B764" s="893"/>
      <c r="C764" s="896"/>
      <c r="D764" s="912"/>
      <c r="E764" s="909"/>
      <c r="F764" s="238" t="str">
        <f ca="1">IF(B755="Лікар-педіатр",Законод!$H$17,IF(B755="Лікар загальної практики - сімейний лікар",Законод!$H$21,IF(B755="Лікар-терапевт",Законод!$H$25,"х")))</f>
        <v>х</v>
      </c>
      <c r="G764" s="889" t="s">
        <v>346</v>
      </c>
      <c r="H764" s="890"/>
      <c r="I764" s="890"/>
      <c r="J764" s="890"/>
      <c r="K764" s="891"/>
      <c r="L764" s="196">
        <f ca="1">IF($B$755="Лікар загальної практики - сімейний лікар",IF(L759&lt;Законод!$C$22,0,(IF(AND(L759&gt;=Законод!$H$22,L759&lt;=Законод!$H$23),L759-Законод!$G$23,IF('01_Доходи'!L759&gt;=Законод!$I$22,Законод!$H$24,0)))),IF($B$755="Лікар-педіатр",IF(L759&lt;Законод!$C$18,0,(IF(AND(L759&gt;=Законод!$H$18,L759&lt;=Законод!$H$19),L759-Законод!$G$19,IF('01_Доходи'!L759&gt;=Законод!$I$18,Законод!$H$20,0)))),IF($B$755="Лікар-терапевт",IF(L759&lt;Законод!$C$26,0,(IF(AND(L759&gt;=Законод!$H$26,L759&lt;=Законод!$H$27),L759-Законод!$G$27,IF(L759&gt;=Законод!$I$26,Законод!$H$28,0)))),0)))</f>
        <v>0</v>
      </c>
      <c r="M764" s="930"/>
      <c r="N764" s="889" t="s">
        <v>346</v>
      </c>
      <c r="O764" s="890"/>
      <c r="P764" s="890"/>
      <c r="Q764" s="890"/>
      <c r="R764" s="891"/>
      <c r="S764" s="196">
        <f ca="1">IF($B$755="Лікар загальної практики - сімейний лікар",IF(S759&lt;Законод!$C$22,0,(IF(AND(S759&gt;=Законод!$H$22,S759&lt;=Законод!$H$23),S759-Законод!$G$23,IF('01_Доходи'!S759&gt;=Законод!$I$22,Законод!$H$24,0)))),IF($B$755="Лікар-педіатр",IF(S759&lt;Законод!$C$18,0,(IF(AND(S759&gt;=Законод!$H$18,S759&lt;=Законод!$H$19),S759-Законод!$G$19,IF('01_Доходи'!S759&gt;=Законод!$I$18,Законод!$H$20,0)))),IF($B$755="Лікар-терапевт",IF(S759&lt;Законод!$C$26,0,(IF(AND(S759&gt;=Законод!$H$26,S759&lt;=Законод!$H$27),S759-Законод!$G$27,IF(S759&gt;=Законод!$I$26,Законод!$H$28,0)))),0)))</f>
        <v>0</v>
      </c>
      <c r="T764" s="930"/>
      <c r="U764" s="889" t="s">
        <v>346</v>
      </c>
      <c r="V764" s="890"/>
      <c r="W764" s="890"/>
      <c r="X764" s="890"/>
      <c r="Y764" s="891"/>
      <c r="Z764" s="196">
        <f ca="1">IF($B$755="Лікар загальної практики - сімейний лікар",IF(Z759&lt;Законод!$C$22,0,(IF(AND(Z759&gt;=Законод!$H$22,Z759&lt;=Законод!$H$23),Z759-Законод!$G$23,IF('01_Доходи'!Z759&gt;=Законод!$I$22,Законод!$H$24,0)))),IF($B$755="Лікар-педіатр",IF(Z759&lt;Законод!$C$18,0,(IF(AND(Z759&gt;=Законод!$H$18,Z759&lt;=Законод!$H$19),Z759-Законод!$G$19,IF('01_Доходи'!Z759&gt;=Законод!$I$18,Законод!$H$20,0)))),IF($B$755="Лікар-терапевт",IF(Z759&lt;Законод!$C$26,0,(IF(AND(Z759&gt;=Законод!$H$26,Z759&lt;=Законод!$H$27),Z759-Законод!$G$27,IF(Z759&gt;=Законод!$I$26,Законод!$H$28,0)))),0)))</f>
        <v>0</v>
      </c>
      <c r="AA764" s="930"/>
      <c r="AB764" s="889" t="s">
        <v>346</v>
      </c>
      <c r="AC764" s="890"/>
      <c r="AD764" s="890"/>
      <c r="AE764" s="890"/>
      <c r="AF764" s="891"/>
      <c r="AG764" s="196">
        <f ca="1">IF($B$755="Лікар загальної практики - сімейний лікар",IF(AG759&lt;Законод!$C$22,0,(IF(AND(AG759&gt;=Законод!$H$22,AG759&lt;=Законод!$H$23),AG759-Законод!$G$23,IF('01_Доходи'!AG759&gt;=Законод!$I$22,Законод!$H$24,0)))),IF($B$755="Лікар-педіатр",IF(AG759&lt;Законод!$C$18,0,(IF(AND(AG759&gt;=Законод!$H$18,AG759&lt;=Законод!$H$19),AG759-Законод!$G$19,IF('01_Доходи'!AG759&gt;=Законод!$I$18,Законод!$H$20,0)))),IF($B$755="Лікар-терапевт",IF(AG759&lt;Законод!$C$26,0,(IF(AND(AG759&gt;=Законод!$H$26,AG759&lt;=Законод!$H$27),AG759-Законод!$G$27,IF(AG759&gt;=Законод!$I$26,Законод!$H$28,0)))),0)))</f>
        <v>0</v>
      </c>
      <c r="AH764" s="930"/>
      <c r="AI764" s="201"/>
      <c r="AJ764" s="933"/>
      <c r="AK764" s="927"/>
      <c r="AL764" s="927"/>
      <c r="AM764" s="899"/>
      <c r="AN764" s="210">
        <f ca="1">IF(B755="Лікар загальної практики - сімейний лікар",L764*Законод!$C$9/4*Законод!$H$16,IF(B755="Лікар-педіатр",L764*Законод!$C$9/4*Законод!$H$16,IF(B755="Лікар-терапевт",L764*Законод!$C$9/4*Законод!$H$16,0)))</f>
        <v>0</v>
      </c>
      <c r="AO764" s="210">
        <f ca="1">IF(B755="Лікар загальної практики - сімейний лікар",S764*Законод!$C$9/4*Законод!$H$16,IF(B755="Лікар-педіатр",S764*Законод!$C$9/4*Законод!$H$16,IF(B755="Лікар-терапевт",S764*Законод!$C$9/4*Законод!$H$16,0)))</f>
        <v>0</v>
      </c>
      <c r="AP764" s="210">
        <f ca="1">IF(B755="Лікар загальної практики - сімейний лікар",Z764*Законод!$C$9/4*Законод!$H$16,IF(B755="Лікар-педіатр",Z764*Законод!$C$9/4*Законод!$H$16,IF(B755="Лікар-терапевт",Z764*Законод!$C$9/4*Законод!$H$16,0)))</f>
        <v>0</v>
      </c>
      <c r="AQ764" s="210">
        <f ca="1">IF(B755="Лікар загальної практики - сімейний лікар",AG764*Законод!$C$9/4*Законод!$H$16,IF(B755="Лікар-педіатр",AG764*Законод!$C$9/4*Законод!$H$16,IF(B755="Лікар-терапевт",AG764*Законод!$C$9/4*Законод!$H$16,0)))</f>
        <v>0</v>
      </c>
      <c r="AR764" s="211">
        <f t="shared" si="85"/>
        <v>0</v>
      </c>
    </row>
    <row r="765" spans="1:44" s="50" customFormat="1" ht="31.9" hidden="1" customHeight="1">
      <c r="A765" s="197"/>
      <c r="B765" s="893"/>
      <c r="C765" s="896"/>
      <c r="D765" s="912"/>
      <c r="E765" s="909"/>
      <c r="F765" s="238" t="str">
        <f ca="1">IF(B755="Лікар-педіатр",Законод!$I$17,IF(B755="Лікар загальної практики - сімейний лікар",Законод!$I$21,IF(B755="Лікар-терапевт",Законод!$I$25,"х")))</f>
        <v>х</v>
      </c>
      <c r="G765" s="889" t="s">
        <v>346</v>
      </c>
      <c r="H765" s="890"/>
      <c r="I765" s="890"/>
      <c r="J765" s="890"/>
      <c r="K765" s="891"/>
      <c r="L765" s="196">
        <f ca="1">IF($B$755="Лікар загальної практики - сімейний лікар",IF(L759&lt;Законод!$C$22,0,(IF(AND(L759&gt;=Законод!$I$22,L759&lt;=Законод!$I$23),L759-Законод!$H$23,IF('01_Доходи'!L759&gt;=Законод!$I$22,Законод!$I$24,0)))),IF($B$755="Лікар-педіатр",IF(L759&lt;Законод!$C$18,0,(IF(AND(L759&gt;=Законод!$I$18,L759&lt;=Законод!$I$19),L759-Законод!$H$19,IF('01_Доходи'!L759&gt;=Законод!$I$18,Законод!$H$20,0)))),IF($B$755="Лікар-терапевт",IF(L759&lt;Законод!$C$26,0,(IF(AND(L759&gt;=Законод!$I$26,L759&lt;=Законод!$I$27),L759-Законод!$H$27,IF('01_Доходи'!L759&gt;=Законод!$I$26,Законод!$H$28,0)))),0)))</f>
        <v>0</v>
      </c>
      <c r="M765" s="930"/>
      <c r="N765" s="889" t="s">
        <v>346</v>
      </c>
      <c r="O765" s="890"/>
      <c r="P765" s="890"/>
      <c r="Q765" s="890"/>
      <c r="R765" s="891"/>
      <c r="S765" s="196">
        <f ca="1">IF($B$755="Лікар загальної практики - сімейний лікар",IF(S759&lt;Законод!$C$22,0,(IF(AND(S759&gt;=Законод!$I$22,S759&lt;=Законод!$I$23),S759-Законод!$H$23,IF('01_Доходи'!S759&gt;=Законод!$I$22,Законод!$I$24,0)))),IF($B$755="Лікар-педіатр",IF(S759&lt;Законод!$C$18,0,(IF(AND(S759&gt;=Законод!$I$18,S759&lt;=Законод!$I$19),S759-Законод!$H$19,IF('01_Доходи'!S759&gt;=Законод!$I$18,Законод!$H$20,0)))),IF($B$755="Лікар-терапевт",IF(S759&lt;Законод!$C$26,0,(IF(AND(S759&gt;=Законод!$I$26,S759&lt;=Законод!$I$27),S759-Законод!$H$27,IF('01_Доходи'!S759&gt;=Законод!$I$26,Законод!$H$28,0)))),0)))</f>
        <v>0</v>
      </c>
      <c r="T765" s="930"/>
      <c r="U765" s="889" t="s">
        <v>346</v>
      </c>
      <c r="V765" s="890"/>
      <c r="W765" s="890"/>
      <c r="X765" s="890"/>
      <c r="Y765" s="891"/>
      <c r="Z765" s="196">
        <f ca="1">IF($B$755="Лікар загальної практики - сімейний лікар",IF(Z759&lt;Законод!$C$22,0,(IF(AND(Z759&gt;=Законод!$I$22,Z759&lt;=Законод!$I$23),Z759-Законод!$H$23,IF('01_Доходи'!Z759&gt;=Законод!$I$22,Законод!$I$24,0)))),IF($B$755="Лікар-педіатр",IF(Z759&lt;Законод!$C$18,0,(IF(AND(Z759&gt;=Законод!$I$18,Z759&lt;=Законод!$I$19),Z759-Законод!$H$19,IF('01_Доходи'!Z759&gt;=Законод!$I$18,Законод!$H$20,0)))),IF($B$755="Лікар-терапевт",IF(Z759&lt;Законод!$C$26,0,(IF(AND(Z759&gt;=Законод!$I$26,Z759&lt;=Законод!$I$27),Z759-Законод!$H$27,IF('01_Доходи'!Z759&gt;=Законод!$I$26,Законод!$H$28,0)))),0)))</f>
        <v>0</v>
      </c>
      <c r="AA765" s="930"/>
      <c r="AB765" s="889" t="s">
        <v>346</v>
      </c>
      <c r="AC765" s="890"/>
      <c r="AD765" s="890"/>
      <c r="AE765" s="890"/>
      <c r="AF765" s="891"/>
      <c r="AG765" s="196">
        <f ca="1">IF($B$755="Лікар загальної практики - сімейний лікар",IF(AG759&lt;Законод!$C$22,0,(IF(AND(AG759&gt;=Законод!$I$22,AG759&lt;=Законод!$I$23),AG759-Законод!$H$23,IF('01_Доходи'!AG759&gt;=Законод!$I$22,Законод!$I$24,0)))),IF($B$755="Лікар-педіатр",IF(AG759&lt;Законод!$C$18,0,(IF(AND(AG759&gt;=Законод!$I$18,AG759&lt;=Законод!$I$19),AG759-Законод!$H$19,IF('01_Доходи'!AG759&gt;=Законод!$I$18,Законод!$H$20,0)))),IF($B$755="Лікар-терапевт",IF(AG759&lt;Законод!$C$26,0,(IF(AND(AG759&gt;=Законод!$I$26,AG759&lt;=Законод!$I$27),AG759-Законод!$H$27,IF('01_Доходи'!AG759&gt;=Законод!$I$26,Законод!$H$28,0)))),0)))</f>
        <v>0</v>
      </c>
      <c r="AH765" s="930"/>
      <c r="AI765" s="201"/>
      <c r="AJ765" s="933"/>
      <c r="AK765" s="927"/>
      <c r="AL765" s="927"/>
      <c r="AM765" s="899"/>
      <c r="AN765" s="210">
        <f ca="1">IF(B755="Лікар загальної практики - сімейний лікар",L765*Законод!$C$9/4*Законод!$I$16,IF(B755="Лікар-педіатр",L765*Законод!$C$9/4*Законод!$I$16,IF(B755="Лікар-терапевт",L765*Законод!$C$9/4*Законод!$I$16,0)))</f>
        <v>0</v>
      </c>
      <c r="AO765" s="210">
        <f ca="1">IF(B755="Лікар загальної практики - сімейний лікар",S765*Законод!$C$9/4*Законод!$I$16,IF(B755="Лікар-педіатр",S765*Законод!$C$9/4*Законод!$I$16,IF(B755="Лікар-терапевт",S765*Законод!$C$9/4*Законод!$I$16,0)))</f>
        <v>0</v>
      </c>
      <c r="AP765" s="210">
        <f ca="1">IF(B755="Лікар загальної практики - сімейний лікар",Z765*Законод!$C$9/4*Законод!$I$16,IF(B755="Лікар-педіатр",Z765*Законод!$C$9/4*Законод!$I$16,IF(B755="Лікар-терапевт",Z765*Законод!$C$9/4*Законод!$I$16,0)))</f>
        <v>0</v>
      </c>
      <c r="AQ765" s="210">
        <f ca="1">IF(B755="Лікар загальної практики - сімейний лікар",AG765*Законод!$C$9/4*Законод!$I$16,IF(B755="Лікар-педіатр",AG765*Законод!$C$9/4*Законод!$I$16,IF(B755="Лікар-терапевт",AG765*Законод!$C$9/4*Законод!$I$16,0)))</f>
        <v>0</v>
      </c>
      <c r="AR765" s="211">
        <f t="shared" si="85"/>
        <v>0</v>
      </c>
    </row>
    <row r="766" spans="1:44" s="218" customFormat="1" ht="31.9" hidden="1" customHeight="1" thickBot="1">
      <c r="A766" s="213"/>
      <c r="B766" s="894"/>
      <c r="C766" s="897"/>
      <c r="D766" s="913"/>
      <c r="E766" s="910"/>
      <c r="F766" s="239" t="str">
        <f ca="1">IF(B755="Лікар-педіатр",Законод!$J$17,IF(B755="Лікар загальної практики - сімейний лікар",Законод!$J$21,IF(B755="Лікар-терапевт",Законод!$J$25,"х")))</f>
        <v>х</v>
      </c>
      <c r="G766" s="935" t="s">
        <v>346</v>
      </c>
      <c r="H766" s="936"/>
      <c r="I766" s="936"/>
      <c r="J766" s="936"/>
      <c r="K766" s="937"/>
      <c r="L766" s="196">
        <f ca="1">IF($B$755="Лікар загальної практики - сімейний лікар",IF(L759&gt;=Законод!$J$22,'01_Доходи'!L759-('01_Доходи'!L760+'01_Доходи'!L761+'01_Доходи'!L762+'01_Доходи'!L763+'01_Доходи'!L764+'01_Доходи'!L765),0),IF($B$755="Лікар-педіатр",IF(L759&gt;=Законод!$J$18,'01_Доходи'!L759-('01_Доходи'!L760+'01_Доходи'!L761+'01_Доходи'!L762+'01_Доходи'!L763+'01_Доходи'!L764+'01_Доходи'!L765),0),IF($B$755="Лікар-терапевт",IF('01_Доходи'!L759&gt;=Законод!$J$26,L759-Законод!$I$27,0),0)))</f>
        <v>0</v>
      </c>
      <c r="M766" s="931"/>
      <c r="N766" s="935" t="s">
        <v>346</v>
      </c>
      <c r="O766" s="936"/>
      <c r="P766" s="936"/>
      <c r="Q766" s="936"/>
      <c r="R766" s="937"/>
      <c r="S766" s="196">
        <f ca="1">IF($B$755="Лікар загальної практики - сімейний лікар",IF(S759&gt;=Законод!$J$22,'01_Доходи'!S759-('01_Доходи'!S760+'01_Доходи'!S761+'01_Доходи'!S762+'01_Доходи'!S763+'01_Доходи'!S764+'01_Доходи'!S765),0),IF($B$755="Лікар-педіатр",IF(S759&gt;=Законод!$J$18,'01_Доходи'!S759-('01_Доходи'!S760+'01_Доходи'!S761+'01_Доходи'!S762+'01_Доходи'!S763+'01_Доходи'!S764+'01_Доходи'!S765),0),IF($B$755="Лікар-терапевт",IF('01_Доходи'!S759&gt;=Законод!$J$26,S759-Законод!$I$27,0),0)))</f>
        <v>0</v>
      </c>
      <c r="T766" s="931"/>
      <c r="U766" s="935" t="s">
        <v>346</v>
      </c>
      <c r="V766" s="936"/>
      <c r="W766" s="936"/>
      <c r="X766" s="936"/>
      <c r="Y766" s="937"/>
      <c r="Z766" s="196">
        <f ca="1">IF($B$755="Лікар загальної практики - сімейний лікар",IF(Z759&gt;=Законод!$J$22,'01_Доходи'!Z759-('01_Доходи'!Z760+'01_Доходи'!Z761+'01_Доходи'!Z762+'01_Доходи'!Z763+'01_Доходи'!Z764+'01_Доходи'!Z765),0),IF($B$755="Лікар-педіатр",IF(Z759&gt;=Законод!$J$18,'01_Доходи'!Z759-('01_Доходи'!Z760+'01_Доходи'!Z761+'01_Доходи'!Z762+'01_Доходи'!Z763+'01_Доходи'!Z764+'01_Доходи'!Z765),0),IF($B$755="Лікар-терапевт",IF('01_Доходи'!Z759&gt;=Законод!$J$26,Z759-Законод!$I$27,0),0)))</f>
        <v>0</v>
      </c>
      <c r="AA766" s="931"/>
      <c r="AB766" s="935" t="s">
        <v>346</v>
      </c>
      <c r="AC766" s="936"/>
      <c r="AD766" s="936"/>
      <c r="AE766" s="936"/>
      <c r="AF766" s="937"/>
      <c r="AG766" s="196">
        <f ca="1">IF($B$755="Лікар загальної практики - сімейний лікар",IF(AG759&gt;=Законод!$J$22,'01_Доходи'!AG759-('01_Доходи'!AG760+'01_Доходи'!AG761+'01_Доходи'!AG762+'01_Доходи'!AG763+'01_Доходи'!AG764+'01_Доходи'!AG765),0),IF($B$755="Лікар-педіатр",IF(AG759&gt;=Законод!$J$18,'01_Доходи'!AG759-('01_Доходи'!AG760+'01_Доходи'!AG761+'01_Доходи'!AG762+'01_Доходи'!AG763+'01_Доходи'!AG764+'01_Доходи'!AG765),0),IF($B$755="Лікар-терапевт",IF('01_Доходи'!AG759&gt;=Законод!$J$26,AG759-Законод!$I$27,0),0)))</f>
        <v>0</v>
      </c>
      <c r="AH766" s="931"/>
      <c r="AI766" s="215"/>
      <c r="AJ766" s="934"/>
      <c r="AK766" s="928"/>
      <c r="AL766" s="928"/>
      <c r="AM766" s="900"/>
      <c r="AN766" s="216">
        <f ca="1">IF(B755="Лікар загальної практики - сімейний лікар",L766*Законод!$C$9/4*Законод!$J$16,IF(B755="Лікар-педіатр",L766*Законод!$C$9/4*Законод!$J$16,IF(B755="Лікар-терапевт",L766*Законод!$C$9/4*Законод!$J$16,0)))</f>
        <v>0</v>
      </c>
      <c r="AO766" s="216">
        <f ca="1">IF(B755="Лікар загальної практики - сімейний лікар",S766*Законод!$C$9/4*Законод!$J$16,IF(B755="Лікар-педіатр",S766*Законод!$C$9/4*Законод!$J$16,IF(B755="Лікар-терапевт",S766*Законод!$C$9/4*Законод!$J$16,0)))</f>
        <v>0</v>
      </c>
      <c r="AP766" s="216">
        <f ca="1">IF(B755="Лікар загальної практики - сімейний лікар",S766*Законод!$C$9/4*Законод!$J$16,IF(B755="Лікар-педіатр",S766*Законод!$C$9/4*Законод!$J$16,IF(B755="Лікар-терапевт",S766*Законод!$C$9/4*Законод!$J$16,0)))</f>
        <v>0</v>
      </c>
      <c r="AQ766" s="216">
        <f ca="1">IF(B755="Лікар загальної практики - сімейний лікар",AG766*Законод!$C$9/4*Законод!$J$16,IF(B755="Лікар-педіатр",AG766*Законод!$C$9/4*Законод!$J$16,IF(B755="Лікар-терапевт",AG766*Законод!$C$9/4*Законод!$J$16,0)))</f>
        <v>0</v>
      </c>
      <c r="AR766" s="217">
        <f t="shared" si="85"/>
        <v>0</v>
      </c>
    </row>
    <row r="767" spans="1:44" s="247" customFormat="1" ht="23.45" hidden="1" customHeight="1" thickBot="1">
      <c r="A767" s="243"/>
      <c r="B767" s="244"/>
      <c r="C767" s="244"/>
      <c r="D767" s="244"/>
      <c r="E767" s="244"/>
      <c r="F767" s="245"/>
      <c r="G767" s="246"/>
      <c r="H767" s="246"/>
      <c r="L767" s="248"/>
      <c r="S767" s="248"/>
      <c r="Z767" s="248"/>
      <c r="AG767" s="248"/>
      <c r="AM767" s="249"/>
      <c r="AR767" s="250"/>
    </row>
    <row r="768" spans="1:44" s="191" customFormat="1" ht="24.6" hidden="1" customHeight="1">
      <c r="A768" s="194">
        <f>A755+1</f>
        <v>57</v>
      </c>
      <c r="B768" s="892"/>
      <c r="C768" s="895"/>
      <c r="D768" s="911"/>
      <c r="E768" s="908"/>
      <c r="F768" s="234" t="s">
        <v>582</v>
      </c>
      <c r="G768" s="196">
        <f>IF($B$768="Лікар-педіатр",G771*L768,IF($B$768="Лікар-терапевт","х",IF($B$768="Лікар загальної практики - сімейний лікар",G771*L768,0)))</f>
        <v>0</v>
      </c>
      <c r="H768" s="196">
        <f>IF($B$768="Лікар-педіатр",H771*L768,IF($B$768="Лікар-терапевт","х",IF($B$768="Лікар загальної практики - сімейний лікар",H771*L768,0)))</f>
        <v>0</v>
      </c>
      <c r="I768" s="196">
        <f>IF($B$768="Лікар-педіатр","x",IF($B$768="Лікар-терапевт",I771*L768,IF($B$768="Лікар загальної практики - сімейний лікар",I771*L768,0)))</f>
        <v>0</v>
      </c>
      <c r="J768" s="196">
        <f>IF($B$768="Лікар-педіатр","x",IF($B$768="Лікар-терапевт",J771*L768,IF($B$768="Лікар загальної практики - сімейний лікар",J771*L768,0)))</f>
        <v>0</v>
      </c>
      <c r="K768" s="196">
        <f>IF($B$768="Лікар-педіатр","x",IF($B$768="Лікар-терапевт",K771*L768,IF($B$768="Лікар загальної практики - сімейний лікар",K771*L768,0)))</f>
        <v>0</v>
      </c>
      <c r="L768" s="558"/>
      <c r="M768" s="929"/>
      <c r="N768" s="196">
        <f>IF($B$768="Лікар-педіатр",N771*S768,IF($B$768="Лікар-терапевт","х",IF($B$768="Лікар загальної практики - сімейний лікар",N771*S768,0)))</f>
        <v>0</v>
      </c>
      <c r="O768" s="196">
        <f>IF($B$768="Лікар-педіатр",O771*S768,IF($B$768="Лікар-терапевт","х",IF($B$768="Лікар загальної практики - сімейний лікар",O771*S768,0)))</f>
        <v>0</v>
      </c>
      <c r="P768" s="196">
        <f>IF($B$768="Лікар-педіатр","x",IF($B$768="Лікар-терапевт",P771*S768,IF($B$768="Лікар загальної практики - сімейний лікар",P771*S768,0)))</f>
        <v>0</v>
      </c>
      <c r="Q768" s="196">
        <f>IF($B$768="Лікар-педіатр","x",IF($B$768="Лікар-терапевт",Q771*S768,IF($B$768="Лікар загальної практики - сімейний лікар",Q771*S768,0)))</f>
        <v>0</v>
      </c>
      <c r="R768" s="196">
        <f>IF($B$768="Лікар-педіатр","x",IF($B$768="Лікар-терапевт",R771*S768,IF($B$768="Лікар загальної практики - сімейний лікар",R771*S768,0)))</f>
        <v>0</v>
      </c>
      <c r="S768" s="558"/>
      <c r="T768" s="929"/>
      <c r="U768" s="196">
        <f>IF($B$768="Лікар-педіатр",U771*Z768,IF($B$768="Лікар-терапевт","х",IF($B$768="Лікар загальної практики - сімейний лікар",U771*Z768,0)))</f>
        <v>0</v>
      </c>
      <c r="V768" s="196">
        <f>IF($B$768="Лікар-педіатр",V771*Z768,IF($B$768="Лікар-терапевт","х",IF($B$768="Лікар загальної практики - сімейний лікар",V771*Z768,0)))</f>
        <v>0</v>
      </c>
      <c r="W768" s="196">
        <f>IF($B$768="Лікар-педіатр","x",IF($B$768="Лікар-терапевт",W771*Z768,IF($B$768="Лікар загальної практики - сімейний лікар",W771*Z768,0)))</f>
        <v>0</v>
      </c>
      <c r="X768" s="196">
        <f>IF($B$768="Лікар-педіатр","x",IF($B$768="Лікар-терапевт",X771*Z768,IF($B$768="Лікар загальної практики - сімейний лікар",X771*Z768,0)))</f>
        <v>0</v>
      </c>
      <c r="Y768" s="196">
        <f>IF($B$768="Лікар-педіатр","x",IF($B$768="Лікар-терапевт",Y771*Z768,IF($B$768="Лікар загальної практики - сімейний лікар",Y771*Z768,0)))</f>
        <v>0</v>
      </c>
      <c r="Z768" s="558"/>
      <c r="AA768" s="929"/>
      <c r="AB768" s="196">
        <f>IF($B$768="Лікар-педіатр",AB771*AG768,IF($B$768="Лікар-терапевт","х",IF($B$768="Лікар загальної практики - сімейний лікар",AB771*AG768,0)))</f>
        <v>0</v>
      </c>
      <c r="AC768" s="196">
        <f>IF($B$768="Лікар-педіатр",AC771*AG768,IF($B$768="Лікар-терапевт","х",IF($B$768="Лікар загальної практики - сімейний лікар",AC771*AG768,0)))</f>
        <v>0</v>
      </c>
      <c r="AD768" s="196">
        <f>IF($B$768="Лікар-педіатр","x",IF($B$768="Лікар-терапевт",AD771*AG768,IF($B$768="Лікар загальної практики - сімейний лікар",AD771*AG768,0)))</f>
        <v>0</v>
      </c>
      <c r="AE768" s="196">
        <f>IF($B$768="Лікар-педіатр","x",IF($B$768="Лікар-терапевт",AE771*AG768,IF($B$768="Лікар загальної практики - сімейний лікар",AE771*AG768,0)))</f>
        <v>0</v>
      </c>
      <c r="AF768" s="196">
        <f>IF($B$768="Лікар-педіатр","x",IF($B$768="Лікар-терапевт",AF771*AG768,IF($B$768="Лікар загальної практики - сімейний лікар",AF771*AG768,0)))</f>
        <v>0</v>
      </c>
      <c r="AG768" s="558"/>
      <c r="AH768" s="929"/>
      <c r="AI768" s="541">
        <f>A768</f>
        <v>57</v>
      </c>
      <c r="AJ768" s="932">
        <f>B768</f>
        <v>0</v>
      </c>
      <c r="AK768" s="926">
        <f>C768</f>
        <v>0</v>
      </c>
      <c r="AL768" s="926">
        <f>D768</f>
        <v>0</v>
      </c>
      <c r="AM768" s="901" t="s">
        <v>785</v>
      </c>
      <c r="AN768" s="923">
        <f>SUM(AN773:AN779)</f>
        <v>0</v>
      </c>
      <c r="AO768" s="923">
        <f>SUM(AO773:AO779)</f>
        <v>0</v>
      </c>
      <c r="AP768" s="923">
        <f>SUM(AP773:AP779)</f>
        <v>0</v>
      </c>
      <c r="AQ768" s="923">
        <f>SUM(AQ773:AQ779)</f>
        <v>0</v>
      </c>
      <c r="AR768" s="914">
        <f>SUM(AN768:AQ772)</f>
        <v>0</v>
      </c>
    </row>
    <row r="769" spans="1:44" s="50" customFormat="1" ht="28.15" hidden="1" customHeight="1">
      <c r="A769" s="197"/>
      <c r="B769" s="893"/>
      <c r="C769" s="896"/>
      <c r="D769" s="912"/>
      <c r="E769" s="909"/>
      <c r="F769" s="234" t="s">
        <v>583</v>
      </c>
      <c r="G769" s="196">
        <f>IF($B$768="Лікар-педіатр",G771*L769,IF($B$768="Лікар-терапевт","х",IF($B$768="Лікар загальної практики - сімейний лікар",G771*L769,0)))</f>
        <v>0</v>
      </c>
      <c r="H769" s="196">
        <f>IF($B$768="Лікар-педіатр",H771*L769,IF($B$768="Лікар-терапевт","х",IF($B$768="Лікар загальної практики - сімейний лікар",H771*L769,0)))</f>
        <v>0</v>
      </c>
      <c r="I769" s="196">
        <f>IF($B$768="Лікар-педіатр","x",IF($B$768="Лікар-терапевт",I771*L769,IF($B$768="Лікар загальної практики - сімейний лікар",I771*L769,0)))</f>
        <v>0</v>
      </c>
      <c r="J769" s="196">
        <f>IF($B$768="Лікар-педіатр","x",IF($B$768="Лікар-терапевт",J771*L769,IF($B$768="Лікар загальної практики - сімейний лікар",J771*L769,0)))</f>
        <v>0</v>
      </c>
      <c r="K769" s="196">
        <f>IF($B$768="Лікар-педіатр","x",IF($B$768="Лікар-терапевт",K771*L769,IF($B$768="Лікар загальної практики - сімейний лікар",K771*L769,0)))</f>
        <v>0</v>
      </c>
      <c r="L769" s="558"/>
      <c r="M769" s="930"/>
      <c r="N769" s="196">
        <f>IF($B$768="Лікар-педіатр",N771*S769,IF($B$768="Лікар-терапевт","х",IF($B$768="Лікар загальної практики - сімейний лікар",N771*S769,0)))</f>
        <v>0</v>
      </c>
      <c r="O769" s="196">
        <f>IF($B$768="Лікар-педіатр",O771*S769,IF($B$768="Лікар-терапевт","х",IF($B$768="Лікар загальної практики - сімейний лікар",O771*S769,0)))</f>
        <v>0</v>
      </c>
      <c r="P769" s="196">
        <f>IF($B$768="Лікар-педіатр","x",IF($B$768="Лікар-терапевт",P771*S769,IF($B$768="Лікар загальної практики - сімейний лікар",P771*S769,0)))</f>
        <v>0</v>
      </c>
      <c r="Q769" s="196">
        <f>IF($B$768="Лікар-педіатр","x",IF($B$768="Лікар-терапевт",Q771*S769,IF($B$768="Лікар загальної практики - сімейний лікар",Q771*S769,0)))</f>
        <v>0</v>
      </c>
      <c r="R769" s="196">
        <f>IF($B$768="Лікар-педіатр","x",IF($B$768="Лікар-терапевт",R771*S769,IF($B$768="Лікар загальної практики - сімейний лікар",R771*S769,0)))</f>
        <v>0</v>
      </c>
      <c r="S769" s="558"/>
      <c r="T769" s="930"/>
      <c r="U769" s="196">
        <f>IF($B$768="Лікар-педіатр",U771*Z769,IF($B$768="Лікар-терапевт","х",IF($B$768="Лікар загальної практики - сімейний лікар",U771*Z769,0)))</f>
        <v>0</v>
      </c>
      <c r="V769" s="196">
        <f>IF($B$768="Лікар-педіатр",V771*Z769,IF($B$768="Лікар-терапевт","х",IF($B$768="Лікар загальної практики - сімейний лікар",V771*Z769,0)))</f>
        <v>0</v>
      </c>
      <c r="W769" s="196">
        <f>IF($B$768="Лікар-педіатр","x",IF($B$768="Лікар-терапевт",W771*Z769,IF($B$768="Лікар загальної практики - сімейний лікар",W771*Z769,0)))</f>
        <v>0</v>
      </c>
      <c r="X769" s="196">
        <f>IF($B$768="Лікар-педіатр","x",IF($B$768="Лікар-терапевт",X771*Z769,IF($B$768="Лікар загальної практики - сімейний лікар",X771*Z769,0)))</f>
        <v>0</v>
      </c>
      <c r="Y769" s="196">
        <f>IF($B$768="Лікар-педіатр","x",IF($B$768="Лікар-терапевт",Y771*Z769,IF($B$768="Лікар загальної практики - сімейний лікар",Y771*Z769,0)))</f>
        <v>0</v>
      </c>
      <c r="Z769" s="558"/>
      <c r="AA769" s="930"/>
      <c r="AB769" s="196">
        <f>IF($B$768="Лікар-педіатр",AB771*AG769,IF($B$768="Лікар-терапевт","х",IF($B$768="Лікар загальної практики - сімейний лікар",AB771*AG769,0)))</f>
        <v>0</v>
      </c>
      <c r="AC769" s="196">
        <f>IF($B$768="Лікар-педіатр",AC771*AG769,IF($B$768="Лікар-терапевт","х",IF($B$768="Лікар загальної практики - сімейний лікар",AC771*AG769,0)))</f>
        <v>0</v>
      </c>
      <c r="AD769" s="196">
        <f>IF($B$768="Лікар-педіатр","x",IF($B$768="Лікар-терапевт",AD771*AG769,IF($B$768="Лікар загальної практики - сімейний лікар",AD771*AG769,0)))</f>
        <v>0</v>
      </c>
      <c r="AE769" s="196">
        <f>IF($B$768="Лікар-педіатр","x",IF($B$768="Лікар-терапевт",AE771*AG769,IF($B$768="Лікар загальної практики - сімейний лікар",AE771*AG769,0)))</f>
        <v>0</v>
      </c>
      <c r="AF769" s="196">
        <f>IF($B$768="Лікар-педіатр","x",IF($B$768="Лікар-терапевт",AF771*AG769,IF($B$768="Лікар загальної практики - сімейний лікар",AF771*AG769,0)))</f>
        <v>0</v>
      </c>
      <c r="AG769" s="558"/>
      <c r="AH769" s="930"/>
      <c r="AI769" s="198"/>
      <c r="AJ769" s="933"/>
      <c r="AK769" s="927"/>
      <c r="AL769" s="927"/>
      <c r="AM769" s="902"/>
      <c r="AN769" s="924"/>
      <c r="AO769" s="924"/>
      <c r="AP769" s="924"/>
      <c r="AQ769" s="924"/>
      <c r="AR769" s="915"/>
    </row>
    <row r="770" spans="1:44" s="90" customFormat="1" ht="31.15" hidden="1" customHeight="1">
      <c r="A770" s="240"/>
      <c r="B770" s="893"/>
      <c r="C770" s="896"/>
      <c r="D770" s="912"/>
      <c r="E770" s="909"/>
      <c r="F770" s="241" t="s">
        <v>584</v>
      </c>
      <c r="G770" s="199">
        <f>IF(B768="Лікар загальної практики - сімейний лікар"," ",IF(B768="Лікар-педіатр"," ",IF(B768="Лікар-терапевт","х",0)))</f>
        <v>0</v>
      </c>
      <c r="H770" s="199">
        <f>IF(B768="Лікар загальної практики - сімейний лікар"," ",IF(B768="Лікар-педіатр"," ",IF(B768="Лікар-терапевт","х",0)))</f>
        <v>0</v>
      </c>
      <c r="I770" s="199">
        <f>IF(B768="Лікар загальної практики - сімейний лікар"," ",IF(B768="Лікар-педіатр","х",IF(B768="Лікар-терапевт"," ",0)))</f>
        <v>0</v>
      </c>
      <c r="J770" s="199">
        <f>IF(B768="Лікар загальної практики - сімейний лікар"," ",IF(B768="Лікар-педіатр","х",IF(B768="Лікар-терапевт"," ",0)))</f>
        <v>0</v>
      </c>
      <c r="K770" s="199">
        <f>IF(B768="Лікар загальної практики - сімейний лікар"," ",IF(B768="Лікар-педіатр","х",IF(B768="Лікар-терапевт"," ",0)))</f>
        <v>0</v>
      </c>
      <c r="L770" s="200">
        <f>SUM(G770:K770)</f>
        <v>0</v>
      </c>
      <c r="M770" s="930"/>
      <c r="N770" s="199">
        <f>IF(B768="Лікар загальної практики - сімейний лікар"," ",IF(B768="Лікар-педіатр"," ",IF(B768="Лікар-терапевт","х",0)))</f>
        <v>0</v>
      </c>
      <c r="O770" s="199">
        <f>IF(B768="Лікар загальної практики - сімейний лікар"," ",IF(B768="Лікар-педіатр"," ",IF(B768="Лікар-терапевт","х",0)))</f>
        <v>0</v>
      </c>
      <c r="P770" s="199">
        <f>IF(B768="Лікар загальної практики - сімейний лікар"," ",IF(B768="Лікар-педіатр","х",IF(B768="Лікар-терапевт"," ",0)))</f>
        <v>0</v>
      </c>
      <c r="Q770" s="199">
        <f>IF(B768="Лікар загальної практики - сімейний лікар"," ",IF(B768="Лікар-педіатр","х",IF(B768="Лікар-терапевт"," ",0)))</f>
        <v>0</v>
      </c>
      <c r="R770" s="199">
        <f>IF(B768="Лікар загальної практики - сімейний лікар"," ",IF(B768="Лікар-педіатр","х",IF(B768="Лікар-терапевт"," ",0)))</f>
        <v>0</v>
      </c>
      <c r="S770" s="200">
        <f>SUM(N770:R770)</f>
        <v>0</v>
      </c>
      <c r="T770" s="930"/>
      <c r="U770" s="199">
        <f>IF(B768="Лікар загальної практики - сімейний лікар"," ",IF(B768="Лікар-педіатр"," ",IF(B768="Лікар-терапевт","х",0)))</f>
        <v>0</v>
      </c>
      <c r="V770" s="199">
        <f>IF(B768="Лікар загальної практики - сімейний лікар"," ",IF(B768="Лікар-педіатр"," ",IF(B768="Лікар-терапевт","х",0)))</f>
        <v>0</v>
      </c>
      <c r="W770" s="199">
        <f>IF(B768="Лікар загальної практики - сімейний лікар"," ",IF(B768="Лікар-педіатр","х",IF(B768="Лікар-терапевт"," ",0)))</f>
        <v>0</v>
      </c>
      <c r="X770" s="199">
        <f>IF(B768="Лікар загальної практики - сімейний лікар"," ",IF(B768="Лікар-педіатр","х",IF(B768="Лікар-терапевт"," ",0)))</f>
        <v>0</v>
      </c>
      <c r="Y770" s="199">
        <f>IF(B768="Лікар загальної практики - сімейний лікар"," ",IF(B768="Лікар-педіатр","х",IF(B768="Лікар-терапевт"," ",0)))</f>
        <v>0</v>
      </c>
      <c r="Z770" s="200">
        <f>SUM(U770:Y770)</f>
        <v>0</v>
      </c>
      <c r="AA770" s="930"/>
      <c r="AB770" s="199">
        <f>IF(B768="Лікар загальної практики - сімейний лікар"," ",IF(B768="Лікар-педіатр"," ",IF(B768="Лікар-терапевт","х",0)))</f>
        <v>0</v>
      </c>
      <c r="AC770" s="199">
        <f>IF(B768="Лікар загальної практики - сімейний лікар"," ",IF(B768="Лікар-педіатр"," ",IF(B768="Лікар-терапевт","х",0)))</f>
        <v>0</v>
      </c>
      <c r="AD770" s="199">
        <f>IF(B768="Лікар загальної практики - сімейний лікар"," ",IF(B768="Лікар-педіатр","х",IF(B768="Лікар-терапевт"," ",0)))</f>
        <v>0</v>
      </c>
      <c r="AE770" s="199">
        <f>IF(B768="Лікар загальної практики - сімейний лікар"," ",IF(B768="Лікар-педіатр","х",IF(B768="Лікар-терапевт"," ",0)))</f>
        <v>0</v>
      </c>
      <c r="AF770" s="199">
        <f>IF(B768="Лікар загальної практики - сімейний лікар"," ",IF(B768="Лікар-педіатр","х",IF(B768="Лікар-терапевт"," ",0)))</f>
        <v>0</v>
      </c>
      <c r="AG770" s="200">
        <f>SUM(AB770:AF770)</f>
        <v>0</v>
      </c>
      <c r="AH770" s="930"/>
      <c r="AI770" s="242"/>
      <c r="AJ770" s="933"/>
      <c r="AK770" s="927"/>
      <c r="AL770" s="927"/>
      <c r="AM770" s="902"/>
      <c r="AN770" s="924"/>
      <c r="AO770" s="924"/>
      <c r="AP770" s="924"/>
      <c r="AQ770" s="924"/>
      <c r="AR770" s="915"/>
    </row>
    <row r="771" spans="1:44" s="50" customFormat="1" ht="31.9" hidden="1" customHeight="1" thickBot="1">
      <c r="A771" s="197"/>
      <c r="B771" s="893"/>
      <c r="C771" s="896"/>
      <c r="D771" s="912"/>
      <c r="E771" s="909"/>
      <c r="F771" s="236" t="s">
        <v>349</v>
      </c>
      <c r="G771" s="203">
        <f>IF($B$768="Лікар-педіатр",G770/L770,IF($B$768="Лікар-терапевт","х",IF($B$768="Лікар загальної практики - сімейний лікар",G770/L770,0)))</f>
        <v>0</v>
      </c>
      <c r="H771" s="203">
        <f>IF($B$768="Лікар-педіатр",H770/L770,IF($B$768="Лікар-терапевт","х",IF($B$768="Лікар загальної практики - сімейний лікар",H770/L770,0)))</f>
        <v>0</v>
      </c>
      <c r="I771" s="203">
        <f>IF($B$768="Лікар-педіатр","x",IF($B$768="Лікар-терапевт",I770/L770,IF($B$768="Лікар загальної практики - сімейний лікар",I770/L770,0)))</f>
        <v>0</v>
      </c>
      <c r="J771" s="203">
        <f>IF($B$768="Лікар-педіатр","x",IF($B$768="Лікар-терапевт",J770/L770,IF($B$768="Лікар загальної практики - сімейний лікар",J770/L770,0)))</f>
        <v>0</v>
      </c>
      <c r="K771" s="203">
        <f>IF($B$768="Лікар-педіатр","x",IF($B$768="Лікар-терапевт",K770/L770,IF($B$768="Лікар загальної практики - сімейний лікар",K770/L770,0)))</f>
        <v>0</v>
      </c>
      <c r="L771" s="203">
        <f>SUM(G771:K771)</f>
        <v>0</v>
      </c>
      <c r="M771" s="930"/>
      <c r="N771" s="203">
        <f>IF($B$768="Лікар-педіатр",N770/S770,IF($B$768="Лікар-терапевт","х",IF($B$768="Лікар загальної практики - сімейний лікар",N770/S770,0)))</f>
        <v>0</v>
      </c>
      <c r="O771" s="203">
        <f>IF($B$768="Лікар-педіатр",O770/S770,IF($B$768="Лікар-терапевт","х",IF($B$768="Лікар загальної практики - сімейний лікар",O770/S770,0)))</f>
        <v>0</v>
      </c>
      <c r="P771" s="203">
        <f>IF($B$768="Лікар-педіатр","x",IF($B$768="Лікар-терапевт",P770/S770,IF($B$768="Лікар загальної практики - сімейний лікар",P770/S770,0)))</f>
        <v>0</v>
      </c>
      <c r="Q771" s="203">
        <f>IF($B$768="Лікар-педіатр","x",IF($B$768="Лікар-терапевт",Q770/S770,IF($B$768="Лікар загальної практики - сімейний лікар",Q770/S770,0)))</f>
        <v>0</v>
      </c>
      <c r="R771" s="203">
        <f>IF($B$768="Лікар-педіатр","x",IF($B$768="Лікар-терапевт",R770/S770,IF($B$768="Лікар загальної практики - сімейний лікар",R770/S770,0)))</f>
        <v>0</v>
      </c>
      <c r="S771" s="203">
        <f>SUM(N771:R771)</f>
        <v>0</v>
      </c>
      <c r="T771" s="930"/>
      <c r="U771" s="203">
        <f>IF($B$768="Лікар-педіатр",U770/Z770,IF($B$768="Лікар-терапевт","х",IF($B$768="Лікар загальної практики - сімейний лікар",U770/Z770,0)))</f>
        <v>0</v>
      </c>
      <c r="V771" s="203">
        <f>IF($B$768="Лікар-педіатр",V770/Z770,IF($B$768="Лікар-терапевт","х",IF($B$768="Лікар загальної практики - сімейний лікар",V770/Z770,0)))</f>
        <v>0</v>
      </c>
      <c r="W771" s="203">
        <f>IF($B$768="Лікар-педіатр","x",IF($B$768="Лікар-терапевт",W770/Z770,IF($B$768="Лікар загальної практики - сімейний лікар",W770/Z770,0)))</f>
        <v>0</v>
      </c>
      <c r="X771" s="203">
        <f>IF($B$768="Лікар-педіатр","x",IF($B$768="Лікар-терапевт",X770/Z770,IF($B$768="Лікар загальної практики - сімейний лікар",X770/Z770,0)))</f>
        <v>0</v>
      </c>
      <c r="Y771" s="203">
        <f>IF($B$768="Лікар-педіатр","x",IF($B$768="Лікар-терапевт",Y770/Z770,IF($B$768="Лікар загальної практики - сімейний лікар",Y770/Z770,0)))</f>
        <v>0</v>
      </c>
      <c r="Z771" s="203">
        <f>SUM(U771:Y771)</f>
        <v>0</v>
      </c>
      <c r="AA771" s="930"/>
      <c r="AB771" s="203">
        <f>IF($B$768="Лікар-педіатр",AB770/AG770,IF($B$768="Лікар-терапевт","х",IF($B$768="Лікар загальної практики - сімейний лікар",AB770/AG770,0)))</f>
        <v>0</v>
      </c>
      <c r="AC771" s="203">
        <f>IF($B$768="Лікар-педіатр",AC770/AG770,IF($B$768="Лікар-терапевт","х",IF($B$768="Лікар загальної практики - сімейний лікар",AC770/AG770,0)))</f>
        <v>0</v>
      </c>
      <c r="AD771" s="203">
        <f>IF($B$768="Лікар-педіатр","x",IF($B$768="Лікар-терапевт",AD770/AG770,IF($B$768="Лікар загальної практики - сімейний лікар",AD770/AG770,0)))</f>
        <v>0</v>
      </c>
      <c r="AE771" s="203">
        <f>IF($B$768="Лікар-педіатр","x",IF($B$768="Лікар-терапевт",AE770/AG770,IF($B$768="Лікар загальної практики - сімейний лікар",AE770/AG770,0)))</f>
        <v>0</v>
      </c>
      <c r="AF771" s="203">
        <f>IF($B$768="Лікар-педіатр","x",IF($B$768="Лікар-терапевт",AF770/AG770,IF($B$768="Лікар загальної практики - сімейний лікар",AF770/AG770,0)))</f>
        <v>0</v>
      </c>
      <c r="AG771" s="203">
        <f>SUM(AB771:AF771)</f>
        <v>0</v>
      </c>
      <c r="AH771" s="930"/>
      <c r="AI771" s="201"/>
      <c r="AJ771" s="933"/>
      <c r="AK771" s="927"/>
      <c r="AL771" s="927"/>
      <c r="AM771" s="902"/>
      <c r="AN771" s="924"/>
      <c r="AO771" s="924"/>
      <c r="AP771" s="924"/>
      <c r="AQ771" s="924"/>
      <c r="AR771" s="915"/>
    </row>
    <row r="772" spans="1:44" s="50" customFormat="1" ht="45" hidden="1" customHeight="1" thickBot="1">
      <c r="A772" s="197"/>
      <c r="B772" s="893"/>
      <c r="C772" s="896"/>
      <c r="D772" s="912"/>
      <c r="E772" s="909"/>
      <c r="F772" s="204" t="s">
        <v>585</v>
      </c>
      <c r="G772" s="205">
        <f>IF($B$768="Лікар загальної практики - сімейний лікар",AVERAGE(G768:G770),IF($B$768="Лікар-педіатр",AVERAGE(G768:G770),IF($B$768="Лікар-терапевт","х",0)))</f>
        <v>0</v>
      </c>
      <c r="H772" s="205">
        <f>IF($B$768="Лікар загальної практики - сімейний лікар",AVERAGE(H768:H770),IF($B$768="Лікар-педіатр",AVERAGE(H768:H770),IF($B$768="Лікар-терапевт","х",0)))</f>
        <v>0</v>
      </c>
      <c r="I772" s="205">
        <f>IF($B$768="Лікар загальної практики - сімейний лікар",AVERAGE(I768:I770),IF($B$768="Лікар-педіатр","x",IF($B$768="Лікар-терапевт",AVERAGE(I768:I770),0)))</f>
        <v>0</v>
      </c>
      <c r="J772" s="205">
        <f>IF($B$768="Лікар загальної практики - сімейний лікар",AVERAGE(J768:J770),IF($B$768="Лікар-педіатр","x",IF($B$768="Лікар-терапевт",AVERAGE(J768:J770),0)))</f>
        <v>0</v>
      </c>
      <c r="K772" s="205">
        <f>IF($B$768="Лікар загальної практики - сімейний лікар",AVERAGE(K768:K770),IF($B$768="Лікар-педіатр","x",IF($B$768="Лікар-терапевт",AVERAGE(K768:K770),0)))</f>
        <v>0</v>
      </c>
      <c r="L772" s="206">
        <f>SUM(G772:K772)</f>
        <v>0</v>
      </c>
      <c r="M772" s="930"/>
      <c r="N772" s="205">
        <f>IF($B$768="Лікар загальної практики - сімейний лікар",AVERAGE(N768:N770),IF($B$768="Лікар-педіатр",AVERAGE(N768:N770),IF($B$768="Лікар-терапевт","х",0)))</f>
        <v>0</v>
      </c>
      <c r="O772" s="205">
        <f>IF($B$768="Лікар загальної практики - сімейний лікар",AVERAGE(O768:O770),IF($B$768="Лікар-педіатр",AVERAGE(O768:O770),IF($B$768="Лікар-терапевт","х",0)))</f>
        <v>0</v>
      </c>
      <c r="P772" s="205">
        <f>IF($B$768="Лікар загальної практики - сімейний лікар",AVERAGE(P768:P770),IF($B$768="Лікар-педіатр","x",IF($B$768="Лікар-терапевт",AVERAGE(P768:P770),0)))</f>
        <v>0</v>
      </c>
      <c r="Q772" s="205">
        <f>IF($B$768="Лікар загальної практики - сімейний лікар",AVERAGE(Q768:Q770),IF($B$768="Лікар-педіатр","x",IF($B$768="Лікар-терапевт",AVERAGE(Q768:Q770),0)))</f>
        <v>0</v>
      </c>
      <c r="R772" s="205">
        <f>IF($B$768="Лікар загальної практики - сімейний лікар",AVERAGE(R768:R770),IF($B$768="Лікар-педіатр","x",IF($B$768="Лікар-терапевт",AVERAGE(R768:R770),0)))</f>
        <v>0</v>
      </c>
      <c r="S772" s="206">
        <f>SUM(N772:R772)</f>
        <v>0</v>
      </c>
      <c r="T772" s="930"/>
      <c r="U772" s="205">
        <f>IF($B$768="Лікар загальної практики - сімейний лікар",AVERAGE(U768:U770),IF($B$768="Лікар-педіатр",AVERAGE(U768:U770),IF($B$768="Лікар-терапевт","х",0)))</f>
        <v>0</v>
      </c>
      <c r="V772" s="205">
        <f>IF($B$768="Лікар загальної практики - сімейний лікар",AVERAGE(V768:V770),IF($B$768="Лікар-педіатр",AVERAGE(V768:V770),IF($B$768="Лікар-терапевт","х",0)))</f>
        <v>0</v>
      </c>
      <c r="W772" s="205">
        <f>IF($B$768="Лікар загальної практики - сімейний лікар",AVERAGE(W768:W770),IF($B$768="Лікар-педіатр","x",IF($B$768="Лікар-терапевт",AVERAGE(W768:W770),0)))</f>
        <v>0</v>
      </c>
      <c r="X772" s="205">
        <f>IF($B$768="Лікар загальної практики - сімейний лікар",AVERAGE(X768:X770),IF($B$768="Лікар-педіатр","x",IF($B$768="Лікар-терапевт",AVERAGE(X768:X770),0)))</f>
        <v>0</v>
      </c>
      <c r="Y772" s="205">
        <f>IF($B$768="Лікар загальної практики - сімейний лікар",AVERAGE(Y768:Y770),IF($B$768="Лікар-педіатр","x",IF($B$768="Лікар-терапевт",AVERAGE(Y768:Y770),0)))</f>
        <v>0</v>
      </c>
      <c r="Z772" s="206">
        <f>SUM(U772:Y772)</f>
        <v>0</v>
      </c>
      <c r="AA772" s="930"/>
      <c r="AB772" s="205">
        <f>IF($B$768="Лікар загальної практики - сімейний лікар",AVERAGE(AB768:AB770),IF($B$768="Лікар-педіатр",AVERAGE(AB768:AB770),IF($B$768="Лікар-терапевт","х",0)))</f>
        <v>0</v>
      </c>
      <c r="AC772" s="205">
        <f>IF($B$768="Лікар загальної практики - сімейний лікар",AVERAGE(AC768:AC770),IF($B$768="Лікар-педіатр",AVERAGE(AC768:AC770),IF($B$768="Лікар-терапевт","х",0)))</f>
        <v>0</v>
      </c>
      <c r="AD772" s="205">
        <f>IF($B$768="Лікар загальної практики - сімейний лікар",AVERAGE(AD768:AD770),IF($B$768="Лікар-педіатр","x",IF($B$768="Лікар-терапевт",AVERAGE(AD768:AD770),0)))</f>
        <v>0</v>
      </c>
      <c r="AE772" s="205">
        <f>IF($B$768="Лікар загальної практики - сімейний лікар",AVERAGE(AE768:AE770),IF($B$768="Лікар-педіатр","x",IF($B$768="Лікар-терапевт",AVERAGE(AE768:AE770),0)))</f>
        <v>0</v>
      </c>
      <c r="AF772" s="205">
        <f>IF($B$768="Лікар загальної практики - сімейний лікар",AVERAGE(AF768:AF770),IF($B$768="Лікар-педіатр","x",IF($B$768="Лікар-терапевт",AVERAGE(AF768:AF770),0)))</f>
        <v>0</v>
      </c>
      <c r="AG772" s="206">
        <f>SUM(AB772:AF772)</f>
        <v>0</v>
      </c>
      <c r="AH772" s="930"/>
      <c r="AI772" s="201"/>
      <c r="AJ772" s="933"/>
      <c r="AK772" s="927"/>
      <c r="AL772" s="927"/>
      <c r="AM772" s="903"/>
      <c r="AN772" s="925"/>
      <c r="AO772" s="925"/>
      <c r="AP772" s="925"/>
      <c r="AQ772" s="925"/>
      <c r="AR772" s="916"/>
    </row>
    <row r="773" spans="1:44" s="50" customFormat="1" ht="40.5" hidden="1">
      <c r="A773" s="197"/>
      <c r="B773" s="893"/>
      <c r="C773" s="896"/>
      <c r="D773" s="912"/>
      <c r="E773" s="909"/>
      <c r="F773" s="237" t="str">
        <f ca="1">IF(B768="Лікар-педіатр",Законод!$C$17,IF(B768="Лікар загальної практики - сімейний лікар",Законод!$C$21,IF(B768="Лікар-терапевт",Законод!$C$25,"х")))</f>
        <v>х</v>
      </c>
      <c r="G773" s="208">
        <f ca="1">IF($B$768="Лікар загальної практики - сімейний лікар",IF(L772&lt;=Законод!$C$22,G772,Законод!$C$22*'01_Доходи'!G771),IF($B$768="Лікар-педіатр",IF(L772&lt;=Законод!$C$18,G772,Законод!$C$18*'01_Доходи'!G771),IF($B$768="Лікар-терапевт","x",0)))</f>
        <v>0</v>
      </c>
      <c r="H773" s="208">
        <f ca="1">IF($B$768="Лікар загальної практики - сімейний лікар",IF(L772&lt;=Законод!$C$22,H772,Законод!$C$22*'01_Доходи'!H771),IF($B$768="Лікар-педіатр",IF(L772&lt;=Законод!$C$18,H772,Законод!$C$18*'01_Доходи'!H771),IF($B$768="Лікар-терапевт","x",0)))</f>
        <v>0</v>
      </c>
      <c r="I773" s="208">
        <f ca="1">IF($B$768="Лікар загальної практики - сімейний лікар",IF(L772&lt;=Законод!$C$22,I772,Законод!$C$22*'01_Доходи'!I771),IF($B$768="Лікар-педіатр","x",IF($B$768="Лікар-терапевт",IF(L772&lt;=Законод!$C$26,I772,Законод!$C$26*'01_Доходи'!I771),0)))</f>
        <v>0</v>
      </c>
      <c r="J773" s="208">
        <f ca="1">IF($B$768="Лікар загальної практики - сімейний лікар",IF(L772&lt;=Законод!$C$22,J772,Законод!$C$22*'01_Доходи'!J771),IF($B$768="Лікар-педіатр","x",IF($B$768="Лікар-терапевт",IF(L772&lt;=Законод!$C$26,J772,Законод!$C$26*'01_Доходи'!J771),0)))</f>
        <v>0</v>
      </c>
      <c r="K773" s="208">
        <f ca="1">IF($B$768="Лікар загальної практики - сімейний лікар",IF(L772&lt;=Законод!$C$22,K772,Законод!$C$22*'01_Доходи'!K771),IF($B$768="Лікар-педіатр","x",IF($B$768="Лікар-терапевт",IF(L772&lt;=Законод!$C$26,K772,Законод!$C$26*'01_Доходи'!K771),0)))</f>
        <v>0</v>
      </c>
      <c r="L773" s="209">
        <f ca="1">SUM(G773:K773)</f>
        <v>0</v>
      </c>
      <c r="M773" s="930"/>
      <c r="N773" s="208">
        <f ca="1">IF($B$768="Лікар загальної практики - сімейний лікар",IF(S772&lt;=Законод!$C$22,N772,Законод!$C$22*'01_Доходи'!N771),IF($B$768="Лікар-педіатр",IF(S772&lt;=Законод!$C$18,N772,Законод!$C$18*'01_Доходи'!N771),IF($B$768="Лікар-терапевт","x",0)))</f>
        <v>0</v>
      </c>
      <c r="O773" s="208">
        <f ca="1">IF($B$768="Лікар загальної практики - сімейний лікар",IF(S772&lt;=Законод!$C$22,O772,Законод!$C$22*'01_Доходи'!O771),IF($B$768="Лікар-педіатр",IF(S772&lt;=Законод!$C$18,O772,Законод!$C$18*'01_Доходи'!O771),IF($B$768="Лікар-терапевт","x",0)))</f>
        <v>0</v>
      </c>
      <c r="P773" s="208">
        <f ca="1">IF($B$768="Лікар загальної практики - сімейний лікар",IF(S772&lt;=Законод!$C$22,P772,Законод!$C$22*'01_Доходи'!P771),IF($B$768="Лікар-педіатр","x",IF($B$768="Лікар-терапевт",IF(S772&lt;=Законод!$C$26,P772,Законод!$C$26*'01_Доходи'!P771),0)))</f>
        <v>0</v>
      </c>
      <c r="Q773" s="208">
        <f ca="1">IF($B$768="Лікар загальної практики - сімейний лікар",IF(S772&lt;=Законод!$C$22,Q772,Законод!$C$22*'01_Доходи'!Q771),IF($B$768="Лікар-педіатр","x",IF($B$768="Лікар-терапевт",IF(S772&lt;=Законод!$C$26,Q772,Законод!$C$26*'01_Доходи'!Q771),0)))</f>
        <v>0</v>
      </c>
      <c r="R773" s="208">
        <f ca="1">IF($B$768="Лікар загальної практики - сімейний лікар",IF(S772&lt;=Законод!$C$22,R772,Законод!$C$22*'01_Доходи'!R771),IF($B$768="Лікар-педіатр","x",IF($B$768="Лікар-терапевт",IF(S772&lt;=Законод!$C$26,R772,Законод!$C$26*'01_Доходи'!R771),0)))</f>
        <v>0</v>
      </c>
      <c r="S773" s="209">
        <f ca="1">SUM(N773:R773)</f>
        <v>0</v>
      </c>
      <c r="T773" s="930"/>
      <c r="U773" s="208">
        <f ca="1">IF($B$768="Лікар загальної практики - сімейний лікар",IF(Z772&lt;=Законод!$C$22,U772,Законод!$C$22*'01_Доходи'!U771),IF($B$768="Лікар-педіатр",IF(Z772&lt;=Законод!$C$18,U772,Законод!$C$18*'01_Доходи'!U771),IF($B$768="Лікар-терапевт","x",0)))</f>
        <v>0</v>
      </c>
      <c r="V773" s="208">
        <f ca="1">IF($B$768="Лікар загальної практики - сімейний лікар",IF(Z772&lt;=Законод!$C$22,V772,Законод!$C$22*'01_Доходи'!V771),IF($B$768="Лікар-педіатр",IF(Z772&lt;=Законод!$C$18,V772,Законод!$C$18*'01_Доходи'!V771),IF($B$768="Лікар-терапевт","x",0)))</f>
        <v>0</v>
      </c>
      <c r="W773" s="208">
        <f ca="1">IF($B$768="Лікар загальної практики - сімейний лікар",IF(Z772&lt;=Законод!$C$22,W772,Законод!$C$22*'01_Доходи'!W771),IF($B$768="Лікар-педіатр","x",IF($B$768="Лікар-терапевт",IF(Z772&lt;=Законод!$C$26,W772,Законод!$C$26*'01_Доходи'!W771),0)))</f>
        <v>0</v>
      </c>
      <c r="X773" s="208">
        <f ca="1">IF($B$768="Лікар загальної практики - сімейний лікар",IF(Z772&lt;=Законод!$C$22,X772,Законод!$C$22*'01_Доходи'!X771),IF($B$768="Лікар-педіатр","x",IF($B$768="Лікар-терапевт",IF(Z772&lt;=Законод!$C$26,X772,Законод!$C$26*'01_Доходи'!X771),0)))</f>
        <v>0</v>
      </c>
      <c r="Y773" s="208">
        <f ca="1">IF($B$768="Лікар загальної практики - сімейний лікар",IF(Z772&lt;=Законод!$C$22,Y772,Законод!$C$22*'01_Доходи'!Y771),IF($B$768="Лікар-педіатр","x",IF($B$768="Лікар-терапевт",IF(Z772&lt;=Законод!$C$26,Y772,Законод!$C$26*'01_Доходи'!Y771),0)))</f>
        <v>0</v>
      </c>
      <c r="Z773" s="209">
        <f ca="1">SUM(U773:Y773)</f>
        <v>0</v>
      </c>
      <c r="AA773" s="930"/>
      <c r="AB773" s="208">
        <f ca="1">IF($B$768="Лікар загальної практики - сімейний лікар",IF(AG772&lt;=Законод!$C$22,AB772,Законод!$C$22*'01_Доходи'!AB771),IF($B$768="Лікар-педіатр",IF(AG772&lt;=Законод!$C$18,AB772,Законод!$C$18*'01_Доходи'!AB771),IF($B$768="Лікар-терапевт","x",0)))</f>
        <v>0</v>
      </c>
      <c r="AC773" s="208">
        <f ca="1">IF($B$768="Лікар загальної практики - сімейний лікар",IF(AG772&lt;=Законод!$C$22,AC772,Законод!$C$22*'01_Доходи'!AC771),IF($B$768="Лікар-педіатр",IF(AG772&lt;=Законод!$C$18,AC772,Законод!$C$18*'01_Доходи'!AC771),IF($B$768="Лікар-терапевт","x",0)))</f>
        <v>0</v>
      </c>
      <c r="AD773" s="208">
        <f ca="1">IF($B$768="Лікар загальної практики - сімейний лікар",IF(AG772&lt;=Законод!$C$22,AD772,Законод!$C$22*'01_Доходи'!AD771),IF($B$768="Лікар-педіатр","x",IF($B$768="Лікар-терапевт",IF(AG772&lt;=Законод!$C$26,AD772,Законод!$C$26*'01_Доходи'!AD771),0)))</f>
        <v>0</v>
      </c>
      <c r="AE773" s="208">
        <f ca="1">IF($B$768="Лікар загальної практики - сімейний лікар",IF(AG772&lt;=Законод!$C$22,AE772,Законод!$C$22*'01_Доходи'!AE771),IF($B$768="Лікар-педіатр","x",IF($B$768="Лікар-терапевт",IF(AG772&lt;=Законод!$C$26,AE772,Законод!$C$26*'01_Доходи'!AE771),0)))</f>
        <v>0</v>
      </c>
      <c r="AF773" s="208">
        <f ca="1">IF($B$768="Лікар загальної практики - сімейний лікар",IF(AG772&lt;=Законод!$C$22,AF772,Законод!$C$22*'01_Доходи'!AF771),IF($B$768="Лікар-педіатр","x",IF($B$768="Лікар-терапевт",IF(AG772&lt;=Законод!$C$26,AF772,Законод!$C$26*'01_Доходи'!AF771),0)))</f>
        <v>0</v>
      </c>
      <c r="AG773" s="209">
        <f ca="1">SUM(AB773:AF773)</f>
        <v>0</v>
      </c>
      <c r="AH773" s="930"/>
      <c r="AI773" s="201"/>
      <c r="AJ773" s="933"/>
      <c r="AK773" s="927"/>
      <c r="AL773" s="927"/>
      <c r="AM773" s="348" t="s">
        <v>374</v>
      </c>
      <c r="AN773" s="210">
        <f ca="1">IF(B768="Лікар загальної практики - сімейний лікар",G773*Законод!$C$11+'01_Доходи'!H773*Законод!$D$11+'01_Доходи'!I773*Законод!$E$11+'01_Доходи'!J773*Законод!$F$11+'01_Доходи'!K773*Законод!$G$11,IF(B768="Лікар-педіатр",G773*Законод!$C$11+'01_Доходи'!H773*Законод!$D$11,IF(B768="Лікар-терапевт",'01_Доходи'!I773*Законод!$E$11+'01_Доходи'!J773*Законод!$F$11+'01_Доходи'!K773*Законод!$G$11,0)))</f>
        <v>0</v>
      </c>
      <c r="AO773" s="210">
        <f ca="1">IF(B768="Лікар загальної практики - сімейний лікар",N773*Законод!$C$11+'01_Доходи'!O773*Законод!$D$11+'01_Доходи'!P773*Законод!$E$11+'01_Доходи'!Q773*Законод!$F$11+'01_Доходи'!R773*Законод!$G$11,IF(B768="Лікар-педіатр",N773*Законод!$C$11+'01_Доходи'!O773*Законод!$D$11,IF(B768="Лікар-терапевт",'01_Доходи'!P773*Законод!$E$11+'01_Доходи'!Q773*Законод!$F$11+'01_Доходи'!R773*Законод!$G$11,0)))</f>
        <v>0</v>
      </c>
      <c r="AP773" s="210">
        <f ca="1">IF(B768="Лікар загальної практики - сімейний лікар",U773*Законод!$C$11+'01_Доходи'!V773*Законод!$D$11+'01_Доходи'!W773*Законод!$E$11+'01_Доходи'!X773*Законод!$F$11+'01_Доходи'!Y773*Законод!$G$11,IF(B768="Лікар-педіатр",U773*Законод!$C$11+'01_Доходи'!V773*Законод!$D$11,IF(B768="Лікар-терапевт",'01_Доходи'!W773*Законод!$E$11+'01_Доходи'!X773*Законод!$F$11+'01_Доходи'!Y773*Законод!$G$11,0)))</f>
        <v>0</v>
      </c>
      <c r="AQ773" s="210">
        <f ca="1">IF(B768="Лікар загальної практики - сімейний лікар",AB773*Законод!$C$11+'01_Доходи'!AC773*Законод!$D$11+'01_Доходи'!AD773*Законод!$E$11+'01_Доходи'!AE773*Законод!$F$11+'01_Доходи'!AF773*Законод!$G$11,IF(B768="Лікар-педіатр",AB773*Законод!$C$11+'01_Доходи'!AC773*Законод!$D$11,IF(B768="Лікар-терапевт",'01_Доходи'!AD773*Законод!$E$11+'01_Доходи'!AE773*Законод!$F$11+'01_Доходи'!AF773*Законод!$G$11,0)))</f>
        <v>0</v>
      </c>
      <c r="AR773" s="211">
        <f t="shared" ref="AR773:AR779" si="86">SUM(AN773:AQ773)</f>
        <v>0</v>
      </c>
    </row>
    <row r="774" spans="1:44" s="50" customFormat="1" ht="31.9" hidden="1" customHeight="1">
      <c r="A774" s="197"/>
      <c r="B774" s="893"/>
      <c r="C774" s="896"/>
      <c r="D774" s="912"/>
      <c r="E774" s="909"/>
      <c r="F774" s="238" t="str">
        <f ca="1">IF(B768="Лікар-педіатр",Законод!$E$17,IF(B768="Лікар загальної практики - сімейний лікар",Законод!$E$21,IF(B768="Лікар-терапевт",Законод!$E$25,"х")))</f>
        <v>х</v>
      </c>
      <c r="G774" s="889" t="s">
        <v>346</v>
      </c>
      <c r="H774" s="890"/>
      <c r="I774" s="890"/>
      <c r="J774" s="890"/>
      <c r="K774" s="891"/>
      <c r="L774" s="196">
        <f ca="1">IF($B$768="Лікар загальної практики - сімейний лікар",IF(L772&lt;Законод!$C$22,0,(IF(AND(L772&gt;=Законод!$E$22,L772&lt;=Законод!$E$23),L772-Законод!$C$22,IF('01_Доходи'!L772&gt;=Законод!$F$22,Законод!$E$24,0)))),IF($B$768="Лікар-педіатр",IF(L772&lt;Законод!$C$18,0,(IF(AND(L772&gt;=Законод!$E$18,L772&lt;=Законод!$E$19),L772-Законод!$C$18,IF('01_Доходи'!L772&gt;=Законод!$F$18,Законод!$E$20,0)))),IF($B$768="Лікар-терапевт",IF(L772&lt;Законод!$C$26,0,(IF(AND(L772&gt;=Законод!$E$26,L772&lt;=Законод!$E$27),L772-Законод!$C$26,IF('01_Доходи'!L772&gt;=Законод!$F$26,Законод!$E$28,0)))),0)))</f>
        <v>0</v>
      </c>
      <c r="M774" s="930"/>
      <c r="N774" s="889" t="s">
        <v>346</v>
      </c>
      <c r="O774" s="890"/>
      <c r="P774" s="890"/>
      <c r="Q774" s="890"/>
      <c r="R774" s="891"/>
      <c r="S774" s="196">
        <f ca="1">IF($B$768="Лікар загальної практики - сімейний лікар",IF(S772&lt;Законод!$C$22,0,(IF(AND(S772&gt;=Законод!$E$22,S772&lt;=Законод!$E$23),S772-Законод!$C$22,IF('01_Доходи'!S772&gt;=Законод!$F$22,Законод!$E$24,0)))),IF($B$768="Лікар-педіатр",IF(S772&lt;Законод!$C$18,0,(IF(AND(S772&gt;=Законод!$E$18,S772&lt;=Законод!$E$19),S772-Законод!$C$18,IF('01_Доходи'!S772&gt;=Законод!$F$18,Законод!$E$20,0)))),IF($B$768="Лікар-терапевт",IF(S772&lt;Законод!$C$26,0,(IF(AND(S772&gt;=Законод!$E$26,S772&lt;=Законод!$E$27),S772-Законод!$C$26,IF('01_Доходи'!S772&gt;=Законод!$F$26,Законод!$E$28,0)))),0)))</f>
        <v>0</v>
      </c>
      <c r="T774" s="930"/>
      <c r="U774" s="889" t="s">
        <v>346</v>
      </c>
      <c r="V774" s="890"/>
      <c r="W774" s="890"/>
      <c r="X774" s="890"/>
      <c r="Y774" s="891"/>
      <c r="Z774" s="196">
        <f ca="1">IF($B$768="Лікар загальної практики - сімейний лікар",IF(Z772&lt;Законод!$C$22,0,(IF(AND(Z772&gt;=Законод!$E$22,Z772&lt;=Законод!$E$23),Z772-Законод!$C$22,IF('01_Доходи'!Z772&gt;=Законод!$F$22,Законод!$E$24,0)))),IF($B$768="Лікар-педіатр",IF(Z772&lt;Законод!$C$18,0,(IF(AND(Z772&gt;=Законод!$E$18,Z772&lt;=Законод!$E$19),Z772-Законод!$C$18,IF('01_Доходи'!Z772&gt;=Законод!$F$18,Законод!$E$20,0)))),IF($B$768="Лікар-терапевт",IF(Z772&lt;Законод!$C$26,0,(IF(AND(Z772&gt;=Законод!$E$26,Z772&lt;=Законод!$E$27),Z772-Законод!$C$26,IF('01_Доходи'!Z772&gt;=Законод!$F$26,Законод!$E$28,0)))),0)))</f>
        <v>0</v>
      </c>
      <c r="AA774" s="930"/>
      <c r="AB774" s="889" t="s">
        <v>346</v>
      </c>
      <c r="AC774" s="890"/>
      <c r="AD774" s="890"/>
      <c r="AE774" s="890"/>
      <c r="AF774" s="891"/>
      <c r="AG774" s="196">
        <f ca="1">IF($B$768="Лікар загальної практики - сімейний лікар",IF(AG772&lt;Законод!$C$22,0,(IF(AND(AG772&gt;=Законод!$E$22,AG772&lt;=Законод!$E$23),AG772-Законод!$C$22,IF('01_Доходи'!AG772&gt;=Законод!$F$22,Законод!$E$24,0)))),IF($B$768="Лікар-педіатр",IF(AG772&lt;Законод!$C$18,0,(IF(AND(AG772&gt;=Законод!$E$18,AG772&lt;=Законод!$E$19),AG772-Законод!$C$18,IF('01_Доходи'!AG772&gt;=Законод!$F$18,Законод!$E$20,0)))),IF($B$768="Лікар-терапевт",IF(AG772&lt;Законод!$C$26,0,(IF(AND(AG772&gt;=Законод!$E$26,AG772&lt;=Законод!$E$27),AG772-Законод!$C$26,IF('01_Доходи'!AG772&gt;=Законод!$F$26,Законод!$E$28,0)))),0)))</f>
        <v>0</v>
      </c>
      <c r="AH774" s="930"/>
      <c r="AI774" s="201"/>
      <c r="AJ774" s="933"/>
      <c r="AK774" s="927"/>
      <c r="AL774" s="927"/>
      <c r="AM774" s="898" t="s">
        <v>375</v>
      </c>
      <c r="AN774" s="210">
        <f ca="1">IF(B768="Лікар загальної практики - сімейний лікар",L774*Законод!$C$9/4*Законод!$E$16,IF(B768="Лікар-педіатр",L774*Законод!$C$9/4*Законод!$E$16,IF(B768="Лікар-терапевт",L774*Законод!$C$9/4*Законод!$E$16,0)))</f>
        <v>0</v>
      </c>
      <c r="AO774" s="210">
        <f ca="1">IF(B768="Лікар загальної практики - сімейний лікар",S774*Законод!$C$9/4*Законод!$E$16,IF(B768="Лікар-педіатр",S774*Законод!$C$9/4*Законод!$E$16,IF(B768="Лікар-терапевт",S774*Законод!$C$9/4*Законод!$E$16,0)))</f>
        <v>0</v>
      </c>
      <c r="AP774" s="210">
        <f ca="1">IF(B768="Лікар загальної практики - сімейний лікар",Z774*Законод!$C$9/4*Законод!$E$16,IF(B768="Лікар-педіатр",Z774*Законод!$C$9/4*Законод!$E$16,IF(B768="Лікар-терапевт",Z774*Законод!$C$9/4*Законод!$E$16,0)))</f>
        <v>0</v>
      </c>
      <c r="AQ774" s="210">
        <f ca="1">IF(B768="Лікар загальної практики - сімейний лікар",AG774*Законод!$C$9/4*Законод!$E$16,IF(B768="Лікар-педіатр",AG774*Законод!$C$9/4*Законод!$E$16,IF(B768="Лікар-терапевт",AG774*Законод!$C$9/4*Законод!$E$16,0)))</f>
        <v>0</v>
      </c>
      <c r="AR774" s="211">
        <f t="shared" si="86"/>
        <v>0</v>
      </c>
    </row>
    <row r="775" spans="1:44" s="50" customFormat="1" ht="31.9" hidden="1" customHeight="1">
      <c r="A775" s="197"/>
      <c r="B775" s="893"/>
      <c r="C775" s="896"/>
      <c r="D775" s="912"/>
      <c r="E775" s="909"/>
      <c r="F775" s="238" t="str">
        <f ca="1">IF(B768="Лікар-педіатр",Законод!$F$17,IF(B768="Лікар загальної практики - сімейний лікар",Законод!$F$21,IF(B768="Лікар-терапевт",Законод!$F$25,"х")))</f>
        <v>х</v>
      </c>
      <c r="G775" s="889" t="s">
        <v>346</v>
      </c>
      <c r="H775" s="890"/>
      <c r="I775" s="890"/>
      <c r="J775" s="890"/>
      <c r="K775" s="891"/>
      <c r="L775" s="196">
        <f ca="1">IF($B$768="Лікар загальної практики - сімейний лікар",IF(L772&lt;Законод!$C$22,0,(IF(AND(L772&gt;=Законод!$F$22,L772&lt;=Законод!$F$23),L772-Законод!$E$23,IF('01_Доходи'!L772&gt;=Законод!$G$22,Законод!$F$24,0)))),IF($B$768="Лікар-педіатр",IF(L772&lt;Законод!$C$18,0,(IF(AND(L772&gt;=Законод!$F$18,L772&lt;=Законод!$F$19),L772-Законод!$E$19,IF('01_Доходи'!L772&gt;=Законод!$G$18,Законод!$F$20,0)))),IF($B$768="Лікар-терапевт",IF(L772&lt;Законод!$C$26,0,(IF(AND(L772&gt;=Законод!$F$26,L772&lt;=Законод!$F$27),L772-Законод!$E$27,IF('01_Доходи'!L772&gt;=Законод!$G$26,Законод!$F$28,0)))),0)))</f>
        <v>0</v>
      </c>
      <c r="M775" s="930"/>
      <c r="N775" s="889" t="s">
        <v>346</v>
      </c>
      <c r="O775" s="890"/>
      <c r="P775" s="890"/>
      <c r="Q775" s="890"/>
      <c r="R775" s="891"/>
      <c r="S775" s="196">
        <f ca="1">IF($B$768="Лікар загальної практики - сімейний лікар",IF(S772&lt;Законод!$C$22,0,(IF(AND(S772&gt;=Законод!$F$22,S772&lt;=Законод!$F$23),S772-Законод!$E$23,IF('01_Доходи'!S772&gt;=Законод!$G$22,Законод!$F$24,0)))),IF($B$768="Лікар-педіатр",IF(S772&lt;Законод!$C$18,0,(IF(AND(S772&gt;=Законод!$F$18,S772&lt;=Законод!$F$19),S772-Законод!$E$19,IF('01_Доходи'!S772&gt;=Законод!$G$18,Законод!$F$20,0)))),IF($B$768="Лікар-терапевт",IF(S772&lt;Законод!$C$26,0,(IF(AND(S772&gt;=Законод!$F$26,S772&lt;=Законод!$F$27),S772-Законод!$E$27,IF('01_Доходи'!S772&gt;=Законод!$G$26,Законод!$F$28,0)))),0)))</f>
        <v>0</v>
      </c>
      <c r="T775" s="930"/>
      <c r="U775" s="889" t="s">
        <v>346</v>
      </c>
      <c r="V775" s="890"/>
      <c r="W775" s="890"/>
      <c r="X775" s="890"/>
      <c r="Y775" s="891"/>
      <c r="Z775" s="196">
        <f ca="1">IF($B$768="Лікар загальної практики - сімейний лікар",IF(Z772&lt;Законод!$C$22,0,(IF(AND(Z772&gt;=Законод!$F$22,Z772&lt;=Законод!$F$23),Z772-Законод!$E$23,IF('01_Доходи'!Z772&gt;=Законод!$G$22,Законод!$F$24,0)))),IF($B$768="Лікар-педіатр",IF(Z772&lt;Законод!$C$18,0,(IF(AND(Z772&gt;=Законод!$F$18,Z772&lt;=Законод!$F$19),Z772-Законод!$E$19,IF('01_Доходи'!Z772&gt;=Законод!$G$18,Законод!$F$20,0)))),IF($B$768="Лікар-терапевт",IF(Z772&lt;Законод!$C$26,0,(IF(AND(Z772&gt;=Законод!$F$26,Z772&lt;=Законод!$F$27),Z772-Законод!$E$27,IF('01_Доходи'!Z772&gt;=Законод!$G$26,Законод!$F$28,0)))),0)))</f>
        <v>0</v>
      </c>
      <c r="AA775" s="930"/>
      <c r="AB775" s="889" t="s">
        <v>346</v>
      </c>
      <c r="AC775" s="890"/>
      <c r="AD775" s="890"/>
      <c r="AE775" s="890"/>
      <c r="AF775" s="891"/>
      <c r="AG775" s="196">
        <f ca="1">IF($B$768="Лікар загальної практики - сімейний лікар",IF(AG772&lt;Законод!$C$22,0,(IF(AND(AG772&gt;=Законод!$F$22,AG772&lt;=Законод!$F$23),AG772-Законод!$E$23,IF('01_Доходи'!AG772&gt;=Законод!$G$22,Законод!$F$24,0)))),IF($B$768="Лікар-педіатр",IF(AG772&lt;Законод!$C$18,0,(IF(AND(AG772&gt;=Законод!$F$18,AG772&lt;=Законод!$F$19),AG772-Законод!$E$19,IF('01_Доходи'!AG772&gt;=Законод!$G$18,Законод!$F$20,0)))),IF($B$768="Лікар-терапевт",IF(AG772&lt;Законод!$C$26,0,(IF(AND(AG772&gt;=Законод!$F$26,AG772&lt;=Законод!$F$27),AG772-Законод!$E$27,IF('01_Доходи'!AG772&gt;=Законод!$G$26,Законод!$F$28,0)))),0)))</f>
        <v>0</v>
      </c>
      <c r="AH775" s="930"/>
      <c r="AI775" s="201"/>
      <c r="AJ775" s="933"/>
      <c r="AK775" s="927"/>
      <c r="AL775" s="927"/>
      <c r="AM775" s="899"/>
      <c r="AN775" s="210">
        <f ca="1">IF(B768="Лікар загальної практики - сімейний лікар",L775*Законод!$C$9/4*Законод!$F$16,IF(B768="Лікар-педіатр",L775*Законод!$C$9/4*Законод!$F$16,IF(B768="Лікар-терапевт",L775*Законод!$C$9/4*Законод!$F$16,0)))</f>
        <v>0</v>
      </c>
      <c r="AO775" s="210">
        <f ca="1">IF(B768="Лікар загальної практики - сімейний лікар",S775*Законод!$C$9/4*Законод!$F$16,IF(B768="Лікар-педіатр",S775*Законод!$C$9/4*Законод!$F$16,IF(B768="Лікар-терапевт",S775*Законод!$C$9/4*Законод!$F$16,0)))</f>
        <v>0</v>
      </c>
      <c r="AP775" s="210">
        <f ca="1">IF(B768="Лікар загальної практики - сімейний лікар",Z775*Законод!$C$9/4*Законод!$F$16,IF(B768="Лікар-педіатр",Z775*Законод!$C$9/4*Законод!$F$16,IF(B768="Лікар-терапевт",Z775*Законод!$C$9/4*Законод!$F$16,0)))</f>
        <v>0</v>
      </c>
      <c r="AQ775" s="210">
        <f ca="1">IF(B768="Лікар загальної практики - сімейний лікар",AG775*Законод!$C$9/4*Законод!$F$16,IF(B768="Лікар-педіатр",AG775*Законод!$C$9/4*Законод!$F$16,IF(B768="Лікар-терапевт",AG775*Законод!$C$9/4*Законод!$F$16,0)))</f>
        <v>0</v>
      </c>
      <c r="AR775" s="211">
        <f t="shared" si="86"/>
        <v>0</v>
      </c>
    </row>
    <row r="776" spans="1:44" s="50" customFormat="1" ht="31.9" hidden="1" customHeight="1">
      <c r="A776" s="197"/>
      <c r="B776" s="893"/>
      <c r="C776" s="896"/>
      <c r="D776" s="912"/>
      <c r="E776" s="909"/>
      <c r="F776" s="238" t="str">
        <f ca="1">IF(B768="Лікар-педіатр",Законод!$G$17,IF(B768="Лікар загальної практики - сімейний лікар",Законод!$G$21,IF(B768="Лікар-терапевт",Законод!$G$25,"х")))</f>
        <v>х</v>
      </c>
      <c r="G776" s="889" t="s">
        <v>346</v>
      </c>
      <c r="H776" s="890"/>
      <c r="I776" s="890"/>
      <c r="J776" s="890"/>
      <c r="K776" s="891"/>
      <c r="L776" s="196">
        <f ca="1">IF($B$768="Лікар загальної практики - сімейний лікар",IF(L772&lt;Законод!$C$22,0,(IF(AND(L772&gt;=Законод!$G$22,L772&lt;=Законод!$G$23),L772-Законод!$F$23,IF('01_Доходи'!L772&gt;=Законод!$H$22,Законод!$G$24,0)))),IF($B$768="Лікар-педіатр",IF(L772&lt;Законод!$C$18,0,(IF(AND(L772&gt;=Законод!$G$18,L772&lt;=Законод!$G$19),L772-Законод!$F$19,IF('01_Доходи'!L772&gt;=Законод!$H$18,Законод!$G$20,0)))),IF($B$768="Лікар-терапевт",IF(L772&lt;Законод!$C$26,0,(IF(AND(L772&gt;=Законод!$G$26,L772&lt;=Законод!$G$27),L772-Законод!$F$27,IF('01_Доходи'!L772&gt;=Законод!$H$26,Законод!$G$28,0)))),0)))</f>
        <v>0</v>
      </c>
      <c r="M776" s="930"/>
      <c r="N776" s="889" t="s">
        <v>346</v>
      </c>
      <c r="O776" s="890"/>
      <c r="P776" s="890"/>
      <c r="Q776" s="890"/>
      <c r="R776" s="891"/>
      <c r="S776" s="196">
        <f ca="1">IF($B$768="Лікар загальної практики - сімейний лікар",IF(S772&lt;Законод!$C$22,0,(IF(AND(S772&gt;=Законод!$G$22,S772&lt;=Законод!$G$23),S772-Законод!$F$23,IF('01_Доходи'!S772&gt;=Законод!$H$22,Законод!$G$24,0)))),IF($B$768="Лікар-педіатр",IF(S772&lt;Законод!$C$18,0,(IF(AND(S772&gt;=Законод!$G$18,S772&lt;=Законод!$G$19),S772-Законод!$F$19,IF('01_Доходи'!S772&gt;=Законод!$H$18,Законод!$G$20,0)))),IF($B$768="Лікар-терапевт",IF(S772&lt;Законод!$C$26,0,(IF(AND(S772&gt;=Законод!$G$26,S772&lt;=Законод!$G$27),S772-Законод!$F$27,IF('01_Доходи'!S772&gt;=Законод!$H$26,Законод!$G$28,0)))),0)))</f>
        <v>0</v>
      </c>
      <c r="T776" s="930"/>
      <c r="U776" s="889" t="s">
        <v>346</v>
      </c>
      <c r="V776" s="890"/>
      <c r="W776" s="890"/>
      <c r="X776" s="890"/>
      <c r="Y776" s="891"/>
      <c r="Z776" s="196">
        <f ca="1">IF($B$768="Лікар загальної практики - сімейний лікар",IF(Z772&lt;Законод!$C$22,0,(IF(AND(Z772&gt;=Законод!$G$22,Z772&lt;=Законод!$G$23),Z772-Законод!$F$23,IF('01_Доходи'!Z772&gt;=Законод!$H$22,Законод!$G$24,0)))),IF($B$768="Лікар-педіатр",IF(Z772&lt;Законод!$C$18,0,(IF(AND(Z772&gt;=Законод!$G$18,Z772&lt;=Законод!$G$19),Z772-Законод!$F$19,IF('01_Доходи'!Z772&gt;=Законод!$H$18,Законод!$G$20,0)))),IF($B$768="Лікар-терапевт",IF(Z772&lt;Законод!$C$26,0,(IF(AND(Z772&gt;=Законод!$G$26,Z772&lt;=Законод!$G$27),Z772-Законод!$F$27,IF('01_Доходи'!Z772&gt;=Законод!$H$26,Законод!$G$28,0)))),0)))</f>
        <v>0</v>
      </c>
      <c r="AA776" s="930"/>
      <c r="AB776" s="889" t="s">
        <v>346</v>
      </c>
      <c r="AC776" s="890"/>
      <c r="AD776" s="890"/>
      <c r="AE776" s="890"/>
      <c r="AF776" s="891"/>
      <c r="AG776" s="196">
        <f ca="1">IF($B$768="Лікар загальної практики - сімейний лікар",IF(AG772&lt;Законод!$C$22,0,(IF(AND(AG772&gt;=Законод!$G$22,AG772&lt;=Законод!$G$23),AG772-Законод!$F$23,IF('01_Доходи'!AG772&gt;=Законод!$H$22,Законод!$G$24,0)))),IF($B$768="Лікар-педіатр",IF(AG772&lt;Законод!$C$18,0,(IF(AND(AG772&gt;=Законод!$G$18,AG772&lt;=Законод!$G$19),AG772-Законод!$F$19,IF('01_Доходи'!AG772&gt;=Законод!$H$18,Законод!$G$20,0)))),IF($B$768="Лікар-терапевт",IF(AG772&lt;Законод!$C$26,0,(IF(AND(AG772&gt;=Законод!$G$26,AG772&lt;=Законод!$G$27),AG772-Законод!$F$27,IF('01_Доходи'!AG772&gt;=Законод!$H$26,Законод!$G$28,0)))),0)))</f>
        <v>0</v>
      </c>
      <c r="AH776" s="930"/>
      <c r="AI776" s="201"/>
      <c r="AJ776" s="933"/>
      <c r="AK776" s="927"/>
      <c r="AL776" s="927"/>
      <c r="AM776" s="899"/>
      <c r="AN776" s="210">
        <f ca="1">IF(B768="Лікар загальної практики - сімейний лікар",L776*Законод!$C$9/4*Законод!$G$16,IF(B768="Лікар-педіатр",L776*Законод!$C$9/4*Законод!$G$16,IF(B768="Лікар-терапевт",L776*Законод!$C$9/4*Законод!$G$16,0)))</f>
        <v>0</v>
      </c>
      <c r="AO776" s="210">
        <f ca="1">IF(B768="Лікар загальної практики - сімейний лікар",S776*Законод!$C$9/4*Законод!$G$16,IF(B768="Лікар-педіатр",S776*Законод!$C$9/4*Законод!$G$16,IF(B768="Лікар-терапевт",S776*Законод!$C$9/4*Законод!$G$16,0)))</f>
        <v>0</v>
      </c>
      <c r="AP776" s="210">
        <f ca="1">IF(B768="Лікар загальної практики - сімейний лікар",Z776*Законод!$C$9/4*Законод!$G$16,IF(B768="Лікар-педіатр",Z776*Законод!$C$9/4*Законод!$G$16,IF(B768="Лікар-терапевт",Z776*Законод!$C$9/4*Законод!$G$16,0)))</f>
        <v>0</v>
      </c>
      <c r="AQ776" s="210">
        <f ca="1">IF(B768="Лікар загальної практики - сімейний лікар",AG776*Законод!$C$9/4*Законод!$G$16,IF(B768="Лікар-педіатр",AG776*Законод!$C$9/4*Законод!$G$16,IF(B768="Лікар-терапевт",AG776*Законод!$C$9/4*Законод!$G$16,0)))</f>
        <v>0</v>
      </c>
      <c r="AR776" s="211">
        <f t="shared" si="86"/>
        <v>0</v>
      </c>
    </row>
    <row r="777" spans="1:44" s="50" customFormat="1" ht="31.9" hidden="1" customHeight="1">
      <c r="A777" s="197"/>
      <c r="B777" s="893"/>
      <c r="C777" s="896"/>
      <c r="D777" s="912"/>
      <c r="E777" s="909"/>
      <c r="F777" s="238" t="str">
        <f ca="1">IF(B768="Лікар-педіатр",Законод!$H$17,IF(B768="Лікар загальної практики - сімейний лікар",Законод!$H$21,IF(B768="Лікар-терапевт",Законод!$H$25,"х")))</f>
        <v>х</v>
      </c>
      <c r="G777" s="889" t="s">
        <v>346</v>
      </c>
      <c r="H777" s="890"/>
      <c r="I777" s="890"/>
      <c r="J777" s="890"/>
      <c r="K777" s="891"/>
      <c r="L777" s="196">
        <f ca="1">IF($B$768="Лікар загальної практики - сімейний лікар",IF(L772&lt;Законод!$C$22,0,(IF(AND(L772&gt;=Законод!$H$22,L772&lt;=Законод!$H$23),L772-Законод!$G$23,IF('01_Доходи'!L772&gt;=Законод!$I$22,Законод!$H$24,0)))),IF($B$768="Лікар-педіатр",IF(L772&lt;Законод!$C$18,0,(IF(AND(L772&gt;=Законод!$H$18,L772&lt;=Законод!$H$19),L772-Законод!$G$19,IF('01_Доходи'!L772&gt;=Законод!$I$18,Законод!$H$20,0)))),IF($B$768="Лікар-терапевт",IF(L772&lt;Законод!$C$26,0,(IF(AND(L772&gt;=Законод!$H$26,L772&lt;=Законод!$H$27),L772-Законод!$G$27,IF(L772&gt;=Законод!$I$26,Законод!$H$28,0)))),0)))</f>
        <v>0</v>
      </c>
      <c r="M777" s="930"/>
      <c r="N777" s="889" t="s">
        <v>346</v>
      </c>
      <c r="O777" s="890"/>
      <c r="P777" s="890"/>
      <c r="Q777" s="890"/>
      <c r="R777" s="891"/>
      <c r="S777" s="196">
        <f ca="1">IF($B$768="Лікар загальної практики - сімейний лікар",IF(S772&lt;Законод!$C$22,0,(IF(AND(S772&gt;=Законод!$H$22,S772&lt;=Законод!$H$23),S772-Законод!$G$23,IF('01_Доходи'!S772&gt;=Законод!$I$22,Законод!$H$24,0)))),IF($B$768="Лікар-педіатр",IF(S772&lt;Законод!$C$18,0,(IF(AND(S772&gt;=Законод!$H$18,S772&lt;=Законод!$H$19),S772-Законод!$G$19,IF('01_Доходи'!S772&gt;=Законод!$I$18,Законод!$H$20,0)))),IF($B$768="Лікар-терапевт",IF(S772&lt;Законод!$C$26,0,(IF(AND(S772&gt;=Законод!$H$26,S772&lt;=Законод!$H$27),S772-Законод!$G$27,IF(S772&gt;=Законод!$I$26,Законод!$H$28,0)))),0)))</f>
        <v>0</v>
      </c>
      <c r="T777" s="930"/>
      <c r="U777" s="889" t="s">
        <v>346</v>
      </c>
      <c r="V777" s="890"/>
      <c r="W777" s="890"/>
      <c r="X777" s="890"/>
      <c r="Y777" s="891"/>
      <c r="Z777" s="196">
        <f ca="1">IF($B$768="Лікар загальної практики - сімейний лікар",IF(Z772&lt;Законод!$C$22,0,(IF(AND(Z772&gt;=Законод!$H$22,Z772&lt;=Законод!$H$23),Z772-Законод!$G$23,IF('01_Доходи'!Z772&gt;=Законод!$I$22,Законод!$H$24,0)))),IF($B$768="Лікар-педіатр",IF(Z772&lt;Законод!$C$18,0,(IF(AND(Z772&gt;=Законод!$H$18,Z772&lt;=Законод!$H$19),Z772-Законод!$G$19,IF('01_Доходи'!Z772&gt;=Законод!$I$18,Законод!$H$20,0)))),IF($B$768="Лікар-терапевт",IF(Z772&lt;Законод!$C$26,0,(IF(AND(Z772&gt;=Законод!$H$26,Z772&lt;=Законод!$H$27),Z772-Законод!$G$27,IF(Z772&gt;=Законод!$I$26,Законод!$H$28,0)))),0)))</f>
        <v>0</v>
      </c>
      <c r="AA777" s="930"/>
      <c r="AB777" s="889" t="s">
        <v>346</v>
      </c>
      <c r="AC777" s="890"/>
      <c r="AD777" s="890"/>
      <c r="AE777" s="890"/>
      <c r="AF777" s="891"/>
      <c r="AG777" s="196">
        <f ca="1">IF($B$768="Лікар загальної практики - сімейний лікар",IF(AG772&lt;Законод!$C$22,0,(IF(AND(AG772&gt;=Законод!$H$22,AG772&lt;=Законод!$H$23),AG772-Законод!$G$23,IF('01_Доходи'!AG772&gt;=Законод!$I$22,Законод!$H$24,0)))),IF($B$768="Лікар-педіатр",IF(AG772&lt;Законод!$C$18,0,(IF(AND(AG772&gt;=Законод!$H$18,AG772&lt;=Законод!$H$19),AG772-Законод!$G$19,IF('01_Доходи'!AG772&gt;=Законод!$I$18,Законод!$H$20,0)))),IF($B$768="Лікар-терапевт",IF(AG772&lt;Законод!$C$26,0,(IF(AND(AG772&gt;=Законод!$H$26,AG772&lt;=Законод!$H$27),AG772-Законод!$G$27,IF(AG772&gt;=Законод!$I$26,Законод!$H$28,0)))),0)))</f>
        <v>0</v>
      </c>
      <c r="AH777" s="930"/>
      <c r="AI777" s="201"/>
      <c r="AJ777" s="933"/>
      <c r="AK777" s="927"/>
      <c r="AL777" s="927"/>
      <c r="AM777" s="899"/>
      <c r="AN777" s="210">
        <f ca="1">IF(B768="Лікар загальної практики - сімейний лікар",L777*Законод!$C$9/4*Законод!$H$16,IF(B768="Лікар-педіатр",L777*Законод!$C$9/4*Законод!$H$16,IF(B768="Лікар-терапевт",L777*Законод!$C$9/4*Законод!$H$16,0)))</f>
        <v>0</v>
      </c>
      <c r="AO777" s="210">
        <f ca="1">IF(B768="Лікар загальної практики - сімейний лікар",S777*Законод!$C$9/4*Законод!$H$16,IF(B768="Лікар-педіатр",S777*Законод!$C$9/4*Законод!$H$16,IF(B768="Лікар-терапевт",S777*Законод!$C$9/4*Законод!$H$16,0)))</f>
        <v>0</v>
      </c>
      <c r="AP777" s="210">
        <f ca="1">IF(B768="Лікар загальної практики - сімейний лікар",Z777*Законод!$C$9/4*Законод!$H$16,IF(B768="Лікар-педіатр",Z777*Законод!$C$9/4*Законод!$H$16,IF(B768="Лікар-терапевт",Z777*Законод!$C$9/4*Законод!$H$16,0)))</f>
        <v>0</v>
      </c>
      <c r="AQ777" s="210">
        <f ca="1">IF(B768="Лікар загальної практики - сімейний лікар",AG777*Законод!$C$9/4*Законод!$H$16,IF(B768="Лікар-педіатр",AG777*Законод!$C$9/4*Законод!$H$16,IF(B768="Лікар-терапевт",AG777*Законод!$C$9/4*Законод!$H$16,0)))</f>
        <v>0</v>
      </c>
      <c r="AR777" s="211">
        <f t="shared" si="86"/>
        <v>0</v>
      </c>
    </row>
    <row r="778" spans="1:44" s="50" customFormat="1" ht="31.9" hidden="1" customHeight="1">
      <c r="A778" s="197"/>
      <c r="B778" s="893"/>
      <c r="C778" s="896"/>
      <c r="D778" s="912"/>
      <c r="E778" s="909"/>
      <c r="F778" s="238" t="str">
        <f ca="1">IF(B768="Лікар-педіатр",Законод!$I$17,IF(B768="Лікар загальної практики - сімейний лікар",Законод!$I$21,IF(B768="Лікар-терапевт",Законод!$I$25,"х")))</f>
        <v>х</v>
      </c>
      <c r="G778" s="889" t="s">
        <v>346</v>
      </c>
      <c r="H778" s="890"/>
      <c r="I778" s="890"/>
      <c r="J778" s="890"/>
      <c r="K778" s="891"/>
      <c r="L778" s="196">
        <f ca="1">IF($B$768="Лікар загальної практики - сімейний лікар",IF(L772&lt;Законод!$C$22,0,(IF(AND(L772&gt;=Законод!$I$22,L772&lt;=Законод!$I$23),L772-Законод!$H$23,IF('01_Доходи'!L772&gt;=Законод!$I$22,Законод!$I$24,0)))),IF($B$768="Лікар-педіатр",IF(L772&lt;Законод!$C$18,0,(IF(AND(L772&gt;=Законод!$I$18,L772&lt;=Законод!$I$19),L772-Законод!$H$19,IF('01_Доходи'!L772&gt;=Законод!$I$18,Законод!$H$20,0)))),IF($B$768="Лікар-терапевт",IF(L772&lt;Законод!$C$26,0,(IF(AND(L772&gt;=Законод!$I$26,L772&lt;=Законод!$I$27),L772-Законод!$H$27,IF('01_Доходи'!L772&gt;=Законод!$I$26,Законод!$H$28,0)))),0)))</f>
        <v>0</v>
      </c>
      <c r="M778" s="930"/>
      <c r="N778" s="889" t="s">
        <v>346</v>
      </c>
      <c r="O778" s="890"/>
      <c r="P778" s="890"/>
      <c r="Q778" s="890"/>
      <c r="R778" s="891"/>
      <c r="S778" s="196">
        <f ca="1">IF($B$768="Лікар загальної практики - сімейний лікар",IF(S772&lt;Законод!$C$22,0,(IF(AND(S772&gt;=Законод!$I$22,S772&lt;=Законод!$I$23),S772-Законод!$H$23,IF('01_Доходи'!S772&gt;=Законод!$I$22,Законод!$I$24,0)))),IF($B$768="Лікар-педіатр",IF(S772&lt;Законод!$C$18,0,(IF(AND(S772&gt;=Законод!$I$18,S772&lt;=Законод!$I$19),S772-Законод!$H$19,IF('01_Доходи'!S772&gt;=Законод!$I$18,Законод!$H$20,0)))),IF($B$768="Лікар-терапевт",IF(S772&lt;Законод!$C$26,0,(IF(AND(S772&gt;=Законод!$I$26,S772&lt;=Законод!$I$27),S772-Законод!$H$27,IF('01_Доходи'!S772&gt;=Законод!$I$26,Законод!$H$28,0)))),0)))</f>
        <v>0</v>
      </c>
      <c r="T778" s="930"/>
      <c r="U778" s="889" t="s">
        <v>346</v>
      </c>
      <c r="V778" s="890"/>
      <c r="W778" s="890"/>
      <c r="X778" s="890"/>
      <c r="Y778" s="891"/>
      <c r="Z778" s="196">
        <f ca="1">IF($B$768="Лікар загальної практики - сімейний лікар",IF(Z772&lt;Законод!$C$22,0,(IF(AND(Z772&gt;=Законод!$I$22,Z772&lt;=Законод!$I$23),Z772-Законод!$H$23,IF('01_Доходи'!Z772&gt;=Законод!$I$22,Законод!$I$24,0)))),IF($B$768="Лікар-педіатр",IF(Z772&lt;Законод!$C$18,0,(IF(AND(Z772&gt;=Законод!$I$18,Z772&lt;=Законод!$I$19),Z772-Законод!$H$19,IF('01_Доходи'!Z772&gt;=Законод!$I$18,Законод!$H$20,0)))),IF($B$768="Лікар-терапевт",IF(Z772&lt;Законод!$C$26,0,(IF(AND(Z772&gt;=Законод!$I$26,Z772&lt;=Законод!$I$27),Z772-Законод!$H$27,IF('01_Доходи'!Z772&gt;=Законод!$I$26,Законод!$H$28,0)))),0)))</f>
        <v>0</v>
      </c>
      <c r="AA778" s="930"/>
      <c r="AB778" s="889" t="s">
        <v>346</v>
      </c>
      <c r="AC778" s="890"/>
      <c r="AD778" s="890"/>
      <c r="AE778" s="890"/>
      <c r="AF778" s="891"/>
      <c r="AG778" s="196">
        <f ca="1">IF($B$768="Лікар загальної практики - сімейний лікар",IF(AG772&lt;Законод!$C$22,0,(IF(AND(AG772&gt;=Законод!$I$22,AG772&lt;=Законод!$I$23),AG772-Законод!$H$23,IF('01_Доходи'!AG772&gt;=Законод!$I$22,Законод!$I$24,0)))),IF($B$768="Лікар-педіатр",IF(AG772&lt;Законод!$C$18,0,(IF(AND(AG772&gt;=Законод!$I$18,AG772&lt;=Законод!$I$19),AG772-Законод!$H$19,IF('01_Доходи'!AG772&gt;=Законод!$I$18,Законод!$H$20,0)))),IF($B$768="Лікар-терапевт",IF(AG772&lt;Законод!$C$26,0,(IF(AND(AG772&gt;=Законод!$I$26,AG772&lt;=Законод!$I$27),AG772-Законод!$H$27,IF('01_Доходи'!AG772&gt;=Законод!$I$26,Законод!$H$28,0)))),0)))</f>
        <v>0</v>
      </c>
      <c r="AH778" s="930"/>
      <c r="AI778" s="201"/>
      <c r="AJ778" s="933"/>
      <c r="AK778" s="927"/>
      <c r="AL778" s="927"/>
      <c r="AM778" s="899"/>
      <c r="AN778" s="210">
        <f ca="1">IF(B768="Лікар загальної практики - сімейний лікар",L778*Законод!$C$9/4*Законод!$I$16,IF(B768="Лікар-педіатр",L778*Законод!$C$9/4*Законод!$I$16,IF(B768="Лікар-терапевт",L778*Законод!$C$9/4*Законод!$I$16,0)))</f>
        <v>0</v>
      </c>
      <c r="AO778" s="210">
        <f ca="1">IF(B768="Лікар загальної практики - сімейний лікар",S778*Законод!$C$9/4*Законод!$I$16,IF(B768="Лікар-педіатр",S778*Законод!$C$9/4*Законод!$I$16,IF(B768="Лікар-терапевт",S778*Законод!$C$9/4*Законод!$I$16,0)))</f>
        <v>0</v>
      </c>
      <c r="AP778" s="210">
        <f ca="1">IF(B768="Лікар загальної практики - сімейний лікар",Z778*Законод!$C$9/4*Законод!$I$16,IF(B768="Лікар-педіатр",Z778*Законод!$C$9/4*Законод!$I$16,IF(B768="Лікар-терапевт",Z778*Законод!$C$9/4*Законод!$I$16,0)))</f>
        <v>0</v>
      </c>
      <c r="AQ778" s="210">
        <f ca="1">IF(B768="Лікар загальної практики - сімейний лікар",AG778*Законод!$C$9/4*Законод!$I$16,IF(B768="Лікар-педіатр",AG778*Законод!$C$9/4*Законод!$I$16,IF(B768="Лікар-терапевт",AG778*Законод!$C$9/4*Законод!$I$16,0)))</f>
        <v>0</v>
      </c>
      <c r="AR778" s="211">
        <f t="shared" si="86"/>
        <v>0</v>
      </c>
    </row>
    <row r="779" spans="1:44" s="218" customFormat="1" ht="31.9" hidden="1" customHeight="1" thickBot="1">
      <c r="A779" s="213"/>
      <c r="B779" s="894"/>
      <c r="C779" s="897"/>
      <c r="D779" s="913"/>
      <c r="E779" s="910"/>
      <c r="F779" s="239" t="str">
        <f ca="1">IF(B768="Лікар-педіатр",Законод!$J$17,IF(B768="Лікар загальної практики - сімейний лікар",Законод!$J$21,IF(B768="Лікар-терапевт",Законод!$J$25,"х")))</f>
        <v>х</v>
      </c>
      <c r="G779" s="935" t="s">
        <v>346</v>
      </c>
      <c r="H779" s="936"/>
      <c r="I779" s="936"/>
      <c r="J779" s="936"/>
      <c r="K779" s="937"/>
      <c r="L779" s="196">
        <f ca="1">IF($B$768="Лікар загальної практики - сімейний лікар",IF(L772&gt;=Законод!$J$22,'01_Доходи'!L772-('01_Доходи'!L773+'01_Доходи'!L774+'01_Доходи'!L775+'01_Доходи'!L776+'01_Доходи'!L777+'01_Доходи'!L778),0),IF($B$768="Лікар-педіатр",IF(L772&gt;=Законод!$J$18,'01_Доходи'!L772-('01_Доходи'!L773+'01_Доходи'!L774+'01_Доходи'!L775+'01_Доходи'!L776+'01_Доходи'!L777+'01_Доходи'!L778),0),IF($B$768="Лікар-терапевт",IF('01_Доходи'!L772&gt;=Законод!$J$26,L772-Законод!$I$27,0),0)))</f>
        <v>0</v>
      </c>
      <c r="M779" s="931"/>
      <c r="N779" s="935" t="s">
        <v>346</v>
      </c>
      <c r="O779" s="936"/>
      <c r="P779" s="936"/>
      <c r="Q779" s="936"/>
      <c r="R779" s="937"/>
      <c r="S779" s="196">
        <f ca="1">IF($B$768="Лікар загальної практики - сімейний лікар",IF(S772&gt;=Законод!$J$22,'01_Доходи'!S772-('01_Доходи'!S773+'01_Доходи'!S774+'01_Доходи'!S775+'01_Доходи'!S776+'01_Доходи'!S777+'01_Доходи'!S778),0),IF($B$768="Лікар-педіатр",IF(S772&gt;=Законод!$J$18,'01_Доходи'!S772-('01_Доходи'!S773+'01_Доходи'!S774+'01_Доходи'!S775+'01_Доходи'!S776+'01_Доходи'!S777+'01_Доходи'!S778),0),IF($B$768="Лікар-терапевт",IF('01_Доходи'!S772&gt;=Законод!$J$26,S772-Законод!$I$27,0),0)))</f>
        <v>0</v>
      </c>
      <c r="T779" s="931"/>
      <c r="U779" s="935" t="s">
        <v>346</v>
      </c>
      <c r="V779" s="936"/>
      <c r="W779" s="936"/>
      <c r="X779" s="936"/>
      <c r="Y779" s="937"/>
      <c r="Z779" s="196">
        <f ca="1">IF($B$768="Лікар загальної практики - сімейний лікар",IF(Z772&gt;=Законод!$J$22,'01_Доходи'!Z772-('01_Доходи'!Z773+'01_Доходи'!Z774+'01_Доходи'!Z775+'01_Доходи'!Z776+'01_Доходи'!Z777+'01_Доходи'!Z778),0),IF($B$768="Лікар-педіатр",IF(Z772&gt;=Законод!$J$18,'01_Доходи'!Z772-('01_Доходи'!Z773+'01_Доходи'!Z774+'01_Доходи'!Z775+'01_Доходи'!Z776+'01_Доходи'!Z777+'01_Доходи'!Z778),0),IF($B$768="Лікар-терапевт",IF('01_Доходи'!Z772&gt;=Законод!$J$26,Z772-Законод!$I$27,0),0)))</f>
        <v>0</v>
      </c>
      <c r="AA779" s="931"/>
      <c r="AB779" s="935" t="s">
        <v>346</v>
      </c>
      <c r="AC779" s="936"/>
      <c r="AD779" s="936"/>
      <c r="AE779" s="936"/>
      <c r="AF779" s="937"/>
      <c r="AG779" s="196">
        <f ca="1">IF($B$768="Лікар загальної практики - сімейний лікар",IF(AG772&gt;=Законод!$J$22,'01_Доходи'!AG772-('01_Доходи'!AG773+'01_Доходи'!AG774+'01_Доходи'!AG775+'01_Доходи'!AG776+'01_Доходи'!AG777+'01_Доходи'!AG778),0),IF($B$768="Лікар-педіатр",IF(AG772&gt;=Законод!$J$18,'01_Доходи'!AG772-('01_Доходи'!AG773+'01_Доходи'!AG774+'01_Доходи'!AG775+'01_Доходи'!AG776+'01_Доходи'!AG777+'01_Доходи'!AG778),0),IF($B$768="Лікар-терапевт",IF('01_Доходи'!AG772&gt;=Законод!$J$26,AG772-Законод!$I$27,0),0)))</f>
        <v>0</v>
      </c>
      <c r="AH779" s="931"/>
      <c r="AI779" s="215"/>
      <c r="AJ779" s="934"/>
      <c r="AK779" s="928"/>
      <c r="AL779" s="928"/>
      <c r="AM779" s="900"/>
      <c r="AN779" s="216">
        <f ca="1">IF(B768="Лікар загальної практики - сімейний лікар",L779*Законод!$C$9/4*Законод!$J$16,IF(B768="Лікар-педіатр",L779*Законод!$C$9/4*Законод!$J$16,IF(B768="Лікар-терапевт",L779*Законод!$C$9/4*Законод!$J$16,0)))</f>
        <v>0</v>
      </c>
      <c r="AO779" s="216">
        <f ca="1">IF(B768="Лікар загальної практики - сімейний лікар",S779*Законод!$C$9/4*Законод!$J$16,IF(B768="Лікар-педіатр",S779*Законод!$C$9/4*Законод!$J$16,IF(B768="Лікар-терапевт",S779*Законод!$C$9/4*Законод!$J$16,0)))</f>
        <v>0</v>
      </c>
      <c r="AP779" s="216">
        <f ca="1">IF(B768="Лікар загальної практики - сімейний лікар",S779*Законод!$C$9/4*Законод!$J$16,IF(B768="Лікар-педіатр",S779*Законод!$C$9/4*Законод!$J$16,IF(B768="Лікар-терапевт",S779*Законод!$C$9/4*Законод!$J$16,0)))</f>
        <v>0</v>
      </c>
      <c r="AQ779" s="216">
        <f ca="1">IF(B768="Лікар загальної практики - сімейний лікар",AG779*Законод!$C$9/4*Законод!$J$16,IF(B768="Лікар-педіатр",AG779*Законод!$C$9/4*Законод!$J$16,IF(B768="Лікар-терапевт",AG779*Законод!$C$9/4*Законод!$J$16,0)))</f>
        <v>0</v>
      </c>
      <c r="AR779" s="217">
        <f t="shared" si="86"/>
        <v>0</v>
      </c>
    </row>
    <row r="780" spans="1:44" s="247" customFormat="1" ht="23.45" hidden="1" customHeight="1" thickBot="1">
      <c r="A780" s="243"/>
      <c r="B780" s="244"/>
      <c r="C780" s="244"/>
      <c r="D780" s="244"/>
      <c r="E780" s="244"/>
      <c r="F780" s="245"/>
      <c r="G780" s="246"/>
      <c r="H780" s="246"/>
      <c r="L780" s="248"/>
      <c r="S780" s="248"/>
      <c r="Z780" s="248"/>
      <c r="AG780" s="248"/>
      <c r="AM780" s="249"/>
      <c r="AR780" s="250"/>
    </row>
    <row r="781" spans="1:44" s="191" customFormat="1" ht="24.6" hidden="1" customHeight="1">
      <c r="A781" s="194">
        <f>A768+1</f>
        <v>58</v>
      </c>
      <c r="B781" s="892"/>
      <c r="C781" s="895"/>
      <c r="D781" s="911"/>
      <c r="E781" s="908"/>
      <c r="F781" s="234" t="s">
        <v>582</v>
      </c>
      <c r="G781" s="196">
        <f>IF($B$781="Лікар-педіатр",G784*L781,IF($B$781="Лікар-терапевт","х",IF($B$781="Лікар загальної практики - сімейний лікар",G784*L781,0)))</f>
        <v>0</v>
      </c>
      <c r="H781" s="196">
        <f>IF($B$781="Лікар-педіатр",H784*L781,IF($B$781="Лікар-терапевт","х",IF($B$781="Лікар загальної практики - сімейний лікар",H784*L781,0)))</f>
        <v>0</v>
      </c>
      <c r="I781" s="196">
        <f>IF($B$781="Лікар-педіатр","x",IF($B$781="Лікар-терапевт",I784*L781,IF($B$781="Лікар загальної практики - сімейний лікар",I784*L781,0)))</f>
        <v>0</v>
      </c>
      <c r="J781" s="196">
        <f>IF($B$781="Лікар-педіатр","x",IF($B$781="Лікар-терапевт",J784*L781,IF($B$781="Лікар загальної практики - сімейний лікар",J784*L781,0)))</f>
        <v>0</v>
      </c>
      <c r="K781" s="196">
        <f>IF($B$781="Лікар-педіатр","x",IF($B$781="Лікар-терапевт",K784*L781,IF($B$781="Лікар загальної практики - сімейний лікар",K784*L781,0)))</f>
        <v>0</v>
      </c>
      <c r="L781" s="558"/>
      <c r="M781" s="929"/>
      <c r="N781" s="196">
        <f>IF($B$781="Лікар-педіатр",N784*S781,IF($B$781="Лікар-терапевт","х",IF($B$781="Лікар загальної практики - сімейний лікар",N784*S781,0)))</f>
        <v>0</v>
      </c>
      <c r="O781" s="196">
        <f>IF($B$781="Лікар-педіатр",O784*S781,IF($B$781="Лікар-терапевт","х",IF($B$781="Лікар загальної практики - сімейний лікар",O784*S781,0)))</f>
        <v>0</v>
      </c>
      <c r="P781" s="196">
        <f>IF($B$781="Лікар-педіатр","x",IF($B$781="Лікар-терапевт",P784*S781,IF($B$781="Лікар загальної практики - сімейний лікар",P784*S781,0)))</f>
        <v>0</v>
      </c>
      <c r="Q781" s="196">
        <f>IF($B$781="Лікар-педіатр","x",IF($B$781="Лікар-терапевт",Q784*S781,IF($B$781="Лікар загальної практики - сімейний лікар",Q784*S781,0)))</f>
        <v>0</v>
      </c>
      <c r="R781" s="196">
        <f>IF($B$781="Лікар-педіатр","x",IF($B$781="Лікар-терапевт",R784*S781,IF($B$781="Лікар загальної практики - сімейний лікар",R784*S781,0)))</f>
        <v>0</v>
      </c>
      <c r="S781" s="558"/>
      <c r="T781" s="929"/>
      <c r="U781" s="196">
        <f>IF($B$781="Лікар-педіатр",U784*Z781,IF($B$781="Лікар-терапевт","х",IF($B$781="Лікар загальної практики - сімейний лікар",U784*Z781,0)))</f>
        <v>0</v>
      </c>
      <c r="V781" s="196">
        <f>IF($B$781="Лікар-педіатр",V784*Z781,IF($B$781="Лікар-терапевт","х",IF($B$781="Лікар загальної практики - сімейний лікар",V784*Z781,0)))</f>
        <v>0</v>
      </c>
      <c r="W781" s="196">
        <f>IF($B$781="Лікар-педіатр","x",IF($B$781="Лікар-терапевт",W784*Z781,IF($B$781="Лікар загальної практики - сімейний лікар",W784*Z781,0)))</f>
        <v>0</v>
      </c>
      <c r="X781" s="196">
        <f>IF($B$781="Лікар-педіатр","x",IF($B$781="Лікар-терапевт",X784*Z781,IF($B$781="Лікар загальної практики - сімейний лікар",X784*Z781,0)))</f>
        <v>0</v>
      </c>
      <c r="Y781" s="196">
        <f>IF($B$781="Лікар-педіатр","x",IF($B$781="Лікар-терапевт",Y784*Z781,IF($B$781="Лікар загальної практики - сімейний лікар",Y784*Z781,0)))</f>
        <v>0</v>
      </c>
      <c r="Z781" s="558"/>
      <c r="AA781" s="929"/>
      <c r="AB781" s="196">
        <f>IF($B$781="Лікар-педіатр",AB784*AG781,IF($B$781="Лікар-терапевт","х",IF($B$781="Лікар загальної практики - сімейний лікар",AB784*AG781,0)))</f>
        <v>0</v>
      </c>
      <c r="AC781" s="196">
        <f>IF($B$781="Лікар-педіатр",AC784*AG781,IF($B$781="Лікар-терапевт","х",IF($B$781="Лікар загальної практики - сімейний лікар",AC784*AG781,0)))</f>
        <v>0</v>
      </c>
      <c r="AD781" s="196">
        <f>IF($B$781="Лікар-педіатр","x",IF($B$781="Лікар-терапевт",AD784*AG781,IF($B$781="Лікар загальної практики - сімейний лікар",AD784*AG781,0)))</f>
        <v>0</v>
      </c>
      <c r="AE781" s="196">
        <f>IF($B$781="Лікар-педіатр","x",IF($B$781="Лікар-терапевт",AE784*AG781,IF($B$781="Лікар загальної практики - сімейний лікар",AE784*AG781,0)))</f>
        <v>0</v>
      </c>
      <c r="AF781" s="196">
        <f>IF($B$781="Лікар-педіатр","x",IF($B$781="Лікар-терапевт",AF784*AG781,IF($B$781="Лікар загальної практики - сімейний лікар",AF784*AG781,0)))</f>
        <v>0</v>
      </c>
      <c r="AG781" s="235"/>
      <c r="AH781" s="929"/>
      <c r="AI781" s="541">
        <f>A781</f>
        <v>58</v>
      </c>
      <c r="AJ781" s="932">
        <f>B781</f>
        <v>0</v>
      </c>
      <c r="AK781" s="926">
        <f>C781</f>
        <v>0</v>
      </c>
      <c r="AL781" s="926">
        <f>D781</f>
        <v>0</v>
      </c>
      <c r="AM781" s="901" t="s">
        <v>785</v>
      </c>
      <c r="AN781" s="923">
        <f>SUM(AN786:AN792)</f>
        <v>0</v>
      </c>
      <c r="AO781" s="923">
        <f>SUM(AO786:AO792)</f>
        <v>0</v>
      </c>
      <c r="AP781" s="923">
        <f>SUM(AP786:AP792)</f>
        <v>0</v>
      </c>
      <c r="AQ781" s="923">
        <f>SUM(AQ786:AQ792)</f>
        <v>0</v>
      </c>
      <c r="AR781" s="914">
        <f>SUM(AN781:AQ785)</f>
        <v>0</v>
      </c>
    </row>
    <row r="782" spans="1:44" s="50" customFormat="1" ht="28.15" hidden="1" customHeight="1">
      <c r="A782" s="197"/>
      <c r="B782" s="893"/>
      <c r="C782" s="896"/>
      <c r="D782" s="912"/>
      <c r="E782" s="909"/>
      <c r="F782" s="234" t="s">
        <v>583</v>
      </c>
      <c r="G782" s="196">
        <f>IF($B$781="Лікар-педіатр",G784*L782,IF($B$781="Лікар-терапевт","х",IF($B$781="Лікар загальної практики - сімейний лікар",G784*L782,0)))</f>
        <v>0</v>
      </c>
      <c r="H782" s="196">
        <f>IF($B$781="Лікар-педіатр",H784*L782,IF($B$781="Лікар-терапевт","х",IF($B$781="Лікар загальної практики - сімейний лікар",H784*L782,0)))</f>
        <v>0</v>
      </c>
      <c r="I782" s="196">
        <f>IF($B$781="Лікар-педіатр","x",IF($B$781="Лікар-терапевт",I784*L782,IF($B$781="Лікар загальної практики - сімейний лікар",I784*L782,0)))</f>
        <v>0</v>
      </c>
      <c r="J782" s="196">
        <f>IF($B$781="Лікар-педіатр","x",IF($B$781="Лікар-терапевт",J784*L782,IF($B$781="Лікар загальної практики - сімейний лікар",J784*L782,0)))</f>
        <v>0</v>
      </c>
      <c r="K782" s="196">
        <f>IF($B$781="Лікар-педіатр","x",IF($B$781="Лікар-терапевт",K784*L782,IF($B$781="Лікар загальної практики - сімейний лікар",K784*L782,0)))</f>
        <v>0</v>
      </c>
      <c r="L782" s="558"/>
      <c r="M782" s="930"/>
      <c r="N782" s="196">
        <f>IF($B$781="Лікар-педіатр",N784*S782,IF($B$781="Лікар-терапевт","х",IF($B$781="Лікар загальної практики - сімейний лікар",N784*S782,0)))</f>
        <v>0</v>
      </c>
      <c r="O782" s="196">
        <f>IF($B$781="Лікар-педіатр",O784*S782,IF($B$781="Лікар-терапевт","х",IF($B$781="Лікар загальної практики - сімейний лікар",O784*S782,0)))</f>
        <v>0</v>
      </c>
      <c r="P782" s="196">
        <f>IF($B$781="Лікар-педіатр","x",IF($B$781="Лікар-терапевт",P784*S782,IF($B$781="Лікар загальної практики - сімейний лікар",P784*S782,0)))</f>
        <v>0</v>
      </c>
      <c r="Q782" s="196">
        <f>IF($B$781="Лікар-педіатр","x",IF($B$781="Лікар-терапевт",Q784*S782,IF($B$781="Лікар загальної практики - сімейний лікар",Q784*S782,0)))</f>
        <v>0</v>
      </c>
      <c r="R782" s="196">
        <f>IF($B$781="Лікар-педіатр","x",IF($B$781="Лікар-терапевт",R784*S782,IF($B$781="Лікар загальної практики - сімейний лікар",R784*S782,0)))</f>
        <v>0</v>
      </c>
      <c r="S782" s="558"/>
      <c r="T782" s="930"/>
      <c r="U782" s="196">
        <f>IF($B$781="Лікар-педіатр",U784*Z782,IF($B$781="Лікар-терапевт","х",IF($B$781="Лікар загальної практики - сімейний лікар",U784*Z782,0)))</f>
        <v>0</v>
      </c>
      <c r="V782" s="196">
        <f>IF($B$781="Лікар-педіатр",V784*Z782,IF($B$781="Лікар-терапевт","х",IF($B$781="Лікар загальної практики - сімейний лікар",V784*Z782,0)))</f>
        <v>0</v>
      </c>
      <c r="W782" s="196">
        <f>IF($B$781="Лікар-педіатр","x",IF($B$781="Лікар-терапевт",W784*Z782,IF($B$781="Лікар загальної практики - сімейний лікар",W784*Z782,0)))</f>
        <v>0</v>
      </c>
      <c r="X782" s="196">
        <f>IF($B$781="Лікар-педіатр","x",IF($B$781="Лікар-терапевт",X784*Z782,IF($B$781="Лікар загальної практики - сімейний лікар",X784*Z782,0)))</f>
        <v>0</v>
      </c>
      <c r="Y782" s="196">
        <f>IF($B$781="Лікар-педіатр","x",IF($B$781="Лікар-терапевт",Y784*Z782,IF($B$781="Лікар загальної практики - сімейний лікар",Y784*Z782,0)))</f>
        <v>0</v>
      </c>
      <c r="Z782" s="558"/>
      <c r="AA782" s="930"/>
      <c r="AB782" s="196">
        <f>IF($B$781="Лікар-педіатр",AB784*AG782,IF($B$781="Лікар-терапевт","х",IF($B$781="Лікар загальної практики - сімейний лікар",AB784*AG782,0)))</f>
        <v>0</v>
      </c>
      <c r="AC782" s="196">
        <f>IF($B$781="Лікар-педіатр",AC784*AG782,IF($B$781="Лікар-терапевт","х",IF($B$781="Лікар загальної практики - сімейний лікар",AC784*AG782,0)))</f>
        <v>0</v>
      </c>
      <c r="AD782" s="196">
        <f>IF($B$781="Лікар-педіатр","x",IF($B$781="Лікар-терапевт",AD784*AG782,IF($B$781="Лікар загальної практики - сімейний лікар",AD784*AG782,0)))</f>
        <v>0</v>
      </c>
      <c r="AE782" s="196">
        <f>IF($B$781="Лікар-педіатр","x",IF($B$781="Лікар-терапевт",AE784*AG782,IF($B$781="Лікар загальної практики - сімейний лікар",AE784*AG782,0)))</f>
        <v>0</v>
      </c>
      <c r="AF782" s="196">
        <f>IF($B$781="Лікар-педіатр","x",IF($B$781="Лікар-терапевт",AF784*AG782,IF($B$781="Лікар загальної практики - сімейний лікар",AF784*AG782,0)))</f>
        <v>0</v>
      </c>
      <c r="AG782" s="235"/>
      <c r="AH782" s="930"/>
      <c r="AI782" s="198"/>
      <c r="AJ782" s="933"/>
      <c r="AK782" s="927"/>
      <c r="AL782" s="927"/>
      <c r="AM782" s="902"/>
      <c r="AN782" s="924"/>
      <c r="AO782" s="924"/>
      <c r="AP782" s="924"/>
      <c r="AQ782" s="924"/>
      <c r="AR782" s="915"/>
    </row>
    <row r="783" spans="1:44" s="90" customFormat="1" ht="31.15" hidden="1" customHeight="1">
      <c r="A783" s="240"/>
      <c r="B783" s="893"/>
      <c r="C783" s="896"/>
      <c r="D783" s="912"/>
      <c r="E783" s="909"/>
      <c r="F783" s="241" t="s">
        <v>584</v>
      </c>
      <c r="G783" s="199">
        <f>IF(B781="Лікар загальної практики - сімейний лікар"," ",IF(B781="Лікар-педіатр"," ",IF(B781="Лікар-терапевт","х",0)))</f>
        <v>0</v>
      </c>
      <c r="H783" s="199">
        <f>IF(B781="Лікар загальної практики - сімейний лікар"," ",IF(B781="Лікар-педіатр"," ",IF(B781="Лікар-терапевт","х",0)))</f>
        <v>0</v>
      </c>
      <c r="I783" s="199">
        <f>IF(B781="Лікар загальної практики - сімейний лікар"," ",IF(B781="Лікар-педіатр","х",IF(B781="Лікар-терапевт"," ",0)))</f>
        <v>0</v>
      </c>
      <c r="J783" s="199">
        <f>IF(B781="Лікар загальної практики - сімейний лікар"," ",IF(B781="Лікар-педіатр","х",IF(B781="Лікар-терапевт"," ",0)))</f>
        <v>0</v>
      </c>
      <c r="K783" s="199">
        <f>IF(B781="Лікар загальної практики - сімейний лікар"," ",IF(B781="Лікар-педіатр","х",IF(B781="Лікар-терапевт"," ",0)))</f>
        <v>0</v>
      </c>
      <c r="L783" s="200">
        <f>SUM(G783:K783)</f>
        <v>0</v>
      </c>
      <c r="M783" s="930"/>
      <c r="N783" s="199">
        <f>IF(B781="Лікар загальної практики - сімейний лікар"," ",IF(B781="Лікар-педіатр"," ",IF(B781="Лікар-терапевт","х",0)))</f>
        <v>0</v>
      </c>
      <c r="O783" s="199">
        <f>IF(B781="Лікар загальної практики - сімейний лікар"," ",IF(B781="Лікар-педіатр"," ",IF(B781="Лікар-терапевт","х",0)))</f>
        <v>0</v>
      </c>
      <c r="P783" s="199">
        <f>IF(B781="Лікар загальної практики - сімейний лікар"," ",IF(B781="Лікар-педіатр","х",IF(B781="Лікар-терапевт"," ",0)))</f>
        <v>0</v>
      </c>
      <c r="Q783" s="199">
        <f>IF(B781="Лікар загальної практики - сімейний лікар"," ",IF(B781="Лікар-педіатр","х",IF(B781="Лікар-терапевт"," ",0)))</f>
        <v>0</v>
      </c>
      <c r="R783" s="199">
        <f>IF(B781="Лікар загальної практики - сімейний лікар"," ",IF(B781="Лікар-педіатр","х",IF(B781="Лікар-терапевт"," ",0)))</f>
        <v>0</v>
      </c>
      <c r="S783" s="200">
        <f>SUM(N783:R783)</f>
        <v>0</v>
      </c>
      <c r="T783" s="930"/>
      <c r="U783" s="199">
        <f>IF(B781="Лікар загальної практики - сімейний лікар"," ",IF(B781="Лікар-педіатр"," ",IF(B781="Лікар-терапевт","х",0)))</f>
        <v>0</v>
      </c>
      <c r="V783" s="199">
        <f>IF(B781="Лікар загальної практики - сімейний лікар"," ",IF(B781="Лікар-педіатр"," ",IF(B781="Лікар-терапевт","х",0)))</f>
        <v>0</v>
      </c>
      <c r="W783" s="199">
        <f>IF(B781="Лікар загальної практики - сімейний лікар"," ",IF(B781="Лікар-педіатр","х",IF(B781="Лікар-терапевт"," ",0)))</f>
        <v>0</v>
      </c>
      <c r="X783" s="199">
        <f>IF(B781="Лікар загальної практики - сімейний лікар"," ",IF(B781="Лікар-педіатр","х",IF(B781="Лікар-терапевт"," ",0)))</f>
        <v>0</v>
      </c>
      <c r="Y783" s="199">
        <f>IF(B781="Лікар загальної практики - сімейний лікар"," ",IF(B781="Лікар-педіатр","х",IF(B781="Лікар-терапевт"," ",0)))</f>
        <v>0</v>
      </c>
      <c r="Z783" s="200">
        <f>SUM(U783:Y783)</f>
        <v>0</v>
      </c>
      <c r="AA783" s="930"/>
      <c r="AB783" s="199">
        <f>IF(B781="Лікар загальної практики - сімейний лікар"," ",IF(B781="Лікар-педіатр"," ",IF(B781="Лікар-терапевт","х",0)))</f>
        <v>0</v>
      </c>
      <c r="AC783" s="199">
        <f>IF(B781="Лікар загальної практики - сімейний лікар"," ",IF(B781="Лікар-педіатр"," ",IF(B781="Лікар-терапевт","х",0)))</f>
        <v>0</v>
      </c>
      <c r="AD783" s="199">
        <f>IF(B781="Лікар загальної практики - сімейний лікар"," ",IF(B781="Лікар-педіатр","х",IF(B781="Лікар-терапевт"," ",0)))</f>
        <v>0</v>
      </c>
      <c r="AE783" s="199">
        <f>IF(B781="Лікар загальної практики - сімейний лікар"," ",IF(B781="Лікар-педіатр","х",IF(B781="Лікар-терапевт"," ",0)))</f>
        <v>0</v>
      </c>
      <c r="AF783" s="199">
        <f>IF(B781="Лікар загальної практики - сімейний лікар"," ",IF(B781="Лікар-педіатр","х",IF(B781="Лікар-терапевт"," ",0)))</f>
        <v>0</v>
      </c>
      <c r="AG783" s="200">
        <f>SUM(AB783:AF783)</f>
        <v>0</v>
      </c>
      <c r="AH783" s="930"/>
      <c r="AI783" s="242"/>
      <c r="AJ783" s="933"/>
      <c r="AK783" s="927"/>
      <c r="AL783" s="927"/>
      <c r="AM783" s="902"/>
      <c r="AN783" s="924"/>
      <c r="AO783" s="924"/>
      <c r="AP783" s="924"/>
      <c r="AQ783" s="924"/>
      <c r="AR783" s="915"/>
    </row>
    <row r="784" spans="1:44" s="50" customFormat="1" ht="31.9" hidden="1" customHeight="1" thickBot="1">
      <c r="A784" s="197"/>
      <c r="B784" s="893"/>
      <c r="C784" s="896"/>
      <c r="D784" s="912"/>
      <c r="E784" s="909"/>
      <c r="F784" s="236" t="s">
        <v>349</v>
      </c>
      <c r="G784" s="203">
        <f>IF($B$781="Лікар-педіатр",G783/L783,IF($B$781="Лікар-терапевт","х",IF($B$781="Лікар загальної практики - сімейний лікар",G783/L783,0)))</f>
        <v>0</v>
      </c>
      <c r="H784" s="203">
        <f>IF($B$781="Лікар-педіатр",H783/L783,IF($B$781="Лікар-терапевт","х",IF($B$781="Лікар загальної практики - сімейний лікар",H783/L783,0)))</f>
        <v>0</v>
      </c>
      <c r="I784" s="203">
        <f>IF($B$781="Лікар-педіатр","x",IF($B$781="Лікар-терапевт",I783/L783,IF($B$781="Лікар загальної практики - сімейний лікар",I783/L783,0)))</f>
        <v>0</v>
      </c>
      <c r="J784" s="203">
        <f>IF($B$781="Лікар-педіатр","x",IF($B$781="Лікар-терапевт",J783/L783,IF($B$781="Лікар загальної практики - сімейний лікар",J783/L783,0)))</f>
        <v>0</v>
      </c>
      <c r="K784" s="203">
        <f>IF($B$781="Лікар-педіатр","x",IF($B$781="Лікар-терапевт",K783/L783,IF($B$781="Лікар загальної практики - сімейний лікар",K783/L783,0)))</f>
        <v>0</v>
      </c>
      <c r="L784" s="203">
        <f>SUM(G784:K784)</f>
        <v>0</v>
      </c>
      <c r="M784" s="930"/>
      <c r="N784" s="203">
        <f>IF($B$781="Лікар-педіатр",N783/S783,IF($B$781="Лікар-терапевт","х",IF($B$781="Лікар загальної практики - сімейний лікар",N783/S783,0)))</f>
        <v>0</v>
      </c>
      <c r="O784" s="203">
        <f>IF($B$781="Лікар-педіатр",O783/S783,IF($B$781="Лікар-терапевт","х",IF($B$781="Лікар загальної практики - сімейний лікар",O783/S783,0)))</f>
        <v>0</v>
      </c>
      <c r="P784" s="203">
        <f>IF($B$781="Лікар-педіатр","x",IF($B$781="Лікар-терапевт",P783/S783,IF($B$781="Лікар загальної практики - сімейний лікар",P783/S783,0)))</f>
        <v>0</v>
      </c>
      <c r="Q784" s="203">
        <f>IF($B$781="Лікар-педіатр","x",IF($B$781="Лікар-терапевт",Q783/S783,IF($B$781="Лікар загальної практики - сімейний лікар",Q783/S783,0)))</f>
        <v>0</v>
      </c>
      <c r="R784" s="203">
        <f>IF($B$781="Лікар-педіатр","x",IF($B$781="Лікар-терапевт",R783/S783,IF($B$781="Лікар загальної практики - сімейний лікар",R783/S783,0)))</f>
        <v>0</v>
      </c>
      <c r="S784" s="203">
        <f>SUM(N784:R784)</f>
        <v>0</v>
      </c>
      <c r="T784" s="930"/>
      <c r="U784" s="203">
        <f>IF($B$781="Лікар-педіатр",U783/Z783,IF($B$781="Лікар-терапевт","х",IF($B$781="Лікар загальної практики - сімейний лікар",U783/Z783,0)))</f>
        <v>0</v>
      </c>
      <c r="V784" s="203">
        <f>IF($B$781="Лікар-педіатр",V783/Z783,IF($B$781="Лікар-терапевт","х",IF($B$781="Лікар загальної практики - сімейний лікар",V783/Z783,0)))</f>
        <v>0</v>
      </c>
      <c r="W784" s="203">
        <f>IF($B$781="Лікар-педіатр","x",IF($B$781="Лікар-терапевт",W783/Z783,IF($B$781="Лікар загальної практики - сімейний лікар",W783/Z783,0)))</f>
        <v>0</v>
      </c>
      <c r="X784" s="203">
        <f>IF($B$781="Лікар-педіатр","x",IF($B$781="Лікар-терапевт",X783/Z783,IF($B$781="Лікар загальної практики - сімейний лікар",X783/Z783,0)))</f>
        <v>0</v>
      </c>
      <c r="Y784" s="203">
        <f>IF($B$781="Лікар-педіатр","x",IF($B$781="Лікар-терапевт",Y783/Z783,IF($B$781="Лікар загальної практики - сімейний лікар",Y783/Z783,0)))</f>
        <v>0</v>
      </c>
      <c r="Z784" s="203">
        <f>SUM(U784:Y784)</f>
        <v>0</v>
      </c>
      <c r="AA784" s="930"/>
      <c r="AB784" s="203">
        <f>IF($B$781="Лікар-педіатр",AB783/AG783,IF($B$781="Лікар-терапевт","х",IF($B$781="Лікар загальної практики - сімейний лікар",AB783/AG783,0)))</f>
        <v>0</v>
      </c>
      <c r="AC784" s="203">
        <f>IF($B$781="Лікар-педіатр",AC783/AG783,IF($B$781="Лікар-терапевт","х",IF($B$781="Лікар загальної практики - сімейний лікар",AC783/AG783,0)))</f>
        <v>0</v>
      </c>
      <c r="AD784" s="203">
        <f>IF($B$781="Лікар-педіатр","x",IF($B$781="Лікар-терапевт",AD783/AG783,IF($B$781="Лікар загальної практики - сімейний лікар",AD783/AG783,0)))</f>
        <v>0</v>
      </c>
      <c r="AE784" s="203">
        <f>IF($B$781="Лікар-педіатр","x",IF($B$781="Лікар-терапевт",AE783/AG783,IF($B$781="Лікар загальної практики - сімейний лікар",AE783/AG783,0)))</f>
        <v>0</v>
      </c>
      <c r="AF784" s="203">
        <f>IF($B$781="Лікар-педіатр","x",IF($B$781="Лікар-терапевт",AF783/AG783,IF($B$781="Лікар загальної практики - сімейний лікар",AF783/AG783,0)))</f>
        <v>0</v>
      </c>
      <c r="AG784" s="203">
        <f>SUM(AB784:AF784)</f>
        <v>0</v>
      </c>
      <c r="AH784" s="930"/>
      <c r="AI784" s="201"/>
      <c r="AJ784" s="933"/>
      <c r="AK784" s="927"/>
      <c r="AL784" s="927"/>
      <c r="AM784" s="902"/>
      <c r="AN784" s="924"/>
      <c r="AO784" s="924"/>
      <c r="AP784" s="924"/>
      <c r="AQ784" s="924"/>
      <c r="AR784" s="915"/>
    </row>
    <row r="785" spans="1:44" s="50" customFormat="1" ht="45" hidden="1" customHeight="1" thickBot="1">
      <c r="A785" s="197"/>
      <c r="B785" s="893"/>
      <c r="C785" s="896"/>
      <c r="D785" s="912"/>
      <c r="E785" s="909"/>
      <c r="F785" s="204" t="s">
        <v>585</v>
      </c>
      <c r="G785" s="205">
        <f>IF($B$781="Лікар загальної практики - сімейний лікар",AVERAGE(G781:G783),IF($B$781="Лікар-педіатр",AVERAGE(G781:G783),IF($B$781="Лікар-терапевт","х",0)))</f>
        <v>0</v>
      </c>
      <c r="H785" s="205">
        <f>IF($B$781="Лікар загальної практики - сімейний лікар",AVERAGE(H781:H783),IF($B$781="Лікар-педіатр",AVERAGE(H781:H783),IF($B$781="Лікар-терапевт","х",0)))</f>
        <v>0</v>
      </c>
      <c r="I785" s="205">
        <f>IF($B$781="Лікар загальної практики - сімейний лікар",AVERAGE(I781:I783),IF($B$781="Лікар-педіатр","x",IF($B$781="Лікар-терапевт",AVERAGE(I781:I783),0)))</f>
        <v>0</v>
      </c>
      <c r="J785" s="205">
        <f>IF($B$781="Лікар загальної практики - сімейний лікар",AVERAGE(J781:J783),IF($B$781="Лікар-педіатр","x",IF($B$781="Лікар-терапевт",AVERAGE(J781:J783),0)))</f>
        <v>0</v>
      </c>
      <c r="K785" s="205">
        <f>IF($B$781="Лікар загальної практики - сімейний лікар",AVERAGE(K781:K783),IF($B$781="Лікар-педіатр","x",IF($B$781="Лікар-терапевт",AVERAGE(K781:K783),0)))</f>
        <v>0</v>
      </c>
      <c r="L785" s="206">
        <f>SUM(G785:K785)</f>
        <v>0</v>
      </c>
      <c r="M785" s="930"/>
      <c r="N785" s="205">
        <f>IF($B$781="Лікар загальної практики - сімейний лікар",AVERAGE(N781:N783),IF($B$781="Лікар-педіатр",AVERAGE(N781:N783),IF($B$781="Лікар-терапевт","х",0)))</f>
        <v>0</v>
      </c>
      <c r="O785" s="205">
        <f>IF($B$781="Лікар загальної практики - сімейний лікар",AVERAGE(O781:O783),IF($B$781="Лікар-педіатр",AVERAGE(O781:O783),IF($B$781="Лікар-терапевт","х",0)))</f>
        <v>0</v>
      </c>
      <c r="P785" s="205">
        <f>IF($B$781="Лікар загальної практики - сімейний лікар",AVERAGE(P781:P783),IF($B$781="Лікар-педіатр","x",IF($B$781="Лікар-терапевт",AVERAGE(P781:P783),0)))</f>
        <v>0</v>
      </c>
      <c r="Q785" s="205">
        <f>IF($B$781="Лікар загальної практики - сімейний лікар",AVERAGE(Q781:Q783),IF($B$781="Лікар-педіатр","x",IF($B$781="Лікар-терапевт",AVERAGE(Q781:Q783),0)))</f>
        <v>0</v>
      </c>
      <c r="R785" s="205">
        <f>IF($B$781="Лікар загальної практики - сімейний лікар",AVERAGE(R781:R783),IF($B$781="Лікар-педіатр","x",IF($B$781="Лікар-терапевт",AVERAGE(R781:R783),0)))</f>
        <v>0</v>
      </c>
      <c r="S785" s="206">
        <f>SUM(N785:R785)</f>
        <v>0</v>
      </c>
      <c r="T785" s="930"/>
      <c r="U785" s="205">
        <f>IF($B$781="Лікар загальної практики - сімейний лікар",AVERAGE(U781:U783),IF($B$781="Лікар-педіатр",AVERAGE(U781:U783),IF($B$781="Лікар-терапевт","х",0)))</f>
        <v>0</v>
      </c>
      <c r="V785" s="205">
        <f>IF($B$781="Лікар загальної практики - сімейний лікар",AVERAGE(V781:V783),IF($B$781="Лікар-педіатр",AVERAGE(V781:V783),IF($B$781="Лікар-терапевт","х",0)))</f>
        <v>0</v>
      </c>
      <c r="W785" s="205">
        <f>IF($B$781="Лікар загальної практики - сімейний лікар",AVERAGE(W781:W783),IF($B$781="Лікар-педіатр","x",IF($B$781="Лікар-терапевт",AVERAGE(W781:W783),0)))</f>
        <v>0</v>
      </c>
      <c r="X785" s="205">
        <f>IF($B$781="Лікар загальної практики - сімейний лікар",AVERAGE(X781:X783),IF($B$781="Лікар-педіатр","x",IF($B$781="Лікар-терапевт",AVERAGE(X781:X783),0)))</f>
        <v>0</v>
      </c>
      <c r="Y785" s="205">
        <f>IF($B$781="Лікар загальної практики - сімейний лікар",AVERAGE(Y781:Y783),IF($B$781="Лікар-педіатр","x",IF($B$781="Лікар-терапевт",AVERAGE(Y781:Y783),0)))</f>
        <v>0</v>
      </c>
      <c r="Z785" s="206">
        <f>SUM(U785:Y785)</f>
        <v>0</v>
      </c>
      <c r="AA785" s="930"/>
      <c r="AB785" s="205">
        <f>IF($B$781="Лікар загальної практики - сімейний лікар",AVERAGE(AB781:AB783),IF($B$781="Лікар-педіатр",AVERAGE(AB781:AB783),IF($B$781="Лікар-терапевт","х",0)))</f>
        <v>0</v>
      </c>
      <c r="AC785" s="205">
        <f>IF($B$781="Лікар загальної практики - сімейний лікар",AVERAGE(AC781:AC783),IF($B$781="Лікар-педіатр",AVERAGE(AC781:AC783),IF($B$781="Лікар-терапевт","х",0)))</f>
        <v>0</v>
      </c>
      <c r="AD785" s="205">
        <f>IF($B$781="Лікар загальної практики - сімейний лікар",AVERAGE(AD781:AD783),IF($B$781="Лікар-педіатр","x",IF($B$781="Лікар-терапевт",AVERAGE(AD781:AD783),0)))</f>
        <v>0</v>
      </c>
      <c r="AE785" s="205">
        <f>IF($B$781="Лікар загальної практики - сімейний лікар",AVERAGE(AE781:AE783),IF($B$781="Лікар-педіатр","x",IF($B$781="Лікар-терапевт",AVERAGE(AE781:AE783),0)))</f>
        <v>0</v>
      </c>
      <c r="AF785" s="205">
        <f>IF($B$781="Лікар загальної практики - сімейний лікар",AVERAGE(AF781:AF783),IF($B$781="Лікар-педіатр","x",IF($B$781="Лікар-терапевт",AVERAGE(AF781:AF783),0)))</f>
        <v>0</v>
      </c>
      <c r="AG785" s="206">
        <f>SUM(AB785:AF785)</f>
        <v>0</v>
      </c>
      <c r="AH785" s="930"/>
      <c r="AI785" s="201"/>
      <c r="AJ785" s="933"/>
      <c r="AK785" s="927"/>
      <c r="AL785" s="927"/>
      <c r="AM785" s="903"/>
      <c r="AN785" s="925"/>
      <c r="AO785" s="925"/>
      <c r="AP785" s="925"/>
      <c r="AQ785" s="925"/>
      <c r="AR785" s="916"/>
    </row>
    <row r="786" spans="1:44" s="50" customFormat="1" ht="40.5" hidden="1">
      <c r="A786" s="197"/>
      <c r="B786" s="893"/>
      <c r="C786" s="896"/>
      <c r="D786" s="912"/>
      <c r="E786" s="909"/>
      <c r="F786" s="237" t="str">
        <f ca="1">IF(B781="Лікар-педіатр",Законод!$C$17,IF(B781="Лікар загальної практики - сімейний лікар",Законод!$C$21,IF(B781="Лікар-терапевт",Законод!$C$25,"х")))</f>
        <v>х</v>
      </c>
      <c r="G786" s="208">
        <f ca="1">IF($B$781="Лікар загальної практики - сімейний лікар",IF(L785&lt;=Законод!$C$22,G785,Законод!$C$22*'01_Доходи'!G784),IF($B$781="Лікар-педіатр",IF(L785&lt;=Законод!$C$18,G785,Законод!$C$18*'01_Доходи'!G784),IF($B$781="Лікар-терапевт","x",0)))</f>
        <v>0</v>
      </c>
      <c r="H786" s="208">
        <f ca="1">IF($B$781="Лікар загальної практики - сімейний лікар",IF(L785&lt;=Законод!$C$22,H785,Законод!$C$22*'01_Доходи'!H784),IF($B$781="Лікар-педіатр",IF(L785&lt;=Законод!$C$18,H785,Законод!$C$18*'01_Доходи'!H784),IF($B$781="Лікар-терапевт","x",0)))</f>
        <v>0</v>
      </c>
      <c r="I786" s="208">
        <f ca="1">IF($B$781="Лікар загальної практики - сімейний лікар",IF(L785&lt;=Законод!$C$22,I785,Законод!$C$22*'01_Доходи'!I784),IF($B$781="Лікар-педіатр","x",IF($B$781="Лікар-терапевт",IF(L785&lt;=Законод!$C$26,I785,Законод!$C$26*'01_Доходи'!I784),0)))</f>
        <v>0</v>
      </c>
      <c r="J786" s="208">
        <f ca="1">IF($B$781="Лікар загальної практики - сімейний лікар",IF(L785&lt;=Законод!$C$22,J785,Законод!$C$22*'01_Доходи'!J784),IF($B$781="Лікар-педіатр","x",IF($B$781="Лікар-терапевт",IF(L785&lt;=Законод!$C$26,J785,Законод!$C$26*'01_Доходи'!J784),0)))</f>
        <v>0</v>
      </c>
      <c r="K786" s="208">
        <f ca="1">IF($B$781="Лікар загальної практики - сімейний лікар",IF(L785&lt;=Законод!$C$22,K785,Законод!$C$22*'01_Доходи'!K784),IF($B$781="Лікар-педіатр","x",IF($B$781="Лікар-терапевт",IF(L785&lt;=Законод!$C$26,K785,Законод!$C$26*'01_Доходи'!K784),0)))</f>
        <v>0</v>
      </c>
      <c r="L786" s="209">
        <f ca="1">SUM(G786:K786)</f>
        <v>0</v>
      </c>
      <c r="M786" s="930"/>
      <c r="N786" s="208">
        <f ca="1">IF($B$781="Лікар загальної практики - сімейний лікар",IF(S785&lt;=Законод!$C$22,N785,Законод!$C$22*'01_Доходи'!N784),IF($B$781="Лікар-педіатр",IF(S785&lt;=Законод!$C$18,N785,Законод!$C$18*'01_Доходи'!N784),IF($B$781="Лікар-терапевт","x",0)))</f>
        <v>0</v>
      </c>
      <c r="O786" s="208">
        <f ca="1">IF($B$781="Лікар загальної практики - сімейний лікар",IF(S785&lt;=Законод!$C$22,O785,Законод!$C$22*'01_Доходи'!O784),IF($B$781="Лікар-педіатр",IF(S785&lt;=Законод!$C$18,O785,Законод!$C$18*'01_Доходи'!O784),IF($B$781="Лікар-терапевт","x",0)))</f>
        <v>0</v>
      </c>
      <c r="P786" s="208">
        <f ca="1">IF($B$781="Лікар загальної практики - сімейний лікар",IF(S785&lt;=Законод!$C$22,P785,Законод!$C$22*'01_Доходи'!P784),IF($B$781="Лікар-педіатр","x",IF($B$781="Лікар-терапевт",IF(S785&lt;=Законод!$C$26,P785,Законод!$C$26*'01_Доходи'!P784),0)))</f>
        <v>0</v>
      </c>
      <c r="Q786" s="208">
        <f ca="1">IF($B$781="Лікар загальної практики - сімейний лікар",IF(S785&lt;=Законод!$C$22,Q785,Законод!$C$22*'01_Доходи'!Q784),IF($B$781="Лікар-педіатр","x",IF($B$781="Лікар-терапевт",IF(S785&lt;=Законод!$C$26,Q785,Законод!$C$26*'01_Доходи'!Q784),0)))</f>
        <v>0</v>
      </c>
      <c r="R786" s="208">
        <f ca="1">IF($B$781="Лікар загальної практики - сімейний лікар",IF(S785&lt;=Законод!$C$22,R785,Законод!$C$22*'01_Доходи'!R784),IF($B$781="Лікар-педіатр","x",IF($B$781="Лікар-терапевт",IF(S785&lt;=Законод!$C$26,R785,Законод!$C$26*'01_Доходи'!R784),0)))</f>
        <v>0</v>
      </c>
      <c r="S786" s="209">
        <f ca="1">SUM(N786:R786)</f>
        <v>0</v>
      </c>
      <c r="T786" s="930"/>
      <c r="U786" s="208">
        <f ca="1">IF($B$781="Лікар загальної практики - сімейний лікар",IF(Z785&lt;=Законод!$C$22,U785,Законод!$C$22*'01_Доходи'!U784),IF($B$781="Лікар-педіатр",IF(Z785&lt;=Законод!$C$18,U785,Законод!$C$18*'01_Доходи'!U784),IF($B$781="Лікар-терапевт","x",0)))</f>
        <v>0</v>
      </c>
      <c r="V786" s="208">
        <f ca="1">IF($B$781="Лікар загальної практики - сімейний лікар",IF(Z785&lt;=Законод!$C$22,V785,Законод!$C$22*'01_Доходи'!V784),IF($B$781="Лікар-педіатр",IF(Z785&lt;=Законод!$C$18,V785,Законод!$C$18*'01_Доходи'!V784),IF($B$781="Лікар-терапевт","x",0)))</f>
        <v>0</v>
      </c>
      <c r="W786" s="208">
        <f ca="1">IF($B$781="Лікар загальної практики - сімейний лікар",IF(Z785&lt;=Законод!$C$22,W785,Законод!$C$22*'01_Доходи'!W784),IF($B$781="Лікар-педіатр","x",IF($B$781="Лікар-терапевт",IF(Z785&lt;=Законод!$C$26,W785,Законод!$C$26*'01_Доходи'!W784),0)))</f>
        <v>0</v>
      </c>
      <c r="X786" s="208">
        <f ca="1">IF($B$781="Лікар загальної практики - сімейний лікар",IF(Z785&lt;=Законод!$C$22,X785,Законод!$C$22*'01_Доходи'!X784),IF($B$781="Лікар-педіатр","x",IF($B$781="Лікар-терапевт",IF(Z785&lt;=Законод!$C$26,X785,Законод!$C$26*'01_Доходи'!X784),0)))</f>
        <v>0</v>
      </c>
      <c r="Y786" s="208">
        <f ca="1">IF($B$781="Лікар загальної практики - сімейний лікар",IF(Z785&lt;=Законод!$C$22,Y785,Законод!$C$22*'01_Доходи'!Y784),IF($B$781="Лікар-педіатр","x",IF($B$781="Лікар-терапевт",IF(Z785&lt;=Законод!$C$26,Y785,Законод!$C$26*'01_Доходи'!Y784),0)))</f>
        <v>0</v>
      </c>
      <c r="Z786" s="209">
        <f ca="1">SUM(U786:Y786)</f>
        <v>0</v>
      </c>
      <c r="AA786" s="930"/>
      <c r="AB786" s="208">
        <f ca="1">IF($B$781="Лікар загальної практики - сімейний лікар",IF(AG785&lt;=Законод!$C$22,AB785,Законод!$C$22*'01_Доходи'!AB784),IF($B$781="Лікар-педіатр",IF(AG785&lt;=Законод!$C$18,AB785,Законод!$C$18*'01_Доходи'!AB784),IF($B$781="Лікар-терапевт","x",0)))</f>
        <v>0</v>
      </c>
      <c r="AC786" s="208">
        <f ca="1">IF($B$781="Лікар загальної практики - сімейний лікар",IF(AG785&lt;=Законод!$C$22,AC785,Законод!$C$22*'01_Доходи'!AC784),IF($B$781="Лікар-педіатр",IF(AG785&lt;=Законод!$C$18,AC785,Законод!$C$18*'01_Доходи'!AC784),IF($B$781="Лікар-терапевт","x",0)))</f>
        <v>0</v>
      </c>
      <c r="AD786" s="208">
        <f ca="1">IF($B$781="Лікар загальної практики - сімейний лікар",IF(AG785&lt;=Законод!$C$22,AD785,Законод!$C$22*'01_Доходи'!AD784),IF($B$781="Лікар-педіатр","x",IF($B$781="Лікар-терапевт",IF(AG785&lt;=Законод!$C$26,AD785,Законод!$C$26*'01_Доходи'!AD784),0)))</f>
        <v>0</v>
      </c>
      <c r="AE786" s="208">
        <f ca="1">IF($B$781="Лікар загальної практики - сімейний лікар",IF(AG785&lt;=Законод!$C$22,AE785,Законод!$C$22*'01_Доходи'!AE784),IF($B$781="Лікар-педіатр","x",IF($B$781="Лікар-терапевт",IF(AG785&lt;=Законод!$C$26,AE785,Законод!$C$26*'01_Доходи'!AE784),0)))</f>
        <v>0</v>
      </c>
      <c r="AF786" s="208">
        <f ca="1">IF($B$781="Лікар загальної практики - сімейний лікар",IF(AG785&lt;=Законод!$C$22,AF785,Законод!$C$22*'01_Доходи'!AF784),IF($B$781="Лікар-педіатр","x",IF($B$781="Лікар-терапевт",IF(AG785&lt;=Законод!$C$26,AF785,Законод!$C$26*'01_Доходи'!AF784),0)))</f>
        <v>0</v>
      </c>
      <c r="AG786" s="209">
        <f ca="1">SUM(AB786:AF786)</f>
        <v>0</v>
      </c>
      <c r="AH786" s="930"/>
      <c r="AI786" s="201"/>
      <c r="AJ786" s="933"/>
      <c r="AK786" s="927"/>
      <c r="AL786" s="927"/>
      <c r="AM786" s="348" t="s">
        <v>374</v>
      </c>
      <c r="AN786" s="210">
        <f ca="1">IF(B781="Лікар загальної практики - сімейний лікар",G786*Законод!$C$11+'01_Доходи'!H786*Законод!$D$11+'01_Доходи'!I786*Законод!$E$11+'01_Доходи'!J786*Законод!$F$11+'01_Доходи'!K786*Законод!$G$11,IF(B781="Лікар-педіатр",G786*Законод!$C$11+'01_Доходи'!H786*Законод!$D$11,IF(B781="Лікар-терапевт",'01_Доходи'!I786*Законод!$E$11+'01_Доходи'!J786*Законод!$F$11+'01_Доходи'!K786*Законод!$G$11,0)))</f>
        <v>0</v>
      </c>
      <c r="AO786" s="210">
        <f ca="1">IF(B781="Лікар загальної практики - сімейний лікар",N786*Законод!$C$11+'01_Доходи'!O786*Законод!$D$11+'01_Доходи'!P786*Законод!$E$11+'01_Доходи'!Q786*Законод!$F$11+'01_Доходи'!R786*Законод!$G$11,IF(B781="Лікар-педіатр",N786*Законод!$C$11+'01_Доходи'!O786*Законод!$D$11,IF(B781="Лікар-терапевт",'01_Доходи'!P786*Законод!$E$11+'01_Доходи'!Q786*Законод!$F$11+'01_Доходи'!R786*Законод!$G$11,0)))</f>
        <v>0</v>
      </c>
      <c r="AP786" s="210">
        <f ca="1">IF(B781="Лікар загальної практики - сімейний лікар",U786*Законод!$C$11+'01_Доходи'!V786*Законод!$D$11+'01_Доходи'!W786*Законод!$E$11+'01_Доходи'!X786*Законод!$F$11+'01_Доходи'!Y786*Законод!$G$11,IF(B781="Лікар-педіатр",U786*Законод!$C$11+'01_Доходи'!V786*Законод!$D$11,IF(B781="Лікар-терапевт",'01_Доходи'!W786*Законод!$E$11+'01_Доходи'!X786*Законод!$F$11+'01_Доходи'!Y786*Законод!$G$11,0)))</f>
        <v>0</v>
      </c>
      <c r="AQ786" s="210">
        <f ca="1">IF(B781="Лікар загальної практики - сімейний лікар",AB786*Законод!$C$11+'01_Доходи'!AC786*Законод!$D$11+'01_Доходи'!AD786*Законод!$E$11+'01_Доходи'!AE786*Законод!$F$11+'01_Доходи'!AF786*Законод!$G$11,IF(B781="Лікар-педіатр",AB786*Законод!$C$11+'01_Доходи'!AC786*Законод!$D$11,IF(B781="Лікар-терапевт",'01_Доходи'!AD786*Законод!$E$11+'01_Доходи'!AE786*Законод!$F$11+'01_Доходи'!AF786*Законод!$G$11,0)))</f>
        <v>0</v>
      </c>
      <c r="AR786" s="211">
        <f t="shared" ref="AR786:AR792" si="87">SUM(AN786:AQ786)</f>
        <v>0</v>
      </c>
    </row>
    <row r="787" spans="1:44" s="50" customFormat="1" ht="31.9" hidden="1" customHeight="1">
      <c r="A787" s="197"/>
      <c r="B787" s="893"/>
      <c r="C787" s="896"/>
      <c r="D787" s="912"/>
      <c r="E787" s="909"/>
      <c r="F787" s="238" t="str">
        <f ca="1">IF(B781="Лікар-педіатр",Законод!$E$17,IF(B781="Лікар загальної практики - сімейний лікар",Законод!$E$21,IF(B781="Лікар-терапевт",Законод!$E$25,"х")))</f>
        <v>х</v>
      </c>
      <c r="G787" s="889" t="s">
        <v>346</v>
      </c>
      <c r="H787" s="890"/>
      <c r="I787" s="890"/>
      <c r="J787" s="890"/>
      <c r="K787" s="891"/>
      <c r="L787" s="196">
        <f ca="1">IF($B$781="Лікар загальної практики - сімейний лікар",IF(L785&lt;Законод!$C$22,0,(IF(AND(L785&gt;=Законод!$E$22,L785&lt;=Законод!$E$23),L785-Законод!$C$22,IF('01_Доходи'!L785&gt;=Законод!$F$22,Законод!$E$24,0)))),IF($B$781="Лікар-педіатр",IF(L785&lt;Законод!$C$18,0,(IF(AND(L785&gt;=Законод!$E$18,L785&lt;=Законод!$E$19),L785-Законод!$C$18,IF('01_Доходи'!L785&gt;=Законод!$F$18,Законод!$E$20,0)))),IF($B$781="Лікар-терапевт",IF(L785&lt;Законод!$C$26,0,(IF(AND(L785&gt;=Законод!$E$26,L785&lt;=Законод!$E$27),L785-Законод!$C$26,IF('01_Доходи'!L785&gt;=Законод!$F$26,Законод!$E$28,0)))),0)))</f>
        <v>0</v>
      </c>
      <c r="M787" s="930"/>
      <c r="N787" s="889" t="s">
        <v>346</v>
      </c>
      <c r="O787" s="890"/>
      <c r="P787" s="890"/>
      <c r="Q787" s="890"/>
      <c r="R787" s="891"/>
      <c r="S787" s="196">
        <f ca="1">IF($B$781="Лікар загальної практики - сімейний лікар",IF(S785&lt;Законод!$C$22,0,(IF(AND(S785&gt;=Законод!$E$22,S785&lt;=Законод!$E$23),S785-Законод!$C$22,IF('01_Доходи'!S785&gt;=Законод!$F$22,Законод!$E$24,0)))),IF($B$781="Лікар-педіатр",IF(S785&lt;Законод!$C$18,0,(IF(AND(S785&gt;=Законод!$E$18,S785&lt;=Законод!$E$19),S785-Законод!$C$18,IF('01_Доходи'!S785&gt;=Законод!$F$18,Законод!$E$20,0)))),IF($B$781="Лікар-терапевт",IF(S785&lt;Законод!$C$26,0,(IF(AND(S785&gt;=Законод!$E$26,S785&lt;=Законод!$E$27),S785-Законод!$C$26,IF('01_Доходи'!S785&gt;=Законод!$F$26,Законод!$E$28,0)))),0)))</f>
        <v>0</v>
      </c>
      <c r="T787" s="930"/>
      <c r="U787" s="889" t="s">
        <v>346</v>
      </c>
      <c r="V787" s="890"/>
      <c r="W787" s="890"/>
      <c r="X787" s="890"/>
      <c r="Y787" s="891"/>
      <c r="Z787" s="196">
        <f ca="1">IF($B$781="Лікар загальної практики - сімейний лікар",IF(Z785&lt;Законод!$C$22,0,(IF(AND(Z785&gt;=Законод!$E$22,Z785&lt;=Законод!$E$23),Z785-Законод!$C$22,IF('01_Доходи'!Z785&gt;=Законод!$F$22,Законод!$E$24,0)))),IF($B$781="Лікар-педіатр",IF(Z785&lt;Законод!$C$18,0,(IF(AND(Z785&gt;=Законод!$E$18,Z785&lt;=Законод!$E$19),Z785-Законод!$C$18,IF('01_Доходи'!Z785&gt;=Законод!$F$18,Законод!$E$20,0)))),IF($B$781="Лікар-терапевт",IF(Z785&lt;Законод!$C$26,0,(IF(AND(Z785&gt;=Законод!$E$26,Z785&lt;=Законод!$E$27),Z785-Законод!$C$26,IF('01_Доходи'!Z785&gt;=Законод!$F$26,Законод!$E$28,0)))),0)))</f>
        <v>0</v>
      </c>
      <c r="AA787" s="930"/>
      <c r="AB787" s="889" t="s">
        <v>346</v>
      </c>
      <c r="AC787" s="890"/>
      <c r="AD787" s="890"/>
      <c r="AE787" s="890"/>
      <c r="AF787" s="891"/>
      <c r="AG787" s="196">
        <f ca="1">IF($B$781="Лікар загальної практики - сімейний лікар",IF(AG785&lt;Законод!$C$22,0,(IF(AND(AG785&gt;=Законод!$E$22,AG785&lt;=Законод!$E$23),AG785-Законод!$C$22,IF('01_Доходи'!AG785&gt;=Законод!$F$22,Законод!$E$24,0)))),IF($B$781="Лікар-педіатр",IF(AG785&lt;Законод!$C$18,0,(IF(AND(AG785&gt;=Законод!$E$18,AG785&lt;=Законод!$E$19),AG785-Законод!$C$18,IF('01_Доходи'!AG785&gt;=Законод!$F$18,Законод!$E$20,0)))),IF($B$781="Лікар-терапевт",IF(AG785&lt;Законод!$C$26,0,(IF(AND(AG785&gt;=Законод!$E$26,AG785&lt;=Законод!$E$27),AG785-Законод!$C$26,IF('01_Доходи'!AG785&gt;=Законод!$F$26,Законод!$E$28,0)))),0)))</f>
        <v>0</v>
      </c>
      <c r="AH787" s="930"/>
      <c r="AI787" s="201"/>
      <c r="AJ787" s="933"/>
      <c r="AK787" s="927"/>
      <c r="AL787" s="927"/>
      <c r="AM787" s="898" t="s">
        <v>375</v>
      </c>
      <c r="AN787" s="210">
        <f ca="1">IF(B781="Лікар загальної практики - сімейний лікар",L787*Законод!$C$9/4*Законод!$E$16,IF(B781="Лікар-педіатр",L787*Законод!$C$9/4*Законод!$E$16,IF(B781="Лікар-терапевт",L787*Законод!$C$9/4*Законод!$E$16,0)))</f>
        <v>0</v>
      </c>
      <c r="AO787" s="210">
        <f ca="1">IF(B781="Лікар загальної практики - сімейний лікар",S787*Законод!$C$9/4*Законод!$E$16,IF(B781="Лікар-педіатр",S787*Законод!$C$9/4*Законод!$E$16,IF(B781="Лікар-терапевт",S787*Законод!$C$9/4*Законод!$E$16,0)))</f>
        <v>0</v>
      </c>
      <c r="AP787" s="210">
        <f ca="1">IF(B781="Лікар загальної практики - сімейний лікар",Z787*Законод!$C$9/4*Законод!$E$16,IF(B781="Лікар-педіатр",Z787*Законод!$C$9/4*Законод!$E$16,IF(B781="Лікар-терапевт",Z787*Законод!$C$9/4*Законод!$E$16,0)))</f>
        <v>0</v>
      </c>
      <c r="AQ787" s="210">
        <f ca="1">IF(B781="Лікар загальної практики - сімейний лікар",AG787*Законод!$C$9/4*Законод!$E$16,IF(B781="Лікар-педіатр",AG787*Законод!$C$9/4*Законод!$E$16,IF(B781="Лікар-терапевт",AG787*Законод!$C$9/4*Законод!$E$16,0)))</f>
        <v>0</v>
      </c>
      <c r="AR787" s="211">
        <f t="shared" si="87"/>
        <v>0</v>
      </c>
    </row>
    <row r="788" spans="1:44" s="50" customFormat="1" ht="31.9" hidden="1" customHeight="1">
      <c r="A788" s="197"/>
      <c r="B788" s="893"/>
      <c r="C788" s="896"/>
      <c r="D788" s="912"/>
      <c r="E788" s="909"/>
      <c r="F788" s="238" t="str">
        <f ca="1">IF(B781="Лікар-педіатр",Законод!$F$17,IF(B781="Лікар загальної практики - сімейний лікар",Законод!$F$21,IF(B781="Лікар-терапевт",Законод!$F$25,"х")))</f>
        <v>х</v>
      </c>
      <c r="G788" s="889" t="s">
        <v>346</v>
      </c>
      <c r="H788" s="890"/>
      <c r="I788" s="890"/>
      <c r="J788" s="890"/>
      <c r="K788" s="891"/>
      <c r="L788" s="196">
        <f ca="1">IF($B$781="Лікар загальної практики - сімейний лікар",IF(L785&lt;Законод!$C$22,0,(IF(AND(L785&gt;=Законод!$F$22,L785&lt;=Законод!$F$23),L785-Законод!$E$23,IF('01_Доходи'!L785&gt;=Законод!$G$22,Законод!$F$24,0)))),IF($B$781="Лікар-педіатр",IF(L785&lt;Законод!$C$18,0,(IF(AND(L785&gt;=Законод!$F$18,L785&lt;=Законод!$F$19),L785-Законод!$E$19,IF('01_Доходи'!L785&gt;=Законод!$G$18,Законод!$F$20,0)))),IF($B$781="Лікар-терапевт",IF(L785&lt;Законод!$C$26,0,(IF(AND(L785&gt;=Законод!$F$26,L785&lt;=Законод!$F$27),L785-Законод!$E$27,IF('01_Доходи'!L785&gt;=Законод!$G$26,Законод!$F$28,0)))),0)))</f>
        <v>0</v>
      </c>
      <c r="M788" s="930"/>
      <c r="N788" s="889" t="s">
        <v>346</v>
      </c>
      <c r="O788" s="890"/>
      <c r="P788" s="890"/>
      <c r="Q788" s="890"/>
      <c r="R788" s="891"/>
      <c r="S788" s="196">
        <f ca="1">IF($B$781="Лікар загальної практики - сімейний лікар",IF(S785&lt;Законод!$C$22,0,(IF(AND(S785&gt;=Законод!$F$22,S785&lt;=Законод!$F$23),S785-Законод!$E$23,IF('01_Доходи'!S785&gt;=Законод!$G$22,Законод!$F$24,0)))),IF($B$781="Лікар-педіатр",IF(S785&lt;Законод!$C$18,0,(IF(AND(S785&gt;=Законод!$F$18,S785&lt;=Законод!$F$19),S785-Законод!$E$19,IF('01_Доходи'!S785&gt;=Законод!$G$18,Законод!$F$20,0)))),IF($B$781="Лікар-терапевт",IF(S785&lt;Законод!$C$26,0,(IF(AND(S785&gt;=Законод!$F$26,S785&lt;=Законод!$F$27),S785-Законод!$E$27,IF('01_Доходи'!S785&gt;=Законод!$G$26,Законод!$F$28,0)))),0)))</f>
        <v>0</v>
      </c>
      <c r="T788" s="930"/>
      <c r="U788" s="889" t="s">
        <v>346</v>
      </c>
      <c r="V788" s="890"/>
      <c r="W788" s="890"/>
      <c r="X788" s="890"/>
      <c r="Y788" s="891"/>
      <c r="Z788" s="196">
        <f ca="1">IF($B$781="Лікар загальної практики - сімейний лікар",IF(Z785&lt;Законод!$C$22,0,(IF(AND(Z785&gt;=Законод!$F$22,Z785&lt;=Законод!$F$23),Z785-Законод!$E$23,IF('01_Доходи'!Z785&gt;=Законод!$G$22,Законод!$F$24,0)))),IF($B$781="Лікар-педіатр",IF(Z785&lt;Законод!$C$18,0,(IF(AND(Z785&gt;=Законод!$F$18,Z785&lt;=Законод!$F$19),Z785-Законод!$E$19,IF('01_Доходи'!Z785&gt;=Законод!$G$18,Законод!$F$20,0)))),IF($B$781="Лікар-терапевт",IF(Z785&lt;Законод!$C$26,0,(IF(AND(Z785&gt;=Законод!$F$26,Z785&lt;=Законод!$F$27),Z785-Законод!$E$27,IF('01_Доходи'!Z785&gt;=Законод!$G$26,Законод!$F$28,0)))),0)))</f>
        <v>0</v>
      </c>
      <c r="AA788" s="930"/>
      <c r="AB788" s="889" t="s">
        <v>346</v>
      </c>
      <c r="AC788" s="890"/>
      <c r="AD788" s="890"/>
      <c r="AE788" s="890"/>
      <c r="AF788" s="891"/>
      <c r="AG788" s="196">
        <f ca="1">IF($B$781="Лікар загальної практики - сімейний лікар",IF(AG785&lt;Законод!$C$22,0,(IF(AND(AG785&gt;=Законод!$F$22,AG785&lt;=Законод!$F$23),AG785-Законод!$E$23,IF('01_Доходи'!AG785&gt;=Законод!$G$22,Законод!$F$24,0)))),IF($B$781="Лікар-педіатр",IF(AG785&lt;Законод!$C$18,0,(IF(AND(AG785&gt;=Законод!$F$18,AG785&lt;=Законод!$F$19),AG785-Законод!$E$19,IF('01_Доходи'!AG785&gt;=Законод!$G$18,Законод!$F$20,0)))),IF($B$781="Лікар-терапевт",IF(AG785&lt;Законод!$C$26,0,(IF(AND(AG785&gt;=Законод!$F$26,AG785&lt;=Законод!$F$27),AG785-Законод!$E$27,IF('01_Доходи'!AG785&gt;=Законод!$G$26,Законод!$F$28,0)))),0)))</f>
        <v>0</v>
      </c>
      <c r="AH788" s="930"/>
      <c r="AI788" s="201"/>
      <c r="AJ788" s="933"/>
      <c r="AK788" s="927"/>
      <c r="AL788" s="927"/>
      <c r="AM788" s="899"/>
      <c r="AN788" s="210">
        <f ca="1">IF(B781="Лікар загальної практики - сімейний лікар",L788*Законод!$C$9/4*Законод!$F$16,IF(B781="Лікар-педіатр",L788*Законод!$C$9/4*Законод!$F$16,IF(B781="Лікар-терапевт",L788*Законод!$C$9/4*Законод!$F$16,0)))</f>
        <v>0</v>
      </c>
      <c r="AO788" s="210">
        <f ca="1">IF(B781="Лікар загальної практики - сімейний лікар",S788*Законод!$C$9/4*Законод!$F$16,IF(B781="Лікар-педіатр",S788*Законод!$C$9/4*Законод!$F$16,IF(B781="Лікар-терапевт",S788*Законод!$C$9/4*Законод!$F$16,0)))</f>
        <v>0</v>
      </c>
      <c r="AP788" s="210">
        <f ca="1">IF(B781="Лікар загальної практики - сімейний лікар",Z788*Законод!$C$9/4*Законод!$F$16,IF(B781="Лікар-педіатр",Z788*Законод!$C$9/4*Законод!$F$16,IF(B781="Лікар-терапевт",Z788*Законод!$C$9/4*Законод!$F$16,0)))</f>
        <v>0</v>
      </c>
      <c r="AQ788" s="210">
        <f ca="1">IF(B781="Лікар загальної практики - сімейний лікар",AG788*Законод!$C$9/4*Законод!$F$16,IF(B781="Лікар-педіатр",AG788*Законод!$C$9/4*Законод!$F$16,IF(B781="Лікар-терапевт",AG788*Законод!$C$9/4*Законод!$F$16,0)))</f>
        <v>0</v>
      </c>
      <c r="AR788" s="211">
        <f t="shared" si="87"/>
        <v>0</v>
      </c>
    </row>
    <row r="789" spans="1:44" s="50" customFormat="1" ht="31.9" hidden="1" customHeight="1">
      <c r="A789" s="197"/>
      <c r="B789" s="893"/>
      <c r="C789" s="896"/>
      <c r="D789" s="912"/>
      <c r="E789" s="909"/>
      <c r="F789" s="238" t="str">
        <f ca="1">IF(B781="Лікар-педіатр",Законод!$G$17,IF(B781="Лікар загальної практики - сімейний лікар",Законод!$G$21,IF(B781="Лікар-терапевт",Законод!$G$25,"х")))</f>
        <v>х</v>
      </c>
      <c r="G789" s="889" t="s">
        <v>346</v>
      </c>
      <c r="H789" s="890"/>
      <c r="I789" s="890"/>
      <c r="J789" s="890"/>
      <c r="K789" s="891"/>
      <c r="L789" s="196">
        <f ca="1">IF($B$781="Лікар загальної практики - сімейний лікар",IF(L785&lt;Законод!$C$22,0,(IF(AND(L785&gt;=Законод!$G$22,L785&lt;=Законод!$G$23),L785-Законод!$F$23,IF('01_Доходи'!L785&gt;=Законод!$H$22,Законод!$G$24,0)))),IF($B$781="Лікар-педіатр",IF(L785&lt;Законод!$C$18,0,(IF(AND(L785&gt;=Законод!$G$18,L785&lt;=Законод!$G$19),L785-Законод!$F$19,IF('01_Доходи'!L785&gt;=Законод!$H$18,Законод!$G$20,0)))),IF($B$781="Лікар-терапевт",IF(L785&lt;Законод!$C$26,0,(IF(AND(L785&gt;=Законод!$G$26,L785&lt;=Законод!$G$27),L785-Законод!$F$27,IF('01_Доходи'!L785&gt;=Законод!$H$26,Законод!$G$28,0)))),0)))</f>
        <v>0</v>
      </c>
      <c r="M789" s="930"/>
      <c r="N789" s="889" t="s">
        <v>346</v>
      </c>
      <c r="O789" s="890"/>
      <c r="P789" s="890"/>
      <c r="Q789" s="890"/>
      <c r="R789" s="891"/>
      <c r="S789" s="196">
        <f ca="1">IF($B$781="Лікар загальної практики - сімейний лікар",IF(S785&lt;Законод!$C$22,0,(IF(AND(S785&gt;=Законод!$G$22,S785&lt;=Законод!$G$23),S785-Законод!$F$23,IF('01_Доходи'!S785&gt;=Законод!$H$22,Законод!$G$24,0)))),IF($B$781="Лікар-педіатр",IF(S785&lt;Законод!$C$18,0,(IF(AND(S785&gt;=Законод!$G$18,S785&lt;=Законод!$G$19),S785-Законод!$F$19,IF('01_Доходи'!S785&gt;=Законод!$H$18,Законод!$G$20,0)))),IF($B$781="Лікар-терапевт",IF(S785&lt;Законод!$C$26,0,(IF(AND(S785&gt;=Законод!$G$26,S785&lt;=Законод!$G$27),S785-Законод!$F$27,IF('01_Доходи'!S785&gt;=Законод!$H$26,Законод!$G$28,0)))),0)))</f>
        <v>0</v>
      </c>
      <c r="T789" s="930"/>
      <c r="U789" s="889" t="s">
        <v>346</v>
      </c>
      <c r="V789" s="890"/>
      <c r="W789" s="890"/>
      <c r="X789" s="890"/>
      <c r="Y789" s="891"/>
      <c r="Z789" s="196">
        <f ca="1">IF($B$781="Лікар загальної практики - сімейний лікар",IF(Z785&lt;Законод!$C$22,0,(IF(AND(Z785&gt;=Законод!$G$22,Z785&lt;=Законод!$G$23),Z785-Законод!$F$23,IF('01_Доходи'!Z785&gt;=Законод!$H$22,Законод!$G$24,0)))),IF($B$781="Лікар-педіатр",IF(Z785&lt;Законод!$C$18,0,(IF(AND(Z785&gt;=Законод!$G$18,Z785&lt;=Законод!$G$19),Z785-Законод!$F$19,IF('01_Доходи'!Z785&gt;=Законод!$H$18,Законод!$G$20,0)))),IF($B$781="Лікар-терапевт",IF(Z785&lt;Законод!$C$26,0,(IF(AND(Z785&gt;=Законод!$G$26,Z785&lt;=Законод!$G$27),Z785-Законод!$F$27,IF('01_Доходи'!Z785&gt;=Законод!$H$26,Законод!$G$28,0)))),0)))</f>
        <v>0</v>
      </c>
      <c r="AA789" s="930"/>
      <c r="AB789" s="889" t="s">
        <v>346</v>
      </c>
      <c r="AC789" s="890"/>
      <c r="AD789" s="890"/>
      <c r="AE789" s="890"/>
      <c r="AF789" s="891"/>
      <c r="AG789" s="196">
        <f ca="1">IF($B$781="Лікар загальної практики - сімейний лікар",IF(AG785&lt;Законод!$C$22,0,(IF(AND(AG785&gt;=Законод!$G$22,AG785&lt;=Законод!$G$23),AG785-Законод!$F$23,IF('01_Доходи'!AG785&gt;=Законод!$H$22,Законод!$G$24,0)))),IF($B$781="Лікар-педіатр",IF(AG785&lt;Законод!$C$18,0,(IF(AND(AG785&gt;=Законод!$G$18,AG785&lt;=Законод!$G$19),AG785-Законод!$F$19,IF('01_Доходи'!AG785&gt;=Законод!$H$18,Законод!$G$20,0)))),IF($B$781="Лікар-терапевт",IF(AG785&lt;Законод!$C$26,0,(IF(AND(AG785&gt;=Законод!$G$26,AG785&lt;=Законод!$G$27),AG785-Законод!$F$27,IF('01_Доходи'!AG785&gt;=Законод!$H$26,Законод!$G$28,0)))),0)))</f>
        <v>0</v>
      </c>
      <c r="AH789" s="930"/>
      <c r="AI789" s="201"/>
      <c r="AJ789" s="933"/>
      <c r="AK789" s="927"/>
      <c r="AL789" s="927"/>
      <c r="AM789" s="899"/>
      <c r="AN789" s="210">
        <f ca="1">IF(B781="Лікар загальної практики - сімейний лікар",L789*Законод!$C$9/4*Законод!$G$16,IF(B781="Лікар-педіатр",L789*Законод!$C$9/4*Законод!$G$16,IF(B781="Лікар-терапевт",L789*Законод!$C$9/4*Законод!$G$16,0)))</f>
        <v>0</v>
      </c>
      <c r="AO789" s="210">
        <f ca="1">IF(B781="Лікар загальної практики - сімейний лікар",S789*Законод!$C$9/4*Законод!$G$16,IF(B781="Лікар-педіатр",S789*Законод!$C$9/4*Законод!$G$16,IF(B781="Лікар-терапевт",S789*Законод!$C$9/4*Законод!$G$16,0)))</f>
        <v>0</v>
      </c>
      <c r="AP789" s="210">
        <f ca="1">IF(B781="Лікар загальної практики - сімейний лікар",Z789*Законод!$C$9/4*Законод!$G$16,IF(B781="Лікар-педіатр",Z789*Законод!$C$9/4*Законод!$G$16,IF(B781="Лікар-терапевт",Z789*Законод!$C$9/4*Законод!$G$16,0)))</f>
        <v>0</v>
      </c>
      <c r="AQ789" s="210">
        <f ca="1">IF(B781="Лікар загальної практики - сімейний лікар",AG789*Законод!$C$9/4*Законод!$G$16,IF(B781="Лікар-педіатр",AG789*Законод!$C$9/4*Законод!$G$16,IF(B781="Лікар-терапевт",AG789*Законод!$C$9/4*Законод!$G$16,0)))</f>
        <v>0</v>
      </c>
      <c r="AR789" s="211">
        <f t="shared" si="87"/>
        <v>0</v>
      </c>
    </row>
    <row r="790" spans="1:44" s="50" customFormat="1" ht="31.9" hidden="1" customHeight="1">
      <c r="A790" s="197"/>
      <c r="B790" s="893"/>
      <c r="C790" s="896"/>
      <c r="D790" s="912"/>
      <c r="E790" s="909"/>
      <c r="F790" s="238" t="str">
        <f ca="1">IF(B781="Лікар-педіатр",Законод!$H$17,IF(B781="Лікар загальної практики - сімейний лікар",Законод!$H$21,IF(B781="Лікар-терапевт",Законод!$H$25,"х")))</f>
        <v>х</v>
      </c>
      <c r="G790" s="889" t="s">
        <v>346</v>
      </c>
      <c r="H790" s="890"/>
      <c r="I790" s="890"/>
      <c r="J790" s="890"/>
      <c r="K790" s="891"/>
      <c r="L790" s="196">
        <f ca="1">IF($B$781="Лікар загальної практики - сімейний лікар",IF(L785&lt;Законод!$C$22,0,(IF(AND(L785&gt;=Законод!$H$22,L785&lt;=Законод!$H$23),L785-Законод!$G$23,IF('01_Доходи'!L785&gt;=Законод!$I$22,Законод!$H$24,0)))),IF($B$781="Лікар-педіатр",IF(L785&lt;Законод!$C$18,0,(IF(AND(L785&gt;=Законод!$H$18,L785&lt;=Законод!$H$19),L785-Законод!$G$19,IF('01_Доходи'!L785&gt;=Законод!$I$18,Законод!$H$20,0)))),IF($B$781="Лікар-терапевт",IF(L785&lt;Законод!$C$26,0,(IF(AND(L785&gt;=Законод!$H$26,L785&lt;=Законод!$H$27),L785-Законод!$G$27,IF(L785&gt;=Законод!$I$26,Законод!$H$28,0)))),0)))</f>
        <v>0</v>
      </c>
      <c r="M790" s="930"/>
      <c r="N790" s="889" t="s">
        <v>346</v>
      </c>
      <c r="O790" s="890"/>
      <c r="P790" s="890"/>
      <c r="Q790" s="890"/>
      <c r="R790" s="891"/>
      <c r="S790" s="196">
        <f ca="1">IF($B$781="Лікар загальної практики - сімейний лікар",IF(S785&lt;Законод!$C$22,0,(IF(AND(S785&gt;=Законод!$H$22,S785&lt;=Законод!$H$23),S785-Законод!$G$23,IF('01_Доходи'!S785&gt;=Законод!$I$22,Законод!$H$24,0)))),IF($B$781="Лікар-педіатр",IF(S785&lt;Законод!$C$18,0,(IF(AND(S785&gt;=Законод!$H$18,S785&lt;=Законод!$H$19),S785-Законод!$G$19,IF('01_Доходи'!S785&gt;=Законод!$I$18,Законод!$H$20,0)))),IF($B$781="Лікар-терапевт",IF(S785&lt;Законод!$C$26,0,(IF(AND(S785&gt;=Законод!$H$26,S785&lt;=Законод!$H$27),S785-Законод!$G$27,IF(S785&gt;=Законод!$I$26,Законод!$H$28,0)))),0)))</f>
        <v>0</v>
      </c>
      <c r="T790" s="930"/>
      <c r="U790" s="889" t="s">
        <v>346</v>
      </c>
      <c r="V790" s="890"/>
      <c r="W790" s="890"/>
      <c r="X790" s="890"/>
      <c r="Y790" s="891"/>
      <c r="Z790" s="196">
        <f ca="1">IF($B$781="Лікар загальної практики - сімейний лікар",IF(Z785&lt;Законод!$C$22,0,(IF(AND(Z785&gt;=Законод!$H$22,Z785&lt;=Законод!$H$23),Z785-Законод!$G$23,IF('01_Доходи'!Z785&gt;=Законод!$I$22,Законод!$H$24,0)))),IF($B$781="Лікар-педіатр",IF(Z785&lt;Законод!$C$18,0,(IF(AND(Z785&gt;=Законод!$H$18,Z785&lt;=Законод!$H$19),Z785-Законод!$G$19,IF('01_Доходи'!Z785&gt;=Законод!$I$18,Законод!$H$20,0)))),IF($B$781="Лікар-терапевт",IF(Z785&lt;Законод!$C$26,0,(IF(AND(Z785&gt;=Законод!$H$26,Z785&lt;=Законод!$H$27),Z785-Законод!$G$27,IF(Z785&gt;=Законод!$I$26,Законод!$H$28,0)))),0)))</f>
        <v>0</v>
      </c>
      <c r="AA790" s="930"/>
      <c r="AB790" s="889" t="s">
        <v>346</v>
      </c>
      <c r="AC790" s="890"/>
      <c r="AD790" s="890"/>
      <c r="AE790" s="890"/>
      <c r="AF790" s="891"/>
      <c r="AG790" s="196">
        <f ca="1">IF($B$781="Лікар загальної практики - сімейний лікар",IF(AG785&lt;Законод!$C$22,0,(IF(AND(AG785&gt;=Законод!$H$22,AG785&lt;=Законод!$H$23),AG785-Законод!$G$23,IF('01_Доходи'!AG785&gt;=Законод!$I$22,Законод!$H$24,0)))),IF($B$781="Лікар-педіатр",IF(AG785&lt;Законод!$C$18,0,(IF(AND(AG785&gt;=Законод!$H$18,AG785&lt;=Законод!$H$19),AG785-Законод!$G$19,IF('01_Доходи'!AG785&gt;=Законод!$I$18,Законод!$H$20,0)))),IF($B$781="Лікар-терапевт",IF(AG785&lt;Законод!$C$26,0,(IF(AND(AG785&gt;=Законод!$H$26,AG785&lt;=Законод!$H$27),AG785-Законод!$G$27,IF(AG785&gt;=Законод!$I$26,Законод!$H$28,0)))),0)))</f>
        <v>0</v>
      </c>
      <c r="AH790" s="930"/>
      <c r="AI790" s="201"/>
      <c r="AJ790" s="933"/>
      <c r="AK790" s="927"/>
      <c r="AL790" s="927"/>
      <c r="AM790" s="899"/>
      <c r="AN790" s="210">
        <f ca="1">IF(B781="Лікар загальної практики - сімейний лікар",L790*Законод!$C$9/4*Законод!$H$16,IF(B781="Лікар-педіатр",L790*Законод!$C$9/4*Законод!$H$16,IF(B781="Лікар-терапевт",L790*Законод!$C$9/4*Законод!$H$16,0)))</f>
        <v>0</v>
      </c>
      <c r="AO790" s="210">
        <f ca="1">IF(B781="Лікар загальної практики - сімейний лікар",S790*Законод!$C$9/4*Законод!$H$16,IF(B781="Лікар-педіатр",S790*Законод!$C$9/4*Законод!$H$16,IF(B781="Лікар-терапевт",S790*Законод!$C$9/4*Законод!$H$16,0)))</f>
        <v>0</v>
      </c>
      <c r="AP790" s="210">
        <f ca="1">IF(B781="Лікар загальної практики - сімейний лікар",Z790*Законод!$C$9/4*Законод!$H$16,IF(B781="Лікар-педіатр",Z790*Законод!$C$9/4*Законод!$H$16,IF(B781="Лікар-терапевт",Z790*Законод!$C$9/4*Законод!$H$16,0)))</f>
        <v>0</v>
      </c>
      <c r="AQ790" s="210">
        <f ca="1">IF(B781="Лікар загальної практики - сімейний лікар",AG790*Законод!$C$9/4*Законод!$H$16,IF(B781="Лікар-педіатр",AG790*Законод!$C$9/4*Законод!$H$16,IF(B781="Лікар-терапевт",AG790*Законод!$C$9/4*Законод!$H$16,0)))</f>
        <v>0</v>
      </c>
      <c r="AR790" s="211">
        <f t="shared" si="87"/>
        <v>0</v>
      </c>
    </row>
    <row r="791" spans="1:44" s="50" customFormat="1" ht="31.9" hidden="1" customHeight="1">
      <c r="A791" s="197"/>
      <c r="B791" s="893"/>
      <c r="C791" s="896"/>
      <c r="D791" s="912"/>
      <c r="E791" s="909"/>
      <c r="F791" s="238" t="str">
        <f ca="1">IF(B781="Лікар-педіатр",Законод!$I$17,IF(B781="Лікар загальної практики - сімейний лікар",Законод!$I$21,IF(B781="Лікар-терапевт",Законод!$I$25,"х")))</f>
        <v>х</v>
      </c>
      <c r="G791" s="889" t="s">
        <v>346</v>
      </c>
      <c r="H791" s="890"/>
      <c r="I791" s="890"/>
      <c r="J791" s="890"/>
      <c r="K791" s="891"/>
      <c r="L791" s="196">
        <f ca="1">IF($B$781="Лікар загальної практики - сімейний лікар",IF(L785&lt;Законод!$C$22,0,(IF(AND(L785&gt;=Законод!$I$22,L785&lt;=Законод!$I$23),L785-Законод!$H$23,IF('01_Доходи'!L785&gt;=Законод!$I$22,Законод!$I$24,0)))),IF($B$781="Лікар-педіатр",IF(L785&lt;Законод!$C$18,0,(IF(AND(L785&gt;=Законод!$I$18,L785&lt;=Законод!$I$19),L785-Законод!$H$19,IF('01_Доходи'!L785&gt;=Законод!$I$18,Законод!$H$20,0)))),IF($B$781="Лікар-терапевт",IF(L785&lt;Законод!$C$26,0,(IF(AND(L785&gt;=Законод!$I$26,L785&lt;=Законод!$I$27),L785-Законод!$H$27,IF('01_Доходи'!L785&gt;=Законод!$I$26,Законод!$H$28,0)))),0)))</f>
        <v>0</v>
      </c>
      <c r="M791" s="930"/>
      <c r="N791" s="889" t="s">
        <v>346</v>
      </c>
      <c r="O791" s="890"/>
      <c r="P791" s="890"/>
      <c r="Q791" s="890"/>
      <c r="R791" s="891"/>
      <c r="S791" s="196">
        <f ca="1">IF($B$781="Лікар загальної практики - сімейний лікар",IF(S785&lt;Законод!$C$22,0,(IF(AND(S785&gt;=Законод!$I$22,S785&lt;=Законод!$I$23),S785-Законод!$H$23,IF('01_Доходи'!S785&gt;=Законод!$I$22,Законод!$I$24,0)))),IF($B$781="Лікар-педіатр",IF(S785&lt;Законод!$C$18,0,(IF(AND(S785&gt;=Законод!$I$18,S785&lt;=Законод!$I$19),S785-Законод!$H$19,IF('01_Доходи'!S785&gt;=Законод!$I$18,Законод!$H$20,0)))),IF($B$781="Лікар-терапевт",IF(S785&lt;Законод!$C$26,0,(IF(AND(S785&gt;=Законод!$I$26,S785&lt;=Законод!$I$27),S785-Законод!$H$27,IF('01_Доходи'!S785&gt;=Законод!$I$26,Законод!$H$28,0)))),0)))</f>
        <v>0</v>
      </c>
      <c r="T791" s="930"/>
      <c r="U791" s="889" t="s">
        <v>346</v>
      </c>
      <c r="V791" s="890"/>
      <c r="W791" s="890"/>
      <c r="X791" s="890"/>
      <c r="Y791" s="891"/>
      <c r="Z791" s="196">
        <f ca="1">IF($B$781="Лікар загальної практики - сімейний лікар",IF(Z785&lt;Законод!$C$22,0,(IF(AND(Z785&gt;=Законод!$I$22,Z785&lt;=Законод!$I$23),Z785-Законод!$H$23,IF('01_Доходи'!Z785&gt;=Законод!$I$22,Законод!$I$24,0)))),IF($B$781="Лікар-педіатр",IF(Z785&lt;Законод!$C$18,0,(IF(AND(Z785&gt;=Законод!$I$18,Z785&lt;=Законод!$I$19),Z785-Законод!$H$19,IF('01_Доходи'!Z785&gt;=Законод!$I$18,Законод!$H$20,0)))),IF($B$781="Лікар-терапевт",IF(Z785&lt;Законод!$C$26,0,(IF(AND(Z785&gt;=Законод!$I$26,Z785&lt;=Законод!$I$27),Z785-Законод!$H$27,IF('01_Доходи'!Z785&gt;=Законод!$I$26,Законод!$H$28,0)))),0)))</f>
        <v>0</v>
      </c>
      <c r="AA791" s="930"/>
      <c r="AB791" s="889" t="s">
        <v>346</v>
      </c>
      <c r="AC791" s="890"/>
      <c r="AD791" s="890"/>
      <c r="AE791" s="890"/>
      <c r="AF791" s="891"/>
      <c r="AG791" s="196">
        <f ca="1">IF($B$781="Лікар загальної практики - сімейний лікар",IF(AG785&lt;Законод!$C$22,0,(IF(AND(AG785&gt;=Законод!$I$22,AG785&lt;=Законод!$I$23),AG785-Законод!$H$23,IF('01_Доходи'!AG785&gt;=Законод!$I$22,Законод!$I$24,0)))),IF($B$781="Лікар-педіатр",IF(AG785&lt;Законод!$C$18,0,(IF(AND(AG785&gt;=Законод!$I$18,AG785&lt;=Законод!$I$19),AG785-Законод!$H$19,IF('01_Доходи'!AG785&gt;=Законод!$I$18,Законод!$H$20,0)))),IF($B$781="Лікар-терапевт",IF(AG785&lt;Законод!$C$26,0,(IF(AND(AG785&gt;=Законод!$I$26,AG785&lt;=Законод!$I$27),AG785-Законод!$H$27,IF('01_Доходи'!AG785&gt;=Законод!$I$26,Законод!$H$28,0)))),0)))</f>
        <v>0</v>
      </c>
      <c r="AH791" s="930"/>
      <c r="AI791" s="201"/>
      <c r="AJ791" s="933"/>
      <c r="AK791" s="927"/>
      <c r="AL791" s="927"/>
      <c r="AM791" s="899"/>
      <c r="AN791" s="210">
        <f ca="1">IF(B781="Лікар загальної практики - сімейний лікар",L791*Законод!$C$9/4*Законод!$I$16,IF(B781="Лікар-педіатр",L791*Законод!$C$9/4*Законод!$I$16,IF(B781="Лікар-терапевт",L791*Законод!$C$9/4*Законод!$I$16,0)))</f>
        <v>0</v>
      </c>
      <c r="AO791" s="210">
        <f ca="1">IF(B781="Лікар загальної практики - сімейний лікар",S791*Законод!$C$9/4*Законод!$I$16,IF(B781="Лікар-педіатр",S791*Законод!$C$9/4*Законод!$I$16,IF(B781="Лікар-терапевт",S791*Законод!$C$9/4*Законод!$I$16,0)))</f>
        <v>0</v>
      </c>
      <c r="AP791" s="210">
        <f ca="1">IF(B781="Лікар загальної практики - сімейний лікар",Z791*Законод!$C$9/4*Законод!$I$16,IF(B781="Лікар-педіатр",Z791*Законод!$C$9/4*Законод!$I$16,IF(B781="Лікар-терапевт",Z791*Законод!$C$9/4*Законод!$I$16,0)))</f>
        <v>0</v>
      </c>
      <c r="AQ791" s="210">
        <f ca="1">IF(B781="Лікар загальної практики - сімейний лікар",AG791*Законод!$C$9/4*Законод!$I$16,IF(B781="Лікар-педіатр",AG791*Законод!$C$9/4*Законод!$I$16,IF(B781="Лікар-терапевт",AG791*Законод!$C$9/4*Законод!$I$16,0)))</f>
        <v>0</v>
      </c>
      <c r="AR791" s="211">
        <f t="shared" si="87"/>
        <v>0</v>
      </c>
    </row>
    <row r="792" spans="1:44" s="218" customFormat="1" ht="31.9" hidden="1" customHeight="1" thickBot="1">
      <c r="A792" s="213"/>
      <c r="B792" s="894"/>
      <c r="C792" s="897"/>
      <c r="D792" s="913"/>
      <c r="E792" s="910"/>
      <c r="F792" s="239" t="str">
        <f ca="1">IF(B781="Лікар-педіатр",Законод!$J$17,IF(B781="Лікар загальної практики - сімейний лікар",Законод!$J$21,IF(B781="Лікар-терапевт",Законод!$J$25,"х")))</f>
        <v>х</v>
      </c>
      <c r="G792" s="935" t="s">
        <v>346</v>
      </c>
      <c r="H792" s="936"/>
      <c r="I792" s="936"/>
      <c r="J792" s="936"/>
      <c r="K792" s="937"/>
      <c r="L792" s="196">
        <f ca="1">IF($B$781="Лікар загальної практики - сімейний лікар",IF(L785&gt;=Законод!$J$22,'01_Доходи'!L785-('01_Доходи'!L786+'01_Доходи'!L787+'01_Доходи'!L788+'01_Доходи'!L789+'01_Доходи'!L790+'01_Доходи'!L791),0),IF($B$781="Лікар-педіатр",IF(L785&gt;=Законод!$J$18,'01_Доходи'!L785-('01_Доходи'!L786+'01_Доходи'!L787+'01_Доходи'!L788+'01_Доходи'!L789+'01_Доходи'!L790+'01_Доходи'!L791),0),IF($B$781="Лікар-терапевт",IF('01_Доходи'!L785&gt;=Законод!$J$26,L785-Законод!$I$27,0),0)))</f>
        <v>0</v>
      </c>
      <c r="M792" s="931"/>
      <c r="N792" s="935" t="s">
        <v>346</v>
      </c>
      <c r="O792" s="936"/>
      <c r="P792" s="936"/>
      <c r="Q792" s="936"/>
      <c r="R792" s="937"/>
      <c r="S792" s="196">
        <f ca="1">IF($B$781="Лікар загальної практики - сімейний лікар",IF(S785&gt;=Законод!$J$22,'01_Доходи'!S785-('01_Доходи'!S786+'01_Доходи'!S787+'01_Доходи'!S788+'01_Доходи'!S789+'01_Доходи'!S790+'01_Доходи'!S791),0),IF($B$781="Лікар-педіатр",IF(S785&gt;=Законод!$J$18,'01_Доходи'!S785-('01_Доходи'!S786+'01_Доходи'!S787+'01_Доходи'!S788+'01_Доходи'!S789+'01_Доходи'!S790+'01_Доходи'!S791),0),IF($B$781="Лікар-терапевт",IF('01_Доходи'!S785&gt;=Законод!$J$26,S785-Законод!$I$27,0),0)))</f>
        <v>0</v>
      </c>
      <c r="T792" s="931"/>
      <c r="U792" s="935" t="s">
        <v>346</v>
      </c>
      <c r="V792" s="936"/>
      <c r="W792" s="936"/>
      <c r="X792" s="936"/>
      <c r="Y792" s="937"/>
      <c r="Z792" s="196">
        <f ca="1">IF($B$781="Лікар загальної практики - сімейний лікар",IF(Z785&gt;=Законод!$J$22,'01_Доходи'!Z785-('01_Доходи'!Z786+'01_Доходи'!Z787+'01_Доходи'!Z788+'01_Доходи'!Z789+'01_Доходи'!Z790+'01_Доходи'!Z791),0),IF($B$781="Лікар-педіатр",IF(Z785&gt;=Законод!$J$18,'01_Доходи'!Z785-('01_Доходи'!Z786+'01_Доходи'!Z787+'01_Доходи'!Z788+'01_Доходи'!Z789+'01_Доходи'!Z790+'01_Доходи'!Z791),0),IF($B$781="Лікар-терапевт",IF('01_Доходи'!Z785&gt;=Законод!$J$26,Z785-Законод!$I$27,0),0)))</f>
        <v>0</v>
      </c>
      <c r="AA792" s="931"/>
      <c r="AB792" s="935" t="s">
        <v>346</v>
      </c>
      <c r="AC792" s="936"/>
      <c r="AD792" s="936"/>
      <c r="AE792" s="936"/>
      <c r="AF792" s="937"/>
      <c r="AG792" s="196">
        <f ca="1">IF($B$781="Лікар загальної практики - сімейний лікар",IF(AG785&gt;=Законод!$J$22,'01_Доходи'!AG785-('01_Доходи'!AG786+'01_Доходи'!AG787+'01_Доходи'!AG788+'01_Доходи'!AG789+'01_Доходи'!AG790+'01_Доходи'!AG791),0),IF($B$781="Лікар-педіатр",IF(AG785&gt;=Законод!$J$18,'01_Доходи'!AG785-('01_Доходи'!AG786+'01_Доходи'!AG787+'01_Доходи'!AG788+'01_Доходи'!AG789+'01_Доходи'!AG790+'01_Доходи'!AG791),0),IF($B$781="Лікар-терапевт",IF('01_Доходи'!AG785&gt;=Законод!$J$26,AG785-Законод!$I$27,0),0)))</f>
        <v>0</v>
      </c>
      <c r="AH792" s="931"/>
      <c r="AI792" s="215"/>
      <c r="AJ792" s="934"/>
      <c r="AK792" s="928"/>
      <c r="AL792" s="928"/>
      <c r="AM792" s="900"/>
      <c r="AN792" s="216">
        <f ca="1">IF(B781="Лікар загальної практики - сімейний лікар",L792*Законод!$C$9/4*Законод!$J$16,IF(B781="Лікар-педіатр",L792*Законод!$C$9/4*Законод!$J$16,IF(B781="Лікар-терапевт",L792*Законод!$C$9/4*Законод!$J$16,0)))</f>
        <v>0</v>
      </c>
      <c r="AO792" s="216">
        <f ca="1">IF(B781="Лікар загальної практики - сімейний лікар",S792*Законод!$C$9/4*Законод!$J$16,IF(B781="Лікар-педіатр",S792*Законод!$C$9/4*Законод!$J$16,IF(B781="Лікар-терапевт",S792*Законод!$C$9/4*Законод!$J$16,0)))</f>
        <v>0</v>
      </c>
      <c r="AP792" s="216">
        <f ca="1">IF(B781="Лікар загальної практики - сімейний лікар",S792*Законод!$C$9/4*Законод!$J$16,IF(B781="Лікар-педіатр",S792*Законод!$C$9/4*Законод!$J$16,IF(B781="Лікар-терапевт",S792*Законод!$C$9/4*Законод!$J$16,0)))</f>
        <v>0</v>
      </c>
      <c r="AQ792" s="216">
        <f ca="1">IF(B781="Лікар загальної практики - сімейний лікар",AG792*Законод!$C$9/4*Законод!$J$16,IF(B781="Лікар-педіатр",AG792*Законод!$C$9/4*Законод!$J$16,IF(B781="Лікар-терапевт",AG792*Законод!$C$9/4*Законод!$J$16,0)))</f>
        <v>0</v>
      </c>
      <c r="AR792" s="217">
        <f t="shared" si="87"/>
        <v>0</v>
      </c>
    </row>
    <row r="793" spans="1:44" s="247" customFormat="1" ht="23.45" hidden="1" customHeight="1" thickBot="1">
      <c r="A793" s="243"/>
      <c r="B793" s="244"/>
      <c r="C793" s="244"/>
      <c r="D793" s="244"/>
      <c r="E793" s="244"/>
      <c r="F793" s="245"/>
      <c r="G793" s="246"/>
      <c r="H793" s="246"/>
      <c r="L793" s="248"/>
      <c r="S793" s="248"/>
      <c r="Z793" s="248"/>
      <c r="AG793" s="248"/>
      <c r="AM793" s="249"/>
      <c r="AR793" s="250"/>
    </row>
    <row r="794" spans="1:44" s="191" customFormat="1" ht="24.6" hidden="1" customHeight="1">
      <c r="A794" s="194">
        <f>A781+1</f>
        <v>59</v>
      </c>
      <c r="B794" s="892"/>
      <c r="C794" s="895"/>
      <c r="D794" s="911"/>
      <c r="E794" s="908"/>
      <c r="F794" s="234" t="s">
        <v>582</v>
      </c>
      <c r="G794" s="196">
        <f>IF($B$794="Лікар-педіатр",G797*L794,IF($B$794="Лікар-терапевт","х",IF($B$794="Лікар загальної практики - сімейний лікар",G797*L794,0)))</f>
        <v>0</v>
      </c>
      <c r="H794" s="196">
        <f>IF($B$794="Лікар-педіатр",H797*L794,IF($B$794="Лікар-терапевт","х",IF($B$794="Лікар загальної практики - сімейний лікар",H797*L794,0)))</f>
        <v>0</v>
      </c>
      <c r="I794" s="196">
        <f>IF($B$794="Лікар-педіатр","x",IF($B$794="Лікар-терапевт",I797*L794,IF($B$794="Лікар загальної практики - сімейний лікар",I797*L794,0)))</f>
        <v>0</v>
      </c>
      <c r="J794" s="196">
        <f>IF($B$794="Лікар-педіатр","x",IF($B$794="Лікар-терапевт",J797*L794,IF($B$794="Лікар загальної практики - сімейний лікар",J797*L794,0)))</f>
        <v>0</v>
      </c>
      <c r="K794" s="196">
        <f>IF($B$794="Лікар-педіатр","x",IF($B$794="Лікар-терапевт",K797*L794,IF($B$794="Лікар загальної практики - сімейний лікар",K797*L794,0)))</f>
        <v>0</v>
      </c>
      <c r="L794" s="558"/>
      <c r="M794" s="929"/>
      <c r="N794" s="196">
        <f>IF($B$794="Лікар-педіатр",N797*S794,IF($B$794="Лікар-терапевт","х",IF($B$794="Лікар загальної практики - сімейний лікар",N797*S794,0)))</f>
        <v>0</v>
      </c>
      <c r="O794" s="196">
        <f>IF($B$794="Лікар-педіатр",O797*S794,IF($B$794="Лікар-терапевт","х",IF($B$794="Лікар загальної практики - сімейний лікар",O797*S794,0)))</f>
        <v>0</v>
      </c>
      <c r="P794" s="196">
        <f>IF($B$794="Лікар-педіатр","x",IF($B$794="Лікар-терапевт",P797*S794,IF($B$794="Лікар загальної практики - сімейний лікар",P797*S794,0)))</f>
        <v>0</v>
      </c>
      <c r="Q794" s="196">
        <f>IF($B$794="Лікар-педіатр","x",IF($B$794="Лікар-терапевт",Q797*S794,IF($B$794="Лікар загальної практики - сімейний лікар",Q797*S794,0)))</f>
        <v>0</v>
      </c>
      <c r="R794" s="196">
        <f>IF($B$794="Лікар-педіатр","x",IF($B$794="Лікар-терапевт",R797*S794,IF($B$794="Лікар загальної практики - сімейний лікар",R797*S794,0)))</f>
        <v>0</v>
      </c>
      <c r="S794" s="558"/>
      <c r="T794" s="929"/>
      <c r="U794" s="196">
        <f>IF($B$794="Лікар-педіатр",U797*Z794,IF($B$794="Лікар-терапевт","х",IF($B$794="Лікар загальної практики - сімейний лікар",U797*Z794,0)))</f>
        <v>0</v>
      </c>
      <c r="V794" s="196">
        <f>IF($B$794="Лікар-педіатр",V797*Z794,IF($B$794="Лікар-терапевт","х",IF($B$794="Лікар загальної практики - сімейний лікар",V797*Z794,0)))</f>
        <v>0</v>
      </c>
      <c r="W794" s="196">
        <f>IF($B$794="Лікар-педіатр","x",IF($B$794="Лікар-терапевт",W797*Z794,IF($B$794="Лікар загальної практики - сімейний лікар",W797*Z794,0)))</f>
        <v>0</v>
      </c>
      <c r="X794" s="196">
        <f>IF($B$794="Лікар-педіатр","x",IF($B$794="Лікар-терапевт",X797*Z794,IF($B$794="Лікар загальної практики - сімейний лікар",X797*Z794,0)))</f>
        <v>0</v>
      </c>
      <c r="Y794" s="196">
        <f>IF($B$794="Лікар-педіатр","x",IF($B$794="Лікар-терапевт",Y797*Z794,IF($B$794="Лікар загальної практики - сімейний лікар",Y797*Z794,0)))</f>
        <v>0</v>
      </c>
      <c r="Z794" s="558"/>
      <c r="AA794" s="929"/>
      <c r="AB794" s="196">
        <f>IF($B$794="Лікар-педіатр",AB797*AG794,IF($B$794="Лікар-терапевт","х",IF($B$794="Лікар загальної практики - сімейний лікар",AB797*AG794,0)))</f>
        <v>0</v>
      </c>
      <c r="AC794" s="196">
        <f>IF($B$794="Лікар-педіатр",AC797*AG794,IF($B$794="Лікар-терапевт","х",IF($B$794="Лікар загальної практики - сімейний лікар",AC797*AG794,0)))</f>
        <v>0</v>
      </c>
      <c r="AD794" s="196">
        <f>IF($B$794="Лікар-педіатр","x",IF($B$794="Лікар-терапевт",AD797*AG794,IF($B$794="Лікар загальної практики - сімейний лікар",AD797*AG794,0)))</f>
        <v>0</v>
      </c>
      <c r="AE794" s="196">
        <f>IF($B$794="Лікар-педіатр","x",IF($B$794="Лікар-терапевт",AE797*AG794,IF($B$794="Лікар загальної практики - сімейний лікар",AE797*AG794,0)))</f>
        <v>0</v>
      </c>
      <c r="AF794" s="196">
        <f>IF($B$794="Лікар-педіатр","x",IF($B$794="Лікар-терапевт",AF797*AG794,IF($B$794="Лікар загальної практики - сімейний лікар",AF797*AG794,0)))</f>
        <v>0</v>
      </c>
      <c r="AG794" s="558"/>
      <c r="AH794" s="929"/>
      <c r="AI794" s="541">
        <f>A794</f>
        <v>59</v>
      </c>
      <c r="AJ794" s="932">
        <f>B794</f>
        <v>0</v>
      </c>
      <c r="AK794" s="926">
        <f>C794</f>
        <v>0</v>
      </c>
      <c r="AL794" s="926">
        <f>D794</f>
        <v>0</v>
      </c>
      <c r="AM794" s="901" t="s">
        <v>785</v>
      </c>
      <c r="AN794" s="923">
        <f>SUM(AN799:AN805)</f>
        <v>0</v>
      </c>
      <c r="AO794" s="923">
        <f>SUM(AO799:AO805)</f>
        <v>0</v>
      </c>
      <c r="AP794" s="923">
        <f>SUM(AP799:AP805)</f>
        <v>0</v>
      </c>
      <c r="AQ794" s="923">
        <f>SUM(AQ799:AQ805)</f>
        <v>0</v>
      </c>
      <c r="AR794" s="914">
        <f>SUM(AN794:AQ798)</f>
        <v>0</v>
      </c>
    </row>
    <row r="795" spans="1:44" s="50" customFormat="1" ht="28.15" hidden="1" customHeight="1">
      <c r="A795" s="197"/>
      <c r="B795" s="893"/>
      <c r="C795" s="896"/>
      <c r="D795" s="912"/>
      <c r="E795" s="909"/>
      <c r="F795" s="234" t="s">
        <v>583</v>
      </c>
      <c r="G795" s="196">
        <f>IF($B$794="Лікар-педіатр",G797*L795,IF($B$794="Лікар-терапевт","х",IF($B$794="Лікар загальної практики - сімейний лікар",G797*L795,0)))</f>
        <v>0</v>
      </c>
      <c r="H795" s="196">
        <f>IF($B$794="Лікар-педіатр",H797*L795,IF($B$794="Лікар-терапевт","х",IF($B$794="Лікар загальної практики - сімейний лікар",H797*L795,0)))</f>
        <v>0</v>
      </c>
      <c r="I795" s="196">
        <f>IF($B$794="Лікар-педіатр","x",IF($B$794="Лікар-терапевт",I797*L795,IF($B$794="Лікар загальної практики - сімейний лікар",I797*L795,0)))</f>
        <v>0</v>
      </c>
      <c r="J795" s="196">
        <f>IF($B$794="Лікар-педіатр","x",IF($B$794="Лікар-терапевт",J797*L795,IF($B$794="Лікар загальної практики - сімейний лікар",J797*L795,0)))</f>
        <v>0</v>
      </c>
      <c r="K795" s="196">
        <f>IF($B$794="Лікар-педіатр","x",IF($B$794="Лікар-терапевт",K797*L795,IF($B$794="Лікар загальної практики - сімейний лікар",K797*L795,0)))</f>
        <v>0</v>
      </c>
      <c r="L795" s="558"/>
      <c r="M795" s="930"/>
      <c r="N795" s="196">
        <f>IF($B$794="Лікар-педіатр",N797*S795,IF($B$794="Лікар-терапевт","х",IF($B$794="Лікар загальної практики - сімейний лікар",N797*S795,0)))</f>
        <v>0</v>
      </c>
      <c r="O795" s="196">
        <f>IF($B$794="Лікар-педіатр",O797*S795,IF($B$794="Лікар-терапевт","х",IF($B$794="Лікар загальної практики - сімейний лікар",O797*S795,0)))</f>
        <v>0</v>
      </c>
      <c r="P795" s="196">
        <f>IF($B$794="Лікар-педіатр","x",IF($B$794="Лікар-терапевт",P797*S795,IF($B$794="Лікар загальної практики - сімейний лікар",P797*S795,0)))</f>
        <v>0</v>
      </c>
      <c r="Q795" s="196">
        <f>IF($B$794="Лікар-педіатр","x",IF($B$794="Лікар-терапевт",Q797*S795,IF($B$794="Лікар загальної практики - сімейний лікар",Q797*S795,0)))</f>
        <v>0</v>
      </c>
      <c r="R795" s="196">
        <f>IF($B$794="Лікар-педіатр","x",IF($B$794="Лікар-терапевт",R797*S795,IF($B$794="Лікар загальної практики - сімейний лікар",R797*S795,0)))</f>
        <v>0</v>
      </c>
      <c r="S795" s="558"/>
      <c r="T795" s="930"/>
      <c r="U795" s="196">
        <f>IF($B$794="Лікар-педіатр",U797*Z795,IF($B$794="Лікар-терапевт","х",IF($B$794="Лікар загальної практики - сімейний лікар",U797*Z795,0)))</f>
        <v>0</v>
      </c>
      <c r="V795" s="196">
        <f>IF($B$794="Лікар-педіатр",V797*Z795,IF($B$794="Лікар-терапевт","х",IF($B$794="Лікар загальної практики - сімейний лікар",V797*Z795,0)))</f>
        <v>0</v>
      </c>
      <c r="W795" s="196">
        <f>IF($B$794="Лікар-педіатр","x",IF($B$794="Лікар-терапевт",W797*Z795,IF($B$794="Лікар загальної практики - сімейний лікар",W797*Z795,0)))</f>
        <v>0</v>
      </c>
      <c r="X795" s="196">
        <f>IF($B$794="Лікар-педіатр","x",IF($B$794="Лікар-терапевт",X797*Z795,IF($B$794="Лікар загальної практики - сімейний лікар",X797*Z795,0)))</f>
        <v>0</v>
      </c>
      <c r="Y795" s="196">
        <f>IF($B$794="Лікар-педіатр","x",IF($B$794="Лікар-терапевт",Y797*Z795,IF($B$794="Лікар загальної практики - сімейний лікар",Y797*Z795,0)))</f>
        <v>0</v>
      </c>
      <c r="Z795" s="558"/>
      <c r="AA795" s="930"/>
      <c r="AB795" s="196">
        <f>IF($B$794="Лікар-педіатр",AB797*AG795,IF($B$794="Лікар-терапевт","х",IF($B$794="Лікар загальної практики - сімейний лікар",AB797*AG795,0)))</f>
        <v>0</v>
      </c>
      <c r="AC795" s="196">
        <f>IF($B$794="Лікар-педіатр",AC797*AG795,IF($B$794="Лікар-терапевт","х",IF($B$794="Лікар загальної практики - сімейний лікар",AC797*AG795,0)))</f>
        <v>0</v>
      </c>
      <c r="AD795" s="196">
        <f>IF($B$794="Лікар-педіатр","x",IF($B$794="Лікар-терапевт",AD797*AG795,IF($B$794="Лікар загальної практики - сімейний лікар",AD797*AG795,0)))</f>
        <v>0</v>
      </c>
      <c r="AE795" s="196">
        <f>IF($B$794="Лікар-педіатр","x",IF($B$794="Лікар-терапевт",AE797*AG795,IF($B$794="Лікар загальної практики - сімейний лікар",AE797*AG795,0)))</f>
        <v>0</v>
      </c>
      <c r="AF795" s="196">
        <f>IF($B$794="Лікар-педіатр","x",IF($B$794="Лікар-терапевт",AF797*AG795,IF($B$794="Лікар загальної практики - сімейний лікар",AF797*AG795,0)))</f>
        <v>0</v>
      </c>
      <c r="AG795" s="558"/>
      <c r="AH795" s="930"/>
      <c r="AI795" s="198"/>
      <c r="AJ795" s="933"/>
      <c r="AK795" s="927"/>
      <c r="AL795" s="927"/>
      <c r="AM795" s="902"/>
      <c r="AN795" s="924"/>
      <c r="AO795" s="924"/>
      <c r="AP795" s="924"/>
      <c r="AQ795" s="924"/>
      <c r="AR795" s="915"/>
    </row>
    <row r="796" spans="1:44" s="90" customFormat="1" ht="31.15" hidden="1" customHeight="1">
      <c r="A796" s="240"/>
      <c r="B796" s="893"/>
      <c r="C796" s="896"/>
      <c r="D796" s="912"/>
      <c r="E796" s="909"/>
      <c r="F796" s="241" t="s">
        <v>584</v>
      </c>
      <c r="G796" s="199">
        <f>IF(B794="Лікар загальної практики - сімейний лікар"," ",IF(B794="Лікар-педіатр"," ",IF(B794="Лікар-терапевт","х",0)))</f>
        <v>0</v>
      </c>
      <c r="H796" s="199">
        <f>IF(B794="Лікар загальної практики - сімейний лікар"," ",IF(B794="Лікар-педіатр"," ",IF(B794="Лікар-терапевт","х",0)))</f>
        <v>0</v>
      </c>
      <c r="I796" s="199">
        <f>IF(B794="Лікар загальної практики - сімейний лікар"," ",IF(B794="Лікар-педіатр","х",IF(B794="Лікар-терапевт"," ",0)))</f>
        <v>0</v>
      </c>
      <c r="J796" s="199">
        <f>IF(B794="Лікар загальної практики - сімейний лікар"," ",IF(B794="Лікар-педіатр","х",IF(B794="Лікар-терапевт"," ",0)))</f>
        <v>0</v>
      </c>
      <c r="K796" s="199">
        <f>IF(B794="Лікар загальної практики - сімейний лікар"," ",IF(B794="Лікар-педіатр","х",IF(B794="Лікар-терапевт"," ",0)))</f>
        <v>0</v>
      </c>
      <c r="L796" s="200">
        <f>SUM(G796:K796)</f>
        <v>0</v>
      </c>
      <c r="M796" s="930"/>
      <c r="N796" s="199">
        <f>IF(B794="Лікар загальної практики - сімейний лікар"," ",IF(B794="Лікар-педіатр"," ",IF(B794="Лікар-терапевт","х",0)))</f>
        <v>0</v>
      </c>
      <c r="O796" s="199">
        <f>IF(B794="Лікар загальної практики - сімейний лікар"," ",IF(B794="Лікар-педіатр"," ",IF(B794="Лікар-терапевт","х",0)))</f>
        <v>0</v>
      </c>
      <c r="P796" s="199">
        <f>IF(B794="Лікар загальної практики - сімейний лікар"," ",IF(B794="Лікар-педіатр","х",IF(B794="Лікар-терапевт"," ",0)))</f>
        <v>0</v>
      </c>
      <c r="Q796" s="199">
        <f>IF(B794="Лікар загальної практики - сімейний лікар"," ",IF(B794="Лікар-педіатр","х",IF(B794="Лікар-терапевт"," ",0)))</f>
        <v>0</v>
      </c>
      <c r="R796" s="199">
        <f>IF(B794="Лікар загальної практики - сімейний лікар"," ",IF(B794="Лікар-педіатр","х",IF(B794="Лікар-терапевт"," ",0)))</f>
        <v>0</v>
      </c>
      <c r="S796" s="200">
        <f>SUM(N796:R796)</f>
        <v>0</v>
      </c>
      <c r="T796" s="930"/>
      <c r="U796" s="199">
        <f>IF(B794="Лікар загальної практики - сімейний лікар"," ",IF(B794="Лікар-педіатр"," ",IF(B794="Лікар-терапевт","х",0)))</f>
        <v>0</v>
      </c>
      <c r="V796" s="199">
        <f>IF(B794="Лікар загальної практики - сімейний лікар"," ",IF(B794="Лікар-педіатр"," ",IF(B794="Лікар-терапевт","х",0)))</f>
        <v>0</v>
      </c>
      <c r="W796" s="199">
        <f>IF(B794="Лікар загальної практики - сімейний лікар"," ",IF(B794="Лікар-педіатр","х",IF(B794="Лікар-терапевт"," ",0)))</f>
        <v>0</v>
      </c>
      <c r="X796" s="199">
        <f>IF(B794="Лікар загальної практики - сімейний лікар"," ",IF(B794="Лікар-педіатр","х",IF(B794="Лікар-терапевт"," ",0)))</f>
        <v>0</v>
      </c>
      <c r="Y796" s="199">
        <f>IF(B794="Лікар загальної практики - сімейний лікар"," ",IF(B794="Лікар-педіатр","х",IF(B794="Лікар-терапевт"," ",0)))</f>
        <v>0</v>
      </c>
      <c r="Z796" s="200">
        <f>SUM(U796:Y796)</f>
        <v>0</v>
      </c>
      <c r="AA796" s="930"/>
      <c r="AB796" s="199">
        <f>IF(B794="Лікар загальної практики - сімейний лікар"," ",IF(B794="Лікар-педіатр"," ",IF(B794="Лікар-терапевт","х",0)))</f>
        <v>0</v>
      </c>
      <c r="AC796" s="199">
        <f>IF(B794="Лікар загальної практики - сімейний лікар"," ",IF(B794="Лікар-педіатр"," ",IF(B794="Лікар-терапевт","х",0)))</f>
        <v>0</v>
      </c>
      <c r="AD796" s="199">
        <f>IF(B794="Лікар загальної практики - сімейний лікар"," ",IF(B794="Лікар-педіатр","х",IF(B794="Лікар-терапевт"," ",0)))</f>
        <v>0</v>
      </c>
      <c r="AE796" s="199">
        <f>IF(B794="Лікар загальної практики - сімейний лікар"," ",IF(B794="Лікар-педіатр","х",IF(B794="Лікар-терапевт"," ",0)))</f>
        <v>0</v>
      </c>
      <c r="AF796" s="199">
        <f>IF(B794="Лікар загальної практики - сімейний лікар"," ",IF(B794="Лікар-педіатр","х",IF(B794="Лікар-терапевт"," ",0)))</f>
        <v>0</v>
      </c>
      <c r="AG796" s="200">
        <f>SUM(AB796:AF796)</f>
        <v>0</v>
      </c>
      <c r="AH796" s="930"/>
      <c r="AI796" s="242"/>
      <c r="AJ796" s="933"/>
      <c r="AK796" s="927"/>
      <c r="AL796" s="927"/>
      <c r="AM796" s="902"/>
      <c r="AN796" s="924"/>
      <c r="AO796" s="924"/>
      <c r="AP796" s="924"/>
      <c r="AQ796" s="924"/>
      <c r="AR796" s="915"/>
    </row>
    <row r="797" spans="1:44" s="50" customFormat="1" ht="31.9" hidden="1" customHeight="1" thickBot="1">
      <c r="A797" s="197"/>
      <c r="B797" s="893"/>
      <c r="C797" s="896"/>
      <c r="D797" s="912"/>
      <c r="E797" s="909"/>
      <c r="F797" s="236" t="s">
        <v>349</v>
      </c>
      <c r="G797" s="203">
        <f>IF($B$794="Лікар-педіатр",G796/L796,IF($B$794="Лікар-терапевт","х",IF($B$794="Лікар загальної практики - сімейний лікар",G796/L796,0)))</f>
        <v>0</v>
      </c>
      <c r="H797" s="203">
        <f>IF($B$794="Лікар-педіатр",H796/L796,IF($B$794="Лікар-терапевт","х",IF($B$794="Лікар загальної практики - сімейний лікар",H796/L796,0)))</f>
        <v>0</v>
      </c>
      <c r="I797" s="203">
        <f>IF($B$794="Лікар-педіатр","x",IF($B$794="Лікар-терапевт",I796/L796,IF($B$794="Лікар загальної практики - сімейний лікар",I796/L796,0)))</f>
        <v>0</v>
      </c>
      <c r="J797" s="203">
        <f>IF($B$794="Лікар-педіатр","x",IF($B$794="Лікар-терапевт",J796/L796,IF($B$794="Лікар загальної практики - сімейний лікар",J796/L796,0)))</f>
        <v>0</v>
      </c>
      <c r="K797" s="203">
        <f>IF($B$794="Лікар-педіатр","x",IF($B$794="Лікар-терапевт",K796/L796,IF($B$794="Лікар загальної практики - сімейний лікар",K796/L796,0)))</f>
        <v>0</v>
      </c>
      <c r="L797" s="203">
        <f>SUM(G797:K797)</f>
        <v>0</v>
      </c>
      <c r="M797" s="930"/>
      <c r="N797" s="203">
        <f>IF($B$794="Лікар-педіатр",N796/S796,IF($B$794="Лікар-терапевт","х",IF($B$794="Лікар загальної практики - сімейний лікар",N796/S796,0)))</f>
        <v>0</v>
      </c>
      <c r="O797" s="203">
        <f>IF($B$794="Лікар-педіатр",O796/S796,IF($B$794="Лікар-терапевт","х",IF($B$794="Лікар загальної практики - сімейний лікар",O796/S796,0)))</f>
        <v>0</v>
      </c>
      <c r="P797" s="203">
        <f>IF($B$794="Лікар-педіатр","x",IF($B$794="Лікар-терапевт",P796/S796,IF($B$794="Лікар загальної практики - сімейний лікар",P796/S796,0)))</f>
        <v>0</v>
      </c>
      <c r="Q797" s="203">
        <f>IF($B$794="Лікар-педіатр","x",IF($B$794="Лікар-терапевт",Q796/S796,IF($B$794="Лікар загальної практики - сімейний лікар",Q796/S796,0)))</f>
        <v>0</v>
      </c>
      <c r="R797" s="203">
        <f>IF($B$794="Лікар-педіатр","x",IF($B$794="Лікар-терапевт",R796/S796,IF($B$794="Лікар загальної практики - сімейний лікар",R796/S796,0)))</f>
        <v>0</v>
      </c>
      <c r="S797" s="203">
        <f>SUM(N797:R797)</f>
        <v>0</v>
      </c>
      <c r="T797" s="930"/>
      <c r="U797" s="203">
        <f>IF($B$794="Лікар-педіатр",U796/Z796,IF($B$794="Лікар-терапевт","х",IF($B$794="Лікар загальної практики - сімейний лікар",U796/Z796,0)))</f>
        <v>0</v>
      </c>
      <c r="V797" s="203">
        <f>IF($B$794="Лікар-педіатр",V796/Z796,IF($B$794="Лікар-терапевт","х",IF($B$794="Лікар загальної практики - сімейний лікар",V796/Z796,0)))</f>
        <v>0</v>
      </c>
      <c r="W797" s="203">
        <f>IF($B$794="Лікар-педіатр","x",IF($B$794="Лікар-терапевт",W796/Z796,IF($B$794="Лікар загальної практики - сімейний лікар",W796/Z796,0)))</f>
        <v>0</v>
      </c>
      <c r="X797" s="203">
        <f>IF($B$794="Лікар-педіатр","x",IF($B$794="Лікар-терапевт",X796/Z796,IF($B$794="Лікар загальної практики - сімейний лікар",X796/Z796,0)))</f>
        <v>0</v>
      </c>
      <c r="Y797" s="203">
        <f>IF($B$794="Лікар-педіатр","x",IF($B$794="Лікар-терапевт",Y796/Z796,IF($B$794="Лікар загальної практики - сімейний лікар",Y796/Z796,0)))</f>
        <v>0</v>
      </c>
      <c r="Z797" s="203">
        <f>SUM(U797:Y797)</f>
        <v>0</v>
      </c>
      <c r="AA797" s="930"/>
      <c r="AB797" s="203">
        <f>IF($B$794="Лікар-педіатр",AB796/AG796,IF($B$794="Лікар-терапевт","х",IF($B$794="Лікар загальної практики - сімейний лікар",AB796/AG796,0)))</f>
        <v>0</v>
      </c>
      <c r="AC797" s="203">
        <f>IF($B$794="Лікар-педіатр",AC796/AG796,IF($B$794="Лікар-терапевт","х",IF($B$794="Лікар загальної практики - сімейний лікар",AC796/AG796,0)))</f>
        <v>0</v>
      </c>
      <c r="AD797" s="203">
        <f>IF($B$794="Лікар-педіатр","x",IF($B$794="Лікар-терапевт",AD796/AG796,IF($B$794="Лікар загальної практики - сімейний лікар",AD796/AG796,0)))</f>
        <v>0</v>
      </c>
      <c r="AE797" s="203">
        <f>IF($B$794="Лікар-педіатр","x",IF($B$794="Лікар-терапевт",AE796/AG796,IF($B$794="Лікар загальної практики - сімейний лікар",AE796/AG796,0)))</f>
        <v>0</v>
      </c>
      <c r="AF797" s="203">
        <f>IF($B$794="Лікар-педіатр","x",IF($B$794="Лікар-терапевт",AF796/AG796,IF($B$794="Лікар загальної практики - сімейний лікар",AF796/AG796,0)))</f>
        <v>0</v>
      </c>
      <c r="AG797" s="203">
        <f>SUM(AB797:AF797)</f>
        <v>0</v>
      </c>
      <c r="AH797" s="930"/>
      <c r="AI797" s="201"/>
      <c r="AJ797" s="933"/>
      <c r="AK797" s="927"/>
      <c r="AL797" s="927"/>
      <c r="AM797" s="902"/>
      <c r="AN797" s="924"/>
      <c r="AO797" s="924"/>
      <c r="AP797" s="924"/>
      <c r="AQ797" s="924"/>
      <c r="AR797" s="915"/>
    </row>
    <row r="798" spans="1:44" s="50" customFormat="1" ht="45" hidden="1" customHeight="1" thickBot="1">
      <c r="A798" s="197"/>
      <c r="B798" s="893"/>
      <c r="C798" s="896"/>
      <c r="D798" s="912"/>
      <c r="E798" s="909"/>
      <c r="F798" s="204" t="s">
        <v>585</v>
      </c>
      <c r="G798" s="205">
        <f>IF($B$794="Лікар загальної практики - сімейний лікар",AVERAGE(G794:G796),IF($B$794="Лікар-педіатр",AVERAGE(G794:G796),IF($B$794="Лікар-терапевт","х",0)))</f>
        <v>0</v>
      </c>
      <c r="H798" s="205">
        <f>IF($B$794="Лікар загальної практики - сімейний лікар",AVERAGE(H794:H796),IF($B$794="Лікар-педіатр",AVERAGE(H794:H796),IF($B$794="Лікар-терапевт","х",0)))</f>
        <v>0</v>
      </c>
      <c r="I798" s="205">
        <f>IF($B$794="Лікар загальної практики - сімейний лікар",AVERAGE(I794:I796),IF($B$794="Лікар-педіатр","x",IF($B$794="Лікар-терапевт",AVERAGE(I794:I796),0)))</f>
        <v>0</v>
      </c>
      <c r="J798" s="205">
        <f>IF($B$794="Лікар загальної практики - сімейний лікар",AVERAGE(J794:J796),IF($B$794="Лікар-педіатр","x",IF($B$794="Лікар-терапевт",AVERAGE(J794:J796),0)))</f>
        <v>0</v>
      </c>
      <c r="K798" s="205">
        <f>IF($B$794="Лікар загальної практики - сімейний лікар",AVERAGE(K794:K796),IF($B$794="Лікар-педіатр","x",IF($B$794="Лікар-терапевт",AVERAGE(K794:K796),0)))</f>
        <v>0</v>
      </c>
      <c r="L798" s="206">
        <f>SUM(G798:K798)</f>
        <v>0</v>
      </c>
      <c r="M798" s="930"/>
      <c r="N798" s="205">
        <f>IF($B$794="Лікар загальної практики - сімейний лікар",AVERAGE(N794:N796),IF($B$794="Лікар-педіатр",AVERAGE(N794:N796),IF($B$794="Лікар-терапевт","х",0)))</f>
        <v>0</v>
      </c>
      <c r="O798" s="205">
        <f>IF($B$794="Лікар загальної практики - сімейний лікар",AVERAGE(O794:O796),IF($B$794="Лікар-педіатр",AVERAGE(O794:O796),IF($B$794="Лікар-терапевт","х",0)))</f>
        <v>0</v>
      </c>
      <c r="P798" s="205">
        <f>IF($B$794="Лікар загальної практики - сімейний лікар",AVERAGE(P794:P796),IF($B$794="Лікар-педіатр","x",IF($B$794="Лікар-терапевт",AVERAGE(P794:P796),0)))</f>
        <v>0</v>
      </c>
      <c r="Q798" s="205">
        <f>IF($B$794="Лікар загальної практики - сімейний лікар",AVERAGE(Q794:Q796),IF($B$794="Лікар-педіатр","x",IF($B$794="Лікар-терапевт",AVERAGE(Q794:Q796),0)))</f>
        <v>0</v>
      </c>
      <c r="R798" s="205">
        <f>IF($B$794="Лікар загальної практики - сімейний лікар",AVERAGE(R794:R796),IF($B$794="Лікар-педіатр","x",IF($B$794="Лікар-терапевт",AVERAGE(R794:R796),0)))</f>
        <v>0</v>
      </c>
      <c r="S798" s="206">
        <f>SUM(N798:R798)</f>
        <v>0</v>
      </c>
      <c r="T798" s="930"/>
      <c r="U798" s="205">
        <f>IF($B$794="Лікар загальної практики - сімейний лікар",AVERAGE(U794:U796),IF($B$794="Лікар-педіатр",AVERAGE(U794:U796),IF($B$794="Лікар-терапевт","х",0)))</f>
        <v>0</v>
      </c>
      <c r="V798" s="205">
        <f>IF($B$794="Лікар загальної практики - сімейний лікар",AVERAGE(V794:V796),IF($B$794="Лікар-педіатр",AVERAGE(V794:V796),IF($B$794="Лікар-терапевт","х",0)))</f>
        <v>0</v>
      </c>
      <c r="W798" s="205">
        <f>IF($B$794="Лікар загальної практики - сімейний лікар",AVERAGE(W794:W796),IF($B$794="Лікар-педіатр","x",IF($B$794="Лікар-терапевт",AVERAGE(W794:W796),0)))</f>
        <v>0</v>
      </c>
      <c r="X798" s="205">
        <f>IF($B$794="Лікар загальної практики - сімейний лікар",AVERAGE(X794:X796),IF($B$794="Лікар-педіатр","x",IF($B$794="Лікар-терапевт",AVERAGE(X794:X796),0)))</f>
        <v>0</v>
      </c>
      <c r="Y798" s="205">
        <f>IF($B$794="Лікар загальної практики - сімейний лікар",AVERAGE(Y794:Y796),IF($B$794="Лікар-педіатр","x",IF($B$794="Лікар-терапевт",AVERAGE(Y794:Y796),0)))</f>
        <v>0</v>
      </c>
      <c r="Z798" s="206">
        <f>SUM(U798:Y798)</f>
        <v>0</v>
      </c>
      <c r="AA798" s="930"/>
      <c r="AB798" s="205">
        <f>IF($B$794="Лікар загальної практики - сімейний лікар",AVERAGE(AB794:AB796),IF($B$794="Лікар-педіатр",AVERAGE(AB794:AB796),IF($B$794="Лікар-терапевт","х",0)))</f>
        <v>0</v>
      </c>
      <c r="AC798" s="205">
        <f>IF($B$794="Лікар загальної практики - сімейний лікар",AVERAGE(AC794:AC796),IF($B$794="Лікар-педіатр",AVERAGE(AC794:AC796),IF($B$794="Лікар-терапевт","х",0)))</f>
        <v>0</v>
      </c>
      <c r="AD798" s="205">
        <f>IF($B$794="Лікар загальної практики - сімейний лікар",AVERAGE(AD794:AD796),IF($B$794="Лікар-педіатр","x",IF($B$794="Лікар-терапевт",AVERAGE(AD794:AD796),0)))</f>
        <v>0</v>
      </c>
      <c r="AE798" s="205">
        <f>IF($B$794="Лікар загальної практики - сімейний лікар",AVERAGE(AE794:AE796),IF($B$794="Лікар-педіатр","x",IF($B$794="Лікар-терапевт",AVERAGE(AE794:AE796),0)))</f>
        <v>0</v>
      </c>
      <c r="AF798" s="205">
        <f>IF($B$794="Лікар загальної практики - сімейний лікар",AVERAGE(AF794:AF796),IF($B$794="Лікар-педіатр","x",IF($B$794="Лікар-терапевт",AVERAGE(AF794:AF796),0)))</f>
        <v>0</v>
      </c>
      <c r="AG798" s="206">
        <f>SUM(AB798:AF798)</f>
        <v>0</v>
      </c>
      <c r="AH798" s="930"/>
      <c r="AI798" s="201"/>
      <c r="AJ798" s="933"/>
      <c r="AK798" s="927"/>
      <c r="AL798" s="927"/>
      <c r="AM798" s="903"/>
      <c r="AN798" s="925"/>
      <c r="AO798" s="925"/>
      <c r="AP798" s="925"/>
      <c r="AQ798" s="925"/>
      <c r="AR798" s="916"/>
    </row>
    <row r="799" spans="1:44" s="50" customFormat="1" ht="40.5" hidden="1">
      <c r="A799" s="197"/>
      <c r="B799" s="893"/>
      <c r="C799" s="896"/>
      <c r="D799" s="912"/>
      <c r="E799" s="909"/>
      <c r="F799" s="237" t="str">
        <f ca="1">IF(B794="Лікар-педіатр",Законод!$C$17,IF(B794="Лікар загальної практики - сімейний лікар",Законод!$C$21,IF(B794="Лікар-терапевт",Законод!$C$25,"х")))</f>
        <v>х</v>
      </c>
      <c r="G799" s="208">
        <f ca="1">IF($B$794="Лікар загальної практики - сімейний лікар",IF(L798&lt;=Законод!$C$22,G798,Законод!$C$22*'01_Доходи'!G797),IF($B$794="Лікар-педіатр",IF(L798&lt;=Законод!$C$18,G798,Законод!$C$18*'01_Доходи'!G797),IF($B$794="Лікар-терапевт","x",0)))</f>
        <v>0</v>
      </c>
      <c r="H799" s="208">
        <f ca="1">IF($B$794="Лікар загальної практики - сімейний лікар",IF(L798&lt;=Законод!$C$22,H798,Законод!$C$22*'01_Доходи'!H797),IF($B$794="Лікар-педіатр",IF(L798&lt;=Законод!$C$18,H798,Законод!$C$18*'01_Доходи'!H797),IF($B$794="Лікар-терапевт","x",0)))</f>
        <v>0</v>
      </c>
      <c r="I799" s="208">
        <f ca="1">IF($B$794="Лікар загальної практики - сімейний лікар",IF(L798&lt;=Законод!$C$22,I798,Законод!$C$22*'01_Доходи'!I797),IF($B$794="Лікар-педіатр","x",IF($B$794="Лікар-терапевт",IF(L798&lt;=Законод!$C$26,I798,Законод!$C$26*'01_Доходи'!I797),0)))</f>
        <v>0</v>
      </c>
      <c r="J799" s="208">
        <f ca="1">IF($B$794="Лікар загальної практики - сімейний лікар",IF(L798&lt;=Законод!$C$22,J798,Законод!$C$22*'01_Доходи'!J797),IF($B$794="Лікар-педіатр","x",IF($B$794="Лікар-терапевт",IF(L798&lt;=Законод!$C$26,J798,Законод!$C$26*'01_Доходи'!J797),0)))</f>
        <v>0</v>
      </c>
      <c r="K799" s="208">
        <f ca="1">IF($B$794="Лікар загальної практики - сімейний лікар",IF(L798&lt;=Законод!$C$22,K798,Законод!$C$22*'01_Доходи'!K797),IF($B$794="Лікар-педіатр","x",IF($B$794="Лікар-терапевт",IF(L798&lt;=Законод!$C$26,K798,Законод!$C$26*'01_Доходи'!K797),0)))</f>
        <v>0</v>
      </c>
      <c r="L799" s="209">
        <f ca="1">SUM(G799:K799)</f>
        <v>0</v>
      </c>
      <c r="M799" s="930"/>
      <c r="N799" s="208">
        <f ca="1">IF($B$794="Лікар загальної практики - сімейний лікар",IF(S798&lt;=Законод!$C$22,N798,Законод!$C$22*'01_Доходи'!N797),IF($B$794="Лікар-педіатр",IF(S798&lt;=Законод!$C$18,N798,Законод!$C$18*'01_Доходи'!N797),IF($B$794="Лікар-терапевт","x",0)))</f>
        <v>0</v>
      </c>
      <c r="O799" s="208">
        <f ca="1">IF($B$794="Лікар загальної практики - сімейний лікар",IF(S798&lt;=Законод!$C$22,O798,Законод!$C$22*'01_Доходи'!O797),IF($B$794="Лікар-педіатр",IF(S798&lt;=Законод!$C$18,O798,Законод!$C$18*'01_Доходи'!O797),IF($B$794="Лікар-терапевт","x",0)))</f>
        <v>0</v>
      </c>
      <c r="P799" s="208">
        <f ca="1">IF($B$794="Лікар загальної практики - сімейний лікар",IF(S798&lt;=Законод!$C$22,P798,Законод!$C$22*'01_Доходи'!P797),IF($B$794="Лікар-педіатр","x",IF($B$794="Лікар-терапевт",IF(S798&lt;=Законод!$C$26,P798,Законод!$C$26*'01_Доходи'!P797),0)))</f>
        <v>0</v>
      </c>
      <c r="Q799" s="208">
        <f ca="1">IF($B$794="Лікар загальної практики - сімейний лікар",IF(S798&lt;=Законод!$C$22,Q798,Законод!$C$22*'01_Доходи'!Q797),IF($B$794="Лікар-педіатр","x",IF($B$794="Лікар-терапевт",IF(S798&lt;=Законод!$C$26,Q798,Законод!$C$26*'01_Доходи'!Q797),0)))</f>
        <v>0</v>
      </c>
      <c r="R799" s="208">
        <f ca="1">IF($B$794="Лікар загальної практики - сімейний лікар",IF(S798&lt;=Законод!$C$22,R798,Законод!$C$22*'01_Доходи'!R797),IF($B$794="Лікар-педіатр","x",IF($B$794="Лікар-терапевт",IF(S798&lt;=Законод!$C$26,R798,Законод!$C$26*'01_Доходи'!R797),0)))</f>
        <v>0</v>
      </c>
      <c r="S799" s="209">
        <f ca="1">SUM(N799:R799)</f>
        <v>0</v>
      </c>
      <c r="T799" s="930"/>
      <c r="U799" s="208">
        <f ca="1">IF($B$794="Лікар загальної практики - сімейний лікар",IF(Z798&lt;=Законод!$C$22,U798,Законод!$C$22*'01_Доходи'!U797),IF($B$794="Лікар-педіатр",IF(Z798&lt;=Законод!$C$18,U798,Законод!$C$18*'01_Доходи'!U797),IF($B$794="Лікар-терапевт","x",0)))</f>
        <v>0</v>
      </c>
      <c r="V799" s="208">
        <f ca="1">IF($B$794="Лікар загальної практики - сімейний лікар",IF(Z798&lt;=Законод!$C$22,V798,Законод!$C$22*'01_Доходи'!V797),IF($B$794="Лікар-педіатр",IF(Z798&lt;=Законод!$C$18,V798,Законод!$C$18*'01_Доходи'!V797),IF($B$794="Лікар-терапевт","x",0)))</f>
        <v>0</v>
      </c>
      <c r="W799" s="208">
        <f ca="1">IF($B$794="Лікар загальної практики - сімейний лікар",IF(Z798&lt;=Законод!$C$22,W798,Законод!$C$22*'01_Доходи'!W797),IF($B$794="Лікар-педіатр","x",IF($B$794="Лікар-терапевт",IF(Z798&lt;=Законод!$C$26,W798,Законод!$C$26*'01_Доходи'!W797),0)))</f>
        <v>0</v>
      </c>
      <c r="X799" s="208">
        <f ca="1">IF($B$794="Лікар загальної практики - сімейний лікар",IF(Z798&lt;=Законод!$C$22,X798,Законод!$C$22*'01_Доходи'!X797),IF($B$794="Лікар-педіатр","x",IF($B$794="Лікар-терапевт",IF(Z798&lt;=Законод!$C$26,X798,Законод!$C$26*'01_Доходи'!X797),0)))</f>
        <v>0</v>
      </c>
      <c r="Y799" s="208">
        <f ca="1">IF($B$794="Лікар загальної практики - сімейний лікар",IF(Z798&lt;=Законод!$C$22,Y798,Законод!$C$22*'01_Доходи'!Y797),IF($B$794="Лікар-педіатр","x",IF($B$794="Лікар-терапевт",IF(Z798&lt;=Законод!$C$26,Y798,Законод!$C$26*'01_Доходи'!Y797),0)))</f>
        <v>0</v>
      </c>
      <c r="Z799" s="209">
        <f ca="1">SUM(U799:Y799)</f>
        <v>0</v>
      </c>
      <c r="AA799" s="930"/>
      <c r="AB799" s="208">
        <f ca="1">IF($B$794="Лікар загальної практики - сімейний лікар",IF(AG798&lt;=Законод!$C$22,AB798,Законод!$C$22*'01_Доходи'!AB797),IF($B$794="Лікар-педіатр",IF(AG798&lt;=Законод!$C$18,AB798,Законод!$C$18*'01_Доходи'!AB797),IF($B$794="Лікар-терапевт","x",0)))</f>
        <v>0</v>
      </c>
      <c r="AC799" s="208">
        <f ca="1">IF($B$794="Лікар загальної практики - сімейний лікар",IF(AG798&lt;=Законод!$C$22,AC798,Законод!$C$22*'01_Доходи'!AC797),IF($B$794="Лікар-педіатр",IF(AG798&lt;=Законод!$C$18,AC798,Законод!$C$18*'01_Доходи'!AC797),IF($B$794="Лікар-терапевт","x",0)))</f>
        <v>0</v>
      </c>
      <c r="AD799" s="208">
        <f ca="1">IF($B$794="Лікар загальної практики - сімейний лікар",IF(AG798&lt;=Законод!$C$22,AD798,Законод!$C$22*'01_Доходи'!AD797),IF($B$794="Лікар-педіатр","x",IF($B$794="Лікар-терапевт",IF(AG798&lt;=Законод!$C$26,AD798,Законод!$C$26*'01_Доходи'!AD797),0)))</f>
        <v>0</v>
      </c>
      <c r="AE799" s="208">
        <f ca="1">IF($B$794="Лікар загальної практики - сімейний лікар",IF(AG798&lt;=Законод!$C$22,AE798,Законод!$C$22*'01_Доходи'!AE797),IF($B$794="Лікар-педіатр","x",IF($B$794="Лікар-терапевт",IF(AG798&lt;=Законод!$C$26,AE798,Законод!$C$26*'01_Доходи'!AE797),0)))</f>
        <v>0</v>
      </c>
      <c r="AF799" s="208">
        <f ca="1">IF($B$794="Лікар загальної практики - сімейний лікар",IF(AG798&lt;=Законод!$C$22,AF798,Законод!$C$22*'01_Доходи'!AF797),IF($B$794="Лікар-педіатр","x",IF($B$794="Лікар-терапевт",IF(AG798&lt;=Законод!$C$26,AF798,Законод!$C$26*'01_Доходи'!AF797),0)))</f>
        <v>0</v>
      </c>
      <c r="AG799" s="209">
        <f ca="1">SUM(AB799:AF799)</f>
        <v>0</v>
      </c>
      <c r="AH799" s="930"/>
      <c r="AI799" s="201"/>
      <c r="AJ799" s="933"/>
      <c r="AK799" s="927"/>
      <c r="AL799" s="927"/>
      <c r="AM799" s="348" t="s">
        <v>374</v>
      </c>
      <c r="AN799" s="210">
        <f ca="1">IF(B794="Лікар загальної практики - сімейний лікар",G799*Законод!$C$11+'01_Доходи'!H799*Законод!$D$11+'01_Доходи'!I799*Законод!$E$11+'01_Доходи'!J799*Законод!$F$11+'01_Доходи'!K799*Законод!$G$11,IF(B794="Лікар-педіатр",G799*Законод!$C$11+'01_Доходи'!H799*Законод!$D$11,IF(B794="Лікар-терапевт",'01_Доходи'!I799*Законод!$E$11+'01_Доходи'!J799*Законод!$F$11+'01_Доходи'!K799*Законод!$G$11,0)))</f>
        <v>0</v>
      </c>
      <c r="AO799" s="210">
        <f ca="1">IF(B794="Лікар загальної практики - сімейний лікар",N799*Законод!$C$11+'01_Доходи'!O799*Законод!$D$11+'01_Доходи'!P799*Законод!$E$11+'01_Доходи'!Q799*Законод!$F$11+'01_Доходи'!R799*Законод!$G$11,IF(B794="Лікар-педіатр",N799*Законод!$C$11+'01_Доходи'!O799*Законод!$D$11,IF(B794="Лікар-терапевт",'01_Доходи'!P799*Законод!$E$11+'01_Доходи'!Q799*Законод!$F$11+'01_Доходи'!R799*Законод!$G$11,0)))</f>
        <v>0</v>
      </c>
      <c r="AP799" s="210">
        <f ca="1">IF(B794="Лікар загальної практики - сімейний лікар",U799*Законод!$C$11+'01_Доходи'!V799*Законод!$D$11+'01_Доходи'!W799*Законод!$E$11+'01_Доходи'!X799*Законод!$F$11+'01_Доходи'!Y799*Законод!$G$11,IF(B794="Лікар-педіатр",U799*Законод!$C$11+'01_Доходи'!V799*Законод!$D$11,IF(B794="Лікар-терапевт",'01_Доходи'!W799*Законод!$E$11+'01_Доходи'!X799*Законод!$F$11+'01_Доходи'!Y799*Законод!$G$11,0)))</f>
        <v>0</v>
      </c>
      <c r="AQ799" s="210">
        <f ca="1">IF(B794="Лікар загальної практики - сімейний лікар",AB799*Законод!$C$11+'01_Доходи'!AC799*Законод!$D$11+'01_Доходи'!AD799*Законод!$E$11+'01_Доходи'!AE799*Законод!$F$11+'01_Доходи'!AF799*Законод!$G$11,IF(B794="Лікар-педіатр",AB799*Законод!$C$11+'01_Доходи'!AC799*Законод!$D$11,IF(B794="Лікар-терапевт",'01_Доходи'!AD799*Законод!$E$11+'01_Доходи'!AE799*Законод!$F$11+'01_Доходи'!AF799*Законод!$G$11,0)))</f>
        <v>0</v>
      </c>
      <c r="AR799" s="211">
        <f t="shared" ref="AR799:AR805" si="88">SUM(AN799:AQ799)</f>
        <v>0</v>
      </c>
    </row>
    <row r="800" spans="1:44" s="50" customFormat="1" ht="31.9" hidden="1" customHeight="1">
      <c r="A800" s="197"/>
      <c r="B800" s="893"/>
      <c r="C800" s="896"/>
      <c r="D800" s="912"/>
      <c r="E800" s="909"/>
      <c r="F800" s="238" t="str">
        <f ca="1">IF(B794="Лікар-педіатр",Законод!$E$17,IF(B794="Лікар загальної практики - сімейний лікар",Законод!$E$21,IF(B794="Лікар-терапевт",Законод!$E$25,"х")))</f>
        <v>х</v>
      </c>
      <c r="G800" s="889" t="s">
        <v>346</v>
      </c>
      <c r="H800" s="890"/>
      <c r="I800" s="890"/>
      <c r="J800" s="890"/>
      <c r="K800" s="891"/>
      <c r="L800" s="196">
        <f ca="1">IF($B$794="Лікар загальної практики - сімейний лікар",IF(L798&lt;Законод!$C$22,0,(IF(AND(L798&gt;=Законод!$E$22,L798&lt;=Законод!$E$23),L798-Законод!$C$22,IF('01_Доходи'!L798&gt;=Законод!$F$22,Законод!$E$24,0)))),IF($B$794="Лікар-педіатр",IF(L798&lt;Законод!$C$18,0,(IF(AND(L798&gt;=Законод!$E$18,L798&lt;=Законод!$E$19),L798-Законод!$C$18,IF('01_Доходи'!L798&gt;=Законод!$F$18,Законод!$E$20,0)))),IF($B$794="Лікар-терапевт",IF(L798&lt;Законод!$C$26,0,(IF(AND(L798&gt;=Законод!$E$26,L798&lt;=Законод!$E$27),L798-Законод!$C$26,IF('01_Доходи'!L798&gt;=Законод!$F$26,Законод!$E$28,0)))),0)))</f>
        <v>0</v>
      </c>
      <c r="M800" s="930"/>
      <c r="N800" s="889" t="s">
        <v>346</v>
      </c>
      <c r="O800" s="890"/>
      <c r="P800" s="890"/>
      <c r="Q800" s="890"/>
      <c r="R800" s="891"/>
      <c r="S800" s="196">
        <f ca="1">IF($B$794="Лікар загальної практики - сімейний лікар",IF(S798&lt;Законод!$C$22,0,(IF(AND(S798&gt;=Законод!$E$22,S798&lt;=Законод!$E$23),S798-Законод!$C$22,IF('01_Доходи'!S798&gt;=Законод!$F$22,Законод!$E$24,0)))),IF($B$794="Лікар-педіатр",IF(S798&lt;Законод!$C$18,0,(IF(AND(S798&gt;=Законод!$E$18,S798&lt;=Законод!$E$19),S798-Законод!$C$18,IF('01_Доходи'!S798&gt;=Законод!$F$18,Законод!$E$20,0)))),IF($B$794="Лікар-терапевт",IF(S798&lt;Законод!$C$26,0,(IF(AND(S798&gt;=Законод!$E$26,S798&lt;=Законод!$E$27),S798-Законод!$C$26,IF('01_Доходи'!S798&gt;=Законод!$F$26,Законод!$E$28,0)))),0)))</f>
        <v>0</v>
      </c>
      <c r="T800" s="930"/>
      <c r="U800" s="889" t="s">
        <v>346</v>
      </c>
      <c r="V800" s="890"/>
      <c r="W800" s="890"/>
      <c r="X800" s="890"/>
      <c r="Y800" s="891"/>
      <c r="Z800" s="196">
        <f ca="1">IF($B$794="Лікар загальної практики - сімейний лікар",IF(Z798&lt;Законод!$C$22,0,(IF(AND(Z798&gt;=Законод!$E$22,Z798&lt;=Законод!$E$23),Z798-Законод!$C$22,IF('01_Доходи'!Z798&gt;=Законод!$F$22,Законод!$E$24,0)))),IF($B$794="Лікар-педіатр",IF(Z798&lt;Законод!$C$18,0,(IF(AND(Z798&gt;=Законод!$E$18,Z798&lt;=Законод!$E$19),Z798-Законод!$C$18,IF('01_Доходи'!Z798&gt;=Законод!$F$18,Законод!$E$20,0)))),IF($B$794="Лікар-терапевт",IF(Z798&lt;Законод!$C$26,0,(IF(AND(Z798&gt;=Законод!$E$26,Z798&lt;=Законод!$E$27),Z798-Законод!$C$26,IF('01_Доходи'!Z798&gt;=Законод!$F$26,Законод!$E$28,0)))),0)))</f>
        <v>0</v>
      </c>
      <c r="AA800" s="930"/>
      <c r="AB800" s="889" t="s">
        <v>346</v>
      </c>
      <c r="AC800" s="890"/>
      <c r="AD800" s="890"/>
      <c r="AE800" s="890"/>
      <c r="AF800" s="891"/>
      <c r="AG800" s="196">
        <f ca="1">IF($B$794="Лікар загальної практики - сімейний лікар",IF(AG798&lt;Законод!$C$22,0,(IF(AND(AG798&gt;=Законод!$E$22,AG798&lt;=Законод!$E$23),AG798-Законод!$C$22,IF('01_Доходи'!AG798&gt;=Законод!$F$22,Законод!$E$24,0)))),IF($B$794="Лікар-педіатр",IF(AG798&lt;Законод!$C$18,0,(IF(AND(AG798&gt;=Законод!$E$18,AG798&lt;=Законод!$E$19),AG798-Законод!$C$18,IF('01_Доходи'!AG798&gt;=Законод!$F$18,Законод!$E$20,0)))),IF($B$794="Лікар-терапевт",IF(AG798&lt;Законод!$C$26,0,(IF(AND(AG798&gt;=Законод!$E$26,AG798&lt;=Законод!$E$27),AG798-Законод!$C$26,IF('01_Доходи'!AG798&gt;=Законод!$F$26,Законод!$E$28,0)))),0)))</f>
        <v>0</v>
      </c>
      <c r="AH800" s="930"/>
      <c r="AI800" s="201"/>
      <c r="AJ800" s="933"/>
      <c r="AK800" s="927"/>
      <c r="AL800" s="927"/>
      <c r="AM800" s="898" t="s">
        <v>375</v>
      </c>
      <c r="AN800" s="210">
        <f ca="1">IF(B794="Лікар загальної практики - сімейний лікар",L800*Законод!$C$9/4*Законод!$E$16,IF(B794="Лікар-педіатр",L800*Законод!$C$9/4*Законод!$E$16,IF(B794="Лікар-терапевт",L800*Законод!$C$9/4*Законод!$E$16,0)))</f>
        <v>0</v>
      </c>
      <c r="AO800" s="210">
        <f ca="1">IF(B794="Лікар загальної практики - сімейний лікар",S800*Законод!$C$9/4*Законод!$E$16,IF(B794="Лікар-педіатр",S800*Законод!$C$9/4*Законод!$E$16,IF(B794="Лікар-терапевт",S800*Законод!$C$9/4*Законод!$E$16,0)))</f>
        <v>0</v>
      </c>
      <c r="AP800" s="210">
        <f ca="1">IF(B794="Лікар загальної практики - сімейний лікар",Z800*Законод!$C$9/4*Законод!$E$16,IF(B794="Лікар-педіатр",Z800*Законод!$C$9/4*Законод!$E$16,IF(B794="Лікар-терапевт",Z800*Законод!$C$9/4*Законод!$E$16,0)))</f>
        <v>0</v>
      </c>
      <c r="AQ800" s="210">
        <f ca="1">IF(B794="Лікар загальної практики - сімейний лікар",AG800*Законод!$C$9/4*Законод!$E$16,IF(B794="Лікар-педіатр",AG800*Законод!$C$9/4*Законод!$E$16,IF(B794="Лікар-терапевт",AG800*Законод!$C$9/4*Законод!$E$16,0)))</f>
        <v>0</v>
      </c>
      <c r="AR800" s="211">
        <f t="shared" si="88"/>
        <v>0</v>
      </c>
    </row>
    <row r="801" spans="1:44" s="50" customFormat="1" ht="31.9" hidden="1" customHeight="1">
      <c r="A801" s="197"/>
      <c r="B801" s="893"/>
      <c r="C801" s="896"/>
      <c r="D801" s="912"/>
      <c r="E801" s="909"/>
      <c r="F801" s="238" t="str">
        <f ca="1">IF(B794="Лікар-педіатр",Законод!$F$17,IF(B794="Лікар загальної практики - сімейний лікар",Законод!$F$21,IF(B794="Лікар-терапевт",Законод!$F$25,"х")))</f>
        <v>х</v>
      </c>
      <c r="G801" s="889" t="s">
        <v>346</v>
      </c>
      <c r="H801" s="890"/>
      <c r="I801" s="890"/>
      <c r="J801" s="890"/>
      <c r="K801" s="891"/>
      <c r="L801" s="196">
        <f ca="1">IF($B$794="Лікар загальної практики - сімейний лікар",IF(L798&lt;Законод!$C$22,0,(IF(AND(L798&gt;=Законод!$F$22,L798&lt;=Законод!$F$23),L798-Законод!$E$23,IF('01_Доходи'!L798&gt;=Законод!$G$22,Законод!$F$24,0)))),IF($B$794="Лікар-педіатр",IF(L798&lt;Законод!$C$18,0,(IF(AND(L798&gt;=Законод!$F$18,L798&lt;=Законод!$F$19),L798-Законод!$E$19,IF('01_Доходи'!L798&gt;=Законод!$G$18,Законод!$F$20,0)))),IF($B$794="Лікар-терапевт",IF(L798&lt;Законод!$C$26,0,(IF(AND(L798&gt;=Законод!$F$26,L798&lt;=Законод!$F$27),L798-Законод!$E$27,IF('01_Доходи'!L798&gt;=Законод!$G$26,Законод!$F$28,0)))),0)))</f>
        <v>0</v>
      </c>
      <c r="M801" s="930"/>
      <c r="N801" s="889" t="s">
        <v>346</v>
      </c>
      <c r="O801" s="890"/>
      <c r="P801" s="890"/>
      <c r="Q801" s="890"/>
      <c r="R801" s="891"/>
      <c r="S801" s="196">
        <f ca="1">IF($B$794="Лікар загальної практики - сімейний лікар",IF(S798&lt;Законод!$C$22,0,(IF(AND(S798&gt;=Законод!$F$22,S798&lt;=Законод!$F$23),S798-Законод!$E$23,IF('01_Доходи'!S798&gt;=Законод!$G$22,Законод!$F$24,0)))),IF($B$794="Лікар-педіатр",IF(S798&lt;Законод!$C$18,0,(IF(AND(S798&gt;=Законод!$F$18,S798&lt;=Законод!$F$19),S798-Законод!$E$19,IF('01_Доходи'!S798&gt;=Законод!$G$18,Законод!$F$20,0)))),IF($B$794="Лікар-терапевт",IF(S798&lt;Законод!$C$26,0,(IF(AND(S798&gt;=Законод!$F$26,S798&lt;=Законод!$F$27),S798-Законод!$E$27,IF('01_Доходи'!S798&gt;=Законод!$G$26,Законод!$F$28,0)))),0)))</f>
        <v>0</v>
      </c>
      <c r="T801" s="930"/>
      <c r="U801" s="889" t="s">
        <v>346</v>
      </c>
      <c r="V801" s="890"/>
      <c r="W801" s="890"/>
      <c r="X801" s="890"/>
      <c r="Y801" s="891"/>
      <c r="Z801" s="196">
        <f ca="1">IF($B$794="Лікар загальної практики - сімейний лікар",IF(Z798&lt;Законод!$C$22,0,(IF(AND(Z798&gt;=Законод!$F$22,Z798&lt;=Законод!$F$23),Z798-Законод!$E$23,IF('01_Доходи'!Z798&gt;=Законод!$G$22,Законод!$F$24,0)))),IF($B$794="Лікар-педіатр",IF(Z798&lt;Законод!$C$18,0,(IF(AND(Z798&gt;=Законод!$F$18,Z798&lt;=Законод!$F$19),Z798-Законод!$E$19,IF('01_Доходи'!Z798&gt;=Законод!$G$18,Законод!$F$20,0)))),IF($B$794="Лікар-терапевт",IF(Z798&lt;Законод!$C$26,0,(IF(AND(Z798&gt;=Законод!$F$26,Z798&lt;=Законод!$F$27),Z798-Законод!$E$27,IF('01_Доходи'!Z798&gt;=Законод!$G$26,Законод!$F$28,0)))),0)))</f>
        <v>0</v>
      </c>
      <c r="AA801" s="930"/>
      <c r="AB801" s="889" t="s">
        <v>346</v>
      </c>
      <c r="AC801" s="890"/>
      <c r="AD801" s="890"/>
      <c r="AE801" s="890"/>
      <c r="AF801" s="891"/>
      <c r="AG801" s="196">
        <f ca="1">IF($B$794="Лікар загальної практики - сімейний лікар",IF(AG798&lt;Законод!$C$22,0,(IF(AND(AG798&gt;=Законод!$F$22,AG798&lt;=Законод!$F$23),AG798-Законод!$E$23,IF('01_Доходи'!AG798&gt;=Законод!$G$22,Законод!$F$24,0)))),IF($B$794="Лікар-педіатр",IF(AG798&lt;Законод!$C$18,0,(IF(AND(AG798&gt;=Законод!$F$18,AG798&lt;=Законод!$F$19),AG798-Законод!$E$19,IF('01_Доходи'!AG798&gt;=Законод!$G$18,Законод!$F$20,0)))),IF($B$794="Лікар-терапевт",IF(AG798&lt;Законод!$C$26,0,(IF(AND(AG798&gt;=Законод!$F$26,AG798&lt;=Законод!$F$27),AG798-Законод!$E$27,IF('01_Доходи'!AG798&gt;=Законод!$G$26,Законод!$F$28,0)))),0)))</f>
        <v>0</v>
      </c>
      <c r="AH801" s="930"/>
      <c r="AI801" s="201"/>
      <c r="AJ801" s="933"/>
      <c r="AK801" s="927"/>
      <c r="AL801" s="927"/>
      <c r="AM801" s="899"/>
      <c r="AN801" s="210">
        <f ca="1">IF(B794="Лікар загальної практики - сімейний лікар",L801*Законод!$C$9/4*Законод!$F$16,IF(B794="Лікар-педіатр",L801*Законод!$C$9/4*Законод!$F$16,IF(B794="Лікар-терапевт",L801*Законод!$C$9/4*Законод!$F$16,0)))</f>
        <v>0</v>
      </c>
      <c r="AO801" s="210">
        <f ca="1">IF(B794="Лікар загальної практики - сімейний лікар",S801*Законод!$C$9/4*Законод!$F$16,IF(B794="Лікар-педіатр",S801*Законод!$C$9/4*Законод!$F$16,IF(B794="Лікар-терапевт",S801*Законод!$C$9/4*Законод!$F$16,0)))</f>
        <v>0</v>
      </c>
      <c r="AP801" s="210">
        <f ca="1">IF(B794="Лікар загальної практики - сімейний лікар",Z801*Законод!$C$9/4*Законод!$F$16,IF(B794="Лікар-педіатр",Z801*Законод!$C$9/4*Законод!$F$16,IF(B794="Лікар-терапевт",Z801*Законод!$C$9/4*Законод!$F$16,0)))</f>
        <v>0</v>
      </c>
      <c r="AQ801" s="210">
        <f ca="1">IF(B794="Лікар загальної практики - сімейний лікар",AG801*Законод!$C$9/4*Законод!$F$16,IF(B794="Лікар-педіатр",AG801*Законод!$C$9/4*Законод!$F$16,IF(B794="Лікар-терапевт",AG801*Законод!$C$9/4*Законод!$F$16,0)))</f>
        <v>0</v>
      </c>
      <c r="AR801" s="211">
        <f t="shared" si="88"/>
        <v>0</v>
      </c>
    </row>
    <row r="802" spans="1:44" s="50" customFormat="1" ht="31.9" hidden="1" customHeight="1">
      <c r="A802" s="197"/>
      <c r="B802" s="893"/>
      <c r="C802" s="896"/>
      <c r="D802" s="912"/>
      <c r="E802" s="909"/>
      <c r="F802" s="238" t="str">
        <f ca="1">IF(B794="Лікар-педіатр",Законод!$G$17,IF(B794="Лікар загальної практики - сімейний лікар",Законод!$G$21,IF(B794="Лікар-терапевт",Законод!$G$25,"х")))</f>
        <v>х</v>
      </c>
      <c r="G802" s="889" t="s">
        <v>346</v>
      </c>
      <c r="H802" s="890"/>
      <c r="I802" s="890"/>
      <c r="J802" s="890"/>
      <c r="K802" s="891"/>
      <c r="L802" s="196">
        <f ca="1">IF($B$794="Лікар загальної практики - сімейний лікар",IF(L798&lt;Законод!$C$22,0,(IF(AND(L798&gt;=Законод!$G$22,L798&lt;=Законод!$G$23),L798-Законод!$F$23,IF('01_Доходи'!L798&gt;=Законод!$H$22,Законод!$G$24,0)))),IF($B$794="Лікар-педіатр",IF(L798&lt;Законод!$C$18,0,(IF(AND(L798&gt;=Законод!$G$18,L798&lt;=Законод!$G$19),L798-Законод!$F$19,IF('01_Доходи'!L798&gt;=Законод!$H$18,Законод!$G$20,0)))),IF($B$794="Лікар-терапевт",IF(L798&lt;Законод!$C$26,0,(IF(AND(L798&gt;=Законод!$G$26,L798&lt;=Законод!$G$27),L798-Законод!$F$27,IF('01_Доходи'!L798&gt;=Законод!$H$26,Законод!$G$28,0)))),0)))</f>
        <v>0</v>
      </c>
      <c r="M802" s="930"/>
      <c r="N802" s="889" t="s">
        <v>346</v>
      </c>
      <c r="O802" s="890"/>
      <c r="P802" s="890"/>
      <c r="Q802" s="890"/>
      <c r="R802" s="891"/>
      <c r="S802" s="196">
        <f ca="1">IF($B$794="Лікар загальної практики - сімейний лікар",IF(S798&lt;Законод!$C$22,0,(IF(AND(S798&gt;=Законод!$G$22,S798&lt;=Законод!$G$23),S798-Законод!$F$23,IF('01_Доходи'!S798&gt;=Законод!$H$22,Законод!$G$24,0)))),IF($B$794="Лікар-педіатр",IF(S798&lt;Законод!$C$18,0,(IF(AND(S798&gt;=Законод!$G$18,S798&lt;=Законод!$G$19),S798-Законод!$F$19,IF('01_Доходи'!S798&gt;=Законод!$H$18,Законод!$G$20,0)))),IF($B$794="Лікар-терапевт",IF(S798&lt;Законод!$C$26,0,(IF(AND(S798&gt;=Законод!$G$26,S798&lt;=Законод!$G$27),S798-Законод!$F$27,IF('01_Доходи'!S798&gt;=Законод!$H$26,Законод!$G$28,0)))),0)))</f>
        <v>0</v>
      </c>
      <c r="T802" s="930"/>
      <c r="U802" s="889" t="s">
        <v>346</v>
      </c>
      <c r="V802" s="890"/>
      <c r="W802" s="890"/>
      <c r="X802" s="890"/>
      <c r="Y802" s="891"/>
      <c r="Z802" s="196">
        <f ca="1">IF($B$794="Лікар загальної практики - сімейний лікар",IF(Z798&lt;Законод!$C$22,0,(IF(AND(Z798&gt;=Законод!$G$22,Z798&lt;=Законод!$G$23),Z798-Законод!$F$23,IF('01_Доходи'!Z798&gt;=Законод!$H$22,Законод!$G$24,0)))),IF($B$794="Лікар-педіатр",IF(Z798&lt;Законод!$C$18,0,(IF(AND(Z798&gt;=Законод!$G$18,Z798&lt;=Законод!$G$19),Z798-Законод!$F$19,IF('01_Доходи'!Z798&gt;=Законод!$H$18,Законод!$G$20,0)))),IF($B$794="Лікар-терапевт",IF(Z798&lt;Законод!$C$26,0,(IF(AND(Z798&gt;=Законод!$G$26,Z798&lt;=Законод!$G$27),Z798-Законод!$F$27,IF('01_Доходи'!Z798&gt;=Законод!$H$26,Законод!$G$28,0)))),0)))</f>
        <v>0</v>
      </c>
      <c r="AA802" s="930"/>
      <c r="AB802" s="889" t="s">
        <v>346</v>
      </c>
      <c r="AC802" s="890"/>
      <c r="AD802" s="890"/>
      <c r="AE802" s="890"/>
      <c r="AF802" s="891"/>
      <c r="AG802" s="196">
        <f ca="1">IF($B$794="Лікар загальної практики - сімейний лікар",IF(AG798&lt;Законод!$C$22,0,(IF(AND(AG798&gt;=Законод!$G$22,AG798&lt;=Законод!$G$23),AG798-Законод!$F$23,IF('01_Доходи'!AG798&gt;=Законод!$H$22,Законод!$G$24,0)))),IF($B$794="Лікар-педіатр",IF(AG798&lt;Законод!$C$18,0,(IF(AND(AG798&gt;=Законод!$G$18,AG798&lt;=Законод!$G$19),AG798-Законод!$F$19,IF('01_Доходи'!AG798&gt;=Законод!$H$18,Законод!$G$20,0)))),IF($B$794="Лікар-терапевт",IF(AG798&lt;Законод!$C$26,0,(IF(AND(AG798&gt;=Законод!$G$26,AG798&lt;=Законод!$G$27),AG798-Законод!$F$27,IF('01_Доходи'!AG798&gt;=Законод!$H$26,Законод!$G$28,0)))),0)))</f>
        <v>0</v>
      </c>
      <c r="AH802" s="930"/>
      <c r="AI802" s="201"/>
      <c r="AJ802" s="933"/>
      <c r="AK802" s="927"/>
      <c r="AL802" s="927"/>
      <c r="AM802" s="899"/>
      <c r="AN802" s="210">
        <f ca="1">IF(B794="Лікар загальної практики - сімейний лікар",L802*Законод!$C$9/4*Законод!$G$16,IF(B794="Лікар-педіатр",L802*Законод!$C$9/4*Законод!$G$16,IF(B794="Лікар-терапевт",L802*Законод!$C$9/4*Законод!$G$16,0)))</f>
        <v>0</v>
      </c>
      <c r="AO802" s="210">
        <f ca="1">IF(B794="Лікар загальної практики - сімейний лікар",S802*Законод!$C$9/4*Законод!$G$16,IF(B794="Лікар-педіатр",S802*Законод!$C$9/4*Законод!$G$16,IF(B794="Лікар-терапевт",S802*Законод!$C$9/4*Законод!$G$16,0)))</f>
        <v>0</v>
      </c>
      <c r="AP802" s="210">
        <f ca="1">IF(B794="Лікар загальної практики - сімейний лікар",Z802*Законод!$C$9/4*Законод!$G$16,IF(B794="Лікар-педіатр",Z802*Законод!$C$9/4*Законод!$G$16,IF(B794="Лікар-терапевт",Z802*Законод!$C$9/4*Законод!$G$16,0)))</f>
        <v>0</v>
      </c>
      <c r="AQ802" s="210">
        <f ca="1">IF(B794="Лікар загальної практики - сімейний лікар",AG802*Законод!$C$9/4*Законод!$G$16,IF(B794="Лікар-педіатр",AG802*Законод!$C$9/4*Законод!$G$16,IF(B794="Лікар-терапевт",AG802*Законод!$C$9/4*Законод!$G$16,0)))</f>
        <v>0</v>
      </c>
      <c r="AR802" s="211">
        <f t="shared" si="88"/>
        <v>0</v>
      </c>
    </row>
    <row r="803" spans="1:44" s="50" customFormat="1" ht="31.9" hidden="1" customHeight="1">
      <c r="A803" s="197"/>
      <c r="B803" s="893"/>
      <c r="C803" s="896"/>
      <c r="D803" s="912"/>
      <c r="E803" s="909"/>
      <c r="F803" s="238" t="str">
        <f ca="1">IF(B794="Лікар-педіатр",Законод!$H$17,IF(B794="Лікар загальної практики - сімейний лікар",Законод!$H$21,IF(B794="Лікар-терапевт",Законод!$H$25,"х")))</f>
        <v>х</v>
      </c>
      <c r="G803" s="889" t="s">
        <v>346</v>
      </c>
      <c r="H803" s="890"/>
      <c r="I803" s="890"/>
      <c r="J803" s="890"/>
      <c r="K803" s="891"/>
      <c r="L803" s="196">
        <f ca="1">IF($B$794="Лікар загальної практики - сімейний лікар",IF(L798&lt;Законод!$C$22,0,(IF(AND(L798&gt;=Законод!$H$22,L798&lt;=Законод!$H$23),L798-Законод!$G$23,IF('01_Доходи'!L798&gt;=Законод!$I$22,Законод!$H$24,0)))),IF($B$794="Лікар-педіатр",IF(L798&lt;Законод!$C$18,0,(IF(AND(L798&gt;=Законод!$H$18,L798&lt;=Законод!$H$19),L798-Законод!$G$19,IF('01_Доходи'!L798&gt;=Законод!$I$18,Законод!$H$20,0)))),IF($B$794="Лікар-терапевт",IF(L798&lt;Законод!$C$26,0,(IF(AND(L798&gt;=Законод!$H$26,L798&lt;=Законод!$H$27),L798-Законод!$G$27,IF(L798&gt;=Законод!$I$26,Законод!$H$28,0)))),0)))</f>
        <v>0</v>
      </c>
      <c r="M803" s="930"/>
      <c r="N803" s="889" t="s">
        <v>346</v>
      </c>
      <c r="O803" s="890"/>
      <c r="P803" s="890"/>
      <c r="Q803" s="890"/>
      <c r="R803" s="891"/>
      <c r="S803" s="196">
        <f ca="1">IF($B$794="Лікар загальної практики - сімейний лікар",IF(S798&lt;Законод!$C$22,0,(IF(AND(S798&gt;=Законод!$H$22,S798&lt;=Законод!$H$23),S798-Законод!$G$23,IF('01_Доходи'!S798&gt;=Законод!$I$22,Законод!$H$24,0)))),IF($B$794="Лікар-педіатр",IF(S798&lt;Законод!$C$18,0,(IF(AND(S798&gt;=Законод!$H$18,S798&lt;=Законод!$H$19),S798-Законод!$G$19,IF('01_Доходи'!S798&gt;=Законод!$I$18,Законод!$H$20,0)))),IF($B$794="Лікар-терапевт",IF(S798&lt;Законод!$C$26,0,(IF(AND(S798&gt;=Законод!$H$26,S798&lt;=Законод!$H$27),S798-Законод!$G$27,IF(S798&gt;=Законод!$I$26,Законод!$H$28,0)))),0)))</f>
        <v>0</v>
      </c>
      <c r="T803" s="930"/>
      <c r="U803" s="889" t="s">
        <v>346</v>
      </c>
      <c r="V803" s="890"/>
      <c r="W803" s="890"/>
      <c r="X803" s="890"/>
      <c r="Y803" s="891"/>
      <c r="Z803" s="196">
        <f ca="1">IF($B$794="Лікар загальної практики - сімейний лікар",IF(Z798&lt;Законод!$C$22,0,(IF(AND(Z798&gt;=Законод!$H$22,Z798&lt;=Законод!$H$23),Z798-Законод!$G$23,IF('01_Доходи'!Z798&gt;=Законод!$I$22,Законод!$H$24,0)))),IF($B$794="Лікар-педіатр",IF(Z798&lt;Законод!$C$18,0,(IF(AND(Z798&gt;=Законод!$H$18,Z798&lt;=Законод!$H$19),Z798-Законод!$G$19,IF('01_Доходи'!Z798&gt;=Законод!$I$18,Законод!$H$20,0)))),IF($B$794="Лікар-терапевт",IF(Z798&lt;Законод!$C$26,0,(IF(AND(Z798&gt;=Законод!$H$26,Z798&lt;=Законод!$H$27),Z798-Законод!$G$27,IF(Z798&gt;=Законод!$I$26,Законод!$H$28,0)))),0)))</f>
        <v>0</v>
      </c>
      <c r="AA803" s="930"/>
      <c r="AB803" s="889" t="s">
        <v>346</v>
      </c>
      <c r="AC803" s="890"/>
      <c r="AD803" s="890"/>
      <c r="AE803" s="890"/>
      <c r="AF803" s="891"/>
      <c r="AG803" s="196">
        <f ca="1">IF($B$794="Лікар загальної практики - сімейний лікар",IF(AG798&lt;Законод!$C$22,0,(IF(AND(AG798&gt;=Законод!$H$22,AG798&lt;=Законод!$H$23),AG798-Законод!$G$23,IF('01_Доходи'!AG798&gt;=Законод!$I$22,Законод!$H$24,0)))),IF($B$794="Лікар-педіатр",IF(AG798&lt;Законод!$C$18,0,(IF(AND(AG798&gt;=Законод!$H$18,AG798&lt;=Законод!$H$19),AG798-Законод!$G$19,IF('01_Доходи'!AG798&gt;=Законод!$I$18,Законод!$H$20,0)))),IF($B$794="Лікар-терапевт",IF(AG798&lt;Законод!$C$26,0,(IF(AND(AG798&gt;=Законод!$H$26,AG798&lt;=Законод!$H$27),AG798-Законод!$G$27,IF(AG798&gt;=Законод!$I$26,Законод!$H$28,0)))),0)))</f>
        <v>0</v>
      </c>
      <c r="AH803" s="930"/>
      <c r="AI803" s="201"/>
      <c r="AJ803" s="933"/>
      <c r="AK803" s="927"/>
      <c r="AL803" s="927"/>
      <c r="AM803" s="899"/>
      <c r="AN803" s="210">
        <f ca="1">IF(B794="Лікар загальної практики - сімейний лікар",L803*Законод!$C$9/4*Законод!$H$16,IF(B794="Лікар-педіатр",L803*Законод!$C$9/4*Законод!$H$16,IF(B794="Лікар-терапевт",L803*Законод!$C$9/4*Законод!$H$16,0)))</f>
        <v>0</v>
      </c>
      <c r="AO803" s="210">
        <f ca="1">IF(B794="Лікар загальної практики - сімейний лікар",S803*Законод!$C$9/4*Законод!$H$16,IF(B794="Лікар-педіатр",S803*Законод!$C$9/4*Законод!$H$16,IF(B794="Лікар-терапевт",S803*Законод!$C$9/4*Законод!$H$16,0)))</f>
        <v>0</v>
      </c>
      <c r="AP803" s="210">
        <f ca="1">IF(B794="Лікар загальної практики - сімейний лікар",Z803*Законод!$C$9/4*Законод!$H$16,IF(B794="Лікар-педіатр",Z803*Законод!$C$9/4*Законод!$H$16,IF(B794="Лікар-терапевт",Z803*Законод!$C$9/4*Законод!$H$16,0)))</f>
        <v>0</v>
      </c>
      <c r="AQ803" s="210">
        <f ca="1">IF(B794="Лікар загальної практики - сімейний лікар",AG803*Законод!$C$9/4*Законод!$H$16,IF(B794="Лікар-педіатр",AG803*Законод!$C$9/4*Законод!$H$16,IF(B794="Лікар-терапевт",AG803*Законод!$C$9/4*Законод!$H$16,0)))</f>
        <v>0</v>
      </c>
      <c r="AR803" s="211">
        <f t="shared" si="88"/>
        <v>0</v>
      </c>
    </row>
    <row r="804" spans="1:44" s="50" customFormat="1" ht="31.9" hidden="1" customHeight="1">
      <c r="A804" s="197"/>
      <c r="B804" s="893"/>
      <c r="C804" s="896"/>
      <c r="D804" s="912"/>
      <c r="E804" s="909"/>
      <c r="F804" s="238" t="str">
        <f ca="1">IF(B794="Лікар-педіатр",Законод!$I$17,IF(B794="Лікар загальної практики - сімейний лікар",Законод!$I$21,IF(B794="Лікар-терапевт",Законод!$I$25,"х")))</f>
        <v>х</v>
      </c>
      <c r="G804" s="889" t="s">
        <v>346</v>
      </c>
      <c r="H804" s="890"/>
      <c r="I804" s="890"/>
      <c r="J804" s="890"/>
      <c r="K804" s="891"/>
      <c r="L804" s="196">
        <f ca="1">IF($B$794="Лікар загальної практики - сімейний лікар",IF(L798&lt;Законод!$C$22,0,(IF(AND(L798&gt;=Законод!$I$22,L798&lt;=Законод!$I$23),L798-Законод!$H$23,IF('01_Доходи'!L798&gt;=Законод!$I$22,Законод!$I$24,0)))),IF($B$794="Лікар-педіатр",IF(L798&lt;Законод!$C$18,0,(IF(AND(L798&gt;=Законод!$I$18,L798&lt;=Законод!$I$19),L798-Законод!$H$19,IF('01_Доходи'!L798&gt;=Законод!$I$18,Законод!$H$20,0)))),IF($B$794="Лікар-терапевт",IF(L798&lt;Законод!$C$26,0,(IF(AND(L798&gt;=Законод!$I$26,L798&lt;=Законод!$I$27),L798-Законод!$H$27,IF('01_Доходи'!L798&gt;=Законод!$I$26,Законод!$H$28,0)))),0)))</f>
        <v>0</v>
      </c>
      <c r="M804" s="930"/>
      <c r="N804" s="889" t="s">
        <v>346</v>
      </c>
      <c r="O804" s="890"/>
      <c r="P804" s="890"/>
      <c r="Q804" s="890"/>
      <c r="R804" s="891"/>
      <c r="S804" s="196">
        <f ca="1">IF($B$794="Лікар загальної практики - сімейний лікар",IF(S798&lt;Законод!$C$22,0,(IF(AND(S798&gt;=Законод!$I$22,S798&lt;=Законод!$I$23),S798-Законод!$H$23,IF('01_Доходи'!S798&gt;=Законод!$I$22,Законод!$I$24,0)))),IF($B$794="Лікар-педіатр",IF(S798&lt;Законод!$C$18,0,(IF(AND(S798&gt;=Законод!$I$18,S798&lt;=Законод!$I$19),S798-Законод!$H$19,IF('01_Доходи'!S798&gt;=Законод!$I$18,Законод!$H$20,0)))),IF($B$794="Лікар-терапевт",IF(S798&lt;Законод!$C$26,0,(IF(AND(S798&gt;=Законод!$I$26,S798&lt;=Законод!$I$27),S798-Законод!$H$27,IF('01_Доходи'!S798&gt;=Законод!$I$26,Законод!$H$28,0)))),0)))</f>
        <v>0</v>
      </c>
      <c r="T804" s="930"/>
      <c r="U804" s="889" t="s">
        <v>346</v>
      </c>
      <c r="V804" s="890"/>
      <c r="W804" s="890"/>
      <c r="X804" s="890"/>
      <c r="Y804" s="891"/>
      <c r="Z804" s="196">
        <f ca="1">IF($B$794="Лікар загальної практики - сімейний лікар",IF(Z798&lt;Законод!$C$22,0,(IF(AND(Z798&gt;=Законод!$I$22,Z798&lt;=Законод!$I$23),Z798-Законод!$H$23,IF('01_Доходи'!Z798&gt;=Законод!$I$22,Законод!$I$24,0)))),IF($B$794="Лікар-педіатр",IF(Z798&lt;Законод!$C$18,0,(IF(AND(Z798&gt;=Законод!$I$18,Z798&lt;=Законод!$I$19),Z798-Законод!$H$19,IF('01_Доходи'!Z798&gt;=Законод!$I$18,Законод!$H$20,0)))),IF($B$794="Лікар-терапевт",IF(Z798&lt;Законод!$C$26,0,(IF(AND(Z798&gt;=Законод!$I$26,Z798&lt;=Законод!$I$27),Z798-Законод!$H$27,IF('01_Доходи'!Z798&gt;=Законод!$I$26,Законод!$H$28,0)))),0)))</f>
        <v>0</v>
      </c>
      <c r="AA804" s="930"/>
      <c r="AB804" s="889" t="s">
        <v>346</v>
      </c>
      <c r="AC804" s="890"/>
      <c r="AD804" s="890"/>
      <c r="AE804" s="890"/>
      <c r="AF804" s="891"/>
      <c r="AG804" s="196">
        <f ca="1">IF($B$794="Лікар загальної практики - сімейний лікар",IF(AG798&lt;Законод!$C$22,0,(IF(AND(AG798&gt;=Законод!$I$22,AG798&lt;=Законод!$I$23),AG798-Законод!$H$23,IF('01_Доходи'!AG798&gt;=Законод!$I$22,Законод!$I$24,0)))),IF($B$794="Лікар-педіатр",IF(AG798&lt;Законод!$C$18,0,(IF(AND(AG798&gt;=Законод!$I$18,AG798&lt;=Законод!$I$19),AG798-Законод!$H$19,IF('01_Доходи'!AG798&gt;=Законод!$I$18,Законод!$H$20,0)))),IF($B$794="Лікар-терапевт",IF(AG798&lt;Законод!$C$26,0,(IF(AND(AG798&gt;=Законод!$I$26,AG798&lt;=Законод!$I$27),AG798-Законод!$H$27,IF('01_Доходи'!AG798&gt;=Законод!$I$26,Законод!$H$28,0)))),0)))</f>
        <v>0</v>
      </c>
      <c r="AH804" s="930"/>
      <c r="AI804" s="201"/>
      <c r="AJ804" s="933"/>
      <c r="AK804" s="927"/>
      <c r="AL804" s="927"/>
      <c r="AM804" s="899"/>
      <c r="AN804" s="210">
        <f ca="1">IF(B794="Лікар загальної практики - сімейний лікар",L804*Законод!$C$9/4*Законод!$I$16,IF(B794="Лікар-педіатр",L804*Законод!$C$9/4*Законод!$I$16,IF(B794="Лікар-терапевт",L804*Законод!$C$9/4*Законод!$I$16,0)))</f>
        <v>0</v>
      </c>
      <c r="AO804" s="210">
        <f ca="1">IF(B794="Лікар загальної практики - сімейний лікар",S804*Законод!$C$9/4*Законод!$I$16,IF(B794="Лікар-педіатр",S804*Законод!$C$9/4*Законод!$I$16,IF(B794="Лікар-терапевт",S804*Законод!$C$9/4*Законод!$I$16,0)))</f>
        <v>0</v>
      </c>
      <c r="AP804" s="210">
        <f ca="1">IF(B794="Лікар загальної практики - сімейний лікар",Z804*Законод!$C$9/4*Законод!$I$16,IF(B794="Лікар-педіатр",Z804*Законод!$C$9/4*Законод!$I$16,IF(B794="Лікар-терапевт",Z804*Законод!$C$9/4*Законод!$I$16,0)))</f>
        <v>0</v>
      </c>
      <c r="AQ804" s="210">
        <f ca="1">IF(B794="Лікар загальної практики - сімейний лікар",AG804*Законод!$C$9/4*Законод!$I$16,IF(B794="Лікар-педіатр",AG804*Законод!$C$9/4*Законод!$I$16,IF(B794="Лікар-терапевт",AG804*Законод!$C$9/4*Законод!$I$16,0)))</f>
        <v>0</v>
      </c>
      <c r="AR804" s="211">
        <f t="shared" si="88"/>
        <v>0</v>
      </c>
    </row>
    <row r="805" spans="1:44" s="218" customFormat="1" ht="31.9" hidden="1" customHeight="1" thickBot="1">
      <c r="A805" s="213"/>
      <c r="B805" s="894"/>
      <c r="C805" s="897"/>
      <c r="D805" s="913"/>
      <c r="E805" s="910"/>
      <c r="F805" s="239" t="str">
        <f ca="1">IF(B794="Лікар-педіатр",Законод!$J$17,IF(B794="Лікар загальної практики - сімейний лікар",Законод!$J$21,IF(B794="Лікар-терапевт",Законод!$J$25,"х")))</f>
        <v>х</v>
      </c>
      <c r="G805" s="935" t="s">
        <v>346</v>
      </c>
      <c r="H805" s="936"/>
      <c r="I805" s="936"/>
      <c r="J805" s="936"/>
      <c r="K805" s="937"/>
      <c r="L805" s="196">
        <f ca="1">IF($B$794="Лікар загальної практики - сімейний лікар",IF(L798&gt;=Законод!$J$22,'01_Доходи'!L798-('01_Доходи'!L799+'01_Доходи'!L800+'01_Доходи'!L801+'01_Доходи'!L802+'01_Доходи'!L803+'01_Доходи'!L804),0),IF($B$794="Лікар-педіатр",IF(L798&gt;=Законод!$J$18,'01_Доходи'!L798-('01_Доходи'!L799+'01_Доходи'!L800+'01_Доходи'!L801+'01_Доходи'!L802+'01_Доходи'!L803+'01_Доходи'!L804),0),IF($B$794="Лікар-терапевт",IF('01_Доходи'!L798&gt;=Законод!$J$26,L798-Законод!$I$27,0),0)))</f>
        <v>0</v>
      </c>
      <c r="M805" s="931"/>
      <c r="N805" s="935" t="s">
        <v>346</v>
      </c>
      <c r="O805" s="936"/>
      <c r="P805" s="936"/>
      <c r="Q805" s="936"/>
      <c r="R805" s="937"/>
      <c r="S805" s="196">
        <f ca="1">IF($B$794="Лікар загальної практики - сімейний лікар",IF(S798&gt;=Законод!$J$22,'01_Доходи'!S798-('01_Доходи'!S799+'01_Доходи'!S800+'01_Доходи'!S801+'01_Доходи'!S802+'01_Доходи'!S803+'01_Доходи'!S804),0),IF($B$794="Лікар-педіатр",IF(S798&gt;=Законод!$J$18,'01_Доходи'!S798-('01_Доходи'!S799+'01_Доходи'!S800+'01_Доходи'!S801+'01_Доходи'!S802+'01_Доходи'!S803+'01_Доходи'!S804),0),IF($B$794="Лікар-терапевт",IF('01_Доходи'!S798&gt;=Законод!$J$26,S798-Законод!$I$27,0),0)))</f>
        <v>0</v>
      </c>
      <c r="T805" s="931"/>
      <c r="U805" s="935" t="s">
        <v>346</v>
      </c>
      <c r="V805" s="936"/>
      <c r="W805" s="936"/>
      <c r="X805" s="936"/>
      <c r="Y805" s="937"/>
      <c r="Z805" s="196">
        <f ca="1">IF($B$794="Лікар загальної практики - сімейний лікар",IF(Z798&gt;=Законод!$J$22,'01_Доходи'!Z798-('01_Доходи'!Z799+'01_Доходи'!Z800+'01_Доходи'!Z801+'01_Доходи'!Z802+'01_Доходи'!Z803+'01_Доходи'!Z804),0),IF($B$794="Лікар-педіатр",IF(Z798&gt;=Законод!$J$18,'01_Доходи'!Z798-('01_Доходи'!Z799+'01_Доходи'!Z800+'01_Доходи'!Z801+'01_Доходи'!Z802+'01_Доходи'!Z803+'01_Доходи'!Z804),0),IF($B$794="Лікар-терапевт",IF('01_Доходи'!Z798&gt;=Законод!$J$26,Z798-Законод!$I$27,0),0)))</f>
        <v>0</v>
      </c>
      <c r="AA805" s="931"/>
      <c r="AB805" s="935" t="s">
        <v>346</v>
      </c>
      <c r="AC805" s="936"/>
      <c r="AD805" s="936"/>
      <c r="AE805" s="936"/>
      <c r="AF805" s="937"/>
      <c r="AG805" s="196">
        <f ca="1">IF($B$794="Лікар загальної практики - сімейний лікар",IF(AG798&gt;=Законод!$J$22,'01_Доходи'!AG798-('01_Доходи'!AG799+'01_Доходи'!AG800+'01_Доходи'!AG801+'01_Доходи'!AG802+'01_Доходи'!AG803+'01_Доходи'!AG804),0),IF($B$794="Лікар-педіатр",IF(AG798&gt;=Законод!$J$18,'01_Доходи'!AG798-('01_Доходи'!AG799+'01_Доходи'!AG800+'01_Доходи'!AG801+'01_Доходи'!AG802+'01_Доходи'!AG803+'01_Доходи'!AG804),0),IF($B$794="Лікар-терапевт",IF('01_Доходи'!AG798&gt;=Законод!$J$26,AG798-Законод!$I$27,0),0)))</f>
        <v>0</v>
      </c>
      <c r="AH805" s="931"/>
      <c r="AI805" s="215"/>
      <c r="AJ805" s="934"/>
      <c r="AK805" s="928"/>
      <c r="AL805" s="928"/>
      <c r="AM805" s="900"/>
      <c r="AN805" s="216">
        <f ca="1">IF(B794="Лікар загальної практики - сімейний лікар",L805*Законод!$C$9/4*Законод!$J$16,IF(B794="Лікар-педіатр",L805*Законод!$C$9/4*Законод!$J$16,IF(B794="Лікар-терапевт",L805*Законод!$C$9/4*Законод!$J$16,0)))</f>
        <v>0</v>
      </c>
      <c r="AO805" s="216">
        <f ca="1">IF(B794="Лікар загальної практики - сімейний лікар",S805*Законод!$C$9/4*Законод!$J$16,IF(B794="Лікар-педіатр",S805*Законод!$C$9/4*Законод!$J$16,IF(B794="Лікар-терапевт",S805*Законод!$C$9/4*Законод!$J$16,0)))</f>
        <v>0</v>
      </c>
      <c r="AP805" s="216">
        <f ca="1">IF(B794="Лікар загальної практики - сімейний лікар",S805*Законод!$C$9/4*Законод!$J$16,IF(B794="Лікар-педіатр",S805*Законод!$C$9/4*Законод!$J$16,IF(B794="Лікар-терапевт",S805*Законод!$C$9/4*Законод!$J$16,0)))</f>
        <v>0</v>
      </c>
      <c r="AQ805" s="216">
        <f ca="1">IF(B794="Лікар загальної практики - сімейний лікар",AG805*Законод!$C$9/4*Законод!$J$16,IF(B794="Лікар-педіатр",AG805*Законод!$C$9/4*Законод!$J$16,IF(B794="Лікар-терапевт",AG805*Законод!$C$9/4*Законод!$J$16,0)))</f>
        <v>0</v>
      </c>
      <c r="AR805" s="217">
        <f t="shared" si="88"/>
        <v>0</v>
      </c>
    </row>
    <row r="806" spans="1:44" s="247" customFormat="1" ht="23.45" hidden="1" customHeight="1" thickBot="1">
      <c r="A806" s="243"/>
      <c r="B806" s="244"/>
      <c r="C806" s="244"/>
      <c r="D806" s="244"/>
      <c r="E806" s="244"/>
      <c r="F806" s="245"/>
      <c r="G806" s="246"/>
      <c r="H806" s="246"/>
      <c r="L806" s="248"/>
      <c r="S806" s="248"/>
      <c r="Z806" s="248"/>
      <c r="AG806" s="248"/>
      <c r="AM806" s="249"/>
      <c r="AR806" s="250"/>
    </row>
    <row r="807" spans="1:44" s="191" customFormat="1" ht="24.6" hidden="1" customHeight="1">
      <c r="A807" s="194">
        <f>A794+1</f>
        <v>60</v>
      </c>
      <c r="B807" s="892"/>
      <c r="C807" s="895"/>
      <c r="D807" s="911"/>
      <c r="E807" s="908"/>
      <c r="F807" s="234" t="s">
        <v>582</v>
      </c>
      <c r="G807" s="196">
        <f>IF($B$807="Лікар-педіатр",G810*L807,IF($B$807="Лікар-терапевт","х",IF($B$807="Лікар загальної практики - сімейний лікар",G810*L807,0)))</f>
        <v>0</v>
      </c>
      <c r="H807" s="196">
        <f>IF($B$807="Лікар-педіатр",H810*L807,IF($B$807="Лікар-терапевт","х",IF($B$807="Лікар загальної практики - сімейний лікар",H810*L807,0)))</f>
        <v>0</v>
      </c>
      <c r="I807" s="196">
        <f>IF($B$807="Лікар-педіатр","x",IF($B$807="Лікар-терапевт",I810*L807,IF($B$807="Лікар загальної практики - сімейний лікар",I810*L807,0)))</f>
        <v>0</v>
      </c>
      <c r="J807" s="196">
        <f>IF($B$807="Лікар-педіатр","x",IF($B$807="Лікар-терапевт",J810*L807,IF($B$807="Лікар загальної практики - сімейний лікар",J810*L807,0)))</f>
        <v>0</v>
      </c>
      <c r="K807" s="196">
        <f>IF($B$807="Лікар-педіатр","x",IF($B$807="Лікар-терапевт",K810*L807,IF($B$807="Лікар загальної практики - сімейний лікар",K810*L807,0)))</f>
        <v>0</v>
      </c>
      <c r="L807" s="558"/>
      <c r="M807" s="929"/>
      <c r="N807" s="196">
        <f>IF($B$807="Лікар-педіатр",N810*S807,IF($B$807="Лікар-терапевт","х",IF($B$807="Лікар загальної практики - сімейний лікар",N810*S807,0)))</f>
        <v>0</v>
      </c>
      <c r="O807" s="196">
        <f>IF($B$807="Лікар-педіатр",O810*S807,IF($B$807="Лікар-терапевт","х",IF($B$807="Лікар загальної практики - сімейний лікар",O810*S807,0)))</f>
        <v>0</v>
      </c>
      <c r="P807" s="196">
        <f>IF($B$807="Лікар-педіатр","x",IF($B$807="Лікар-терапевт",P810*S807,IF($B$807="Лікар загальної практики - сімейний лікар",P810*S807,0)))</f>
        <v>0</v>
      </c>
      <c r="Q807" s="196">
        <f>IF($B$807="Лікар-педіатр","x",IF($B$807="Лікар-терапевт",Q810*S807,IF($B$807="Лікар загальної практики - сімейний лікар",Q810*S807,0)))</f>
        <v>0</v>
      </c>
      <c r="R807" s="196">
        <f>IF($B$807="Лікар-педіатр","x",IF($B$807="Лікар-терапевт",R810*S807,IF($B$807="Лікар загальної практики - сімейний лікар",R810*S807,0)))</f>
        <v>0</v>
      </c>
      <c r="S807" s="558"/>
      <c r="T807" s="929"/>
      <c r="U807" s="196">
        <f>IF($B$807="Лікар-педіатр",U810*Z807,IF($B$807="Лікар-терапевт","х",IF($B$807="Лікар загальної практики - сімейний лікар",U810*Z807,0)))</f>
        <v>0</v>
      </c>
      <c r="V807" s="196">
        <f>IF($B$807="Лікар-педіатр",V810*Z807,IF($B$807="Лікар-терапевт","х",IF($B$807="Лікар загальної практики - сімейний лікар",V810*Z807,0)))</f>
        <v>0</v>
      </c>
      <c r="W807" s="196">
        <f>IF($B$807="Лікар-педіатр","x",IF($B$807="Лікар-терапевт",W810*Z807,IF($B$807="Лікар загальної практики - сімейний лікар",W810*Z807,0)))</f>
        <v>0</v>
      </c>
      <c r="X807" s="196">
        <f>IF($B$807="Лікар-педіатр","x",IF($B$807="Лікар-терапевт",X810*Z807,IF($B$807="Лікар загальної практики - сімейний лікар",X810*Z807,0)))</f>
        <v>0</v>
      </c>
      <c r="Y807" s="196">
        <f>IF($B$807="Лікар-педіатр","x",IF($B$807="Лікар-терапевт",Y810*Z807,IF($B$807="Лікар загальної практики - сімейний лікар",Y810*Z807,0)))</f>
        <v>0</v>
      </c>
      <c r="Z807" s="558"/>
      <c r="AA807" s="929"/>
      <c r="AB807" s="196">
        <f>IF($B$807="Лікар-педіатр",AB810*AG807,IF($B$807="Лікар-терапевт","х",IF($B$807="Лікар загальної практики - сімейний лікар",AB810*AG807,0)))</f>
        <v>0</v>
      </c>
      <c r="AC807" s="196">
        <f>IF($B$807="Лікар-педіатр",AC810*AG807,IF($B$807="Лікар-терапевт","х",IF($B$807="Лікар загальної практики - сімейний лікар",AC810*AG807,0)))</f>
        <v>0</v>
      </c>
      <c r="AD807" s="196">
        <f>IF($B$807="Лікар-педіатр","x",IF($B$807="Лікар-терапевт",AD810*AG807,IF($B$807="Лікар загальної практики - сімейний лікар",AD810*AG807,0)))</f>
        <v>0</v>
      </c>
      <c r="AE807" s="196">
        <f>IF($B$807="Лікар-педіатр","x",IF($B$807="Лікар-терапевт",AE810*AG807,IF($B$807="Лікар загальної практики - сімейний лікар",AE810*AG807,0)))</f>
        <v>0</v>
      </c>
      <c r="AF807" s="196">
        <f>IF($B$807="Лікар-педіатр","x",IF($B$807="Лікар-терапевт",AF810*AG807,IF($B$807="Лікар загальної практики - сімейний лікар",AF810*AG807,0)))</f>
        <v>0</v>
      </c>
      <c r="AG807" s="558"/>
      <c r="AH807" s="929"/>
      <c r="AI807" s="541">
        <f>A807</f>
        <v>60</v>
      </c>
      <c r="AJ807" s="932">
        <f>B807</f>
        <v>0</v>
      </c>
      <c r="AK807" s="926">
        <f>C807</f>
        <v>0</v>
      </c>
      <c r="AL807" s="926">
        <f>D807</f>
        <v>0</v>
      </c>
      <c r="AM807" s="901" t="s">
        <v>785</v>
      </c>
      <c r="AN807" s="923">
        <f>SUM(AN812:AN818)</f>
        <v>0</v>
      </c>
      <c r="AO807" s="923">
        <f>SUM(AO812:AO818)</f>
        <v>0</v>
      </c>
      <c r="AP807" s="923">
        <f>SUM(AP812:AP818)</f>
        <v>0</v>
      </c>
      <c r="AQ807" s="923">
        <f>SUM(AQ812:AQ818)</f>
        <v>0</v>
      </c>
      <c r="AR807" s="914">
        <f>SUM(AN807:AQ811)</f>
        <v>0</v>
      </c>
    </row>
    <row r="808" spans="1:44" s="50" customFormat="1" ht="28.15" hidden="1" customHeight="1">
      <c r="A808" s="197"/>
      <c r="B808" s="893"/>
      <c r="C808" s="896"/>
      <c r="D808" s="912"/>
      <c r="E808" s="909"/>
      <c r="F808" s="234" t="s">
        <v>583</v>
      </c>
      <c r="G808" s="196">
        <f>IF($B$807="Лікар-педіатр",G810*L808,IF($B$807="Лікар-терапевт","х",IF($B$807="Лікар загальної практики - сімейний лікар",G810*L808,0)))</f>
        <v>0</v>
      </c>
      <c r="H808" s="196">
        <f>IF($B$807="Лікар-педіатр",H810*L808,IF($B$807="Лікар-терапевт","х",IF($B$807="Лікар загальної практики - сімейний лікар",H810*L808,0)))</f>
        <v>0</v>
      </c>
      <c r="I808" s="196">
        <f>IF($B$807="Лікар-педіатр","x",IF($B$807="Лікар-терапевт",I810*L808,IF($B$807="Лікар загальної практики - сімейний лікар",I810*L808,0)))</f>
        <v>0</v>
      </c>
      <c r="J808" s="196">
        <f>IF($B$807="Лікар-педіатр","x",IF($B$807="Лікар-терапевт",J810*L808,IF($B$807="Лікар загальної практики - сімейний лікар",J810*L808,0)))</f>
        <v>0</v>
      </c>
      <c r="K808" s="196">
        <f>IF($B$807="Лікар-педіатр","x",IF($B$807="Лікар-терапевт",K810*L808,IF($B$807="Лікар загальної практики - сімейний лікар",K810*L808,0)))</f>
        <v>0</v>
      </c>
      <c r="L808" s="558"/>
      <c r="M808" s="930"/>
      <c r="N808" s="196">
        <f>IF($B$807="Лікар-педіатр",N810*S808,IF($B$807="Лікар-терапевт","х",IF($B$807="Лікар загальної практики - сімейний лікар",N810*S808,0)))</f>
        <v>0</v>
      </c>
      <c r="O808" s="196">
        <f>IF($B$807="Лікар-педіатр",O810*S808,IF($B$807="Лікар-терапевт","х",IF($B$807="Лікар загальної практики - сімейний лікар",O810*S808,0)))</f>
        <v>0</v>
      </c>
      <c r="P808" s="196">
        <f>IF($B$807="Лікар-педіатр","x",IF($B$807="Лікар-терапевт",P810*S808,IF($B$807="Лікар загальної практики - сімейний лікар",P810*S808,0)))</f>
        <v>0</v>
      </c>
      <c r="Q808" s="196">
        <f>IF($B$807="Лікар-педіатр","x",IF($B$807="Лікар-терапевт",Q810*S808,IF($B$807="Лікар загальної практики - сімейний лікар",Q810*S808,0)))</f>
        <v>0</v>
      </c>
      <c r="R808" s="196">
        <f>IF($B$807="Лікар-педіатр","x",IF($B$807="Лікар-терапевт",R810*S808,IF($B$807="Лікар загальної практики - сімейний лікар",R810*S808,0)))</f>
        <v>0</v>
      </c>
      <c r="S808" s="558"/>
      <c r="T808" s="930"/>
      <c r="U808" s="196">
        <f>IF($B$807="Лікар-педіатр",U810*Z808,IF($B$807="Лікар-терапевт","х",IF($B$807="Лікар загальної практики - сімейний лікар",U810*Z808,0)))</f>
        <v>0</v>
      </c>
      <c r="V808" s="196">
        <f>IF($B$807="Лікар-педіатр",V810*Z808,IF($B$807="Лікар-терапевт","х",IF($B$807="Лікар загальної практики - сімейний лікар",V810*Z808,0)))</f>
        <v>0</v>
      </c>
      <c r="W808" s="196">
        <f>IF($B$807="Лікар-педіатр","x",IF($B$807="Лікар-терапевт",W810*Z808,IF($B$807="Лікар загальної практики - сімейний лікар",W810*Z808,0)))</f>
        <v>0</v>
      </c>
      <c r="X808" s="196">
        <f>IF($B$807="Лікар-педіатр","x",IF($B$807="Лікар-терапевт",X810*Z808,IF($B$807="Лікар загальної практики - сімейний лікар",X810*Z808,0)))</f>
        <v>0</v>
      </c>
      <c r="Y808" s="196">
        <f>IF($B$807="Лікар-педіатр","x",IF($B$807="Лікар-терапевт",Y810*Z808,IF($B$807="Лікар загальної практики - сімейний лікар",Y810*Z808,0)))</f>
        <v>0</v>
      </c>
      <c r="Z808" s="558"/>
      <c r="AA808" s="930"/>
      <c r="AB808" s="196">
        <f>IF($B$807="Лікар-педіатр",AB810*AG808,IF($B$807="Лікар-терапевт","х",IF($B$807="Лікар загальної практики - сімейний лікар",AB810*AG808,0)))</f>
        <v>0</v>
      </c>
      <c r="AC808" s="196">
        <f>IF($B$807="Лікар-педіатр",AC810*AG808,IF($B$807="Лікар-терапевт","х",IF($B$807="Лікар загальної практики - сімейний лікар",AC810*AG808,0)))</f>
        <v>0</v>
      </c>
      <c r="AD808" s="196">
        <f>IF($B$807="Лікар-педіатр","x",IF($B$807="Лікар-терапевт",AD810*AG808,IF($B$807="Лікар загальної практики - сімейний лікар",AD810*AG808,0)))</f>
        <v>0</v>
      </c>
      <c r="AE808" s="196">
        <f>IF($B$807="Лікар-педіатр","x",IF($B$807="Лікар-терапевт",AE810*AG808,IF($B$807="Лікар загальної практики - сімейний лікар",AE810*AG808,0)))</f>
        <v>0</v>
      </c>
      <c r="AF808" s="196">
        <f>IF($B$807="Лікар-педіатр","x",IF($B$807="Лікар-терапевт",AF810*AG808,IF($B$807="Лікар загальної практики - сімейний лікар",AF810*AG808,0)))</f>
        <v>0</v>
      </c>
      <c r="AG808" s="558"/>
      <c r="AH808" s="930"/>
      <c r="AI808" s="198"/>
      <c r="AJ808" s="933"/>
      <c r="AK808" s="927"/>
      <c r="AL808" s="927"/>
      <c r="AM808" s="902"/>
      <c r="AN808" s="924"/>
      <c r="AO808" s="924"/>
      <c r="AP808" s="924"/>
      <c r="AQ808" s="924"/>
      <c r="AR808" s="915"/>
    </row>
    <row r="809" spans="1:44" s="90" customFormat="1" ht="31.15" hidden="1" customHeight="1">
      <c r="A809" s="240"/>
      <c r="B809" s="893"/>
      <c r="C809" s="896"/>
      <c r="D809" s="912"/>
      <c r="E809" s="909"/>
      <c r="F809" s="241" t="s">
        <v>584</v>
      </c>
      <c r="G809" s="199">
        <f>IF(B807="Лікар загальної практики - сімейний лікар"," ",IF(B807="Лікар-педіатр"," ",IF(B807="Лікар-терапевт","х",0)))</f>
        <v>0</v>
      </c>
      <c r="H809" s="199">
        <f>IF(B807="Лікар загальної практики - сімейний лікар"," ",IF(B807="Лікар-педіатр"," ",IF(B807="Лікар-терапевт","х",0)))</f>
        <v>0</v>
      </c>
      <c r="I809" s="199">
        <f>IF(B807="Лікар загальної практики - сімейний лікар"," ",IF(B807="Лікар-педіатр","х",IF(B807="Лікар-терапевт"," ",0)))</f>
        <v>0</v>
      </c>
      <c r="J809" s="199">
        <f>IF(B807="Лікар загальної практики - сімейний лікар"," ",IF(B807="Лікар-педіатр","х",IF(B807="Лікар-терапевт"," ",0)))</f>
        <v>0</v>
      </c>
      <c r="K809" s="199">
        <f>IF(B807="Лікар загальної практики - сімейний лікар"," ",IF(B807="Лікар-педіатр","х",IF(B807="Лікар-терапевт"," ",0)))</f>
        <v>0</v>
      </c>
      <c r="L809" s="200">
        <f>SUM(G809:K809)</f>
        <v>0</v>
      </c>
      <c r="M809" s="930"/>
      <c r="N809" s="199">
        <f>IF(B807="Лікар загальної практики - сімейний лікар"," ",IF(B807="Лікар-педіатр"," ",IF(B807="Лікар-терапевт","х",0)))</f>
        <v>0</v>
      </c>
      <c r="O809" s="199">
        <f>IF(B807="Лікар загальної практики - сімейний лікар"," ",IF(B807="Лікар-педіатр"," ",IF(B807="Лікар-терапевт","х",0)))</f>
        <v>0</v>
      </c>
      <c r="P809" s="199">
        <f>IF(B807="Лікар загальної практики - сімейний лікар"," ",IF(B807="Лікар-педіатр","х",IF(B807="Лікар-терапевт"," ",0)))</f>
        <v>0</v>
      </c>
      <c r="Q809" s="199">
        <f>IF(B807="Лікар загальної практики - сімейний лікар"," ",IF(B807="Лікар-педіатр","х",IF(B807="Лікар-терапевт"," ",0)))</f>
        <v>0</v>
      </c>
      <c r="R809" s="199">
        <f>IF(B807="Лікар загальної практики - сімейний лікар"," ",IF(B807="Лікар-педіатр","х",IF(B807="Лікар-терапевт"," ",0)))</f>
        <v>0</v>
      </c>
      <c r="S809" s="200">
        <f>SUM(N809:R809)</f>
        <v>0</v>
      </c>
      <c r="T809" s="930"/>
      <c r="U809" s="199">
        <f>IF(B807="Лікар загальної практики - сімейний лікар"," ",IF(B807="Лікар-педіатр"," ",IF(B807="Лікар-терапевт","х",0)))</f>
        <v>0</v>
      </c>
      <c r="V809" s="199">
        <f>IF(B807="Лікар загальної практики - сімейний лікар"," ",IF(B807="Лікар-педіатр"," ",IF(B807="Лікар-терапевт","х",0)))</f>
        <v>0</v>
      </c>
      <c r="W809" s="199">
        <f>IF(B807="Лікар загальної практики - сімейний лікар"," ",IF(B807="Лікар-педіатр","х",IF(B807="Лікар-терапевт"," ",0)))</f>
        <v>0</v>
      </c>
      <c r="X809" s="199">
        <f>IF(B807="Лікар загальної практики - сімейний лікар"," ",IF(B807="Лікар-педіатр","х",IF(B807="Лікар-терапевт"," ",0)))</f>
        <v>0</v>
      </c>
      <c r="Y809" s="199">
        <f>IF(B807="Лікар загальної практики - сімейний лікар"," ",IF(B807="Лікар-педіатр","х",IF(B807="Лікар-терапевт"," ",0)))</f>
        <v>0</v>
      </c>
      <c r="Z809" s="200">
        <f>SUM(U809:Y809)</f>
        <v>0</v>
      </c>
      <c r="AA809" s="930"/>
      <c r="AB809" s="199">
        <f>IF(B807="Лікар загальної практики - сімейний лікар"," ",IF(B807="Лікар-педіатр"," ",IF(B807="Лікар-терапевт","х",0)))</f>
        <v>0</v>
      </c>
      <c r="AC809" s="199">
        <f>IF(B807="Лікар загальної практики - сімейний лікар"," ",IF(B807="Лікар-педіатр"," ",IF(B807="Лікар-терапевт","х",0)))</f>
        <v>0</v>
      </c>
      <c r="AD809" s="199">
        <f>IF(B807="Лікар загальної практики - сімейний лікар"," ",IF(B807="Лікар-педіатр","х",IF(B807="Лікар-терапевт"," ",0)))</f>
        <v>0</v>
      </c>
      <c r="AE809" s="199">
        <f>IF(B807="Лікар загальної практики - сімейний лікар"," ",IF(B807="Лікар-педіатр","х",IF(B807="Лікар-терапевт"," ",0)))</f>
        <v>0</v>
      </c>
      <c r="AF809" s="199">
        <f>IF(B807="Лікар загальної практики - сімейний лікар"," ",IF(B807="Лікар-педіатр","х",IF(B807="Лікар-терапевт"," ",0)))</f>
        <v>0</v>
      </c>
      <c r="AG809" s="200">
        <f>SUM(AB809:AF809)</f>
        <v>0</v>
      </c>
      <c r="AH809" s="930"/>
      <c r="AI809" s="242"/>
      <c r="AJ809" s="933"/>
      <c r="AK809" s="927"/>
      <c r="AL809" s="927"/>
      <c r="AM809" s="902"/>
      <c r="AN809" s="924"/>
      <c r="AO809" s="924"/>
      <c r="AP809" s="924"/>
      <c r="AQ809" s="924"/>
      <c r="AR809" s="915"/>
    </row>
    <row r="810" spans="1:44" s="50" customFormat="1" ht="31.9" hidden="1" customHeight="1" thickBot="1">
      <c r="A810" s="197"/>
      <c r="B810" s="893"/>
      <c r="C810" s="896"/>
      <c r="D810" s="912"/>
      <c r="E810" s="909"/>
      <c r="F810" s="236" t="s">
        <v>349</v>
      </c>
      <c r="G810" s="203">
        <f>IF($B$807="Лікар-педіатр",G809/L809,IF($B$807="Лікар-терапевт","х",IF($B$807="Лікар загальної практики - сімейний лікар",G809/L809,0)))</f>
        <v>0</v>
      </c>
      <c r="H810" s="203">
        <f>IF($B$807="Лікар-педіатр",H809/L809,IF($B$807="Лікар-терапевт","х",IF($B$807="Лікар загальної практики - сімейний лікар",H809/L809,0)))</f>
        <v>0</v>
      </c>
      <c r="I810" s="203">
        <f>IF($B$807="Лікар-педіатр","x",IF($B$807="Лікар-терапевт",I809/L809,IF($B$807="Лікар загальної практики - сімейний лікар",I809/L809,0)))</f>
        <v>0</v>
      </c>
      <c r="J810" s="203">
        <f>IF($B$807="Лікар-педіатр","x",IF($B$807="Лікар-терапевт",J809/L809,IF($B$807="Лікар загальної практики - сімейний лікар",J809/L809,0)))</f>
        <v>0</v>
      </c>
      <c r="K810" s="203">
        <f>IF($B$807="Лікар-педіатр","x",IF($B$807="Лікар-терапевт",K809/L809,IF($B$807="Лікар загальної практики - сімейний лікар",K809/L809,0)))</f>
        <v>0</v>
      </c>
      <c r="L810" s="203">
        <f>SUM(G810:K810)</f>
        <v>0</v>
      </c>
      <c r="M810" s="930"/>
      <c r="N810" s="203">
        <f>IF($B$807="Лікар-педіатр",N809/S809,IF($B$807="Лікар-терапевт","х",IF($B$807="Лікар загальної практики - сімейний лікар",N809/S809,0)))</f>
        <v>0</v>
      </c>
      <c r="O810" s="203">
        <f>IF($B$807="Лікар-педіатр",O809/S809,IF($B$807="Лікар-терапевт","х",IF($B$807="Лікар загальної практики - сімейний лікар",O809/S809,0)))</f>
        <v>0</v>
      </c>
      <c r="P810" s="203">
        <f>IF($B$807="Лікар-педіатр","x",IF($B$807="Лікар-терапевт",P809/S809,IF($B$807="Лікар загальної практики - сімейний лікар",P809/S809,0)))</f>
        <v>0</v>
      </c>
      <c r="Q810" s="203">
        <f>IF($B$807="Лікар-педіатр","x",IF($B$807="Лікар-терапевт",Q809/S809,IF($B$807="Лікар загальної практики - сімейний лікар",Q809/S809,0)))</f>
        <v>0</v>
      </c>
      <c r="R810" s="203">
        <f>IF($B$807="Лікар-педіатр","x",IF($B$807="Лікар-терапевт",R809/S809,IF($B$807="Лікар загальної практики - сімейний лікар",R809/S809,0)))</f>
        <v>0</v>
      </c>
      <c r="S810" s="203">
        <f>SUM(N810:R810)</f>
        <v>0</v>
      </c>
      <c r="T810" s="930"/>
      <c r="U810" s="203">
        <f>IF($B$807="Лікар-педіатр",U809/Z809,IF($B$807="Лікар-терапевт","х",IF($B$807="Лікар загальної практики - сімейний лікар",U809/Z809,0)))</f>
        <v>0</v>
      </c>
      <c r="V810" s="203">
        <f>IF($B$807="Лікар-педіатр",V809/Z809,IF($B$807="Лікар-терапевт","х",IF($B$807="Лікар загальної практики - сімейний лікар",V809/Z809,0)))</f>
        <v>0</v>
      </c>
      <c r="W810" s="203">
        <f>IF($B$807="Лікар-педіатр","x",IF($B$807="Лікар-терапевт",W809/Z809,IF($B$807="Лікар загальної практики - сімейний лікар",W809/Z809,0)))</f>
        <v>0</v>
      </c>
      <c r="X810" s="203">
        <f>IF($B$807="Лікар-педіатр","x",IF($B$807="Лікар-терапевт",X809/Z809,IF($B$807="Лікар загальної практики - сімейний лікар",X809/Z809,0)))</f>
        <v>0</v>
      </c>
      <c r="Y810" s="203">
        <f>IF($B$807="Лікар-педіатр","x",IF($B$807="Лікар-терапевт",Y809/Z809,IF($B$807="Лікар загальної практики - сімейний лікар",Y809/Z809,0)))</f>
        <v>0</v>
      </c>
      <c r="Z810" s="203">
        <f>SUM(U810:Y810)</f>
        <v>0</v>
      </c>
      <c r="AA810" s="930"/>
      <c r="AB810" s="203">
        <f>IF($B$807="Лікар-педіатр",AB809/AG809,IF($B$807="Лікар-терапевт","х",IF($B$807="Лікар загальної практики - сімейний лікар",AB809/AG809,0)))</f>
        <v>0</v>
      </c>
      <c r="AC810" s="203">
        <f>IF($B$807="Лікар-педіатр",AC809/AG809,IF($B$807="Лікар-терапевт","х",IF($B$807="Лікар загальної практики - сімейний лікар",AC809/AG809,0)))</f>
        <v>0</v>
      </c>
      <c r="AD810" s="203">
        <f>IF($B$807="Лікар-педіатр","x",IF($B$807="Лікар-терапевт",AD809/AG809,IF($B$807="Лікар загальної практики - сімейний лікар",AD809/AG809,0)))</f>
        <v>0</v>
      </c>
      <c r="AE810" s="203">
        <f>IF($B$807="Лікар-педіатр","x",IF($B$807="Лікар-терапевт",AE809/AG809,IF($B$807="Лікар загальної практики - сімейний лікар",AE809/AG809,0)))</f>
        <v>0</v>
      </c>
      <c r="AF810" s="203">
        <f>IF($B$807="Лікар-педіатр","x",IF($B$807="Лікар-терапевт",AF809/AG809,IF($B$807="Лікар загальної практики - сімейний лікар",AF809/AG809,0)))</f>
        <v>0</v>
      </c>
      <c r="AG810" s="203">
        <f>SUM(AB810:AF810)</f>
        <v>0</v>
      </c>
      <c r="AH810" s="930"/>
      <c r="AI810" s="201"/>
      <c r="AJ810" s="933"/>
      <c r="AK810" s="927"/>
      <c r="AL810" s="927"/>
      <c r="AM810" s="902"/>
      <c r="AN810" s="924"/>
      <c r="AO810" s="924"/>
      <c r="AP810" s="924"/>
      <c r="AQ810" s="924"/>
      <c r="AR810" s="915"/>
    </row>
    <row r="811" spans="1:44" s="50" customFormat="1" ht="45" hidden="1" customHeight="1" thickBot="1">
      <c r="A811" s="197"/>
      <c r="B811" s="893"/>
      <c r="C811" s="896"/>
      <c r="D811" s="912"/>
      <c r="E811" s="909"/>
      <c r="F811" s="204" t="s">
        <v>585</v>
      </c>
      <c r="G811" s="205">
        <f>IF($B$807="Лікар загальної практики - сімейний лікар",AVERAGE(G807:G809),IF($B$807="Лікар-педіатр",AVERAGE(G807:G809),IF($B$807="Лікар-терапевт","х",0)))</f>
        <v>0</v>
      </c>
      <c r="H811" s="205">
        <f>IF($B$807="Лікар загальної практики - сімейний лікар",AVERAGE(H807:H809),IF($B$807="Лікар-педіатр",AVERAGE(H807:H809),IF($B$807="Лікар-терапевт","х",0)))</f>
        <v>0</v>
      </c>
      <c r="I811" s="205">
        <f>IF($B$807="Лікар загальної практики - сімейний лікар",AVERAGE(I807:I809),IF($B$807="Лікар-педіатр","x",IF($B$807="Лікар-терапевт",AVERAGE(I807:I809),0)))</f>
        <v>0</v>
      </c>
      <c r="J811" s="205">
        <f>IF($B$807="Лікар загальної практики - сімейний лікар",AVERAGE(J807:J809),IF($B$807="Лікар-педіатр","x",IF($B$807="Лікар-терапевт",AVERAGE(J807:J809),0)))</f>
        <v>0</v>
      </c>
      <c r="K811" s="205">
        <f>IF($B$807="Лікар загальної практики - сімейний лікар",AVERAGE(K807:K809),IF($B$807="Лікар-педіатр","x",IF($B$807="Лікар-терапевт",AVERAGE(K807:K809),0)))</f>
        <v>0</v>
      </c>
      <c r="L811" s="206">
        <f>SUM(G811:K811)</f>
        <v>0</v>
      </c>
      <c r="M811" s="930"/>
      <c r="N811" s="205">
        <f>IF($B$807="Лікар загальної практики - сімейний лікар",AVERAGE(N807:N809),IF($B$807="Лікар-педіатр",AVERAGE(N807:N809),IF($B$807="Лікар-терапевт","х",0)))</f>
        <v>0</v>
      </c>
      <c r="O811" s="205">
        <f>IF($B$807="Лікар загальної практики - сімейний лікар",AVERAGE(O807:O809),IF($B$807="Лікар-педіатр",AVERAGE(O807:O809),IF($B$807="Лікар-терапевт","х",0)))</f>
        <v>0</v>
      </c>
      <c r="P811" s="205">
        <f>IF($B$807="Лікар загальної практики - сімейний лікар",AVERAGE(P807:P809),IF($B$807="Лікар-педіатр","x",IF($B$807="Лікар-терапевт",AVERAGE(P807:P809),0)))</f>
        <v>0</v>
      </c>
      <c r="Q811" s="205">
        <f>IF($B$807="Лікар загальної практики - сімейний лікар",AVERAGE(Q807:Q809),IF($B$807="Лікар-педіатр","x",IF($B$807="Лікар-терапевт",AVERAGE(Q807:Q809),0)))</f>
        <v>0</v>
      </c>
      <c r="R811" s="205">
        <f>IF($B$807="Лікар загальної практики - сімейний лікар",AVERAGE(R807:R809),IF($B$807="Лікар-педіатр","x",IF($B$807="Лікар-терапевт",AVERAGE(R807:R809),0)))</f>
        <v>0</v>
      </c>
      <c r="S811" s="206">
        <f>SUM(N811:R811)</f>
        <v>0</v>
      </c>
      <c r="T811" s="930"/>
      <c r="U811" s="205">
        <f>IF($B$807="Лікар загальної практики - сімейний лікар",AVERAGE(U807:U809),IF($B$807="Лікар-педіатр",AVERAGE(U807:U809),IF($B$807="Лікар-терапевт","х",0)))</f>
        <v>0</v>
      </c>
      <c r="V811" s="205">
        <f>IF($B$807="Лікар загальної практики - сімейний лікар",AVERAGE(V807:V809),IF($B$807="Лікар-педіатр",AVERAGE(V807:V809),IF($B$807="Лікар-терапевт","х",0)))</f>
        <v>0</v>
      </c>
      <c r="W811" s="205">
        <f>IF($B$807="Лікар загальної практики - сімейний лікар",AVERAGE(W807:W809),IF($B$807="Лікар-педіатр","x",IF($B$807="Лікар-терапевт",AVERAGE(W807:W809),0)))</f>
        <v>0</v>
      </c>
      <c r="X811" s="205">
        <f>IF($B$807="Лікар загальної практики - сімейний лікар",AVERAGE(X807:X809),IF($B$807="Лікар-педіатр","x",IF($B$807="Лікар-терапевт",AVERAGE(X807:X809),0)))</f>
        <v>0</v>
      </c>
      <c r="Y811" s="205">
        <f>IF($B$807="Лікар загальної практики - сімейний лікар",AVERAGE(Y807:Y809),IF($B$807="Лікар-педіатр","x",IF($B$807="Лікар-терапевт",AVERAGE(Y807:Y809),0)))</f>
        <v>0</v>
      </c>
      <c r="Z811" s="206">
        <f>SUM(U811:Y811)</f>
        <v>0</v>
      </c>
      <c r="AA811" s="930"/>
      <c r="AB811" s="205">
        <f>IF($B$807="Лікар загальної практики - сімейний лікар",AVERAGE(AB807:AB809),IF($B$807="Лікар-педіатр",AVERAGE(AB807:AB809),IF($B$807="Лікар-терапевт","х",0)))</f>
        <v>0</v>
      </c>
      <c r="AC811" s="205">
        <f>IF($B$807="Лікар загальної практики - сімейний лікар",AVERAGE(AC807:AC809),IF($B$807="Лікар-педіатр",AVERAGE(AC807:AC809),IF($B$807="Лікар-терапевт","х",0)))</f>
        <v>0</v>
      </c>
      <c r="AD811" s="205">
        <f>IF($B$807="Лікар загальної практики - сімейний лікар",AVERAGE(AD807:AD809),IF($B$807="Лікар-педіатр","x",IF($B$807="Лікар-терапевт",AVERAGE(AD807:AD809),0)))</f>
        <v>0</v>
      </c>
      <c r="AE811" s="205">
        <f>IF($B$807="Лікар загальної практики - сімейний лікар",AVERAGE(AE807:AE809),IF($B$807="Лікар-педіатр","x",IF($B$807="Лікар-терапевт",AVERAGE(AE807:AE809),0)))</f>
        <v>0</v>
      </c>
      <c r="AF811" s="205">
        <f>IF($B$807="Лікар загальної практики - сімейний лікар",AVERAGE(AF807:AF809),IF($B$807="Лікар-педіатр","x",IF($B$807="Лікар-терапевт",AVERAGE(AF807:AF809),0)))</f>
        <v>0</v>
      </c>
      <c r="AG811" s="206">
        <f>SUM(AB811:AF811)</f>
        <v>0</v>
      </c>
      <c r="AH811" s="930"/>
      <c r="AI811" s="201"/>
      <c r="AJ811" s="933"/>
      <c r="AK811" s="927"/>
      <c r="AL811" s="927"/>
      <c r="AM811" s="903"/>
      <c r="AN811" s="925"/>
      <c r="AO811" s="925"/>
      <c r="AP811" s="925"/>
      <c r="AQ811" s="925"/>
      <c r="AR811" s="916"/>
    </row>
    <row r="812" spans="1:44" s="50" customFormat="1" ht="40.5" hidden="1">
      <c r="A812" s="197"/>
      <c r="B812" s="893"/>
      <c r="C812" s="896"/>
      <c r="D812" s="912"/>
      <c r="E812" s="909"/>
      <c r="F812" s="237" t="str">
        <f ca="1">IF(B807="Лікар-педіатр",Законод!$C$17,IF(B807="Лікар загальної практики - сімейний лікар",Законод!$C$21,IF(B807="Лікар-терапевт",Законод!$C$25,"х")))</f>
        <v>х</v>
      </c>
      <c r="G812" s="208">
        <f ca="1">IF($B$807="Лікар загальної практики - сімейний лікар",IF(L811&lt;=Законод!$C$22,G811,Законод!$C$22*'01_Доходи'!G810),IF($B$807="Лікар-педіатр",IF(L811&lt;=Законод!$C$18,G811,Законод!$C$18*'01_Доходи'!G810),IF($B$807="Лікар-терапевт","x",0)))</f>
        <v>0</v>
      </c>
      <c r="H812" s="208">
        <f ca="1">IF($B$807="Лікар загальної практики - сімейний лікар",IF(L811&lt;=Законод!$C$22,H811,Законод!$C$22*'01_Доходи'!H810),IF($B$807="Лікар-педіатр",IF(L811&lt;=Законод!$C$18,H811,Законод!$C$18*'01_Доходи'!H810),IF($B$807="Лікар-терапевт","x",0)))</f>
        <v>0</v>
      </c>
      <c r="I812" s="208">
        <f ca="1">IF($B$807="Лікар загальної практики - сімейний лікар",IF(L811&lt;=Законод!$C$22,I811,Законод!$C$22*'01_Доходи'!I810),IF($B$807="Лікар-педіатр","x",IF($B$807="Лікар-терапевт",IF(L811&lt;=Законод!$C$26,I811,Законод!$C$26*'01_Доходи'!I810),0)))</f>
        <v>0</v>
      </c>
      <c r="J812" s="208">
        <f ca="1">IF($B$807="Лікар загальної практики - сімейний лікар",IF(L811&lt;=Законод!$C$22,J811,Законод!$C$22*'01_Доходи'!J810),IF($B$807="Лікар-педіатр","x",IF($B$807="Лікар-терапевт",IF(L811&lt;=Законод!$C$26,J811,Законод!$C$26*'01_Доходи'!J810),0)))</f>
        <v>0</v>
      </c>
      <c r="K812" s="208">
        <f ca="1">IF($B$807="Лікар загальної практики - сімейний лікар",IF(L811&lt;=Законод!$C$22,K811,Законод!$C$22*'01_Доходи'!K810),IF($B$807="Лікар-педіатр","x",IF($B$807="Лікар-терапевт",IF(L811&lt;=Законод!$C$26,K811,Законод!$C$26*'01_Доходи'!K810),0)))</f>
        <v>0</v>
      </c>
      <c r="L812" s="209">
        <f ca="1">SUM(G812:K812)</f>
        <v>0</v>
      </c>
      <c r="M812" s="930"/>
      <c r="N812" s="208">
        <f ca="1">IF($B$807="Лікар загальної практики - сімейний лікар",IF(S811&lt;=Законод!$C$22,N811,Законод!$C$22*'01_Доходи'!N810),IF($B$807="Лікар-педіатр",IF(S811&lt;=Законод!$C$18,N811,Законод!$C$18*'01_Доходи'!N810),IF($B$807="Лікар-терапевт","x",0)))</f>
        <v>0</v>
      </c>
      <c r="O812" s="208">
        <f ca="1">IF($B$807="Лікар загальної практики - сімейний лікар",IF(S811&lt;=Законод!$C$22,O811,Законод!$C$22*'01_Доходи'!O810),IF($B$807="Лікар-педіатр",IF(S811&lt;=Законод!$C$18,O811,Законод!$C$18*'01_Доходи'!O810),IF($B$807="Лікар-терапевт","x",0)))</f>
        <v>0</v>
      </c>
      <c r="P812" s="208">
        <f ca="1">IF($B$807="Лікар загальної практики - сімейний лікар",IF(S811&lt;=Законод!$C$22,P811,Законод!$C$22*'01_Доходи'!P810),IF($B$807="Лікар-педіатр","x",IF($B$807="Лікар-терапевт",IF(S811&lt;=Законод!$C$26,P811,Законод!$C$26*'01_Доходи'!P810),0)))</f>
        <v>0</v>
      </c>
      <c r="Q812" s="208">
        <f ca="1">IF($B$807="Лікар загальної практики - сімейний лікар",IF(S811&lt;=Законод!$C$22,Q811,Законод!$C$22*'01_Доходи'!Q810),IF($B$807="Лікар-педіатр","x",IF($B$807="Лікар-терапевт",IF(S811&lt;=Законод!$C$26,Q811,Законод!$C$26*'01_Доходи'!Q810),0)))</f>
        <v>0</v>
      </c>
      <c r="R812" s="208">
        <f ca="1">IF($B$807="Лікар загальної практики - сімейний лікар",IF(S811&lt;=Законод!$C$22,R811,Законод!$C$22*'01_Доходи'!R810),IF($B$807="Лікар-педіатр","x",IF($B$807="Лікар-терапевт",IF(S811&lt;=Законод!$C$26,R811,Законод!$C$26*'01_Доходи'!R810),0)))</f>
        <v>0</v>
      </c>
      <c r="S812" s="209">
        <f ca="1">SUM(N812:R812)</f>
        <v>0</v>
      </c>
      <c r="T812" s="930"/>
      <c r="U812" s="208">
        <f ca="1">IF($B$807="Лікар загальної практики - сімейний лікар",IF(Z811&lt;=Законод!$C$22,U811,Законод!$C$22*'01_Доходи'!U810),IF($B$807="Лікар-педіатр",IF(Z811&lt;=Законод!$C$18,U811,Законод!$C$18*'01_Доходи'!U810),IF($B$807="Лікар-терапевт","x",0)))</f>
        <v>0</v>
      </c>
      <c r="V812" s="208">
        <f ca="1">IF($B$807="Лікар загальної практики - сімейний лікар",IF(Z811&lt;=Законод!$C$22,V811,Законод!$C$22*'01_Доходи'!V810),IF($B$807="Лікар-педіатр",IF(Z811&lt;=Законод!$C$18,V811,Законод!$C$18*'01_Доходи'!V810),IF($B$807="Лікар-терапевт","x",0)))</f>
        <v>0</v>
      </c>
      <c r="W812" s="208">
        <f ca="1">IF($B$807="Лікар загальної практики - сімейний лікар",IF(Z811&lt;=Законод!$C$22,W811,Законод!$C$22*'01_Доходи'!W810),IF($B$807="Лікар-педіатр","x",IF($B$807="Лікар-терапевт",IF(Z811&lt;=Законод!$C$26,W811,Законод!$C$26*'01_Доходи'!W810),0)))</f>
        <v>0</v>
      </c>
      <c r="X812" s="208">
        <f ca="1">IF($B$807="Лікар загальної практики - сімейний лікар",IF(Z811&lt;=Законод!$C$22,X811,Законод!$C$22*'01_Доходи'!X810),IF($B$807="Лікар-педіатр","x",IF($B$807="Лікар-терапевт",IF(Z811&lt;=Законод!$C$26,X811,Законод!$C$26*'01_Доходи'!X810),0)))</f>
        <v>0</v>
      </c>
      <c r="Y812" s="208">
        <f ca="1">IF($B$807="Лікар загальної практики - сімейний лікар",IF(Z811&lt;=Законод!$C$22,Y811,Законод!$C$22*'01_Доходи'!Y810),IF($B$807="Лікар-педіатр","x",IF($B$807="Лікар-терапевт",IF(Z811&lt;=Законод!$C$26,Y811,Законод!$C$26*'01_Доходи'!Y810),0)))</f>
        <v>0</v>
      </c>
      <c r="Z812" s="209">
        <f ca="1">SUM(U812:Y812)</f>
        <v>0</v>
      </c>
      <c r="AA812" s="930"/>
      <c r="AB812" s="208">
        <f ca="1">IF($B$807="Лікар загальної практики - сімейний лікар",IF(AG811&lt;=Законод!$C$22,AB811,Законод!$C$22*'01_Доходи'!AB810),IF($B$807="Лікар-педіатр",IF(AG811&lt;=Законод!$C$18,AB811,Законод!$C$18*'01_Доходи'!AB810),IF($B$807="Лікар-терапевт","x",0)))</f>
        <v>0</v>
      </c>
      <c r="AC812" s="208">
        <f ca="1">IF($B$807="Лікар загальної практики - сімейний лікар",IF(AG811&lt;=Законод!$C$22,AC811,Законод!$C$22*'01_Доходи'!AC810),IF($B$807="Лікар-педіатр",IF(AG811&lt;=Законод!$C$18,AC811,Законод!$C$18*'01_Доходи'!AC810),IF($B$807="Лікар-терапевт","x",0)))</f>
        <v>0</v>
      </c>
      <c r="AD812" s="208">
        <f ca="1">IF($B$807="Лікар загальної практики - сімейний лікар",IF(AG811&lt;=Законод!$C$22,AD811,Законод!$C$22*'01_Доходи'!AD810),IF($B$807="Лікар-педіатр","x",IF($B$807="Лікар-терапевт",IF(AG811&lt;=Законод!$C$26,AD811,Законод!$C$26*'01_Доходи'!AD810),0)))</f>
        <v>0</v>
      </c>
      <c r="AE812" s="208">
        <f ca="1">IF($B$807="Лікар загальної практики - сімейний лікар",IF(AG811&lt;=Законод!$C$22,AE811,Законод!$C$22*'01_Доходи'!AE810),IF($B$807="Лікар-педіатр","x",IF($B$807="Лікар-терапевт",IF(AG811&lt;=Законод!$C$26,AE811,Законод!$C$26*'01_Доходи'!AE810),0)))</f>
        <v>0</v>
      </c>
      <c r="AF812" s="208">
        <f ca="1">IF($B$807="Лікар загальної практики - сімейний лікар",IF(AG811&lt;=Законод!$C$22,AF811,Законод!$C$22*'01_Доходи'!AF810),IF($B$807="Лікар-педіатр","x",IF($B$807="Лікар-терапевт",IF(AG811&lt;=Законод!$C$26,AF811,Законод!$C$26*'01_Доходи'!AF810),0)))</f>
        <v>0</v>
      </c>
      <c r="AG812" s="209">
        <f ca="1">SUM(AB812:AF812)</f>
        <v>0</v>
      </c>
      <c r="AH812" s="930"/>
      <c r="AI812" s="201"/>
      <c r="AJ812" s="933"/>
      <c r="AK812" s="927"/>
      <c r="AL812" s="927"/>
      <c r="AM812" s="348" t="s">
        <v>374</v>
      </c>
      <c r="AN812" s="210">
        <f ca="1">IF(B807="Лікар загальної практики - сімейний лікар",G812*Законод!$C$11+'01_Доходи'!H812*Законод!$D$11+'01_Доходи'!I812*Законод!$E$11+'01_Доходи'!J812*Законод!$F$11+'01_Доходи'!K812*Законод!$G$11,IF(B807="Лікар-педіатр",G812*Законод!$C$11+'01_Доходи'!H812*Законод!$D$11,IF(B807="Лікар-терапевт",'01_Доходи'!I812*Законод!$E$11+'01_Доходи'!J812*Законод!$F$11+'01_Доходи'!K812*Законод!$G$11,0)))</f>
        <v>0</v>
      </c>
      <c r="AO812" s="210">
        <f ca="1">IF(B807="Лікар загальної практики - сімейний лікар",N812*Законод!$C$11+'01_Доходи'!O812*Законод!$D$11+'01_Доходи'!P812*Законод!$E$11+'01_Доходи'!Q812*Законод!$F$11+'01_Доходи'!R812*Законод!$G$11,IF(B807="Лікар-педіатр",N812*Законод!$C$11+'01_Доходи'!O812*Законод!$D$11,IF(B807="Лікар-терапевт",'01_Доходи'!P812*Законод!$E$11+'01_Доходи'!Q812*Законод!$F$11+'01_Доходи'!R812*Законод!$G$11,0)))</f>
        <v>0</v>
      </c>
      <c r="AP812" s="210">
        <f ca="1">IF(B807="Лікар загальної практики - сімейний лікар",U812*Законод!$C$11+'01_Доходи'!V812*Законод!$D$11+'01_Доходи'!W812*Законод!$E$11+'01_Доходи'!X812*Законод!$F$11+'01_Доходи'!Y812*Законод!$G$11,IF(B807="Лікар-педіатр",U812*Законод!$C$11+'01_Доходи'!V812*Законод!$D$11,IF(B807="Лікар-терапевт",'01_Доходи'!W812*Законод!$E$11+'01_Доходи'!X812*Законод!$F$11+'01_Доходи'!Y812*Законод!$G$11,0)))</f>
        <v>0</v>
      </c>
      <c r="AQ812" s="210">
        <f ca="1">IF(B807="Лікар загальної практики - сімейний лікар",AB812*Законод!$C$11+'01_Доходи'!AC812*Законод!$D$11+'01_Доходи'!AD812*Законод!$E$11+'01_Доходи'!AE812*Законод!$F$11+'01_Доходи'!AF812*Законод!$G$11,IF(B807="Лікар-педіатр",AB812*Законод!$C$11+'01_Доходи'!AC812*Законод!$D$11,IF(B807="Лікар-терапевт",'01_Доходи'!AD812*Законод!$E$11+'01_Доходи'!AE812*Законод!$F$11+'01_Доходи'!AF812*Законод!$G$11,0)))</f>
        <v>0</v>
      </c>
      <c r="AR812" s="211">
        <f t="shared" ref="AR812:AR818" si="89">SUM(AN812:AQ812)</f>
        <v>0</v>
      </c>
    </row>
    <row r="813" spans="1:44" s="50" customFormat="1" ht="31.9" hidden="1" customHeight="1">
      <c r="A813" s="197"/>
      <c r="B813" s="893"/>
      <c r="C813" s="896"/>
      <c r="D813" s="912"/>
      <c r="E813" s="909"/>
      <c r="F813" s="238" t="str">
        <f ca="1">IF(B807="Лікар-педіатр",Законод!$E$17,IF(B807="Лікар загальної практики - сімейний лікар",Законод!$E$21,IF(B807="Лікар-терапевт",Законод!$E$25,"х")))</f>
        <v>х</v>
      </c>
      <c r="G813" s="889" t="s">
        <v>346</v>
      </c>
      <c r="H813" s="890"/>
      <c r="I813" s="890"/>
      <c r="J813" s="890"/>
      <c r="K813" s="891"/>
      <c r="L813" s="196">
        <f ca="1">IF($B$807="Лікар загальної практики - сімейний лікар",IF(L811&lt;Законод!$C$22,0,(IF(AND(L811&gt;=Законод!$E$22,L811&lt;=Законод!$E$23),L811-Законод!$C$22,IF('01_Доходи'!L811&gt;=Законод!$F$22,Законод!$E$24,0)))),IF($B$807="Лікар-педіатр",IF(L811&lt;Законод!$C$18,0,(IF(AND(L811&gt;=Законод!$E$18,L811&lt;=Законод!$E$19),L811-Законод!$C$18,IF('01_Доходи'!L811&gt;=Законод!$F$18,Законод!$E$20,0)))),IF($B$807="Лікар-терапевт",IF(L811&lt;Законод!$C$26,0,(IF(AND(L811&gt;=Законод!$E$26,L811&lt;=Законод!$E$27),L811-Законод!$C$26,IF('01_Доходи'!L811&gt;=Законод!$F$26,Законод!$E$28,0)))),0)))</f>
        <v>0</v>
      </c>
      <c r="M813" s="930"/>
      <c r="N813" s="889" t="s">
        <v>346</v>
      </c>
      <c r="O813" s="890"/>
      <c r="P813" s="890"/>
      <c r="Q813" s="890"/>
      <c r="R813" s="891"/>
      <c r="S813" s="196">
        <f ca="1">IF($B$807="Лікар загальної практики - сімейний лікар",IF(S811&lt;Законод!$C$22,0,(IF(AND(S811&gt;=Законод!$E$22,S811&lt;=Законод!$E$23),S811-Законод!$C$22,IF('01_Доходи'!S811&gt;=Законод!$F$22,Законод!$E$24,0)))),IF($B$807="Лікар-педіатр",IF(S811&lt;Законод!$C$18,0,(IF(AND(S811&gt;=Законод!$E$18,S811&lt;=Законод!$E$19),S811-Законод!$C$18,IF('01_Доходи'!S811&gt;=Законод!$F$18,Законод!$E$20,0)))),IF($B$807="Лікар-терапевт",IF(S811&lt;Законод!$C$26,0,(IF(AND(S811&gt;=Законод!$E$26,S811&lt;=Законод!$E$27),S811-Законод!$C$26,IF('01_Доходи'!S811&gt;=Законод!$F$26,Законод!$E$28,0)))),0)))</f>
        <v>0</v>
      </c>
      <c r="T813" s="930"/>
      <c r="U813" s="889" t="s">
        <v>346</v>
      </c>
      <c r="V813" s="890"/>
      <c r="W813" s="890"/>
      <c r="X813" s="890"/>
      <c r="Y813" s="891"/>
      <c r="Z813" s="196">
        <f ca="1">IF($B$807="Лікар загальної практики - сімейний лікар",IF(Z811&lt;Законод!$C$22,0,(IF(AND(Z811&gt;=Законод!$E$22,Z811&lt;=Законод!$E$23),Z811-Законод!$C$22,IF('01_Доходи'!Z811&gt;=Законод!$F$22,Законод!$E$24,0)))),IF($B$807="Лікар-педіатр",IF(Z811&lt;Законод!$C$18,0,(IF(AND(Z811&gt;=Законод!$E$18,Z811&lt;=Законод!$E$19),Z811-Законод!$C$18,IF('01_Доходи'!Z811&gt;=Законод!$F$18,Законод!$E$20,0)))),IF($B$807="Лікар-терапевт",IF(Z811&lt;Законод!$C$26,0,(IF(AND(Z811&gt;=Законод!$E$26,Z811&lt;=Законод!$E$27),Z811-Законод!$C$26,IF('01_Доходи'!Z811&gt;=Законод!$F$26,Законод!$E$28,0)))),0)))</f>
        <v>0</v>
      </c>
      <c r="AA813" s="930"/>
      <c r="AB813" s="889" t="s">
        <v>346</v>
      </c>
      <c r="AC813" s="890"/>
      <c r="AD813" s="890"/>
      <c r="AE813" s="890"/>
      <c r="AF813" s="891"/>
      <c r="AG813" s="196">
        <f ca="1">IF($B$807="Лікар загальної практики - сімейний лікар",IF(AG811&lt;Законод!$C$22,0,(IF(AND(AG811&gt;=Законод!$E$22,AG811&lt;=Законод!$E$23),AG811-Законод!$C$22,IF('01_Доходи'!AG811&gt;=Законод!$F$22,Законод!$E$24,0)))),IF($B$807="Лікар-педіатр",IF(AG811&lt;Законод!$C$18,0,(IF(AND(AG811&gt;=Законод!$E$18,AG811&lt;=Законод!$E$19),AG811-Законод!$C$18,IF('01_Доходи'!AG811&gt;=Законод!$F$18,Законод!$E$20,0)))),IF($B$807="Лікар-терапевт",IF(AG811&lt;Законод!$C$26,0,(IF(AND(AG811&gt;=Законод!$E$26,AG811&lt;=Законод!$E$27),AG811-Законод!$C$26,IF('01_Доходи'!AG811&gt;=Законод!$F$26,Законод!$E$28,0)))),0)))</f>
        <v>0</v>
      </c>
      <c r="AH813" s="930"/>
      <c r="AI813" s="201"/>
      <c r="AJ813" s="933"/>
      <c r="AK813" s="927"/>
      <c r="AL813" s="927"/>
      <c r="AM813" s="898" t="s">
        <v>375</v>
      </c>
      <c r="AN813" s="210">
        <f ca="1">IF(B807="Лікар загальної практики - сімейний лікар",L813*Законод!$C$9/4*Законод!$E$16,IF(B807="Лікар-педіатр",L813*Законод!$C$9/4*Законод!$E$16,IF(B807="Лікар-терапевт",L813*Законод!$C$9/4*Законод!$E$16,0)))</f>
        <v>0</v>
      </c>
      <c r="AO813" s="210">
        <f ca="1">IF(B807="Лікар загальної практики - сімейний лікар",S813*Законод!$C$9/4*Законод!$E$16,IF(B807="Лікар-педіатр",S813*Законод!$C$9/4*Законод!$E$16,IF(B807="Лікар-терапевт",S813*Законод!$C$9/4*Законод!$E$16,0)))</f>
        <v>0</v>
      </c>
      <c r="AP813" s="210">
        <f ca="1">IF(B807="Лікар загальної практики - сімейний лікар",Z813*Законод!$C$9/4*Законод!$E$16,IF(B807="Лікар-педіатр",Z813*Законод!$C$9/4*Законод!$E$16,IF(B807="Лікар-терапевт",Z813*Законод!$C$9/4*Законод!$E$16,0)))</f>
        <v>0</v>
      </c>
      <c r="AQ813" s="210">
        <f ca="1">IF(B807="Лікар загальної практики - сімейний лікар",AG813*Законод!$C$9/4*Законод!$E$16,IF(B807="Лікар-педіатр",AG813*Законод!$C$9/4*Законод!$E$16,IF(B807="Лікар-терапевт",AG813*Законод!$C$9/4*Законод!$E$16,0)))</f>
        <v>0</v>
      </c>
      <c r="AR813" s="211">
        <f t="shared" si="89"/>
        <v>0</v>
      </c>
    </row>
    <row r="814" spans="1:44" s="50" customFormat="1" ht="31.9" hidden="1" customHeight="1">
      <c r="A814" s="197"/>
      <c r="B814" s="893"/>
      <c r="C814" s="896"/>
      <c r="D814" s="912"/>
      <c r="E814" s="909"/>
      <c r="F814" s="238" t="str">
        <f ca="1">IF(B807="Лікар-педіатр",Законод!$F$17,IF(B807="Лікар загальної практики - сімейний лікар",Законод!$F$21,IF(B807="Лікар-терапевт",Законод!$F$25,"х")))</f>
        <v>х</v>
      </c>
      <c r="G814" s="889" t="s">
        <v>346</v>
      </c>
      <c r="H814" s="890"/>
      <c r="I814" s="890"/>
      <c r="J814" s="890"/>
      <c r="K814" s="891"/>
      <c r="L814" s="196">
        <f ca="1">IF($B$807="Лікар загальної практики - сімейний лікар",IF(L811&lt;Законод!$C$22,0,(IF(AND(L811&gt;=Законод!$F$22,L811&lt;=Законод!$F$23),L811-Законод!$E$23,IF('01_Доходи'!L811&gt;=Законод!$G$22,Законод!$F$24,0)))),IF($B$807="Лікар-педіатр",IF(L811&lt;Законод!$C$18,0,(IF(AND(L811&gt;=Законод!$F$18,L811&lt;=Законод!$F$19),L811-Законод!$E$19,IF('01_Доходи'!L811&gt;=Законод!$G$18,Законод!$F$20,0)))),IF($B$807="Лікар-терапевт",IF(L811&lt;Законод!$C$26,0,(IF(AND(L811&gt;=Законод!$F$26,L811&lt;=Законод!$F$27),L811-Законод!$E$27,IF('01_Доходи'!L811&gt;=Законод!$G$26,Законод!$F$28,0)))),0)))</f>
        <v>0</v>
      </c>
      <c r="M814" s="930"/>
      <c r="N814" s="889" t="s">
        <v>346</v>
      </c>
      <c r="O814" s="890"/>
      <c r="P814" s="890"/>
      <c r="Q814" s="890"/>
      <c r="R814" s="891"/>
      <c r="S814" s="196">
        <f ca="1">IF($B$807="Лікар загальної практики - сімейний лікар",IF(S811&lt;Законод!$C$22,0,(IF(AND(S811&gt;=Законод!$F$22,S811&lt;=Законод!$F$23),S811-Законод!$E$23,IF('01_Доходи'!S811&gt;=Законод!$G$22,Законод!$F$24,0)))),IF($B$807="Лікар-педіатр",IF(S811&lt;Законод!$C$18,0,(IF(AND(S811&gt;=Законод!$F$18,S811&lt;=Законод!$F$19),S811-Законод!$E$19,IF('01_Доходи'!S811&gt;=Законод!$G$18,Законод!$F$20,0)))),IF($B$807="Лікар-терапевт",IF(S811&lt;Законод!$C$26,0,(IF(AND(S811&gt;=Законод!$F$26,S811&lt;=Законод!$F$27),S811-Законод!$E$27,IF('01_Доходи'!S811&gt;=Законод!$G$26,Законод!$F$28,0)))),0)))</f>
        <v>0</v>
      </c>
      <c r="T814" s="930"/>
      <c r="U814" s="889" t="s">
        <v>346</v>
      </c>
      <c r="V814" s="890"/>
      <c r="W814" s="890"/>
      <c r="X814" s="890"/>
      <c r="Y814" s="891"/>
      <c r="Z814" s="196">
        <f ca="1">IF($B$807="Лікар загальної практики - сімейний лікар",IF(Z811&lt;Законод!$C$22,0,(IF(AND(Z811&gt;=Законод!$F$22,Z811&lt;=Законод!$F$23),Z811-Законод!$E$23,IF('01_Доходи'!Z811&gt;=Законод!$G$22,Законод!$F$24,0)))),IF($B$807="Лікар-педіатр",IF(Z811&lt;Законод!$C$18,0,(IF(AND(Z811&gt;=Законод!$F$18,Z811&lt;=Законод!$F$19),Z811-Законод!$E$19,IF('01_Доходи'!Z811&gt;=Законод!$G$18,Законод!$F$20,0)))),IF($B$807="Лікар-терапевт",IF(Z811&lt;Законод!$C$26,0,(IF(AND(Z811&gt;=Законод!$F$26,Z811&lt;=Законод!$F$27),Z811-Законод!$E$27,IF('01_Доходи'!Z811&gt;=Законод!$G$26,Законод!$F$28,0)))),0)))</f>
        <v>0</v>
      </c>
      <c r="AA814" s="930"/>
      <c r="AB814" s="889" t="s">
        <v>346</v>
      </c>
      <c r="AC814" s="890"/>
      <c r="AD814" s="890"/>
      <c r="AE814" s="890"/>
      <c r="AF814" s="891"/>
      <c r="AG814" s="196">
        <f ca="1">IF($B$807="Лікар загальної практики - сімейний лікар",IF(AG811&lt;Законод!$C$22,0,(IF(AND(AG811&gt;=Законод!$F$22,AG811&lt;=Законод!$F$23),AG811-Законод!$E$23,IF('01_Доходи'!AG811&gt;=Законод!$G$22,Законод!$F$24,0)))),IF($B$807="Лікар-педіатр",IF(AG811&lt;Законод!$C$18,0,(IF(AND(AG811&gt;=Законод!$F$18,AG811&lt;=Законод!$F$19),AG811-Законод!$E$19,IF('01_Доходи'!AG811&gt;=Законод!$G$18,Законод!$F$20,0)))),IF($B$807="Лікар-терапевт",IF(AG811&lt;Законод!$C$26,0,(IF(AND(AG811&gt;=Законод!$F$26,AG811&lt;=Законод!$F$27),AG811-Законод!$E$27,IF('01_Доходи'!AG811&gt;=Законод!$G$26,Законод!$F$28,0)))),0)))</f>
        <v>0</v>
      </c>
      <c r="AH814" s="930"/>
      <c r="AI814" s="201"/>
      <c r="AJ814" s="933"/>
      <c r="AK814" s="927"/>
      <c r="AL814" s="927"/>
      <c r="AM814" s="899"/>
      <c r="AN814" s="210">
        <f ca="1">IF(B807="Лікар загальної практики - сімейний лікар",L814*Законод!$C$9/4*Законод!$F$16,IF(B807="Лікар-педіатр",L814*Законод!$C$9/4*Законод!$F$16,IF(B807="Лікар-терапевт",L814*Законод!$C$9/4*Законод!$F$16,0)))</f>
        <v>0</v>
      </c>
      <c r="AO814" s="210">
        <f ca="1">IF(B807="Лікар загальної практики - сімейний лікар",S814*Законод!$C$9/4*Законод!$F$16,IF(B807="Лікар-педіатр",S814*Законод!$C$9/4*Законод!$F$16,IF(B807="Лікар-терапевт",S814*Законод!$C$9/4*Законод!$F$16,0)))</f>
        <v>0</v>
      </c>
      <c r="AP814" s="210">
        <f ca="1">IF(B807="Лікар загальної практики - сімейний лікар",Z814*Законод!$C$9/4*Законод!$F$16,IF(B807="Лікар-педіатр",Z814*Законод!$C$9/4*Законод!$F$16,IF(B807="Лікар-терапевт",Z814*Законод!$C$9/4*Законод!$F$16,0)))</f>
        <v>0</v>
      </c>
      <c r="AQ814" s="210">
        <f ca="1">IF(B807="Лікар загальної практики - сімейний лікар",AG814*Законод!$C$9/4*Законод!$F$16,IF(B807="Лікар-педіатр",AG814*Законод!$C$9/4*Законод!$F$16,IF(B807="Лікар-терапевт",AG814*Законод!$C$9/4*Законод!$F$16,0)))</f>
        <v>0</v>
      </c>
      <c r="AR814" s="211">
        <f t="shared" si="89"/>
        <v>0</v>
      </c>
    </row>
    <row r="815" spans="1:44" s="50" customFormat="1" ht="31.9" hidden="1" customHeight="1">
      <c r="A815" s="197"/>
      <c r="B815" s="893"/>
      <c r="C815" s="896"/>
      <c r="D815" s="912"/>
      <c r="E815" s="909"/>
      <c r="F815" s="238" t="str">
        <f ca="1">IF(B807="Лікар-педіатр",Законод!$G$17,IF(B807="Лікар загальної практики - сімейний лікар",Законод!$G$21,IF(B807="Лікар-терапевт",Законод!$G$25,"х")))</f>
        <v>х</v>
      </c>
      <c r="G815" s="889" t="s">
        <v>346</v>
      </c>
      <c r="H815" s="890"/>
      <c r="I815" s="890"/>
      <c r="J815" s="890"/>
      <c r="K815" s="891"/>
      <c r="L815" s="196">
        <f ca="1">IF($B$807="Лікар загальної практики - сімейний лікар",IF(L811&lt;Законод!$C$22,0,(IF(AND(L811&gt;=Законод!$G$22,L811&lt;=Законод!$G$23),L811-Законод!$F$23,IF('01_Доходи'!L811&gt;=Законод!$H$22,Законод!$G$24,0)))),IF($B$807="Лікар-педіатр",IF(L811&lt;Законод!$C$18,0,(IF(AND(L811&gt;=Законод!$G$18,L811&lt;=Законод!$G$19),L811-Законод!$F$19,IF('01_Доходи'!L811&gt;=Законод!$H$18,Законод!$G$20,0)))),IF($B$807="Лікар-терапевт",IF(L811&lt;Законод!$C$26,0,(IF(AND(L811&gt;=Законод!$G$26,L811&lt;=Законод!$G$27),L811-Законод!$F$27,IF('01_Доходи'!L811&gt;=Законод!$H$26,Законод!$G$28,0)))),0)))</f>
        <v>0</v>
      </c>
      <c r="M815" s="930"/>
      <c r="N815" s="889" t="s">
        <v>346</v>
      </c>
      <c r="O815" s="890"/>
      <c r="P815" s="890"/>
      <c r="Q815" s="890"/>
      <c r="R815" s="891"/>
      <c r="S815" s="196">
        <f ca="1">IF($B$807="Лікар загальної практики - сімейний лікар",IF(S811&lt;Законод!$C$22,0,(IF(AND(S811&gt;=Законод!$G$22,S811&lt;=Законод!$G$23),S811-Законод!$F$23,IF('01_Доходи'!S811&gt;=Законод!$H$22,Законод!$G$24,0)))),IF($B$807="Лікар-педіатр",IF(S811&lt;Законод!$C$18,0,(IF(AND(S811&gt;=Законод!$G$18,S811&lt;=Законод!$G$19),S811-Законод!$F$19,IF('01_Доходи'!S811&gt;=Законод!$H$18,Законод!$G$20,0)))),IF($B$807="Лікар-терапевт",IF(S811&lt;Законод!$C$26,0,(IF(AND(S811&gt;=Законод!$G$26,S811&lt;=Законод!$G$27),S811-Законод!$F$27,IF('01_Доходи'!S811&gt;=Законод!$H$26,Законод!$G$28,0)))),0)))</f>
        <v>0</v>
      </c>
      <c r="T815" s="930"/>
      <c r="U815" s="889" t="s">
        <v>346</v>
      </c>
      <c r="V815" s="890"/>
      <c r="W815" s="890"/>
      <c r="X815" s="890"/>
      <c r="Y815" s="891"/>
      <c r="Z815" s="196">
        <f ca="1">IF($B$807="Лікар загальної практики - сімейний лікар",IF(Z811&lt;Законод!$C$22,0,(IF(AND(Z811&gt;=Законод!$G$22,Z811&lt;=Законод!$G$23),Z811-Законод!$F$23,IF('01_Доходи'!Z811&gt;=Законод!$H$22,Законод!$G$24,0)))),IF($B$807="Лікар-педіатр",IF(Z811&lt;Законод!$C$18,0,(IF(AND(Z811&gt;=Законод!$G$18,Z811&lt;=Законод!$G$19),Z811-Законод!$F$19,IF('01_Доходи'!Z811&gt;=Законод!$H$18,Законод!$G$20,0)))),IF($B$807="Лікар-терапевт",IF(Z811&lt;Законод!$C$26,0,(IF(AND(Z811&gt;=Законод!$G$26,Z811&lt;=Законод!$G$27),Z811-Законод!$F$27,IF('01_Доходи'!Z811&gt;=Законод!$H$26,Законод!$G$28,0)))),0)))</f>
        <v>0</v>
      </c>
      <c r="AA815" s="930"/>
      <c r="AB815" s="889" t="s">
        <v>346</v>
      </c>
      <c r="AC815" s="890"/>
      <c r="AD815" s="890"/>
      <c r="AE815" s="890"/>
      <c r="AF815" s="891"/>
      <c r="AG815" s="196">
        <f ca="1">IF($B$807="Лікар загальної практики - сімейний лікар",IF(AG811&lt;Законод!$C$22,0,(IF(AND(AG811&gt;=Законод!$G$22,AG811&lt;=Законод!$G$23),AG811-Законод!$F$23,IF('01_Доходи'!AG811&gt;=Законод!$H$22,Законод!$G$24,0)))),IF($B$807="Лікар-педіатр",IF(AG811&lt;Законод!$C$18,0,(IF(AND(AG811&gt;=Законод!$G$18,AG811&lt;=Законод!$G$19),AG811-Законод!$F$19,IF('01_Доходи'!AG811&gt;=Законод!$H$18,Законод!$G$20,0)))),IF($B$807="Лікар-терапевт",IF(AG811&lt;Законод!$C$26,0,(IF(AND(AG811&gt;=Законод!$G$26,AG811&lt;=Законод!$G$27),AG811-Законод!$F$27,IF('01_Доходи'!AG811&gt;=Законод!$H$26,Законод!$G$28,0)))),0)))</f>
        <v>0</v>
      </c>
      <c r="AH815" s="930"/>
      <c r="AI815" s="201"/>
      <c r="AJ815" s="933"/>
      <c r="AK815" s="927"/>
      <c r="AL815" s="927"/>
      <c r="AM815" s="899"/>
      <c r="AN815" s="210">
        <f ca="1">IF(B807="Лікар загальної практики - сімейний лікар",L815*Законод!$C$9/4*Законод!$G$16,IF(B807="Лікар-педіатр",L815*Законод!$C$9/4*Законод!$G$16,IF(B807="Лікар-терапевт",L815*Законод!$C$9/4*Законод!$G$16,0)))</f>
        <v>0</v>
      </c>
      <c r="AO815" s="210">
        <f ca="1">IF(B807="Лікар загальної практики - сімейний лікар",S815*Законод!$C$9/4*Законод!$G$16,IF(B807="Лікар-педіатр",S815*Законод!$C$9/4*Законод!$G$16,IF(B807="Лікар-терапевт",S815*Законод!$C$9/4*Законод!$G$16,0)))</f>
        <v>0</v>
      </c>
      <c r="AP815" s="210">
        <f ca="1">IF(B807="Лікар загальної практики - сімейний лікар",Z815*Законод!$C$9/4*Законод!$G$16,IF(B807="Лікар-педіатр",Z815*Законод!$C$9/4*Законод!$G$16,IF(B807="Лікар-терапевт",Z815*Законод!$C$9/4*Законод!$G$16,0)))</f>
        <v>0</v>
      </c>
      <c r="AQ815" s="210">
        <f ca="1">IF(B807="Лікар загальної практики - сімейний лікар",AG815*Законод!$C$9/4*Законод!$G$16,IF(B807="Лікар-педіатр",AG815*Законод!$C$9/4*Законод!$G$16,IF(B807="Лікар-терапевт",AG815*Законод!$C$9/4*Законод!$G$16,0)))</f>
        <v>0</v>
      </c>
      <c r="AR815" s="211">
        <f t="shared" si="89"/>
        <v>0</v>
      </c>
    </row>
    <row r="816" spans="1:44" s="50" customFormat="1" ht="31.9" hidden="1" customHeight="1">
      <c r="A816" s="197"/>
      <c r="B816" s="893"/>
      <c r="C816" s="896"/>
      <c r="D816" s="912"/>
      <c r="E816" s="909"/>
      <c r="F816" s="238" t="str">
        <f ca="1">IF(B807="Лікар-педіатр",Законод!$H$17,IF(B807="Лікар загальної практики - сімейний лікар",Законод!$H$21,IF(B807="Лікар-терапевт",Законод!$H$25,"х")))</f>
        <v>х</v>
      </c>
      <c r="G816" s="889" t="s">
        <v>346</v>
      </c>
      <c r="H816" s="890"/>
      <c r="I816" s="890"/>
      <c r="J816" s="890"/>
      <c r="K816" s="891"/>
      <c r="L816" s="196">
        <f ca="1">IF($B$807="Лікар загальної практики - сімейний лікар",IF(L811&lt;Законод!$C$22,0,(IF(AND(L811&gt;=Законод!$H$22,L811&lt;=Законод!$H$23),L811-Законод!$G$23,IF('01_Доходи'!L811&gt;=Законод!$I$22,Законод!$H$24,0)))),IF($B$807="Лікар-педіатр",IF(L811&lt;Законод!$C$18,0,(IF(AND(L811&gt;=Законод!$H$18,L811&lt;=Законод!$H$19),L811-Законод!$G$19,IF('01_Доходи'!L811&gt;=Законод!$I$18,Законод!$H$20,0)))),IF($B$807="Лікар-терапевт",IF(L811&lt;Законод!$C$26,0,(IF(AND(L811&gt;=Законод!$H$26,L811&lt;=Законод!$H$27),L811-Законод!$G$27,IF(L811&gt;=Законод!$I$26,Законод!$H$28,0)))),0)))</f>
        <v>0</v>
      </c>
      <c r="M816" s="930"/>
      <c r="N816" s="889" t="s">
        <v>346</v>
      </c>
      <c r="O816" s="890"/>
      <c r="P816" s="890"/>
      <c r="Q816" s="890"/>
      <c r="R816" s="891"/>
      <c r="S816" s="196">
        <f ca="1">IF($B$807="Лікар загальної практики - сімейний лікар",IF(S811&lt;Законод!$C$22,0,(IF(AND(S811&gt;=Законод!$H$22,S811&lt;=Законод!$H$23),S811-Законод!$G$23,IF('01_Доходи'!S811&gt;=Законод!$I$22,Законод!$H$24,0)))),IF($B$807="Лікар-педіатр",IF(S811&lt;Законод!$C$18,0,(IF(AND(S811&gt;=Законод!$H$18,S811&lt;=Законод!$H$19),S811-Законод!$G$19,IF('01_Доходи'!S811&gt;=Законод!$I$18,Законод!$H$20,0)))),IF($B$807="Лікар-терапевт",IF(S811&lt;Законод!$C$26,0,(IF(AND(S811&gt;=Законод!$H$26,S811&lt;=Законод!$H$27),S811-Законод!$G$27,IF(S811&gt;=Законод!$I$26,Законод!$H$28,0)))),0)))</f>
        <v>0</v>
      </c>
      <c r="T816" s="930"/>
      <c r="U816" s="889" t="s">
        <v>346</v>
      </c>
      <c r="V816" s="890"/>
      <c r="W816" s="890"/>
      <c r="X816" s="890"/>
      <c r="Y816" s="891"/>
      <c r="Z816" s="196">
        <f ca="1">IF($B$807="Лікар загальної практики - сімейний лікар",IF(Z811&lt;Законод!$C$22,0,(IF(AND(Z811&gt;=Законод!$H$22,Z811&lt;=Законод!$H$23),Z811-Законод!$G$23,IF('01_Доходи'!Z811&gt;=Законод!$I$22,Законод!$H$24,0)))),IF($B$807="Лікар-педіатр",IF(Z811&lt;Законод!$C$18,0,(IF(AND(Z811&gt;=Законод!$H$18,Z811&lt;=Законод!$H$19),Z811-Законод!$G$19,IF('01_Доходи'!Z811&gt;=Законод!$I$18,Законод!$H$20,0)))),IF($B$807="Лікар-терапевт",IF(Z811&lt;Законод!$C$26,0,(IF(AND(Z811&gt;=Законод!$H$26,Z811&lt;=Законод!$H$27),Z811-Законод!$G$27,IF(Z811&gt;=Законод!$I$26,Законод!$H$28,0)))),0)))</f>
        <v>0</v>
      </c>
      <c r="AA816" s="930"/>
      <c r="AB816" s="889" t="s">
        <v>346</v>
      </c>
      <c r="AC816" s="890"/>
      <c r="AD816" s="890"/>
      <c r="AE816" s="890"/>
      <c r="AF816" s="891"/>
      <c r="AG816" s="196">
        <f ca="1">IF($B$807="Лікар загальної практики - сімейний лікар",IF(AG811&lt;Законод!$C$22,0,(IF(AND(AG811&gt;=Законод!$H$22,AG811&lt;=Законод!$H$23),AG811-Законод!$G$23,IF('01_Доходи'!AG811&gt;=Законод!$I$22,Законод!$H$24,0)))),IF($B$807="Лікар-педіатр",IF(AG811&lt;Законод!$C$18,0,(IF(AND(AG811&gt;=Законод!$H$18,AG811&lt;=Законод!$H$19),AG811-Законод!$G$19,IF('01_Доходи'!AG811&gt;=Законод!$I$18,Законод!$H$20,0)))),IF($B$807="Лікар-терапевт",IF(AG811&lt;Законод!$C$26,0,(IF(AND(AG811&gt;=Законод!$H$26,AG811&lt;=Законод!$H$27),AG811-Законод!$G$27,IF(AG811&gt;=Законод!$I$26,Законод!$H$28,0)))),0)))</f>
        <v>0</v>
      </c>
      <c r="AH816" s="930"/>
      <c r="AI816" s="201"/>
      <c r="AJ816" s="933"/>
      <c r="AK816" s="927"/>
      <c r="AL816" s="927"/>
      <c r="AM816" s="899"/>
      <c r="AN816" s="210">
        <f ca="1">IF(B807="Лікар загальної практики - сімейний лікар",L816*Законод!$C$9/4*Законод!$H$16,IF(B807="Лікар-педіатр",L816*Законод!$C$9/4*Законод!$H$16,IF(B807="Лікар-терапевт",L816*Законод!$C$9/4*Законод!$H$16,0)))</f>
        <v>0</v>
      </c>
      <c r="AO816" s="210">
        <f ca="1">IF(B807="Лікар загальної практики - сімейний лікар",S816*Законод!$C$9/4*Законод!$H$16,IF(B807="Лікар-педіатр",S816*Законод!$C$9/4*Законод!$H$16,IF(B807="Лікар-терапевт",S816*Законод!$C$9/4*Законод!$H$16,0)))</f>
        <v>0</v>
      </c>
      <c r="AP816" s="210">
        <f ca="1">IF(B807="Лікар загальної практики - сімейний лікар",Z816*Законод!$C$9/4*Законод!$H$16,IF(B807="Лікар-педіатр",Z816*Законод!$C$9/4*Законод!$H$16,IF(B807="Лікар-терапевт",Z816*Законод!$C$9/4*Законод!$H$16,0)))</f>
        <v>0</v>
      </c>
      <c r="AQ816" s="210">
        <f ca="1">IF(B807="Лікар загальної практики - сімейний лікар",AG816*Законод!$C$9/4*Законод!$H$16,IF(B807="Лікар-педіатр",AG816*Законод!$C$9/4*Законод!$H$16,IF(B807="Лікар-терапевт",AG816*Законод!$C$9/4*Законод!$H$16,0)))</f>
        <v>0</v>
      </c>
      <c r="AR816" s="211">
        <f t="shared" si="89"/>
        <v>0</v>
      </c>
    </row>
    <row r="817" spans="1:44" s="50" customFormat="1" ht="31.9" hidden="1" customHeight="1">
      <c r="A817" s="197"/>
      <c r="B817" s="893"/>
      <c r="C817" s="896"/>
      <c r="D817" s="912"/>
      <c r="E817" s="909"/>
      <c r="F817" s="238" t="str">
        <f ca="1">IF(B807="Лікар-педіатр",Законод!$I$17,IF(B807="Лікар загальної практики - сімейний лікар",Законод!$I$21,IF(B807="Лікар-терапевт",Законод!$I$25,"х")))</f>
        <v>х</v>
      </c>
      <c r="G817" s="889" t="s">
        <v>346</v>
      </c>
      <c r="H817" s="890"/>
      <c r="I817" s="890"/>
      <c r="J817" s="890"/>
      <c r="K817" s="891"/>
      <c r="L817" s="196">
        <f ca="1">IF($B$807="Лікар загальної практики - сімейний лікар",IF(L811&lt;Законод!$C$22,0,(IF(AND(L811&gt;=Законод!$I$22,L811&lt;=Законод!$I$23),L811-Законод!$H$23,IF('01_Доходи'!L811&gt;=Законод!$I$22,Законод!$I$24,0)))),IF($B$807="Лікар-педіатр",IF(L811&lt;Законод!$C$18,0,(IF(AND(L811&gt;=Законод!$I$18,L811&lt;=Законод!$I$19),L811-Законод!$H$19,IF('01_Доходи'!L811&gt;=Законод!$I$18,Законод!$H$20,0)))),IF($B$807="Лікар-терапевт",IF(L811&lt;Законод!$C$26,0,(IF(AND(L811&gt;=Законод!$I$26,L811&lt;=Законод!$I$27),L811-Законод!$H$27,IF('01_Доходи'!L811&gt;=Законод!$I$26,Законод!$H$28,0)))),0)))</f>
        <v>0</v>
      </c>
      <c r="M817" s="930"/>
      <c r="N817" s="889" t="s">
        <v>346</v>
      </c>
      <c r="O817" s="890"/>
      <c r="P817" s="890"/>
      <c r="Q817" s="890"/>
      <c r="R817" s="891"/>
      <c r="S817" s="196">
        <f ca="1">IF($B$807="Лікар загальної практики - сімейний лікар",IF(S811&lt;Законод!$C$22,0,(IF(AND(S811&gt;=Законод!$I$22,S811&lt;=Законод!$I$23),S811-Законод!$H$23,IF('01_Доходи'!S811&gt;=Законод!$I$22,Законод!$I$24,0)))),IF($B$807="Лікар-педіатр",IF(S811&lt;Законод!$C$18,0,(IF(AND(S811&gt;=Законод!$I$18,S811&lt;=Законод!$I$19),S811-Законод!$H$19,IF('01_Доходи'!S811&gt;=Законод!$I$18,Законод!$H$20,0)))),IF($B$807="Лікар-терапевт",IF(S811&lt;Законод!$C$26,0,(IF(AND(S811&gt;=Законод!$I$26,S811&lt;=Законод!$I$27),S811-Законод!$H$27,IF('01_Доходи'!S811&gt;=Законод!$I$26,Законод!$H$28,0)))),0)))</f>
        <v>0</v>
      </c>
      <c r="T817" s="930"/>
      <c r="U817" s="889" t="s">
        <v>346</v>
      </c>
      <c r="V817" s="890"/>
      <c r="W817" s="890"/>
      <c r="X817" s="890"/>
      <c r="Y817" s="891"/>
      <c r="Z817" s="196">
        <f ca="1">IF($B$807="Лікар загальної практики - сімейний лікар",IF(Z811&lt;Законод!$C$22,0,(IF(AND(Z811&gt;=Законод!$I$22,Z811&lt;=Законод!$I$23),Z811-Законод!$H$23,IF('01_Доходи'!Z811&gt;=Законод!$I$22,Законод!$I$24,0)))),IF($B$807="Лікар-педіатр",IF(Z811&lt;Законод!$C$18,0,(IF(AND(Z811&gt;=Законод!$I$18,Z811&lt;=Законод!$I$19),Z811-Законод!$H$19,IF('01_Доходи'!Z811&gt;=Законод!$I$18,Законод!$H$20,0)))),IF($B$807="Лікар-терапевт",IF(Z811&lt;Законод!$C$26,0,(IF(AND(Z811&gt;=Законод!$I$26,Z811&lt;=Законод!$I$27),Z811-Законод!$H$27,IF('01_Доходи'!Z811&gt;=Законод!$I$26,Законод!$H$28,0)))),0)))</f>
        <v>0</v>
      </c>
      <c r="AA817" s="930"/>
      <c r="AB817" s="889" t="s">
        <v>346</v>
      </c>
      <c r="AC817" s="890"/>
      <c r="AD817" s="890"/>
      <c r="AE817" s="890"/>
      <c r="AF817" s="891"/>
      <c r="AG817" s="196">
        <f ca="1">IF($B$807="Лікар загальної практики - сімейний лікар",IF(AG811&lt;Законод!$C$22,0,(IF(AND(AG811&gt;=Законод!$I$22,AG811&lt;=Законод!$I$23),AG811-Законод!$H$23,IF('01_Доходи'!AG811&gt;=Законод!$I$22,Законод!$I$24,0)))),IF($B$807="Лікар-педіатр",IF(AG811&lt;Законод!$C$18,0,(IF(AND(AG811&gt;=Законод!$I$18,AG811&lt;=Законод!$I$19),AG811-Законод!$H$19,IF('01_Доходи'!AG811&gt;=Законод!$I$18,Законод!$H$20,0)))),IF($B$807="Лікар-терапевт",IF(AG811&lt;Законод!$C$26,0,(IF(AND(AG811&gt;=Законод!$I$26,AG811&lt;=Законод!$I$27),AG811-Законод!$H$27,IF('01_Доходи'!AG811&gt;=Законод!$I$26,Законод!$H$28,0)))),0)))</f>
        <v>0</v>
      </c>
      <c r="AH817" s="930"/>
      <c r="AI817" s="201"/>
      <c r="AJ817" s="933"/>
      <c r="AK817" s="927"/>
      <c r="AL817" s="927"/>
      <c r="AM817" s="899"/>
      <c r="AN817" s="210">
        <f ca="1">IF(B807="Лікар загальної практики - сімейний лікар",L817*Законод!$C$9/4*Законод!$I$16,IF(B807="Лікар-педіатр",L817*Законод!$C$9/4*Законод!$I$16,IF(B807="Лікар-терапевт",L817*Законод!$C$9/4*Законод!$I$16,0)))</f>
        <v>0</v>
      </c>
      <c r="AO817" s="210">
        <f ca="1">IF(B807="Лікар загальної практики - сімейний лікар",S817*Законод!$C$9/4*Законод!$I$16,IF(B807="Лікар-педіатр",S817*Законод!$C$9/4*Законод!$I$16,IF(B807="Лікар-терапевт",S817*Законод!$C$9/4*Законод!$I$16,0)))</f>
        <v>0</v>
      </c>
      <c r="AP817" s="210">
        <f ca="1">IF(B807="Лікар загальної практики - сімейний лікар",Z817*Законод!$C$9/4*Законод!$I$16,IF(B807="Лікар-педіатр",Z817*Законод!$C$9/4*Законод!$I$16,IF(B807="Лікар-терапевт",Z817*Законод!$C$9/4*Законод!$I$16,0)))</f>
        <v>0</v>
      </c>
      <c r="AQ817" s="210">
        <f ca="1">IF(B807="Лікар загальної практики - сімейний лікар",AG817*Законод!$C$9/4*Законод!$I$16,IF(B807="Лікар-педіатр",AG817*Законод!$C$9/4*Законод!$I$16,IF(B807="Лікар-терапевт",AG817*Законод!$C$9/4*Законод!$I$16,0)))</f>
        <v>0</v>
      </c>
      <c r="AR817" s="211">
        <f t="shared" si="89"/>
        <v>0</v>
      </c>
    </row>
    <row r="818" spans="1:44" s="218" customFormat="1" ht="31.9" hidden="1" customHeight="1" thickBot="1">
      <c r="A818" s="213"/>
      <c r="B818" s="894"/>
      <c r="C818" s="897"/>
      <c r="D818" s="913"/>
      <c r="E818" s="910"/>
      <c r="F818" s="239" t="str">
        <f ca="1">IF(B807="Лікар-педіатр",Законод!$J$17,IF(B807="Лікар загальної практики - сімейний лікар",Законод!$J$21,IF(B807="Лікар-терапевт",Законод!$J$25,"х")))</f>
        <v>х</v>
      </c>
      <c r="G818" s="935" t="s">
        <v>346</v>
      </c>
      <c r="H818" s="936"/>
      <c r="I818" s="936"/>
      <c r="J818" s="936"/>
      <c r="K818" s="937"/>
      <c r="L818" s="196">
        <f ca="1">IF($B$807="Лікар загальної практики - сімейний лікар",IF(L811&gt;=Законод!$J$22,'01_Доходи'!L811-('01_Доходи'!L812+'01_Доходи'!L813+'01_Доходи'!L814+'01_Доходи'!L815+'01_Доходи'!L816+'01_Доходи'!L817),0),IF($B$807="Лікар-педіатр",IF(L811&gt;=Законод!$J$18,'01_Доходи'!L811-('01_Доходи'!L812+'01_Доходи'!L813+'01_Доходи'!L814+'01_Доходи'!L815+'01_Доходи'!L816+'01_Доходи'!L817),0),IF($B$807="Лікар-терапевт",IF('01_Доходи'!L811&gt;=Законод!$J$26,L811-Законод!$I$27,0),0)))</f>
        <v>0</v>
      </c>
      <c r="M818" s="931"/>
      <c r="N818" s="935" t="s">
        <v>346</v>
      </c>
      <c r="O818" s="936"/>
      <c r="P818" s="936"/>
      <c r="Q818" s="936"/>
      <c r="R818" s="937"/>
      <c r="S818" s="196">
        <f ca="1">IF($B$807="Лікар загальної практики - сімейний лікар",IF(S811&gt;=Законод!$J$22,'01_Доходи'!S811-('01_Доходи'!S812+'01_Доходи'!S813+'01_Доходи'!S814+'01_Доходи'!S815+'01_Доходи'!S816+'01_Доходи'!S817),0),IF($B$807="Лікар-педіатр",IF(S811&gt;=Законод!$J$18,'01_Доходи'!S811-('01_Доходи'!S812+'01_Доходи'!S813+'01_Доходи'!S814+'01_Доходи'!S815+'01_Доходи'!S816+'01_Доходи'!S817),0),IF($B$807="Лікар-терапевт",IF('01_Доходи'!S811&gt;=Законод!$J$26,S811-Законод!$I$27,0),0)))</f>
        <v>0</v>
      </c>
      <c r="T818" s="931"/>
      <c r="U818" s="935" t="s">
        <v>346</v>
      </c>
      <c r="V818" s="936"/>
      <c r="W818" s="936"/>
      <c r="X818" s="936"/>
      <c r="Y818" s="937"/>
      <c r="Z818" s="196">
        <f ca="1">IF($B$807="Лікар загальної практики - сімейний лікар",IF(Z811&gt;=Законод!$J$22,'01_Доходи'!Z811-('01_Доходи'!Z812+'01_Доходи'!Z813+'01_Доходи'!Z814+'01_Доходи'!Z815+'01_Доходи'!Z816+'01_Доходи'!Z817),0),IF($B$807="Лікар-педіатр",IF(Z811&gt;=Законод!$J$18,'01_Доходи'!Z811-('01_Доходи'!Z812+'01_Доходи'!Z813+'01_Доходи'!Z814+'01_Доходи'!Z815+'01_Доходи'!Z816+'01_Доходи'!Z817),0),IF($B$807="Лікар-терапевт",IF('01_Доходи'!Z811&gt;=Законод!$J$26,Z811-Законод!$I$27,0),0)))</f>
        <v>0</v>
      </c>
      <c r="AA818" s="931"/>
      <c r="AB818" s="935" t="s">
        <v>346</v>
      </c>
      <c r="AC818" s="936"/>
      <c r="AD818" s="936"/>
      <c r="AE818" s="936"/>
      <c r="AF818" s="937"/>
      <c r="AG818" s="196">
        <f ca="1">IF($B$807="Лікар загальної практики - сімейний лікар",IF(AG811&gt;=Законод!$J$22,'01_Доходи'!AG811-('01_Доходи'!AG812+'01_Доходи'!AG813+'01_Доходи'!AG814+'01_Доходи'!AG815+'01_Доходи'!AG816+'01_Доходи'!AG817),0),IF($B$807="Лікар-педіатр",IF(AG811&gt;=Законод!$J$18,'01_Доходи'!AG811-('01_Доходи'!AG812+'01_Доходи'!AG813+'01_Доходи'!AG814+'01_Доходи'!AG815+'01_Доходи'!AG816+'01_Доходи'!AG817),0),IF($B$807="Лікар-терапевт",IF('01_Доходи'!AG811&gt;=Законод!$J$26,AG811-Законод!$I$27,0),0)))</f>
        <v>0</v>
      </c>
      <c r="AH818" s="931"/>
      <c r="AI818" s="215"/>
      <c r="AJ818" s="934"/>
      <c r="AK818" s="928"/>
      <c r="AL818" s="928"/>
      <c r="AM818" s="900"/>
      <c r="AN818" s="216">
        <f ca="1">IF(B807="Лікар загальної практики - сімейний лікар",L818*Законод!$C$9/4*Законод!$J$16,IF(B807="Лікар-педіатр",L818*Законод!$C$9/4*Законод!$J$16,IF(B807="Лікар-терапевт",L818*Законод!$C$9/4*Законод!$J$16,0)))</f>
        <v>0</v>
      </c>
      <c r="AO818" s="216">
        <f ca="1">IF(B807="Лікар загальної практики - сімейний лікар",S818*Законод!$C$9/4*Законод!$J$16,IF(B807="Лікар-педіатр",S818*Законод!$C$9/4*Законод!$J$16,IF(B807="Лікар-терапевт",S818*Законод!$C$9/4*Законод!$J$16,0)))</f>
        <v>0</v>
      </c>
      <c r="AP818" s="216">
        <f ca="1">IF(B807="Лікар загальної практики - сімейний лікар",S818*Законод!$C$9/4*Законод!$J$16,IF(B807="Лікар-педіатр",S818*Законод!$C$9/4*Законод!$J$16,IF(B807="Лікар-терапевт",S818*Законод!$C$9/4*Законод!$J$16,0)))</f>
        <v>0</v>
      </c>
      <c r="AQ818" s="216">
        <f ca="1">IF(B807="Лікар загальної практики - сімейний лікар",AG818*Законод!$C$9/4*Законод!$J$16,IF(B807="Лікар-педіатр",AG818*Законод!$C$9/4*Законод!$J$16,IF(B807="Лікар-терапевт",AG818*Законод!$C$9/4*Законод!$J$16,0)))</f>
        <v>0</v>
      </c>
      <c r="AR818" s="217">
        <f t="shared" si="89"/>
        <v>0</v>
      </c>
    </row>
    <row r="819" spans="1:44" s="247" customFormat="1" ht="23.45" hidden="1" customHeight="1" thickBot="1">
      <c r="A819" s="243"/>
      <c r="B819" s="244"/>
      <c r="C819" s="244"/>
      <c r="D819" s="244"/>
      <c r="E819" s="244"/>
      <c r="F819" s="245"/>
      <c r="G819" s="246"/>
      <c r="H819" s="246"/>
      <c r="L819" s="248"/>
      <c r="S819" s="248"/>
      <c r="Z819" s="248"/>
      <c r="AG819" s="248"/>
      <c r="AM819" s="249"/>
      <c r="AR819" s="250"/>
    </row>
    <row r="820" spans="1:44" s="191" customFormat="1" ht="24.6" hidden="1" customHeight="1">
      <c r="A820" s="194">
        <f>A807+1</f>
        <v>61</v>
      </c>
      <c r="B820" s="892"/>
      <c r="C820" s="895"/>
      <c r="D820" s="911"/>
      <c r="E820" s="908"/>
      <c r="F820" s="234" t="s">
        <v>582</v>
      </c>
      <c r="G820" s="196">
        <f>IF($B$820="Лікар-педіатр",G823*L820,IF($B$820="Лікар-терапевт","х",IF($B$820="Лікар загальної практики - сімейний лікар",G823*L820,0)))</f>
        <v>0</v>
      </c>
      <c r="H820" s="196">
        <f>IF($B$820="Лікар-педіатр",H823*L820,IF($B$820="Лікар-терапевт","х",IF($B$820="Лікар загальної практики - сімейний лікар",H823*L820,0)))</f>
        <v>0</v>
      </c>
      <c r="I820" s="196">
        <f>IF($B$820="Лікар-педіатр","x",IF($B$820="Лікар-терапевт",I823*L820,IF($B$820="Лікар загальної практики - сімейний лікар",I823*L820,0)))</f>
        <v>0</v>
      </c>
      <c r="J820" s="196">
        <f>IF($B$820="Лікар-педіатр","x",IF($B$820="Лікар-терапевт",J823*L820,IF($B$820="Лікар загальної практики - сімейний лікар",J823*L820,0)))</f>
        <v>0</v>
      </c>
      <c r="K820" s="196">
        <f>IF($B$820="Лікар-педіатр","x",IF($B$820="Лікар-терапевт",K823*L820,IF($B$820="Лікар загальної практики - сімейний лікар",K823*L820,0)))</f>
        <v>0</v>
      </c>
      <c r="L820" s="558"/>
      <c r="M820" s="929"/>
      <c r="N820" s="196">
        <f>IF($B$820="Лікар-педіатр",N823*S820,IF($B$820="Лікар-терапевт","х",IF($B$820="Лікар загальної практики - сімейний лікар",N823*S820,0)))</f>
        <v>0</v>
      </c>
      <c r="O820" s="196">
        <f>IF($B$820="Лікар-педіатр",O823*S820,IF($B$820="Лікар-терапевт","х",IF($B$820="Лікар загальної практики - сімейний лікар",O823*S820,0)))</f>
        <v>0</v>
      </c>
      <c r="P820" s="196">
        <f>IF($B$820="Лікар-педіатр","x",IF($B$820="Лікар-терапевт",P823*S820,IF($B$820="Лікар загальної практики - сімейний лікар",P823*S820,0)))</f>
        <v>0</v>
      </c>
      <c r="Q820" s="196">
        <f>IF($B$820="Лікар-педіатр","x",IF($B$820="Лікар-терапевт",Q823*S820,IF($B$820="Лікар загальної практики - сімейний лікар",Q823*S820,0)))</f>
        <v>0</v>
      </c>
      <c r="R820" s="196">
        <f>IF($B$820="Лікар-педіатр","x",IF($B$820="Лікар-терапевт",R823*S820,IF($B$820="Лікар загальної практики - сімейний лікар",R823*S820,0)))</f>
        <v>0</v>
      </c>
      <c r="S820" s="558"/>
      <c r="T820" s="929"/>
      <c r="U820" s="196">
        <f>IF($B$820="Лікар-педіатр",U823*Z820,IF($B$820="Лікар-терапевт","х",IF($B$820="Лікар загальної практики - сімейний лікар",U823*Z820,0)))</f>
        <v>0</v>
      </c>
      <c r="V820" s="196">
        <f>IF($B$820="Лікар-педіатр",V823*Z820,IF($B$820="Лікар-терапевт","х",IF($B$820="Лікар загальної практики - сімейний лікар",V823*Z820,0)))</f>
        <v>0</v>
      </c>
      <c r="W820" s="196">
        <f>IF($B$820="Лікар-педіатр","x",IF($B$820="Лікар-терапевт",W823*Z820,IF($B$820="Лікар загальної практики - сімейний лікар",W823*Z820,0)))</f>
        <v>0</v>
      </c>
      <c r="X820" s="196">
        <f>IF($B$820="Лікар-педіатр","x",IF($B$820="Лікар-терапевт",X823*Z820,IF($B$820="Лікар загальної практики - сімейний лікар",X823*Z820,0)))</f>
        <v>0</v>
      </c>
      <c r="Y820" s="196">
        <f>IF($B$820="Лікар-педіатр","x",IF($B$820="Лікар-терапевт",Y823*Z820,IF($B$820="Лікар загальної практики - сімейний лікар",Y823*Z820,0)))</f>
        <v>0</v>
      </c>
      <c r="Z820" s="558"/>
      <c r="AA820" s="929"/>
      <c r="AB820" s="196">
        <f>IF($B$820="Лікар-педіатр",AB823*AG820,IF($B$820="Лікар-терапевт","х",IF($B$820="Лікар загальної практики - сімейний лікар",AB823*AG820,0)))</f>
        <v>0</v>
      </c>
      <c r="AC820" s="196">
        <f>IF($B$820="Лікар-педіатр",AC823*AG820,IF($B$820="Лікар-терапевт","х",IF($B$820="Лікар загальної практики - сімейний лікар",AC823*AG820,0)))</f>
        <v>0</v>
      </c>
      <c r="AD820" s="196">
        <f>IF($B$820="Лікар-педіатр","x",IF($B$820="Лікар-терапевт",AD823*AG820,IF($B$820="Лікар загальної практики - сімейний лікар",AD823*AG820,0)))</f>
        <v>0</v>
      </c>
      <c r="AE820" s="196">
        <f>IF($B$820="Лікар-педіатр","x",IF($B$820="Лікар-терапевт",AE823*AG820,IF($B$820="Лікар загальної практики - сімейний лікар",AE823*AG820,0)))</f>
        <v>0</v>
      </c>
      <c r="AF820" s="196">
        <f>IF($B$820="Лікар-педіатр","x",IF($B$820="Лікар-терапевт",AF823*AG820,IF($B$820="Лікар загальної практики - сімейний лікар",AF823*AG820,0)))</f>
        <v>0</v>
      </c>
      <c r="AG820" s="558"/>
      <c r="AH820" s="929"/>
      <c r="AI820" s="541">
        <f>A820</f>
        <v>61</v>
      </c>
      <c r="AJ820" s="932">
        <f>B820</f>
        <v>0</v>
      </c>
      <c r="AK820" s="926">
        <f>C820</f>
        <v>0</v>
      </c>
      <c r="AL820" s="926">
        <f>D820</f>
        <v>0</v>
      </c>
      <c r="AM820" s="901" t="s">
        <v>785</v>
      </c>
      <c r="AN820" s="923">
        <f>SUM(AN825:AN831)</f>
        <v>0</v>
      </c>
      <c r="AO820" s="923">
        <f>SUM(AO825:AO831)</f>
        <v>0</v>
      </c>
      <c r="AP820" s="923">
        <f>SUM(AP825:AP831)</f>
        <v>0</v>
      </c>
      <c r="AQ820" s="923">
        <f>SUM(AQ825:AQ831)</f>
        <v>0</v>
      </c>
      <c r="AR820" s="914">
        <f>SUM(AN820:AQ824)</f>
        <v>0</v>
      </c>
    </row>
    <row r="821" spans="1:44" s="50" customFormat="1" ht="28.15" hidden="1" customHeight="1">
      <c r="A821" s="197"/>
      <c r="B821" s="893"/>
      <c r="C821" s="896"/>
      <c r="D821" s="912"/>
      <c r="E821" s="909"/>
      <c r="F821" s="234" t="s">
        <v>583</v>
      </c>
      <c r="G821" s="196">
        <f>IF($B$820="Лікар-педіатр",G823*L821,IF($B$820="Лікар-терапевт","х",IF($B$820="Лікар загальної практики - сімейний лікар",G823*L821,0)))</f>
        <v>0</v>
      </c>
      <c r="H821" s="196">
        <f>IF($B$820="Лікар-педіатр",H823*L821,IF($B$820="Лікар-терапевт","х",IF($B$820="Лікар загальної практики - сімейний лікар",H823*L821,0)))</f>
        <v>0</v>
      </c>
      <c r="I821" s="196">
        <f>IF($B$820="Лікар-педіатр","x",IF($B$820="Лікар-терапевт",I823*L821,IF($B$820="Лікар загальної практики - сімейний лікар",I823*L821,0)))</f>
        <v>0</v>
      </c>
      <c r="J821" s="196">
        <f>IF($B$820="Лікар-педіатр","x",IF($B$820="Лікар-терапевт",J823*L821,IF($B$820="Лікар загальної практики - сімейний лікар",J823*L821,0)))</f>
        <v>0</v>
      </c>
      <c r="K821" s="196">
        <f>IF($B$820="Лікар-педіатр","x",IF($B$820="Лікар-терапевт",K823*L821,IF($B$820="Лікар загальної практики - сімейний лікар",K823*L821,0)))</f>
        <v>0</v>
      </c>
      <c r="L821" s="558"/>
      <c r="M821" s="930"/>
      <c r="N821" s="196">
        <f>IF($B$820="Лікар-педіатр",N823*S821,IF($B$820="Лікар-терапевт","х",IF($B$820="Лікар загальної практики - сімейний лікар",N823*S821,0)))</f>
        <v>0</v>
      </c>
      <c r="O821" s="196">
        <f>IF($B$820="Лікар-педіатр",O823*S821,IF($B$820="Лікар-терапевт","х",IF($B$820="Лікар загальної практики - сімейний лікар",O823*S821,0)))</f>
        <v>0</v>
      </c>
      <c r="P821" s="196">
        <f>IF($B$820="Лікар-педіатр","x",IF($B$820="Лікар-терапевт",P823*S821,IF($B$820="Лікар загальної практики - сімейний лікар",P823*S821,0)))</f>
        <v>0</v>
      </c>
      <c r="Q821" s="196">
        <f>IF($B$820="Лікар-педіатр","x",IF($B$820="Лікар-терапевт",Q823*S821,IF($B$820="Лікар загальної практики - сімейний лікар",Q823*S821,0)))</f>
        <v>0</v>
      </c>
      <c r="R821" s="196">
        <f>IF($B$820="Лікар-педіатр","x",IF($B$820="Лікар-терапевт",R823*S821,IF($B$820="Лікар загальної практики - сімейний лікар",R823*S821,0)))</f>
        <v>0</v>
      </c>
      <c r="S821" s="558"/>
      <c r="T821" s="930"/>
      <c r="U821" s="196">
        <f>IF($B$820="Лікар-педіатр",U823*Z821,IF($B$820="Лікар-терапевт","х",IF($B$820="Лікар загальної практики - сімейний лікар",U823*Z821,0)))</f>
        <v>0</v>
      </c>
      <c r="V821" s="196">
        <f>IF($B$820="Лікар-педіатр",V823*Z821,IF($B$820="Лікар-терапевт","х",IF($B$820="Лікар загальної практики - сімейний лікар",V823*Z821,0)))</f>
        <v>0</v>
      </c>
      <c r="W821" s="196">
        <f>IF($B$820="Лікар-педіатр","x",IF($B$820="Лікар-терапевт",W823*Z821,IF($B$820="Лікар загальної практики - сімейний лікар",W823*Z821,0)))</f>
        <v>0</v>
      </c>
      <c r="X821" s="196">
        <f>IF($B$820="Лікар-педіатр","x",IF($B$820="Лікар-терапевт",X823*Z821,IF($B$820="Лікар загальної практики - сімейний лікар",X823*Z821,0)))</f>
        <v>0</v>
      </c>
      <c r="Y821" s="196">
        <f>IF($B$820="Лікар-педіатр","x",IF($B$820="Лікар-терапевт",Y823*Z821,IF($B$820="Лікар загальної практики - сімейний лікар",Y823*Z821,0)))</f>
        <v>0</v>
      </c>
      <c r="Z821" s="558"/>
      <c r="AA821" s="930"/>
      <c r="AB821" s="196">
        <f>IF($B$820="Лікар-педіатр",AB823*AG821,IF($B$820="Лікар-терапевт","х",IF($B$820="Лікар загальної практики - сімейний лікар",AB823*AG821,0)))</f>
        <v>0</v>
      </c>
      <c r="AC821" s="196">
        <f>IF($B$820="Лікар-педіатр",AC823*AG821,IF($B$820="Лікар-терапевт","х",IF($B$820="Лікар загальної практики - сімейний лікар",AC823*AG821,0)))</f>
        <v>0</v>
      </c>
      <c r="AD821" s="196">
        <f>IF($B$820="Лікар-педіатр","x",IF($B$820="Лікар-терапевт",AD823*AG821,IF($B$820="Лікар загальної практики - сімейний лікар",AD823*AG821,0)))</f>
        <v>0</v>
      </c>
      <c r="AE821" s="196">
        <f>IF($B$820="Лікар-педіатр","x",IF($B$820="Лікар-терапевт",AE823*AG821,IF($B$820="Лікар загальної практики - сімейний лікар",AE823*AG821,0)))</f>
        <v>0</v>
      </c>
      <c r="AF821" s="196">
        <f>IF($B$820="Лікар-педіатр","x",IF($B$820="Лікар-терапевт",AF823*AG821,IF($B$820="Лікар загальної практики - сімейний лікар",AF823*AG821,0)))</f>
        <v>0</v>
      </c>
      <c r="AG821" s="558"/>
      <c r="AH821" s="930"/>
      <c r="AI821" s="198"/>
      <c r="AJ821" s="933"/>
      <c r="AK821" s="927"/>
      <c r="AL821" s="927"/>
      <c r="AM821" s="902"/>
      <c r="AN821" s="924"/>
      <c r="AO821" s="924"/>
      <c r="AP821" s="924"/>
      <c r="AQ821" s="924"/>
      <c r="AR821" s="915"/>
    </row>
    <row r="822" spans="1:44" s="90" customFormat="1" ht="31.15" hidden="1" customHeight="1">
      <c r="A822" s="240"/>
      <c r="B822" s="893"/>
      <c r="C822" s="896"/>
      <c r="D822" s="912"/>
      <c r="E822" s="909"/>
      <c r="F822" s="241" t="s">
        <v>584</v>
      </c>
      <c r="G822" s="199">
        <f>IF(B820="Лікар загальної практики - сімейний лікар"," ",IF(B820="Лікар-педіатр"," ",IF(B820="Лікар-терапевт","х",0)))</f>
        <v>0</v>
      </c>
      <c r="H822" s="199">
        <f>IF(B820="Лікар загальної практики - сімейний лікар"," ",IF(B820="Лікар-педіатр"," ",IF(B820="Лікар-терапевт","х",0)))</f>
        <v>0</v>
      </c>
      <c r="I822" s="199">
        <f>IF(B820="Лікар загальної практики - сімейний лікар"," ",IF(B820="Лікар-педіатр","х",IF(B820="Лікар-терапевт"," ",0)))</f>
        <v>0</v>
      </c>
      <c r="J822" s="199">
        <f>IF(B820="Лікар загальної практики - сімейний лікар"," ",IF(B820="Лікар-педіатр","х",IF(B820="Лікар-терапевт"," ",0)))</f>
        <v>0</v>
      </c>
      <c r="K822" s="199">
        <f>IF(B820="Лікар загальної практики - сімейний лікар"," ",IF(B820="Лікар-педіатр","х",IF(B820="Лікар-терапевт"," ",0)))</f>
        <v>0</v>
      </c>
      <c r="L822" s="200">
        <f>SUM(G822:K822)</f>
        <v>0</v>
      </c>
      <c r="M822" s="930"/>
      <c r="N822" s="199">
        <f>IF(B820="Лікар загальної практики - сімейний лікар"," ",IF(B820="Лікар-педіатр"," ",IF(B820="Лікар-терапевт","х",0)))</f>
        <v>0</v>
      </c>
      <c r="O822" s="199">
        <f>IF(B820="Лікар загальної практики - сімейний лікар"," ",IF(B820="Лікар-педіатр"," ",IF(B820="Лікар-терапевт","х",0)))</f>
        <v>0</v>
      </c>
      <c r="P822" s="199">
        <f>IF(B820="Лікар загальної практики - сімейний лікар"," ",IF(B820="Лікар-педіатр","х",IF(B820="Лікар-терапевт"," ",0)))</f>
        <v>0</v>
      </c>
      <c r="Q822" s="199">
        <f>IF(B820="Лікар загальної практики - сімейний лікар"," ",IF(B820="Лікар-педіатр","х",IF(B820="Лікар-терапевт"," ",0)))</f>
        <v>0</v>
      </c>
      <c r="R822" s="199">
        <f>IF(B820="Лікар загальної практики - сімейний лікар"," ",IF(B820="Лікар-педіатр","х",IF(B820="Лікар-терапевт"," ",0)))</f>
        <v>0</v>
      </c>
      <c r="S822" s="200">
        <f>SUM(N822:R822)</f>
        <v>0</v>
      </c>
      <c r="T822" s="930"/>
      <c r="U822" s="199">
        <f>IF(B820="Лікар загальної практики - сімейний лікар"," ",IF(B820="Лікар-педіатр"," ",IF(B820="Лікар-терапевт","х",0)))</f>
        <v>0</v>
      </c>
      <c r="V822" s="199">
        <f>IF(B820="Лікар загальної практики - сімейний лікар"," ",IF(B820="Лікар-педіатр"," ",IF(B820="Лікар-терапевт","х",0)))</f>
        <v>0</v>
      </c>
      <c r="W822" s="199">
        <f>IF(B820="Лікар загальної практики - сімейний лікар"," ",IF(B820="Лікар-педіатр","х",IF(B820="Лікар-терапевт"," ",0)))</f>
        <v>0</v>
      </c>
      <c r="X822" s="199">
        <f>IF(B820="Лікар загальної практики - сімейний лікар"," ",IF(B820="Лікар-педіатр","х",IF(B820="Лікар-терапевт"," ",0)))</f>
        <v>0</v>
      </c>
      <c r="Y822" s="199">
        <f>IF(B820="Лікар загальної практики - сімейний лікар"," ",IF(B820="Лікар-педіатр","х",IF(B820="Лікар-терапевт"," ",0)))</f>
        <v>0</v>
      </c>
      <c r="Z822" s="200">
        <f>SUM(U822:Y822)</f>
        <v>0</v>
      </c>
      <c r="AA822" s="930"/>
      <c r="AB822" s="199">
        <f>IF(B820="Лікар загальної практики - сімейний лікар"," ",IF(B820="Лікар-педіатр"," ",IF(B820="Лікар-терапевт","х",0)))</f>
        <v>0</v>
      </c>
      <c r="AC822" s="199">
        <f>IF(B820="Лікар загальної практики - сімейний лікар"," ",IF(B820="Лікар-педіатр"," ",IF(B820="Лікар-терапевт","х",0)))</f>
        <v>0</v>
      </c>
      <c r="AD822" s="199">
        <f>IF(B820="Лікар загальної практики - сімейний лікар"," ",IF(B820="Лікар-педіатр","х",IF(B820="Лікар-терапевт"," ",0)))</f>
        <v>0</v>
      </c>
      <c r="AE822" s="199">
        <f>IF(B820="Лікар загальної практики - сімейний лікар"," ",IF(B820="Лікар-педіатр","х",IF(B820="Лікар-терапевт"," ",0)))</f>
        <v>0</v>
      </c>
      <c r="AF822" s="199">
        <f>IF(B820="Лікар загальної практики - сімейний лікар"," ",IF(B820="Лікар-педіатр","х",IF(B820="Лікар-терапевт"," ",0)))</f>
        <v>0</v>
      </c>
      <c r="AG822" s="200">
        <f>SUM(AB822:AF822)</f>
        <v>0</v>
      </c>
      <c r="AH822" s="930"/>
      <c r="AI822" s="242"/>
      <c r="AJ822" s="933"/>
      <c r="AK822" s="927"/>
      <c r="AL822" s="927"/>
      <c r="AM822" s="902"/>
      <c r="AN822" s="924"/>
      <c r="AO822" s="924"/>
      <c r="AP822" s="924"/>
      <c r="AQ822" s="924"/>
      <c r="AR822" s="915"/>
    </row>
    <row r="823" spans="1:44" s="50" customFormat="1" ht="31.9" hidden="1" customHeight="1" thickBot="1">
      <c r="A823" s="197"/>
      <c r="B823" s="893"/>
      <c r="C823" s="896"/>
      <c r="D823" s="912"/>
      <c r="E823" s="909"/>
      <c r="F823" s="236" t="s">
        <v>349</v>
      </c>
      <c r="G823" s="203">
        <f>IF($B$820="Лікар-педіатр",G822/L822,IF($B$820="Лікар-терапевт","х",IF($B$820="Лікар загальної практики - сімейний лікар",G822/L822,0)))</f>
        <v>0</v>
      </c>
      <c r="H823" s="203">
        <f>IF($B$820="Лікар-педіатр",H822/L822,IF($B$820="Лікар-терапевт","х",IF($B$820="Лікар загальної практики - сімейний лікар",H822/L822,0)))</f>
        <v>0</v>
      </c>
      <c r="I823" s="203">
        <f>IF($B$820="Лікар-педіатр","x",IF($B$820="Лікар-терапевт",I822/L822,IF($B$820="Лікар загальної практики - сімейний лікар",I822/L822,0)))</f>
        <v>0</v>
      </c>
      <c r="J823" s="203">
        <f>IF($B$820="Лікар-педіатр","x",IF($B$820="Лікар-терапевт",J822/L822,IF($B$820="Лікар загальної практики - сімейний лікар",J822/L822,0)))</f>
        <v>0</v>
      </c>
      <c r="K823" s="203">
        <f>IF($B$820="Лікар-педіатр","x",IF($B$820="Лікар-терапевт",K822/L822,IF($B$820="Лікар загальної практики - сімейний лікар",K822/L822,0)))</f>
        <v>0</v>
      </c>
      <c r="L823" s="203">
        <f>SUM(G823:K823)</f>
        <v>0</v>
      </c>
      <c r="M823" s="930"/>
      <c r="N823" s="203">
        <f>IF($B$820="Лікар-педіатр",N822/S822,IF($B$820="Лікар-терапевт","х",IF($B$820="Лікар загальної практики - сімейний лікар",N822/S822,0)))</f>
        <v>0</v>
      </c>
      <c r="O823" s="203">
        <f>IF($B$820="Лікар-педіатр",O822/S822,IF($B$820="Лікар-терапевт","х",IF($B$820="Лікар загальної практики - сімейний лікар",O822/S822,0)))</f>
        <v>0</v>
      </c>
      <c r="P823" s="203">
        <f>IF($B$820="Лікар-педіатр","x",IF($B$820="Лікар-терапевт",P822/S822,IF($B$820="Лікар загальної практики - сімейний лікар",P822/S822,0)))</f>
        <v>0</v>
      </c>
      <c r="Q823" s="203">
        <f>IF($B$820="Лікар-педіатр","x",IF($B$820="Лікар-терапевт",Q822/S822,IF($B$820="Лікар загальної практики - сімейний лікар",Q822/S822,0)))</f>
        <v>0</v>
      </c>
      <c r="R823" s="203">
        <f>IF($B$820="Лікар-педіатр","x",IF($B$820="Лікар-терапевт",R822/S822,IF($B$820="Лікар загальної практики - сімейний лікар",R822/S822,0)))</f>
        <v>0</v>
      </c>
      <c r="S823" s="203">
        <f>SUM(N823:R823)</f>
        <v>0</v>
      </c>
      <c r="T823" s="930"/>
      <c r="U823" s="203">
        <f>IF($B$820="Лікар-педіатр",U822/Z822,IF($B$820="Лікар-терапевт","х",IF($B$820="Лікар загальної практики - сімейний лікар",U822/Z822,0)))</f>
        <v>0</v>
      </c>
      <c r="V823" s="203">
        <f>IF($B$820="Лікар-педіатр",V822/Z822,IF($B$820="Лікар-терапевт","х",IF($B$820="Лікар загальної практики - сімейний лікар",V822/Z822,0)))</f>
        <v>0</v>
      </c>
      <c r="W823" s="203">
        <f>IF($B$820="Лікар-педіатр","x",IF($B$820="Лікар-терапевт",W822/Z822,IF($B$820="Лікар загальної практики - сімейний лікар",W822/Z822,0)))</f>
        <v>0</v>
      </c>
      <c r="X823" s="203">
        <f>IF($B$820="Лікар-педіатр","x",IF($B$820="Лікар-терапевт",X822/Z822,IF($B$820="Лікар загальної практики - сімейний лікар",X822/Z822,0)))</f>
        <v>0</v>
      </c>
      <c r="Y823" s="203">
        <f>IF($B$820="Лікар-педіатр","x",IF($B$820="Лікар-терапевт",Y822/Z822,IF($B$820="Лікар загальної практики - сімейний лікар",Y822/Z822,0)))</f>
        <v>0</v>
      </c>
      <c r="Z823" s="203">
        <f>SUM(U823:Y823)</f>
        <v>0</v>
      </c>
      <c r="AA823" s="930"/>
      <c r="AB823" s="203">
        <f>IF($B$820="Лікар-педіатр",AB822/AG822,IF($B$820="Лікар-терапевт","х",IF($B$820="Лікар загальної практики - сімейний лікар",AB822/AG822,0)))</f>
        <v>0</v>
      </c>
      <c r="AC823" s="203">
        <f>IF($B$820="Лікар-педіатр",AC822/AG822,IF($B$820="Лікар-терапевт","х",IF($B$820="Лікар загальної практики - сімейний лікар",AC822/AG822,0)))</f>
        <v>0</v>
      </c>
      <c r="AD823" s="203">
        <f>IF($B$820="Лікар-педіатр","x",IF($B$820="Лікар-терапевт",AD822/AG822,IF($B$820="Лікар загальної практики - сімейний лікар",AD822/AG822,0)))</f>
        <v>0</v>
      </c>
      <c r="AE823" s="203">
        <f>IF($B$820="Лікар-педіатр","x",IF($B$820="Лікар-терапевт",AE822/AG822,IF($B$820="Лікар загальної практики - сімейний лікар",AE822/AG822,0)))</f>
        <v>0</v>
      </c>
      <c r="AF823" s="203">
        <f>IF($B$820="Лікар-педіатр","x",IF($B$820="Лікар-терапевт",AF822/AG822,IF($B$820="Лікар загальної практики - сімейний лікар",AF822/AG822,0)))</f>
        <v>0</v>
      </c>
      <c r="AG823" s="203">
        <f>SUM(AB823:AF823)</f>
        <v>0</v>
      </c>
      <c r="AH823" s="930"/>
      <c r="AI823" s="201"/>
      <c r="AJ823" s="933"/>
      <c r="AK823" s="927"/>
      <c r="AL823" s="927"/>
      <c r="AM823" s="902"/>
      <c r="AN823" s="924"/>
      <c r="AO823" s="924"/>
      <c r="AP823" s="924"/>
      <c r="AQ823" s="924"/>
      <c r="AR823" s="915"/>
    </row>
    <row r="824" spans="1:44" s="50" customFormat="1" ht="45" hidden="1" customHeight="1" thickBot="1">
      <c r="A824" s="197"/>
      <c r="B824" s="893"/>
      <c r="C824" s="896"/>
      <c r="D824" s="912"/>
      <c r="E824" s="909"/>
      <c r="F824" s="204" t="s">
        <v>585</v>
      </c>
      <c r="G824" s="205">
        <f>IF($B$820="Лікар загальної практики - сімейний лікар",AVERAGE(G820:G822),IF($B$820="Лікар-педіатр",AVERAGE(G820:G822),IF($B$820="Лікар-терапевт","х",0)))</f>
        <v>0</v>
      </c>
      <c r="H824" s="205">
        <f>IF($B$820="Лікар загальної практики - сімейний лікар",AVERAGE(H820:H822),IF($B$820="Лікар-педіатр",AVERAGE(H820:H822),IF($B$820="Лікар-терапевт","х",0)))</f>
        <v>0</v>
      </c>
      <c r="I824" s="205">
        <f>IF($B$820="Лікар загальної практики - сімейний лікар",AVERAGE(I820:I822),IF($B$820="Лікар-педіатр","x",IF($B$820="Лікар-терапевт",AVERAGE(I820:I822),0)))</f>
        <v>0</v>
      </c>
      <c r="J824" s="205">
        <f>IF($B$820="Лікар загальної практики - сімейний лікар",AVERAGE(J820:J822),IF($B$820="Лікар-педіатр","x",IF($B$820="Лікар-терапевт",AVERAGE(J820:J822),0)))</f>
        <v>0</v>
      </c>
      <c r="K824" s="205">
        <f>IF($B$820="Лікар загальної практики - сімейний лікар",AVERAGE(K820:K822),IF($B$820="Лікар-педіатр","x",IF($B$820="Лікар-терапевт",AVERAGE(K820:K822),0)))</f>
        <v>0</v>
      </c>
      <c r="L824" s="206">
        <f>SUM(G824:K824)</f>
        <v>0</v>
      </c>
      <c r="M824" s="930"/>
      <c r="N824" s="205">
        <f>IF($B$820="Лікар загальної практики - сімейний лікар",AVERAGE(N820:N822),IF($B$820="Лікар-педіатр",AVERAGE(N820:N822),IF($B$820="Лікар-терапевт","х",0)))</f>
        <v>0</v>
      </c>
      <c r="O824" s="205">
        <f>IF($B$820="Лікар загальної практики - сімейний лікар",AVERAGE(O820:O822),IF($B$820="Лікар-педіатр",AVERAGE(O820:O822),IF($B$820="Лікар-терапевт","х",0)))</f>
        <v>0</v>
      </c>
      <c r="P824" s="205">
        <f>IF($B$820="Лікар загальної практики - сімейний лікар",AVERAGE(P820:P822),IF($B$820="Лікар-педіатр","x",IF($B$820="Лікар-терапевт",AVERAGE(P820:P822),0)))</f>
        <v>0</v>
      </c>
      <c r="Q824" s="205">
        <f>IF($B$820="Лікар загальної практики - сімейний лікар",AVERAGE(Q820:Q822),IF($B$820="Лікар-педіатр","x",IF($B$820="Лікар-терапевт",AVERAGE(Q820:Q822),0)))</f>
        <v>0</v>
      </c>
      <c r="R824" s="205">
        <f>IF($B$820="Лікар загальної практики - сімейний лікар",AVERAGE(R820:R822),IF($B$820="Лікар-педіатр","x",IF($B$820="Лікар-терапевт",AVERAGE(R820:R822),0)))</f>
        <v>0</v>
      </c>
      <c r="S824" s="206">
        <f>SUM(N824:R824)</f>
        <v>0</v>
      </c>
      <c r="T824" s="930"/>
      <c r="U824" s="205">
        <f>IF($B$820="Лікар загальної практики - сімейний лікар",AVERAGE(U820:U822),IF($B$820="Лікар-педіатр",AVERAGE(U820:U822),IF($B$820="Лікар-терапевт","х",0)))</f>
        <v>0</v>
      </c>
      <c r="V824" s="205">
        <f>IF($B$820="Лікар загальної практики - сімейний лікар",AVERAGE(V820:V822),IF($B$820="Лікар-педіатр",AVERAGE(V820:V822),IF($B$820="Лікар-терапевт","х",0)))</f>
        <v>0</v>
      </c>
      <c r="W824" s="205">
        <f>IF($B$820="Лікар загальної практики - сімейний лікар",AVERAGE(W820:W822),IF($B$820="Лікар-педіатр","x",IF($B$820="Лікар-терапевт",AVERAGE(W820:W822),0)))</f>
        <v>0</v>
      </c>
      <c r="X824" s="205">
        <f>IF($B$820="Лікар загальної практики - сімейний лікар",AVERAGE(X820:X822),IF($B$820="Лікар-педіатр","x",IF($B$820="Лікар-терапевт",AVERAGE(X820:X822),0)))</f>
        <v>0</v>
      </c>
      <c r="Y824" s="205">
        <f>IF($B$820="Лікар загальної практики - сімейний лікар",AVERAGE(Y820:Y822),IF($B$820="Лікар-педіатр","x",IF($B$820="Лікар-терапевт",AVERAGE(Y820:Y822),0)))</f>
        <v>0</v>
      </c>
      <c r="Z824" s="206">
        <f>SUM(U824:Y824)</f>
        <v>0</v>
      </c>
      <c r="AA824" s="930"/>
      <c r="AB824" s="205">
        <f>IF($B$820="Лікар загальної практики - сімейний лікар",AVERAGE(AB820:AB822),IF($B$820="Лікар-педіатр",AVERAGE(AB820:AB822),IF($B$820="Лікар-терапевт","х",0)))</f>
        <v>0</v>
      </c>
      <c r="AC824" s="205">
        <f>IF($B$820="Лікар загальної практики - сімейний лікар",AVERAGE(AC820:AC822),IF($B$820="Лікар-педіатр",AVERAGE(AC820:AC822),IF($B$820="Лікар-терапевт","х",0)))</f>
        <v>0</v>
      </c>
      <c r="AD824" s="205">
        <f>IF($B$820="Лікар загальної практики - сімейний лікар",AVERAGE(AD820:AD822),IF($B$820="Лікар-педіатр","x",IF($B$820="Лікар-терапевт",AVERAGE(AD820:AD822),0)))</f>
        <v>0</v>
      </c>
      <c r="AE824" s="205">
        <f>IF($B$820="Лікар загальної практики - сімейний лікар",AVERAGE(AE820:AE822),IF($B$820="Лікар-педіатр","x",IF($B$820="Лікар-терапевт",AVERAGE(AE820:AE822),0)))</f>
        <v>0</v>
      </c>
      <c r="AF824" s="205">
        <f>IF($B$820="Лікар загальної практики - сімейний лікар",AVERAGE(AF820:AF822),IF($B$820="Лікар-педіатр","x",IF($B$820="Лікар-терапевт",AVERAGE(AF820:AF822),0)))</f>
        <v>0</v>
      </c>
      <c r="AG824" s="206">
        <f>SUM(AB824:AF824)</f>
        <v>0</v>
      </c>
      <c r="AH824" s="930"/>
      <c r="AI824" s="201"/>
      <c r="AJ824" s="933"/>
      <c r="AK824" s="927"/>
      <c r="AL824" s="927"/>
      <c r="AM824" s="903"/>
      <c r="AN824" s="925"/>
      <c r="AO824" s="925"/>
      <c r="AP824" s="925"/>
      <c r="AQ824" s="925"/>
      <c r="AR824" s="916"/>
    </row>
    <row r="825" spans="1:44" s="50" customFormat="1" ht="40.5" hidden="1">
      <c r="A825" s="197"/>
      <c r="B825" s="893"/>
      <c r="C825" s="896"/>
      <c r="D825" s="912"/>
      <c r="E825" s="909"/>
      <c r="F825" s="237" t="str">
        <f ca="1">IF(B820="Лікар-педіатр",Законод!$C$17,IF(B820="Лікар загальної практики - сімейний лікар",Законод!$C$21,IF(B820="Лікар-терапевт",Законод!$C$25,"х")))</f>
        <v>х</v>
      </c>
      <c r="G825" s="208">
        <f ca="1">IF($B$820="Лікар загальної практики - сімейний лікар",IF(L824&lt;=Законод!$C$22,G824,Законод!$C$22*'01_Доходи'!G823),IF($B$820="Лікар-педіатр",IF(L824&lt;=Законод!$C$18,G824,Законод!$C$18*'01_Доходи'!G823),IF($B$820="Лікар-терапевт","x",0)))</f>
        <v>0</v>
      </c>
      <c r="H825" s="208">
        <f ca="1">IF($B$820="Лікар загальної практики - сімейний лікар",IF(L824&lt;=Законод!$C$22,H824,Законод!$C$22*'01_Доходи'!H823),IF($B$820="Лікар-педіатр",IF(L824&lt;=Законод!$C$18,H824,Законод!$C$18*'01_Доходи'!H823),IF($B$820="Лікар-терапевт","x",0)))</f>
        <v>0</v>
      </c>
      <c r="I825" s="208">
        <f ca="1">IF($B$820="Лікар загальної практики - сімейний лікар",IF(L824&lt;=Законод!$C$22,I824,Законод!$C$22*'01_Доходи'!I823),IF($B$820="Лікар-педіатр","x",IF($B$820="Лікар-терапевт",IF(L824&lt;=Законод!$C$26,I824,Законод!$C$26*'01_Доходи'!I823),0)))</f>
        <v>0</v>
      </c>
      <c r="J825" s="208">
        <f ca="1">IF($B$820="Лікар загальної практики - сімейний лікар",IF(L824&lt;=Законод!$C$22,J824,Законод!$C$22*'01_Доходи'!J823),IF($B$820="Лікар-педіатр","x",IF($B$820="Лікар-терапевт",IF(L824&lt;=Законод!$C$26,J824,Законод!$C$26*'01_Доходи'!J823),0)))</f>
        <v>0</v>
      </c>
      <c r="K825" s="208">
        <f ca="1">IF($B$820="Лікар загальної практики - сімейний лікар",IF(L824&lt;=Законод!$C$22,K824,Законод!$C$22*'01_Доходи'!K823),IF($B$820="Лікар-педіатр","x",IF($B$820="Лікар-терапевт",IF(L824&lt;=Законод!$C$26,K824,Законод!$C$26*'01_Доходи'!K823),0)))</f>
        <v>0</v>
      </c>
      <c r="L825" s="209">
        <f ca="1">SUM(G825:K825)</f>
        <v>0</v>
      </c>
      <c r="M825" s="930"/>
      <c r="N825" s="208">
        <f ca="1">IF($B$820="Лікар загальної практики - сімейний лікар",IF(S824&lt;=Законод!$C$22,N824,Законод!$C$22*'01_Доходи'!N823),IF($B$820="Лікар-педіатр",IF(S824&lt;=Законод!$C$18,N824,Законод!$C$18*'01_Доходи'!N823),IF($B$820="Лікар-терапевт","x",0)))</f>
        <v>0</v>
      </c>
      <c r="O825" s="208">
        <f ca="1">IF($B$820="Лікар загальної практики - сімейний лікар",IF(S824&lt;=Законод!$C$22,O824,Законод!$C$22*'01_Доходи'!O823),IF($B$820="Лікар-педіатр",IF(S824&lt;=Законод!$C$18,O824,Законод!$C$18*'01_Доходи'!O823),IF($B$820="Лікар-терапевт","x",0)))</f>
        <v>0</v>
      </c>
      <c r="P825" s="208">
        <f ca="1">IF($B$820="Лікар загальної практики - сімейний лікар",IF(S824&lt;=Законод!$C$22,P824,Законод!$C$22*'01_Доходи'!P823),IF($B$820="Лікар-педіатр","x",IF($B$820="Лікар-терапевт",IF(S824&lt;=Законод!$C$26,P824,Законод!$C$26*'01_Доходи'!P823),0)))</f>
        <v>0</v>
      </c>
      <c r="Q825" s="208">
        <f ca="1">IF($B$820="Лікар загальної практики - сімейний лікар",IF(S824&lt;=Законод!$C$22,Q824,Законод!$C$22*'01_Доходи'!Q823),IF($B$820="Лікар-педіатр","x",IF($B$820="Лікар-терапевт",IF(S824&lt;=Законод!$C$26,Q824,Законод!$C$26*'01_Доходи'!Q823),0)))</f>
        <v>0</v>
      </c>
      <c r="R825" s="208">
        <f ca="1">IF($B$820="Лікар загальної практики - сімейний лікар",IF(S824&lt;=Законод!$C$22,R824,Законод!$C$22*'01_Доходи'!R823),IF($B$820="Лікар-педіатр","x",IF($B$820="Лікар-терапевт",IF(S824&lt;=Законод!$C$26,R824,Законод!$C$26*'01_Доходи'!R823),0)))</f>
        <v>0</v>
      </c>
      <c r="S825" s="209">
        <f ca="1">SUM(N825:R825)</f>
        <v>0</v>
      </c>
      <c r="T825" s="930"/>
      <c r="U825" s="208">
        <f ca="1">IF($B$820="Лікар загальної практики - сімейний лікар",IF(Z824&lt;=Законод!$C$22,U824,Законод!$C$22*'01_Доходи'!U823),IF($B$820="Лікар-педіатр",IF(Z824&lt;=Законод!$C$18,U824,Законод!$C$18*'01_Доходи'!U823),IF($B$820="Лікар-терапевт","x",0)))</f>
        <v>0</v>
      </c>
      <c r="V825" s="208">
        <f ca="1">IF($B$820="Лікар загальної практики - сімейний лікар",IF(Z824&lt;=Законод!$C$22,V824,Законод!$C$22*'01_Доходи'!V823),IF($B$820="Лікар-педіатр",IF(Z824&lt;=Законод!$C$18,V824,Законод!$C$18*'01_Доходи'!V823),IF($B$820="Лікар-терапевт","x",0)))</f>
        <v>0</v>
      </c>
      <c r="W825" s="208">
        <f ca="1">IF($B$820="Лікар загальної практики - сімейний лікар",IF(Z824&lt;=Законод!$C$22,W824,Законод!$C$22*'01_Доходи'!W823),IF($B$820="Лікар-педіатр","x",IF($B$820="Лікар-терапевт",IF(Z824&lt;=Законод!$C$26,W824,Законод!$C$26*'01_Доходи'!W823),0)))</f>
        <v>0</v>
      </c>
      <c r="X825" s="208">
        <f ca="1">IF($B$820="Лікар загальної практики - сімейний лікар",IF(Z824&lt;=Законод!$C$22,X824,Законод!$C$22*'01_Доходи'!X823),IF($B$820="Лікар-педіатр","x",IF($B$820="Лікар-терапевт",IF(Z824&lt;=Законод!$C$26,X824,Законод!$C$26*'01_Доходи'!X823),0)))</f>
        <v>0</v>
      </c>
      <c r="Y825" s="208">
        <f ca="1">IF($B$820="Лікар загальної практики - сімейний лікар",IF(Z824&lt;=Законод!$C$22,Y824,Законод!$C$22*'01_Доходи'!Y823),IF($B$820="Лікар-педіатр","x",IF($B$820="Лікар-терапевт",IF(Z824&lt;=Законод!$C$26,Y824,Законод!$C$26*'01_Доходи'!Y823),0)))</f>
        <v>0</v>
      </c>
      <c r="Z825" s="209">
        <f ca="1">SUM(U825:Y825)</f>
        <v>0</v>
      </c>
      <c r="AA825" s="930"/>
      <c r="AB825" s="208">
        <f ca="1">IF($B$820="Лікар загальної практики - сімейний лікар",IF(AG824&lt;=Законод!$C$22,AB824,Законод!$C$22*'01_Доходи'!AB823),IF($B$820="Лікар-педіатр",IF(AG824&lt;=Законод!$C$18,AB824,Законод!$C$18*'01_Доходи'!AB823),IF($B$820="Лікар-терапевт","x",0)))</f>
        <v>0</v>
      </c>
      <c r="AC825" s="208">
        <f ca="1">IF($B$820="Лікар загальної практики - сімейний лікар",IF(AG824&lt;=Законод!$C$22,AC824,Законод!$C$22*'01_Доходи'!AC823),IF($B$820="Лікар-педіатр",IF(AG824&lt;=Законод!$C$18,AC824,Законод!$C$18*'01_Доходи'!AC823),IF($B$820="Лікар-терапевт","x",0)))</f>
        <v>0</v>
      </c>
      <c r="AD825" s="208">
        <f ca="1">IF($B$820="Лікар загальної практики - сімейний лікар",IF(AG824&lt;=Законод!$C$22,AD824,Законод!$C$22*'01_Доходи'!AD823),IF($B$820="Лікар-педіатр","x",IF($B$820="Лікар-терапевт",IF(AG824&lt;=Законод!$C$26,AD824,Законод!$C$26*'01_Доходи'!AD823),0)))</f>
        <v>0</v>
      </c>
      <c r="AE825" s="208">
        <f ca="1">IF($B$820="Лікар загальної практики - сімейний лікар",IF(AG824&lt;=Законод!$C$22,AE824,Законод!$C$22*'01_Доходи'!AE823),IF($B$820="Лікар-педіатр","x",IF($B$820="Лікар-терапевт",IF(AG824&lt;=Законод!$C$26,AE824,Законод!$C$26*'01_Доходи'!AE823),0)))</f>
        <v>0</v>
      </c>
      <c r="AF825" s="208">
        <f ca="1">IF($B$820="Лікар загальної практики - сімейний лікар",IF(AG824&lt;=Законод!$C$22,AF824,Законод!$C$22*'01_Доходи'!AF823),IF($B$820="Лікар-педіатр","x",IF($B$820="Лікар-терапевт",IF(AG824&lt;=Законод!$C$26,AF824,Законод!$C$26*'01_Доходи'!AF823),0)))</f>
        <v>0</v>
      </c>
      <c r="AG825" s="209">
        <f ca="1">SUM(AB825:AF825)</f>
        <v>0</v>
      </c>
      <c r="AH825" s="930"/>
      <c r="AI825" s="201"/>
      <c r="AJ825" s="933"/>
      <c r="AK825" s="927"/>
      <c r="AL825" s="927"/>
      <c r="AM825" s="348" t="s">
        <v>374</v>
      </c>
      <c r="AN825" s="210">
        <f ca="1">IF(B820="Лікар загальної практики - сімейний лікар",G825*Законод!$C$11+'01_Доходи'!H825*Законод!$D$11+'01_Доходи'!I825*Законод!$E$11+'01_Доходи'!J825*Законод!$F$11+'01_Доходи'!K825*Законод!$G$11,IF(B820="Лікар-педіатр",G825*Законод!$C$11+'01_Доходи'!H825*Законод!$D$11,IF(B820="Лікар-терапевт",'01_Доходи'!I825*Законод!$E$11+'01_Доходи'!J825*Законод!$F$11+'01_Доходи'!K825*Законод!$G$11,0)))</f>
        <v>0</v>
      </c>
      <c r="AO825" s="210">
        <f ca="1">IF(B820="Лікар загальної практики - сімейний лікар",N825*Законод!$C$11+'01_Доходи'!O825*Законод!$D$11+'01_Доходи'!P825*Законод!$E$11+'01_Доходи'!Q825*Законод!$F$11+'01_Доходи'!R825*Законод!$G$11,IF(B820="Лікар-педіатр",N825*Законод!$C$11+'01_Доходи'!O825*Законод!$D$11,IF(B820="Лікар-терапевт",'01_Доходи'!P825*Законод!$E$11+'01_Доходи'!Q825*Законод!$F$11+'01_Доходи'!R825*Законод!$G$11,0)))</f>
        <v>0</v>
      </c>
      <c r="AP825" s="210">
        <f ca="1">IF(B820="Лікар загальної практики - сімейний лікар",U825*Законод!$C$11+'01_Доходи'!V825*Законод!$D$11+'01_Доходи'!W825*Законод!$E$11+'01_Доходи'!X825*Законод!$F$11+'01_Доходи'!Y825*Законод!$G$11,IF(B820="Лікар-педіатр",U825*Законод!$C$11+'01_Доходи'!V825*Законод!$D$11,IF(B820="Лікар-терапевт",'01_Доходи'!W825*Законод!$E$11+'01_Доходи'!X825*Законод!$F$11+'01_Доходи'!Y825*Законод!$G$11,0)))</f>
        <v>0</v>
      </c>
      <c r="AQ825" s="210">
        <f ca="1">IF(B820="Лікар загальної практики - сімейний лікар",AB825*Законод!$C$11+'01_Доходи'!AC825*Законод!$D$11+'01_Доходи'!AD825*Законод!$E$11+'01_Доходи'!AE825*Законод!$F$11+'01_Доходи'!AF825*Законод!$G$11,IF(B820="Лікар-педіатр",AB825*Законод!$C$11+'01_Доходи'!AC825*Законод!$D$11,IF(B820="Лікар-терапевт",'01_Доходи'!AD825*Законод!$E$11+'01_Доходи'!AE825*Законод!$F$11+'01_Доходи'!AF825*Законод!$G$11,0)))</f>
        <v>0</v>
      </c>
      <c r="AR825" s="211">
        <f t="shared" ref="AR825:AR831" si="90">SUM(AN825:AQ825)</f>
        <v>0</v>
      </c>
    </row>
    <row r="826" spans="1:44" s="50" customFormat="1" ht="31.9" hidden="1" customHeight="1">
      <c r="A826" s="197"/>
      <c r="B826" s="893"/>
      <c r="C826" s="896"/>
      <c r="D826" s="912"/>
      <c r="E826" s="909"/>
      <c r="F826" s="238" t="str">
        <f ca="1">IF(B820="Лікар-педіатр",Законод!$E$17,IF(B820="Лікар загальної практики - сімейний лікар",Законод!$E$21,IF(B820="Лікар-терапевт",Законод!$E$25,"х")))</f>
        <v>х</v>
      </c>
      <c r="G826" s="889" t="s">
        <v>346</v>
      </c>
      <c r="H826" s="890"/>
      <c r="I826" s="890"/>
      <c r="J826" s="890"/>
      <c r="K826" s="891"/>
      <c r="L826" s="196">
        <f ca="1">IF($B$820="Лікар загальної практики - сімейний лікар",IF(L824&lt;Законод!$C$22,0,(IF(AND(L824&gt;=Законод!$E$22,L824&lt;=Законод!$E$23),L824-Законод!$C$22,IF('01_Доходи'!L824&gt;=Законод!$F$22,Законод!$E$24,0)))),IF($B$820="Лікар-педіатр",IF(L824&lt;Законод!$C$18,0,(IF(AND(L824&gt;=Законод!$E$18,L824&lt;=Законод!$E$19),L824-Законод!$C$18,IF('01_Доходи'!L824&gt;=Законод!$F$18,Законод!$E$20,0)))),IF($B$820="Лікар-терапевт",IF(L824&lt;Законод!$C$26,0,(IF(AND(L824&gt;=Законод!$E$26,L824&lt;=Законод!$E$27),L824-Законод!$C$26,IF('01_Доходи'!L824&gt;=Законод!$F$26,Законод!$E$28,0)))),0)))</f>
        <v>0</v>
      </c>
      <c r="M826" s="930"/>
      <c r="N826" s="889" t="s">
        <v>346</v>
      </c>
      <c r="O826" s="890"/>
      <c r="P826" s="890"/>
      <c r="Q826" s="890"/>
      <c r="R826" s="891"/>
      <c r="S826" s="196">
        <f ca="1">IF($B$820="Лікар загальної практики - сімейний лікар",IF(S824&lt;Законод!$C$22,0,(IF(AND(S824&gt;=Законод!$E$22,S824&lt;=Законод!$E$23),S824-Законод!$C$22,IF('01_Доходи'!S824&gt;=Законод!$F$22,Законод!$E$24,0)))),IF($B$820="Лікар-педіатр",IF(S824&lt;Законод!$C$18,0,(IF(AND(S824&gt;=Законод!$E$18,S824&lt;=Законод!$E$19),S824-Законод!$C$18,IF('01_Доходи'!S824&gt;=Законод!$F$18,Законод!$E$20,0)))),IF($B$820="Лікар-терапевт",IF(S824&lt;Законод!$C$26,0,(IF(AND(S824&gt;=Законод!$E$26,S824&lt;=Законод!$E$27),S824-Законод!$C$26,IF('01_Доходи'!S824&gt;=Законод!$F$26,Законод!$E$28,0)))),0)))</f>
        <v>0</v>
      </c>
      <c r="T826" s="930"/>
      <c r="U826" s="889" t="s">
        <v>346</v>
      </c>
      <c r="V826" s="890"/>
      <c r="W826" s="890"/>
      <c r="X826" s="890"/>
      <c r="Y826" s="891"/>
      <c r="Z826" s="196">
        <f ca="1">IF($B$820="Лікар загальної практики - сімейний лікар",IF(Z824&lt;Законод!$C$22,0,(IF(AND(Z824&gt;=Законод!$E$22,Z824&lt;=Законод!$E$23),Z824-Законод!$C$22,IF('01_Доходи'!Z824&gt;=Законод!$F$22,Законод!$E$24,0)))),IF($B$820="Лікар-педіатр",IF(Z824&lt;Законод!$C$18,0,(IF(AND(Z824&gt;=Законод!$E$18,Z824&lt;=Законод!$E$19),Z824-Законод!$C$18,IF('01_Доходи'!Z824&gt;=Законод!$F$18,Законод!$E$20,0)))),IF($B$820="Лікар-терапевт",IF(Z824&lt;Законод!$C$26,0,(IF(AND(Z824&gt;=Законод!$E$26,Z824&lt;=Законод!$E$27),Z824-Законод!$C$26,IF('01_Доходи'!Z824&gt;=Законод!$F$26,Законод!$E$28,0)))),0)))</f>
        <v>0</v>
      </c>
      <c r="AA826" s="930"/>
      <c r="AB826" s="889" t="s">
        <v>346</v>
      </c>
      <c r="AC826" s="890"/>
      <c r="AD826" s="890"/>
      <c r="AE826" s="890"/>
      <c r="AF826" s="891"/>
      <c r="AG826" s="196">
        <f ca="1">IF($B$820="Лікар загальної практики - сімейний лікар",IF(AG824&lt;Законод!$C$22,0,(IF(AND(AG824&gt;=Законод!$E$22,AG824&lt;=Законод!$E$23),AG824-Законод!$C$22,IF('01_Доходи'!AG824&gt;=Законод!$F$22,Законод!$E$24,0)))),IF($B$820="Лікар-педіатр",IF(AG824&lt;Законод!$C$18,0,(IF(AND(AG824&gt;=Законод!$E$18,AG824&lt;=Законод!$E$19),AG824-Законод!$C$18,IF('01_Доходи'!AG824&gt;=Законод!$F$18,Законод!$E$20,0)))),IF($B$820="Лікар-терапевт",IF(AG824&lt;Законод!$C$26,0,(IF(AND(AG824&gt;=Законод!$E$26,AG824&lt;=Законод!$E$27),AG824-Законод!$C$26,IF('01_Доходи'!AG824&gt;=Законод!$F$26,Законод!$E$28,0)))),0)))</f>
        <v>0</v>
      </c>
      <c r="AH826" s="930"/>
      <c r="AI826" s="201"/>
      <c r="AJ826" s="933"/>
      <c r="AK826" s="927"/>
      <c r="AL826" s="927"/>
      <c r="AM826" s="898" t="s">
        <v>375</v>
      </c>
      <c r="AN826" s="210">
        <f ca="1">IF(B820="Лікар загальної практики - сімейний лікар",L826*Законод!$C$9/4*Законод!$E$16,IF(B820="Лікар-педіатр",L826*Законод!$C$9/4*Законод!$E$16,IF(B820="Лікар-терапевт",L826*Законод!$C$9/4*Законод!$E$16,0)))</f>
        <v>0</v>
      </c>
      <c r="AO826" s="210">
        <f ca="1">IF(B820="Лікар загальної практики - сімейний лікар",S826*Законод!$C$9/4*Законод!$E$16,IF(B820="Лікар-педіатр",S826*Законод!$C$9/4*Законод!$E$16,IF(B820="Лікар-терапевт",S826*Законод!$C$9/4*Законод!$E$16,0)))</f>
        <v>0</v>
      </c>
      <c r="AP826" s="210">
        <f ca="1">IF(B820="Лікар загальної практики - сімейний лікар",Z826*Законод!$C$9/4*Законод!$E$16,IF(B820="Лікар-педіатр",Z826*Законод!$C$9/4*Законод!$E$16,IF(B820="Лікар-терапевт",Z826*Законод!$C$9/4*Законод!$E$16,0)))</f>
        <v>0</v>
      </c>
      <c r="AQ826" s="210">
        <f ca="1">IF(B820="Лікар загальної практики - сімейний лікар",AG826*Законод!$C$9/4*Законод!$E$16,IF(B820="Лікар-педіатр",AG826*Законод!$C$9/4*Законод!$E$16,IF(B820="Лікар-терапевт",AG826*Законод!$C$9/4*Законод!$E$16,0)))</f>
        <v>0</v>
      </c>
      <c r="AR826" s="211">
        <f t="shared" si="90"/>
        <v>0</v>
      </c>
    </row>
    <row r="827" spans="1:44" s="50" customFormat="1" ht="31.9" hidden="1" customHeight="1">
      <c r="A827" s="197"/>
      <c r="B827" s="893"/>
      <c r="C827" s="896"/>
      <c r="D827" s="912"/>
      <c r="E827" s="909"/>
      <c r="F827" s="238" t="str">
        <f ca="1">IF(B820="Лікар-педіатр",Законод!$F$17,IF(B820="Лікар загальної практики - сімейний лікар",Законод!$F$21,IF(B820="Лікар-терапевт",Законод!$F$25,"х")))</f>
        <v>х</v>
      </c>
      <c r="G827" s="889" t="s">
        <v>346</v>
      </c>
      <c r="H827" s="890"/>
      <c r="I827" s="890"/>
      <c r="J827" s="890"/>
      <c r="K827" s="891"/>
      <c r="L827" s="196">
        <f ca="1">IF($B$820="Лікар загальної практики - сімейний лікар",IF(L824&lt;Законод!$C$22,0,(IF(AND(L824&gt;=Законод!$F$22,L824&lt;=Законод!$F$23),L824-Законод!$E$23,IF('01_Доходи'!L824&gt;=Законод!$G$22,Законод!$F$24,0)))),IF($B$820="Лікар-педіатр",IF(L824&lt;Законод!$C$18,0,(IF(AND(L824&gt;=Законод!$F$18,L824&lt;=Законод!$F$19),L824-Законод!$E$19,IF('01_Доходи'!L824&gt;=Законод!$G$18,Законод!$F$20,0)))),IF($B$820="Лікар-терапевт",IF(L824&lt;Законод!$C$26,0,(IF(AND(L824&gt;=Законод!$F$26,L824&lt;=Законод!$F$27),L824-Законод!$E$27,IF('01_Доходи'!L824&gt;=Законод!$G$26,Законод!$F$28,0)))),0)))</f>
        <v>0</v>
      </c>
      <c r="M827" s="930"/>
      <c r="N827" s="889" t="s">
        <v>346</v>
      </c>
      <c r="O827" s="890"/>
      <c r="P827" s="890"/>
      <c r="Q827" s="890"/>
      <c r="R827" s="891"/>
      <c r="S827" s="196">
        <f ca="1">IF($B$820="Лікар загальної практики - сімейний лікар",IF(S824&lt;Законод!$C$22,0,(IF(AND(S824&gt;=Законод!$F$22,S824&lt;=Законод!$F$23),S824-Законод!$E$23,IF('01_Доходи'!S824&gt;=Законод!$G$22,Законод!$F$24,0)))),IF($B$820="Лікар-педіатр",IF(S824&lt;Законод!$C$18,0,(IF(AND(S824&gt;=Законод!$F$18,S824&lt;=Законод!$F$19),S824-Законод!$E$19,IF('01_Доходи'!S824&gt;=Законод!$G$18,Законод!$F$20,0)))),IF($B$820="Лікар-терапевт",IF(S824&lt;Законод!$C$26,0,(IF(AND(S824&gt;=Законод!$F$26,S824&lt;=Законод!$F$27),S824-Законод!$E$27,IF('01_Доходи'!S824&gt;=Законод!$G$26,Законод!$F$28,0)))),0)))</f>
        <v>0</v>
      </c>
      <c r="T827" s="930"/>
      <c r="U827" s="889" t="s">
        <v>346</v>
      </c>
      <c r="V827" s="890"/>
      <c r="W827" s="890"/>
      <c r="X827" s="890"/>
      <c r="Y827" s="891"/>
      <c r="Z827" s="196">
        <f ca="1">IF($B$820="Лікар загальної практики - сімейний лікар",IF(Z824&lt;Законод!$C$22,0,(IF(AND(Z824&gt;=Законод!$F$22,Z824&lt;=Законод!$F$23),Z824-Законод!$E$23,IF('01_Доходи'!Z824&gt;=Законод!$G$22,Законод!$F$24,0)))),IF($B$820="Лікар-педіатр",IF(Z824&lt;Законод!$C$18,0,(IF(AND(Z824&gt;=Законод!$F$18,Z824&lt;=Законод!$F$19),Z824-Законод!$E$19,IF('01_Доходи'!Z824&gt;=Законод!$G$18,Законод!$F$20,0)))),IF($B$820="Лікар-терапевт",IF(Z824&lt;Законод!$C$26,0,(IF(AND(Z824&gt;=Законод!$F$26,Z824&lt;=Законод!$F$27),Z824-Законод!$E$27,IF('01_Доходи'!Z824&gt;=Законод!$G$26,Законод!$F$28,0)))),0)))</f>
        <v>0</v>
      </c>
      <c r="AA827" s="930"/>
      <c r="AB827" s="889" t="s">
        <v>346</v>
      </c>
      <c r="AC827" s="890"/>
      <c r="AD827" s="890"/>
      <c r="AE827" s="890"/>
      <c r="AF827" s="891"/>
      <c r="AG827" s="196">
        <f ca="1">IF($B$820="Лікар загальної практики - сімейний лікар",IF(AG824&lt;Законод!$C$22,0,(IF(AND(AG824&gt;=Законод!$F$22,AG824&lt;=Законод!$F$23),AG824-Законод!$E$23,IF('01_Доходи'!AG824&gt;=Законод!$G$22,Законод!$F$24,0)))),IF($B$820="Лікар-педіатр",IF(AG824&lt;Законод!$C$18,0,(IF(AND(AG824&gt;=Законод!$F$18,AG824&lt;=Законод!$F$19),AG824-Законод!$E$19,IF('01_Доходи'!AG824&gt;=Законод!$G$18,Законод!$F$20,0)))),IF($B$820="Лікар-терапевт",IF(AG824&lt;Законод!$C$26,0,(IF(AND(AG824&gt;=Законод!$F$26,AG824&lt;=Законод!$F$27),AG824-Законод!$E$27,IF('01_Доходи'!AG824&gt;=Законод!$G$26,Законод!$F$28,0)))),0)))</f>
        <v>0</v>
      </c>
      <c r="AH827" s="930"/>
      <c r="AI827" s="201"/>
      <c r="AJ827" s="933"/>
      <c r="AK827" s="927"/>
      <c r="AL827" s="927"/>
      <c r="AM827" s="899"/>
      <c r="AN827" s="210">
        <f ca="1">IF(B820="Лікар загальної практики - сімейний лікар",L827*Законод!$C$9/4*Законод!$F$16,IF(B820="Лікар-педіатр",L827*Законод!$C$9/4*Законод!$F$16,IF(B820="Лікар-терапевт",L827*Законод!$C$9/4*Законод!$F$16,0)))</f>
        <v>0</v>
      </c>
      <c r="AO827" s="210">
        <f ca="1">IF(B820="Лікар загальної практики - сімейний лікар",S827*Законод!$C$9/4*Законод!$F$16,IF(B820="Лікар-педіатр",S827*Законод!$C$9/4*Законод!$F$16,IF(B820="Лікар-терапевт",S827*Законод!$C$9/4*Законод!$F$16,0)))</f>
        <v>0</v>
      </c>
      <c r="AP827" s="210">
        <f ca="1">IF(B820="Лікар загальної практики - сімейний лікар",Z827*Законод!$C$9/4*Законод!$F$16,IF(B820="Лікар-педіатр",Z827*Законод!$C$9/4*Законод!$F$16,IF(B820="Лікар-терапевт",Z827*Законод!$C$9/4*Законод!$F$16,0)))</f>
        <v>0</v>
      </c>
      <c r="AQ827" s="210">
        <f ca="1">IF(B820="Лікар загальної практики - сімейний лікар",AG827*Законод!$C$9/4*Законод!$F$16,IF(B820="Лікар-педіатр",AG827*Законод!$C$9/4*Законод!$F$16,IF(B820="Лікар-терапевт",AG827*Законод!$C$9/4*Законод!$F$16,0)))</f>
        <v>0</v>
      </c>
      <c r="AR827" s="211">
        <f t="shared" si="90"/>
        <v>0</v>
      </c>
    </row>
    <row r="828" spans="1:44" s="50" customFormat="1" ht="31.9" hidden="1" customHeight="1">
      <c r="A828" s="197"/>
      <c r="B828" s="893"/>
      <c r="C828" s="896"/>
      <c r="D828" s="912"/>
      <c r="E828" s="909"/>
      <c r="F828" s="238" t="str">
        <f ca="1">IF(B820="Лікар-педіатр",Законод!$G$17,IF(B820="Лікар загальної практики - сімейний лікар",Законод!$G$21,IF(B820="Лікар-терапевт",Законод!$G$25,"х")))</f>
        <v>х</v>
      </c>
      <c r="G828" s="889" t="s">
        <v>346</v>
      </c>
      <c r="H828" s="890"/>
      <c r="I828" s="890"/>
      <c r="J828" s="890"/>
      <c r="K828" s="891"/>
      <c r="L828" s="196">
        <f ca="1">IF($B$820="Лікар загальної практики - сімейний лікар",IF(L824&lt;Законод!$C$22,0,(IF(AND(L824&gt;=Законод!$G$22,L824&lt;=Законод!$G$23),L824-Законод!$F$23,IF('01_Доходи'!L824&gt;=Законод!$H$22,Законод!$G$24,0)))),IF($B$820="Лікар-педіатр",IF(L824&lt;Законод!$C$18,0,(IF(AND(L824&gt;=Законод!$G$18,L824&lt;=Законод!$G$19),L824-Законод!$F$19,IF('01_Доходи'!L824&gt;=Законод!$H$18,Законод!$G$20,0)))),IF($B$820="Лікар-терапевт",IF(L824&lt;Законод!$C$26,0,(IF(AND(L824&gt;=Законод!$G$26,L824&lt;=Законод!$G$27),L824-Законод!$F$27,IF('01_Доходи'!L824&gt;=Законод!$H$26,Законод!$G$28,0)))),0)))</f>
        <v>0</v>
      </c>
      <c r="M828" s="930"/>
      <c r="N828" s="889" t="s">
        <v>346</v>
      </c>
      <c r="O828" s="890"/>
      <c r="P828" s="890"/>
      <c r="Q828" s="890"/>
      <c r="R828" s="891"/>
      <c r="S828" s="196">
        <f ca="1">IF($B$820="Лікар загальної практики - сімейний лікар",IF(S824&lt;Законод!$C$22,0,(IF(AND(S824&gt;=Законод!$G$22,S824&lt;=Законод!$G$23),S824-Законод!$F$23,IF('01_Доходи'!S824&gt;=Законод!$H$22,Законод!$G$24,0)))),IF($B$820="Лікар-педіатр",IF(S824&lt;Законод!$C$18,0,(IF(AND(S824&gt;=Законод!$G$18,S824&lt;=Законод!$G$19),S824-Законод!$F$19,IF('01_Доходи'!S824&gt;=Законод!$H$18,Законод!$G$20,0)))),IF($B$820="Лікар-терапевт",IF(S824&lt;Законод!$C$26,0,(IF(AND(S824&gt;=Законод!$G$26,S824&lt;=Законод!$G$27),S824-Законод!$F$27,IF('01_Доходи'!S824&gt;=Законод!$H$26,Законод!$G$28,0)))),0)))</f>
        <v>0</v>
      </c>
      <c r="T828" s="930"/>
      <c r="U828" s="889" t="s">
        <v>346</v>
      </c>
      <c r="V828" s="890"/>
      <c r="W828" s="890"/>
      <c r="X828" s="890"/>
      <c r="Y828" s="891"/>
      <c r="Z828" s="196">
        <f ca="1">IF($B$820="Лікар загальної практики - сімейний лікар",IF(Z824&lt;Законод!$C$22,0,(IF(AND(Z824&gt;=Законод!$G$22,Z824&lt;=Законод!$G$23),Z824-Законод!$F$23,IF('01_Доходи'!Z824&gt;=Законод!$H$22,Законод!$G$24,0)))),IF($B$820="Лікар-педіатр",IF(Z824&lt;Законод!$C$18,0,(IF(AND(Z824&gt;=Законод!$G$18,Z824&lt;=Законод!$G$19),Z824-Законод!$F$19,IF('01_Доходи'!Z824&gt;=Законод!$H$18,Законод!$G$20,0)))),IF($B$820="Лікар-терапевт",IF(Z824&lt;Законод!$C$26,0,(IF(AND(Z824&gt;=Законод!$G$26,Z824&lt;=Законод!$G$27),Z824-Законод!$F$27,IF('01_Доходи'!Z824&gt;=Законод!$H$26,Законод!$G$28,0)))),0)))</f>
        <v>0</v>
      </c>
      <c r="AA828" s="930"/>
      <c r="AB828" s="889" t="s">
        <v>346</v>
      </c>
      <c r="AC828" s="890"/>
      <c r="AD828" s="890"/>
      <c r="AE828" s="890"/>
      <c r="AF828" s="891"/>
      <c r="AG828" s="196">
        <f ca="1">IF($B$820="Лікар загальної практики - сімейний лікар",IF(AG824&lt;Законод!$C$22,0,(IF(AND(AG824&gt;=Законод!$G$22,AG824&lt;=Законод!$G$23),AG824-Законод!$F$23,IF('01_Доходи'!AG824&gt;=Законод!$H$22,Законод!$G$24,0)))),IF($B$820="Лікар-педіатр",IF(AG824&lt;Законод!$C$18,0,(IF(AND(AG824&gt;=Законод!$G$18,AG824&lt;=Законод!$G$19),AG824-Законод!$F$19,IF('01_Доходи'!AG824&gt;=Законод!$H$18,Законод!$G$20,0)))),IF($B$820="Лікар-терапевт",IF(AG824&lt;Законод!$C$26,0,(IF(AND(AG824&gt;=Законод!$G$26,AG824&lt;=Законод!$G$27),AG824-Законод!$F$27,IF('01_Доходи'!AG824&gt;=Законод!$H$26,Законод!$G$28,0)))),0)))</f>
        <v>0</v>
      </c>
      <c r="AH828" s="930"/>
      <c r="AI828" s="201"/>
      <c r="AJ828" s="933"/>
      <c r="AK828" s="927"/>
      <c r="AL828" s="927"/>
      <c r="AM828" s="899"/>
      <c r="AN828" s="210">
        <f ca="1">IF(B820="Лікар загальної практики - сімейний лікар",L828*Законод!$C$9/4*Законод!$G$16,IF(B820="Лікар-педіатр",L828*Законод!$C$9/4*Законод!$G$16,IF(B820="Лікар-терапевт",L828*Законод!$C$9/4*Законод!$G$16,0)))</f>
        <v>0</v>
      </c>
      <c r="AO828" s="210">
        <f ca="1">IF(B820="Лікар загальної практики - сімейний лікар",S828*Законод!$C$9/4*Законод!$G$16,IF(B820="Лікар-педіатр",S828*Законод!$C$9/4*Законод!$G$16,IF(B820="Лікар-терапевт",S828*Законод!$C$9/4*Законод!$G$16,0)))</f>
        <v>0</v>
      </c>
      <c r="AP828" s="210">
        <f ca="1">IF(B820="Лікар загальної практики - сімейний лікар",Z828*Законод!$C$9/4*Законод!$G$16,IF(B820="Лікар-педіатр",Z828*Законод!$C$9/4*Законод!$G$16,IF(B820="Лікар-терапевт",Z828*Законод!$C$9/4*Законод!$G$16,0)))</f>
        <v>0</v>
      </c>
      <c r="AQ828" s="210">
        <f ca="1">IF(B820="Лікар загальної практики - сімейний лікар",AG828*Законод!$C$9/4*Законод!$G$16,IF(B820="Лікар-педіатр",AG828*Законод!$C$9/4*Законод!$G$16,IF(B820="Лікар-терапевт",AG828*Законод!$C$9/4*Законод!$G$16,0)))</f>
        <v>0</v>
      </c>
      <c r="AR828" s="211">
        <f t="shared" si="90"/>
        <v>0</v>
      </c>
    </row>
    <row r="829" spans="1:44" s="50" customFormat="1" ht="31.9" hidden="1" customHeight="1">
      <c r="A829" s="197"/>
      <c r="B829" s="893"/>
      <c r="C829" s="896"/>
      <c r="D829" s="912"/>
      <c r="E829" s="909"/>
      <c r="F829" s="238" t="str">
        <f ca="1">IF(B820="Лікар-педіатр",Законод!$H$17,IF(B820="Лікар загальної практики - сімейний лікар",Законод!$H$21,IF(B820="Лікар-терапевт",Законод!$H$25,"х")))</f>
        <v>х</v>
      </c>
      <c r="G829" s="889" t="s">
        <v>346</v>
      </c>
      <c r="H829" s="890"/>
      <c r="I829" s="890"/>
      <c r="J829" s="890"/>
      <c r="K829" s="891"/>
      <c r="L829" s="196">
        <f ca="1">IF($B$820="Лікар загальної практики - сімейний лікар",IF(L824&lt;Законод!$C$22,0,(IF(AND(L824&gt;=Законод!$H$22,L824&lt;=Законод!$H$23),L824-Законод!$G$23,IF('01_Доходи'!L824&gt;=Законод!$I$22,Законод!$H$24,0)))),IF($B$820="Лікар-педіатр",IF(L824&lt;Законод!$C$18,0,(IF(AND(L824&gt;=Законод!$H$18,L824&lt;=Законод!$H$19),L824-Законод!$G$19,IF('01_Доходи'!L824&gt;=Законод!$I$18,Законод!$H$20,0)))),IF($B$820="Лікар-терапевт",IF(L824&lt;Законод!$C$26,0,(IF(AND(L824&gt;=Законод!$H$26,L824&lt;=Законод!$H$27),L824-Законод!$G$27,IF(L824&gt;=Законод!$I$26,Законод!$H$28,0)))),0)))</f>
        <v>0</v>
      </c>
      <c r="M829" s="930"/>
      <c r="N829" s="889" t="s">
        <v>346</v>
      </c>
      <c r="O829" s="890"/>
      <c r="P829" s="890"/>
      <c r="Q829" s="890"/>
      <c r="R829" s="891"/>
      <c r="S829" s="196">
        <f ca="1">IF($B$820="Лікар загальної практики - сімейний лікар",IF(S824&lt;Законод!$C$22,0,(IF(AND(S824&gt;=Законод!$H$22,S824&lt;=Законод!$H$23),S824-Законод!$G$23,IF('01_Доходи'!S824&gt;=Законод!$I$22,Законод!$H$24,0)))),IF($B$820="Лікар-педіатр",IF(S824&lt;Законод!$C$18,0,(IF(AND(S824&gt;=Законод!$H$18,S824&lt;=Законод!$H$19),S824-Законод!$G$19,IF('01_Доходи'!S824&gt;=Законод!$I$18,Законод!$H$20,0)))),IF($B$820="Лікар-терапевт",IF(S824&lt;Законод!$C$26,0,(IF(AND(S824&gt;=Законод!$H$26,S824&lt;=Законод!$H$27),S824-Законод!$G$27,IF(S824&gt;=Законод!$I$26,Законод!$H$28,0)))),0)))</f>
        <v>0</v>
      </c>
      <c r="T829" s="930"/>
      <c r="U829" s="889" t="s">
        <v>346</v>
      </c>
      <c r="V829" s="890"/>
      <c r="W829" s="890"/>
      <c r="X829" s="890"/>
      <c r="Y829" s="891"/>
      <c r="Z829" s="196">
        <f ca="1">IF($B$820="Лікар загальної практики - сімейний лікар",IF(Z824&lt;Законод!$C$22,0,(IF(AND(Z824&gt;=Законод!$H$22,Z824&lt;=Законод!$H$23),Z824-Законод!$G$23,IF('01_Доходи'!Z824&gt;=Законод!$I$22,Законод!$H$24,0)))),IF($B$820="Лікар-педіатр",IF(Z824&lt;Законод!$C$18,0,(IF(AND(Z824&gt;=Законод!$H$18,Z824&lt;=Законод!$H$19),Z824-Законод!$G$19,IF('01_Доходи'!Z824&gt;=Законод!$I$18,Законод!$H$20,0)))),IF($B$820="Лікар-терапевт",IF(Z824&lt;Законод!$C$26,0,(IF(AND(Z824&gt;=Законод!$H$26,Z824&lt;=Законод!$H$27),Z824-Законод!$G$27,IF(Z824&gt;=Законод!$I$26,Законод!$H$28,0)))),0)))</f>
        <v>0</v>
      </c>
      <c r="AA829" s="930"/>
      <c r="AB829" s="889" t="s">
        <v>346</v>
      </c>
      <c r="AC829" s="890"/>
      <c r="AD829" s="890"/>
      <c r="AE829" s="890"/>
      <c r="AF829" s="891"/>
      <c r="AG829" s="196">
        <f ca="1">IF($B$820="Лікар загальної практики - сімейний лікар",IF(AG824&lt;Законод!$C$22,0,(IF(AND(AG824&gt;=Законод!$H$22,AG824&lt;=Законод!$H$23),AG824-Законод!$G$23,IF('01_Доходи'!AG824&gt;=Законод!$I$22,Законод!$H$24,0)))),IF($B$820="Лікар-педіатр",IF(AG824&lt;Законод!$C$18,0,(IF(AND(AG824&gt;=Законод!$H$18,AG824&lt;=Законод!$H$19),AG824-Законод!$G$19,IF('01_Доходи'!AG824&gt;=Законод!$I$18,Законод!$H$20,0)))),IF($B$820="Лікар-терапевт",IF(AG824&lt;Законод!$C$26,0,(IF(AND(AG824&gt;=Законод!$H$26,AG824&lt;=Законод!$H$27),AG824-Законод!$G$27,IF(AG824&gt;=Законод!$I$26,Законод!$H$28,0)))),0)))</f>
        <v>0</v>
      </c>
      <c r="AH829" s="930"/>
      <c r="AI829" s="201"/>
      <c r="AJ829" s="933"/>
      <c r="AK829" s="927"/>
      <c r="AL829" s="927"/>
      <c r="AM829" s="899"/>
      <c r="AN829" s="210">
        <f ca="1">IF(B820="Лікар загальної практики - сімейний лікар",L829*Законод!$C$9/4*Законод!$H$16,IF(B820="Лікар-педіатр",L829*Законод!$C$9/4*Законод!$H$16,IF(B820="Лікар-терапевт",L829*Законод!$C$9/4*Законод!$H$16,0)))</f>
        <v>0</v>
      </c>
      <c r="AO829" s="210">
        <f ca="1">IF(B820="Лікар загальної практики - сімейний лікар",S829*Законод!$C$9/4*Законод!$H$16,IF(B820="Лікар-педіатр",S829*Законод!$C$9/4*Законод!$H$16,IF(B820="Лікар-терапевт",S829*Законод!$C$9/4*Законод!$H$16,0)))</f>
        <v>0</v>
      </c>
      <c r="AP829" s="210">
        <f ca="1">IF(B820="Лікар загальної практики - сімейний лікар",Z829*Законод!$C$9/4*Законод!$H$16,IF(B820="Лікар-педіатр",Z829*Законод!$C$9/4*Законод!$H$16,IF(B820="Лікар-терапевт",Z829*Законод!$C$9/4*Законод!$H$16,0)))</f>
        <v>0</v>
      </c>
      <c r="AQ829" s="210">
        <f ca="1">IF(B820="Лікар загальної практики - сімейний лікар",AG829*Законод!$C$9/4*Законод!$H$16,IF(B820="Лікар-педіатр",AG829*Законод!$C$9/4*Законод!$H$16,IF(B820="Лікар-терапевт",AG829*Законод!$C$9/4*Законод!$H$16,0)))</f>
        <v>0</v>
      </c>
      <c r="AR829" s="211">
        <f t="shared" si="90"/>
        <v>0</v>
      </c>
    </row>
    <row r="830" spans="1:44" s="50" customFormat="1" ht="31.9" hidden="1" customHeight="1">
      <c r="A830" s="197"/>
      <c r="B830" s="893"/>
      <c r="C830" s="896"/>
      <c r="D830" s="912"/>
      <c r="E830" s="909"/>
      <c r="F830" s="238" t="str">
        <f ca="1">IF(B820="Лікар-педіатр",Законод!$I$17,IF(B820="Лікар загальної практики - сімейний лікар",Законод!$I$21,IF(B820="Лікар-терапевт",Законод!$I$25,"х")))</f>
        <v>х</v>
      </c>
      <c r="G830" s="889" t="s">
        <v>346</v>
      </c>
      <c r="H830" s="890"/>
      <c r="I830" s="890"/>
      <c r="J830" s="890"/>
      <c r="K830" s="891"/>
      <c r="L830" s="196">
        <f ca="1">IF($B$820="Лікар загальної практики - сімейний лікар",IF(L824&lt;Законод!$C$22,0,(IF(AND(L824&gt;=Законод!$I$22,L824&lt;=Законод!$I$23),L824-Законод!$H$23,IF('01_Доходи'!L824&gt;=Законод!$I$22,Законод!$I$24,0)))),IF($B$820="Лікар-педіатр",IF(L824&lt;Законод!$C$18,0,(IF(AND(L824&gt;=Законод!$I$18,L824&lt;=Законод!$I$19),L824-Законод!$H$19,IF('01_Доходи'!L824&gt;=Законод!$I$18,Законод!$H$20,0)))),IF($B$820="Лікар-терапевт",IF(L824&lt;Законод!$C$26,0,(IF(AND(L824&gt;=Законод!$I$26,L824&lt;=Законод!$I$27),L824-Законод!$H$27,IF('01_Доходи'!L824&gt;=Законод!$I$26,Законод!$H$28,0)))),0)))</f>
        <v>0</v>
      </c>
      <c r="M830" s="930"/>
      <c r="N830" s="889" t="s">
        <v>346</v>
      </c>
      <c r="O830" s="890"/>
      <c r="P830" s="890"/>
      <c r="Q830" s="890"/>
      <c r="R830" s="891"/>
      <c r="S830" s="196">
        <f ca="1">IF($B$820="Лікар загальної практики - сімейний лікар",IF(S824&lt;Законод!$C$22,0,(IF(AND(S824&gt;=Законод!$I$22,S824&lt;=Законод!$I$23),S824-Законод!$H$23,IF('01_Доходи'!S824&gt;=Законод!$I$22,Законод!$I$24,0)))),IF($B$820="Лікар-педіатр",IF(S824&lt;Законод!$C$18,0,(IF(AND(S824&gt;=Законод!$I$18,S824&lt;=Законод!$I$19),S824-Законод!$H$19,IF('01_Доходи'!S824&gt;=Законод!$I$18,Законод!$H$20,0)))),IF($B$820="Лікар-терапевт",IF(S824&lt;Законод!$C$26,0,(IF(AND(S824&gt;=Законод!$I$26,S824&lt;=Законод!$I$27),S824-Законод!$H$27,IF('01_Доходи'!S824&gt;=Законод!$I$26,Законод!$H$28,0)))),0)))</f>
        <v>0</v>
      </c>
      <c r="T830" s="930"/>
      <c r="U830" s="889" t="s">
        <v>346</v>
      </c>
      <c r="V830" s="890"/>
      <c r="W830" s="890"/>
      <c r="X830" s="890"/>
      <c r="Y830" s="891"/>
      <c r="Z830" s="196">
        <f ca="1">IF($B$820="Лікар загальної практики - сімейний лікар",IF(Z824&lt;Законод!$C$22,0,(IF(AND(Z824&gt;=Законод!$I$22,Z824&lt;=Законод!$I$23),Z824-Законод!$H$23,IF('01_Доходи'!Z824&gt;=Законод!$I$22,Законод!$I$24,0)))),IF($B$820="Лікар-педіатр",IF(Z824&lt;Законод!$C$18,0,(IF(AND(Z824&gt;=Законод!$I$18,Z824&lt;=Законод!$I$19),Z824-Законод!$H$19,IF('01_Доходи'!Z824&gt;=Законод!$I$18,Законод!$H$20,0)))),IF($B$820="Лікар-терапевт",IF(Z824&lt;Законод!$C$26,0,(IF(AND(Z824&gt;=Законод!$I$26,Z824&lt;=Законод!$I$27),Z824-Законод!$H$27,IF('01_Доходи'!Z824&gt;=Законод!$I$26,Законод!$H$28,0)))),0)))</f>
        <v>0</v>
      </c>
      <c r="AA830" s="930"/>
      <c r="AB830" s="889" t="s">
        <v>346</v>
      </c>
      <c r="AC830" s="890"/>
      <c r="AD830" s="890"/>
      <c r="AE830" s="890"/>
      <c r="AF830" s="891"/>
      <c r="AG830" s="196">
        <f ca="1">IF($B$820="Лікар загальної практики - сімейний лікар",IF(AG824&lt;Законод!$C$22,0,(IF(AND(AG824&gt;=Законод!$I$22,AG824&lt;=Законод!$I$23),AG824-Законод!$H$23,IF('01_Доходи'!AG824&gt;=Законод!$I$22,Законод!$I$24,0)))),IF($B$820="Лікар-педіатр",IF(AG824&lt;Законод!$C$18,0,(IF(AND(AG824&gt;=Законод!$I$18,AG824&lt;=Законод!$I$19),AG824-Законод!$H$19,IF('01_Доходи'!AG824&gt;=Законод!$I$18,Законод!$H$20,0)))),IF($B$820="Лікар-терапевт",IF(AG824&lt;Законод!$C$26,0,(IF(AND(AG824&gt;=Законод!$I$26,AG824&lt;=Законод!$I$27),AG824-Законод!$H$27,IF('01_Доходи'!AG824&gt;=Законод!$I$26,Законод!$H$28,0)))),0)))</f>
        <v>0</v>
      </c>
      <c r="AH830" s="930"/>
      <c r="AI830" s="201"/>
      <c r="AJ830" s="933"/>
      <c r="AK830" s="927"/>
      <c r="AL830" s="927"/>
      <c r="AM830" s="899"/>
      <c r="AN830" s="210">
        <f ca="1">IF(B820="Лікар загальної практики - сімейний лікар",L830*Законод!$C$9/4*Законод!$I$16,IF(B820="Лікар-педіатр",L830*Законод!$C$9/4*Законод!$I$16,IF(B820="Лікар-терапевт",L830*Законод!$C$9/4*Законод!$I$16,0)))</f>
        <v>0</v>
      </c>
      <c r="AO830" s="210">
        <f ca="1">IF(B820="Лікар загальної практики - сімейний лікар",S830*Законод!$C$9/4*Законод!$I$16,IF(B820="Лікар-педіатр",S830*Законод!$C$9/4*Законод!$I$16,IF(B820="Лікар-терапевт",S830*Законод!$C$9/4*Законод!$I$16,0)))</f>
        <v>0</v>
      </c>
      <c r="AP830" s="210">
        <f ca="1">IF(B820="Лікар загальної практики - сімейний лікар",Z830*Законод!$C$9/4*Законод!$I$16,IF(B820="Лікар-педіатр",Z830*Законод!$C$9/4*Законод!$I$16,IF(B820="Лікар-терапевт",Z830*Законод!$C$9/4*Законод!$I$16,0)))</f>
        <v>0</v>
      </c>
      <c r="AQ830" s="210">
        <f ca="1">IF(B820="Лікар загальної практики - сімейний лікар",AG830*Законод!$C$9/4*Законод!$I$16,IF(B820="Лікар-педіатр",AG830*Законод!$C$9/4*Законод!$I$16,IF(B820="Лікар-терапевт",AG830*Законод!$C$9/4*Законод!$I$16,0)))</f>
        <v>0</v>
      </c>
      <c r="AR830" s="211">
        <f t="shared" si="90"/>
        <v>0</v>
      </c>
    </row>
    <row r="831" spans="1:44" s="218" customFormat="1" ht="31.9" hidden="1" customHeight="1" thickBot="1">
      <c r="A831" s="213"/>
      <c r="B831" s="894"/>
      <c r="C831" s="897"/>
      <c r="D831" s="913"/>
      <c r="E831" s="910"/>
      <c r="F831" s="239" t="str">
        <f ca="1">IF(B820="Лікар-педіатр",Законод!$J$17,IF(B820="Лікар загальної практики - сімейний лікар",Законод!$J$21,IF(B820="Лікар-терапевт",Законод!$J$25,"х")))</f>
        <v>х</v>
      </c>
      <c r="G831" s="935" t="s">
        <v>346</v>
      </c>
      <c r="H831" s="936"/>
      <c r="I831" s="936"/>
      <c r="J831" s="936"/>
      <c r="K831" s="937"/>
      <c r="L831" s="196">
        <f ca="1">IF($B$820="Лікар загальної практики - сімейний лікар",IF(L824&gt;=Законод!$J$22,'01_Доходи'!L824-('01_Доходи'!L825+'01_Доходи'!L826+'01_Доходи'!L827+'01_Доходи'!L828+'01_Доходи'!L829+'01_Доходи'!L830),0),IF($B$820="Лікар-педіатр",IF(L824&gt;=Законод!$J$18,'01_Доходи'!L824-('01_Доходи'!L825+'01_Доходи'!L826+'01_Доходи'!L827+'01_Доходи'!L828+'01_Доходи'!L829+'01_Доходи'!L830),0),IF($B$820="Лікар-терапевт",IF('01_Доходи'!L824&gt;=Законод!$J$26,L824-Законод!$I$27,0),0)))</f>
        <v>0</v>
      </c>
      <c r="M831" s="931"/>
      <c r="N831" s="935" t="s">
        <v>346</v>
      </c>
      <c r="O831" s="936"/>
      <c r="P831" s="936"/>
      <c r="Q831" s="936"/>
      <c r="R831" s="937"/>
      <c r="S831" s="196">
        <f ca="1">IF($B$820="Лікар загальної практики - сімейний лікар",IF(S824&gt;=Законод!$J$22,'01_Доходи'!S824-('01_Доходи'!S825+'01_Доходи'!S826+'01_Доходи'!S827+'01_Доходи'!S828+'01_Доходи'!S829+'01_Доходи'!S830),0),IF($B$820="Лікар-педіатр",IF(S824&gt;=Законод!$J$18,'01_Доходи'!S824-('01_Доходи'!S825+'01_Доходи'!S826+'01_Доходи'!S827+'01_Доходи'!S828+'01_Доходи'!S829+'01_Доходи'!S830),0),IF($B$820="Лікар-терапевт",IF('01_Доходи'!S824&gt;=Законод!$J$26,S824-Законод!$I$27,0),0)))</f>
        <v>0</v>
      </c>
      <c r="T831" s="931"/>
      <c r="U831" s="935" t="s">
        <v>346</v>
      </c>
      <c r="V831" s="936"/>
      <c r="W831" s="936"/>
      <c r="X831" s="936"/>
      <c r="Y831" s="937"/>
      <c r="Z831" s="196">
        <f ca="1">IF($B$820="Лікар загальної практики - сімейний лікар",IF(Z824&gt;=Законод!$J$22,'01_Доходи'!Z824-('01_Доходи'!Z825+'01_Доходи'!Z826+'01_Доходи'!Z827+'01_Доходи'!Z828+'01_Доходи'!Z829+'01_Доходи'!Z830),0),IF($B$820="Лікар-педіатр",IF(Z824&gt;=Законод!$J$18,'01_Доходи'!Z824-('01_Доходи'!Z825+'01_Доходи'!Z826+'01_Доходи'!Z827+'01_Доходи'!Z828+'01_Доходи'!Z829+'01_Доходи'!Z830),0),IF($B$820="Лікар-терапевт",IF('01_Доходи'!Z824&gt;=Законод!$J$26,Z824-Законод!$I$27,0),0)))</f>
        <v>0</v>
      </c>
      <c r="AA831" s="931"/>
      <c r="AB831" s="935" t="s">
        <v>346</v>
      </c>
      <c r="AC831" s="936"/>
      <c r="AD831" s="936"/>
      <c r="AE831" s="936"/>
      <c r="AF831" s="937"/>
      <c r="AG831" s="196">
        <f ca="1">IF($B$820="Лікар загальної практики - сімейний лікар",IF(AG824&gt;=Законод!$J$22,'01_Доходи'!AG824-('01_Доходи'!AG825+'01_Доходи'!AG826+'01_Доходи'!AG827+'01_Доходи'!AG828+'01_Доходи'!AG829+'01_Доходи'!AG830),0),IF($B$820="Лікар-педіатр",IF(AG824&gt;=Законод!$J$18,'01_Доходи'!AG824-('01_Доходи'!AG825+'01_Доходи'!AG826+'01_Доходи'!AG827+'01_Доходи'!AG828+'01_Доходи'!AG829+'01_Доходи'!AG830),0),IF($B$820="Лікар-терапевт",IF('01_Доходи'!AG824&gt;=Законод!$J$26,AG824-Законод!$I$27,0),0)))</f>
        <v>0</v>
      </c>
      <c r="AH831" s="931"/>
      <c r="AI831" s="215"/>
      <c r="AJ831" s="934"/>
      <c r="AK831" s="928"/>
      <c r="AL831" s="928"/>
      <c r="AM831" s="900"/>
      <c r="AN831" s="216">
        <f ca="1">IF(B820="Лікар загальної практики - сімейний лікар",L831*Законод!$C$9/4*Законод!$J$16,IF(B820="Лікар-педіатр",L831*Законод!$C$9/4*Законод!$J$16,IF(B820="Лікар-терапевт",L831*Законод!$C$9/4*Законод!$J$16,0)))</f>
        <v>0</v>
      </c>
      <c r="AO831" s="216">
        <f ca="1">IF(B820="Лікар загальної практики - сімейний лікар",S831*Законод!$C$9/4*Законод!$J$16,IF(B820="Лікар-педіатр",S831*Законод!$C$9/4*Законод!$J$16,IF(B820="Лікар-терапевт",S831*Законод!$C$9/4*Законод!$J$16,0)))</f>
        <v>0</v>
      </c>
      <c r="AP831" s="216">
        <f ca="1">IF(B820="Лікар загальної практики - сімейний лікар",S831*Законод!$C$9/4*Законод!$J$16,IF(B820="Лікар-педіатр",S831*Законод!$C$9/4*Законод!$J$16,IF(B820="Лікар-терапевт",S831*Законод!$C$9/4*Законод!$J$16,0)))</f>
        <v>0</v>
      </c>
      <c r="AQ831" s="216">
        <f ca="1">IF(B820="Лікар загальної практики - сімейний лікар",AG831*Законод!$C$9/4*Законод!$J$16,IF(B820="Лікар-педіатр",AG831*Законод!$C$9/4*Законод!$J$16,IF(B820="Лікар-терапевт",AG831*Законод!$C$9/4*Законод!$J$16,0)))</f>
        <v>0</v>
      </c>
      <c r="AR831" s="217">
        <f t="shared" si="90"/>
        <v>0</v>
      </c>
    </row>
    <row r="832" spans="1:44" s="247" customFormat="1" ht="23.45" hidden="1" customHeight="1" thickBot="1">
      <c r="A832" s="243"/>
      <c r="B832" s="244"/>
      <c r="C832" s="244"/>
      <c r="D832" s="244"/>
      <c r="E832" s="244"/>
      <c r="F832" s="245"/>
      <c r="G832" s="246"/>
      <c r="H832" s="246"/>
      <c r="L832" s="248"/>
      <c r="S832" s="248"/>
      <c r="Z832" s="248"/>
      <c r="AG832" s="248"/>
      <c r="AM832" s="249"/>
      <c r="AR832" s="250"/>
    </row>
    <row r="833" spans="1:44" s="191" customFormat="1" ht="24.6" hidden="1" customHeight="1">
      <c r="A833" s="194">
        <f>A820+1</f>
        <v>62</v>
      </c>
      <c r="B833" s="892"/>
      <c r="C833" s="895"/>
      <c r="D833" s="911"/>
      <c r="E833" s="908"/>
      <c r="F833" s="234" t="s">
        <v>582</v>
      </c>
      <c r="G833" s="196">
        <f>IF($B$833="Лікар-педіатр",G836*L833,IF($B$833="Лікар-терапевт","х",IF($B$833="Лікар загальної практики - сімейний лікар",G836*L833,0)))</f>
        <v>0</v>
      </c>
      <c r="H833" s="196">
        <f>IF($B$833="Лікар-педіатр",H836*L833,IF($B$833="Лікар-терапевт","х",IF($B$833="Лікар загальної практики - сімейний лікар",H836*L833,0)))</f>
        <v>0</v>
      </c>
      <c r="I833" s="196">
        <f>IF($B$833="Лікар-педіатр","x",IF($B$833="Лікар-терапевт",I836*L833,IF($B$833="Лікар загальної практики - сімейний лікар",I836*L833,0)))</f>
        <v>0</v>
      </c>
      <c r="J833" s="196">
        <f>IF($B$833="Лікар-педіатр","x",IF($B$833="Лікар-терапевт",J836*L833,IF($B$833="Лікар загальної практики - сімейний лікар",J836*L833,0)))</f>
        <v>0</v>
      </c>
      <c r="K833" s="196">
        <f>IF($B$833="Лікар-педіатр","x",IF($B$833="Лікар-терапевт",K836*L833,IF($B$833="Лікар загальної практики - сімейний лікар",K836*L833,0)))</f>
        <v>0</v>
      </c>
      <c r="L833" s="558"/>
      <c r="M833" s="929"/>
      <c r="N833" s="196">
        <f>IF($B$833="Лікар-педіатр",N836*S833,IF($B$833="Лікар-терапевт","х",IF($B$833="Лікар загальної практики - сімейний лікар",N836*S833,0)))</f>
        <v>0</v>
      </c>
      <c r="O833" s="196">
        <f>IF($B$833="Лікар-педіатр",O836*S833,IF($B$833="Лікар-терапевт","х",IF($B$833="Лікар загальної практики - сімейний лікар",O836*S833,0)))</f>
        <v>0</v>
      </c>
      <c r="P833" s="196">
        <f>IF($B$833="Лікар-педіатр","x",IF($B$833="Лікар-терапевт",P836*S833,IF($B$833="Лікар загальної практики - сімейний лікар",P836*S833,0)))</f>
        <v>0</v>
      </c>
      <c r="Q833" s="196">
        <f>IF($B$833="Лікар-педіатр","x",IF($B$833="Лікар-терапевт",Q836*S833,IF($B$833="Лікар загальної практики - сімейний лікар",Q836*S833,0)))</f>
        <v>0</v>
      </c>
      <c r="R833" s="196">
        <f>IF($B$833="Лікар-педіатр","x",IF($B$833="Лікар-терапевт",R836*S833,IF($B$833="Лікар загальної практики - сімейний лікар",R836*S833,0)))</f>
        <v>0</v>
      </c>
      <c r="S833" s="558"/>
      <c r="T833" s="929"/>
      <c r="U833" s="196">
        <f>IF($B$833="Лікар-педіатр",U836*Z833,IF($B$833="Лікар-терапевт","х",IF($B$833="Лікар загальної практики - сімейний лікар",U836*Z833,0)))</f>
        <v>0</v>
      </c>
      <c r="V833" s="196">
        <f>IF($B$833="Лікар-педіатр",V836*Z833,IF($B$833="Лікар-терапевт","х",IF($B$833="Лікар загальної практики - сімейний лікар",V836*Z833,0)))</f>
        <v>0</v>
      </c>
      <c r="W833" s="196">
        <f>IF($B$833="Лікар-педіатр","x",IF($B$833="Лікар-терапевт",W836*Z833,IF($B$833="Лікар загальної практики - сімейний лікар",W836*Z833,0)))</f>
        <v>0</v>
      </c>
      <c r="X833" s="196">
        <f>IF($B$833="Лікар-педіатр","x",IF($B$833="Лікар-терапевт",X836*Z833,IF($B$833="Лікар загальної практики - сімейний лікар",X836*Z833,0)))</f>
        <v>0</v>
      </c>
      <c r="Y833" s="196">
        <f>IF($B$833="Лікар-педіатр","x",IF($B$833="Лікар-терапевт",Y836*Z833,IF($B$833="Лікар загальної практики - сімейний лікар",Y836*Z833,0)))</f>
        <v>0</v>
      </c>
      <c r="Z833" s="558"/>
      <c r="AA833" s="929"/>
      <c r="AB833" s="196">
        <f>IF($B$833="Лікар-педіатр",AB836*AG833,IF($B$833="Лікар-терапевт","х",IF($B$833="Лікар загальної практики - сімейний лікар",AB836*AG833,0)))</f>
        <v>0</v>
      </c>
      <c r="AC833" s="196">
        <f>IF($B$833="Лікар-педіатр",AC836*AG833,IF($B$833="Лікар-терапевт","х",IF($B$833="Лікар загальної практики - сімейний лікар",AC836*AG833,0)))</f>
        <v>0</v>
      </c>
      <c r="AD833" s="196">
        <f>IF($B$833="Лікар-педіатр","x",IF($B$833="Лікар-терапевт",AD836*AG833,IF($B$833="Лікар загальної практики - сімейний лікар",AD836*AG833,0)))</f>
        <v>0</v>
      </c>
      <c r="AE833" s="196">
        <f>IF($B$833="Лікар-педіатр","x",IF($B$833="Лікар-терапевт",AE836*AG833,IF($B$833="Лікар загальної практики - сімейний лікар",AE836*AG833,0)))</f>
        <v>0</v>
      </c>
      <c r="AF833" s="196">
        <f>IF($B$833="Лікар-педіатр","x",IF($B$833="Лікар-терапевт",AF836*AG833,IF($B$833="Лікар загальної практики - сімейний лікар",AF836*AG833,0)))</f>
        <v>0</v>
      </c>
      <c r="AG833" s="558"/>
      <c r="AH833" s="929"/>
      <c r="AI833" s="541">
        <f>A833</f>
        <v>62</v>
      </c>
      <c r="AJ833" s="932">
        <f>B833</f>
        <v>0</v>
      </c>
      <c r="AK833" s="926">
        <f>C833</f>
        <v>0</v>
      </c>
      <c r="AL833" s="926">
        <f>D833</f>
        <v>0</v>
      </c>
      <c r="AM833" s="901" t="s">
        <v>785</v>
      </c>
      <c r="AN833" s="923">
        <f>SUM(AN838:AN844)</f>
        <v>0</v>
      </c>
      <c r="AO833" s="923">
        <f>SUM(AO838:AO844)</f>
        <v>0</v>
      </c>
      <c r="AP833" s="923">
        <f>SUM(AP838:AP844)</f>
        <v>0</v>
      </c>
      <c r="AQ833" s="923">
        <f>SUM(AQ838:AQ844)</f>
        <v>0</v>
      </c>
      <c r="AR833" s="914">
        <f>SUM(AN833:AQ837)</f>
        <v>0</v>
      </c>
    </row>
    <row r="834" spans="1:44" s="50" customFormat="1" ht="28.15" hidden="1" customHeight="1">
      <c r="A834" s="197"/>
      <c r="B834" s="893"/>
      <c r="C834" s="896"/>
      <c r="D834" s="912"/>
      <c r="E834" s="909"/>
      <c r="F834" s="234" t="s">
        <v>583</v>
      </c>
      <c r="G834" s="196">
        <f>IF($B$833="Лікар-педіатр",G836*L834,IF($B$833="Лікар-терапевт","х",IF($B$833="Лікар загальної практики - сімейний лікар",G836*L834,0)))</f>
        <v>0</v>
      </c>
      <c r="H834" s="196">
        <f>IF($B$833="Лікар-педіатр",H836*L834,IF($B$833="Лікар-терапевт","х",IF($B$833="Лікар загальної практики - сімейний лікар",H836*L834,0)))</f>
        <v>0</v>
      </c>
      <c r="I834" s="196">
        <f>IF($B$833="Лікар-педіатр","x",IF($B$833="Лікар-терапевт",I836*L834,IF($B$833="Лікар загальної практики - сімейний лікар",I836*L834,0)))</f>
        <v>0</v>
      </c>
      <c r="J834" s="196">
        <f>IF($B$833="Лікар-педіатр","x",IF($B$833="Лікар-терапевт",J836*L834,IF($B$833="Лікар загальної практики - сімейний лікар",J836*L834,0)))</f>
        <v>0</v>
      </c>
      <c r="K834" s="196">
        <f>IF($B$833="Лікар-педіатр","x",IF($B$833="Лікар-терапевт",K836*L834,IF($B$833="Лікар загальної практики - сімейний лікар",K836*L834,0)))</f>
        <v>0</v>
      </c>
      <c r="L834" s="558"/>
      <c r="M834" s="930"/>
      <c r="N834" s="196">
        <f>IF($B$833="Лікар-педіатр",N836*S834,IF($B$833="Лікар-терапевт","х",IF($B$833="Лікар загальної практики - сімейний лікар",N836*S834,0)))</f>
        <v>0</v>
      </c>
      <c r="O834" s="196">
        <f>IF($B$833="Лікар-педіатр",O836*S834,IF($B$833="Лікар-терапевт","х",IF($B$833="Лікар загальної практики - сімейний лікар",O836*S834,0)))</f>
        <v>0</v>
      </c>
      <c r="P834" s="196">
        <f>IF($B$833="Лікар-педіатр","x",IF($B$833="Лікар-терапевт",P836*S834,IF($B$833="Лікар загальної практики - сімейний лікар",P836*S834,0)))</f>
        <v>0</v>
      </c>
      <c r="Q834" s="196">
        <f>IF($B$833="Лікар-педіатр","x",IF($B$833="Лікар-терапевт",Q836*S834,IF($B$833="Лікар загальної практики - сімейний лікар",Q836*S834,0)))</f>
        <v>0</v>
      </c>
      <c r="R834" s="196">
        <f>IF($B$833="Лікар-педіатр","x",IF($B$833="Лікар-терапевт",R836*S834,IF($B$833="Лікар загальної практики - сімейний лікар",R836*S834,0)))</f>
        <v>0</v>
      </c>
      <c r="S834" s="558"/>
      <c r="T834" s="930"/>
      <c r="U834" s="196">
        <f>IF($B$833="Лікар-педіатр",U836*Z834,IF($B$833="Лікар-терапевт","х",IF($B$833="Лікар загальної практики - сімейний лікар",U836*Z834,0)))</f>
        <v>0</v>
      </c>
      <c r="V834" s="196">
        <f>IF($B$833="Лікар-педіатр",V836*Z834,IF($B$833="Лікар-терапевт","х",IF($B$833="Лікар загальної практики - сімейний лікар",V836*Z834,0)))</f>
        <v>0</v>
      </c>
      <c r="W834" s="196">
        <f>IF($B$833="Лікар-педіатр","x",IF($B$833="Лікар-терапевт",W836*Z834,IF($B$833="Лікар загальної практики - сімейний лікар",W836*Z834,0)))</f>
        <v>0</v>
      </c>
      <c r="X834" s="196">
        <f>IF($B$833="Лікар-педіатр","x",IF($B$833="Лікар-терапевт",X836*Z834,IF($B$833="Лікар загальної практики - сімейний лікар",X836*Z834,0)))</f>
        <v>0</v>
      </c>
      <c r="Y834" s="196">
        <f>IF($B$833="Лікар-педіатр","x",IF($B$833="Лікар-терапевт",Y836*Z834,IF($B$833="Лікар загальної практики - сімейний лікар",Y836*Z834,0)))</f>
        <v>0</v>
      </c>
      <c r="Z834" s="558"/>
      <c r="AA834" s="930"/>
      <c r="AB834" s="196">
        <f>IF($B$833="Лікар-педіатр",AB836*AG834,IF($B$833="Лікар-терапевт","х",IF($B$833="Лікар загальної практики - сімейний лікар",AB836*AG834,0)))</f>
        <v>0</v>
      </c>
      <c r="AC834" s="196">
        <f>IF($B$833="Лікар-педіатр",AC836*AG834,IF($B$833="Лікар-терапевт","х",IF($B$833="Лікар загальної практики - сімейний лікар",AC836*AG834,0)))</f>
        <v>0</v>
      </c>
      <c r="AD834" s="196">
        <f>IF($B$833="Лікар-педіатр","x",IF($B$833="Лікар-терапевт",AD836*AG834,IF($B$833="Лікар загальної практики - сімейний лікар",AD836*AG834,0)))</f>
        <v>0</v>
      </c>
      <c r="AE834" s="196">
        <f>IF($B$833="Лікар-педіатр","x",IF($B$833="Лікар-терапевт",AE836*AG834,IF($B$833="Лікар загальної практики - сімейний лікар",AE836*AG834,0)))</f>
        <v>0</v>
      </c>
      <c r="AF834" s="196">
        <f>IF($B$833="Лікар-педіатр","x",IF($B$833="Лікар-терапевт",AF836*AG834,IF($B$833="Лікар загальної практики - сімейний лікар",AF836*AG834,0)))</f>
        <v>0</v>
      </c>
      <c r="AG834" s="558"/>
      <c r="AH834" s="930"/>
      <c r="AI834" s="198"/>
      <c r="AJ834" s="933"/>
      <c r="AK834" s="927"/>
      <c r="AL834" s="927"/>
      <c r="AM834" s="902"/>
      <c r="AN834" s="924"/>
      <c r="AO834" s="924"/>
      <c r="AP834" s="924"/>
      <c r="AQ834" s="924"/>
      <c r="AR834" s="915"/>
    </row>
    <row r="835" spans="1:44" s="90" customFormat="1" ht="31.15" hidden="1" customHeight="1">
      <c r="A835" s="240"/>
      <c r="B835" s="893"/>
      <c r="C835" s="896"/>
      <c r="D835" s="912"/>
      <c r="E835" s="909"/>
      <c r="F835" s="241" t="s">
        <v>584</v>
      </c>
      <c r="G835" s="199">
        <f>IF(B833="Лікар загальної практики - сімейний лікар"," ",IF(B833="Лікар-педіатр"," ",IF(B833="Лікар-терапевт","х",0)))</f>
        <v>0</v>
      </c>
      <c r="H835" s="199">
        <f>IF(B833="Лікар загальної практики - сімейний лікар"," ",IF(B833="Лікар-педіатр"," ",IF(B833="Лікар-терапевт","х",0)))</f>
        <v>0</v>
      </c>
      <c r="I835" s="199">
        <f>IF(B833="Лікар загальної практики - сімейний лікар"," ",IF(B833="Лікар-педіатр","х",IF(B833="Лікар-терапевт"," ",0)))</f>
        <v>0</v>
      </c>
      <c r="J835" s="199">
        <f>IF(B833="Лікар загальної практики - сімейний лікар"," ",IF(B833="Лікар-педіатр","х",IF(B833="Лікар-терапевт"," ",0)))</f>
        <v>0</v>
      </c>
      <c r="K835" s="199">
        <f>IF(B833="Лікар загальної практики - сімейний лікар"," ",IF(B833="Лікар-педіатр","х",IF(B833="Лікар-терапевт"," ",0)))</f>
        <v>0</v>
      </c>
      <c r="L835" s="200">
        <f>SUM(G835:K835)</f>
        <v>0</v>
      </c>
      <c r="M835" s="930"/>
      <c r="N835" s="199">
        <f>IF(B833="Лікар загальної практики - сімейний лікар"," ",IF(B833="Лікар-педіатр"," ",IF(B833="Лікар-терапевт","х",0)))</f>
        <v>0</v>
      </c>
      <c r="O835" s="199">
        <f>IF(B833="Лікар загальної практики - сімейний лікар"," ",IF(B833="Лікар-педіатр"," ",IF(B833="Лікар-терапевт","х",0)))</f>
        <v>0</v>
      </c>
      <c r="P835" s="199">
        <f>IF(B833="Лікар загальної практики - сімейний лікар"," ",IF(B833="Лікар-педіатр","х",IF(B833="Лікар-терапевт"," ",0)))</f>
        <v>0</v>
      </c>
      <c r="Q835" s="199">
        <f>IF(B833="Лікар загальної практики - сімейний лікар"," ",IF(B833="Лікар-педіатр","х",IF(B833="Лікар-терапевт"," ",0)))</f>
        <v>0</v>
      </c>
      <c r="R835" s="199">
        <f>IF(B833="Лікар загальної практики - сімейний лікар"," ",IF(B833="Лікар-педіатр","х",IF(B833="Лікар-терапевт"," ",0)))</f>
        <v>0</v>
      </c>
      <c r="S835" s="200">
        <f>SUM(N835:R835)</f>
        <v>0</v>
      </c>
      <c r="T835" s="930"/>
      <c r="U835" s="199">
        <f>IF(B833="Лікар загальної практики - сімейний лікар"," ",IF(B833="Лікар-педіатр"," ",IF(B833="Лікар-терапевт","х",0)))</f>
        <v>0</v>
      </c>
      <c r="V835" s="199">
        <f>IF(B833="Лікар загальної практики - сімейний лікар"," ",IF(B833="Лікар-педіатр"," ",IF(B833="Лікар-терапевт","х",0)))</f>
        <v>0</v>
      </c>
      <c r="W835" s="199">
        <f>IF(B833="Лікар загальної практики - сімейний лікар"," ",IF(B833="Лікар-педіатр","х",IF(B833="Лікар-терапевт"," ",0)))</f>
        <v>0</v>
      </c>
      <c r="X835" s="199">
        <f>IF(B833="Лікар загальної практики - сімейний лікар"," ",IF(B833="Лікар-педіатр","х",IF(B833="Лікар-терапевт"," ",0)))</f>
        <v>0</v>
      </c>
      <c r="Y835" s="199">
        <f>IF(B833="Лікар загальної практики - сімейний лікар"," ",IF(B833="Лікар-педіатр","х",IF(B833="Лікар-терапевт"," ",0)))</f>
        <v>0</v>
      </c>
      <c r="Z835" s="200">
        <f>SUM(U835:Y835)</f>
        <v>0</v>
      </c>
      <c r="AA835" s="930"/>
      <c r="AB835" s="199">
        <f>IF(B833="Лікар загальної практики - сімейний лікар"," ",IF(B833="Лікар-педіатр"," ",IF(B833="Лікар-терапевт","х",0)))</f>
        <v>0</v>
      </c>
      <c r="AC835" s="199">
        <f>IF(B833="Лікар загальної практики - сімейний лікар"," ",IF(B833="Лікар-педіатр"," ",IF(B833="Лікар-терапевт","х",0)))</f>
        <v>0</v>
      </c>
      <c r="AD835" s="199">
        <f>IF(B833="Лікар загальної практики - сімейний лікар"," ",IF(B833="Лікар-педіатр","х",IF(B833="Лікар-терапевт"," ",0)))</f>
        <v>0</v>
      </c>
      <c r="AE835" s="199">
        <f>IF(B833="Лікар загальної практики - сімейний лікар"," ",IF(B833="Лікар-педіатр","х",IF(B833="Лікар-терапевт"," ",0)))</f>
        <v>0</v>
      </c>
      <c r="AF835" s="199">
        <f>IF(B833="Лікар загальної практики - сімейний лікар"," ",IF(B833="Лікар-педіатр","х",IF(B833="Лікар-терапевт"," ",0)))</f>
        <v>0</v>
      </c>
      <c r="AG835" s="200">
        <f>SUM(AB835:AF835)</f>
        <v>0</v>
      </c>
      <c r="AH835" s="930"/>
      <c r="AI835" s="242"/>
      <c r="AJ835" s="933"/>
      <c r="AK835" s="927"/>
      <c r="AL835" s="927"/>
      <c r="AM835" s="902"/>
      <c r="AN835" s="924"/>
      <c r="AO835" s="924"/>
      <c r="AP835" s="924"/>
      <c r="AQ835" s="924"/>
      <c r="AR835" s="915"/>
    </row>
    <row r="836" spans="1:44" s="50" customFormat="1" ht="31.9" hidden="1" customHeight="1" thickBot="1">
      <c r="A836" s="197"/>
      <c r="B836" s="893"/>
      <c r="C836" s="896"/>
      <c r="D836" s="912"/>
      <c r="E836" s="909"/>
      <c r="F836" s="236" t="s">
        <v>349</v>
      </c>
      <c r="G836" s="203">
        <f>IF($B$833="Лікар-педіатр",G835/L835,IF($B$833="Лікар-терапевт","х",IF($B$833="Лікар загальної практики - сімейний лікар",G835/L835,0)))</f>
        <v>0</v>
      </c>
      <c r="H836" s="203">
        <f>IF($B$833="Лікар-педіатр",H835/L835,IF($B$833="Лікар-терапевт","х",IF($B$833="Лікар загальної практики - сімейний лікар",H835/L835,0)))</f>
        <v>0</v>
      </c>
      <c r="I836" s="203">
        <f>IF($B$833="Лікар-педіатр","x",IF($B$833="Лікар-терапевт",I835/L835,IF($B$833="Лікар загальної практики - сімейний лікар",I835/L835,0)))</f>
        <v>0</v>
      </c>
      <c r="J836" s="203">
        <f>IF($B$833="Лікар-педіатр","x",IF($B$833="Лікар-терапевт",J835/L835,IF($B$833="Лікар загальної практики - сімейний лікар",J835/L835,0)))</f>
        <v>0</v>
      </c>
      <c r="K836" s="203">
        <f>IF($B$833="Лікар-педіатр","x",IF($B$833="Лікар-терапевт",K835/L835,IF($B$833="Лікар загальної практики - сімейний лікар",K835/L835,0)))</f>
        <v>0</v>
      </c>
      <c r="L836" s="203">
        <f>SUM(G836:K836)</f>
        <v>0</v>
      </c>
      <c r="M836" s="930"/>
      <c r="N836" s="203">
        <f>IF($B$833="Лікар-педіатр",N835/S835,IF($B$833="Лікар-терапевт","х",IF($B$833="Лікар загальної практики - сімейний лікар",N835/S835,0)))</f>
        <v>0</v>
      </c>
      <c r="O836" s="203">
        <f>IF($B$833="Лікар-педіатр",O835/S835,IF($B$833="Лікар-терапевт","х",IF($B$833="Лікар загальної практики - сімейний лікар",O835/S835,0)))</f>
        <v>0</v>
      </c>
      <c r="P836" s="203">
        <f>IF($B$833="Лікар-педіатр","x",IF($B$833="Лікар-терапевт",P835/S835,IF($B$833="Лікар загальної практики - сімейний лікар",P835/S835,0)))</f>
        <v>0</v>
      </c>
      <c r="Q836" s="203">
        <f>IF($B$833="Лікар-педіатр","x",IF($B$833="Лікар-терапевт",Q835/S835,IF($B$833="Лікар загальної практики - сімейний лікар",Q835/S835,0)))</f>
        <v>0</v>
      </c>
      <c r="R836" s="203">
        <f>IF($B$833="Лікар-педіатр","x",IF($B$833="Лікар-терапевт",R835/S835,IF($B$833="Лікар загальної практики - сімейний лікар",R835/S835,0)))</f>
        <v>0</v>
      </c>
      <c r="S836" s="203">
        <f>SUM(N836:R836)</f>
        <v>0</v>
      </c>
      <c r="T836" s="930"/>
      <c r="U836" s="203">
        <f>IF($B$833="Лікар-педіатр",U835/Z835,IF($B$833="Лікар-терапевт","х",IF($B$833="Лікар загальної практики - сімейний лікар",U835/Z835,0)))</f>
        <v>0</v>
      </c>
      <c r="V836" s="203">
        <f>IF($B$833="Лікар-педіатр",V835/Z835,IF($B$833="Лікар-терапевт","х",IF($B$833="Лікар загальної практики - сімейний лікар",V835/Z835,0)))</f>
        <v>0</v>
      </c>
      <c r="W836" s="203">
        <f>IF($B$833="Лікар-педіатр","x",IF($B$833="Лікар-терапевт",W835/Z835,IF($B$833="Лікар загальної практики - сімейний лікар",W835/Z835,0)))</f>
        <v>0</v>
      </c>
      <c r="X836" s="203">
        <f>IF($B$833="Лікар-педіатр","x",IF($B$833="Лікар-терапевт",X835/Z835,IF($B$833="Лікар загальної практики - сімейний лікар",X835/Z835,0)))</f>
        <v>0</v>
      </c>
      <c r="Y836" s="203">
        <f>IF($B$833="Лікар-педіатр","x",IF($B$833="Лікар-терапевт",Y835/Z835,IF($B$833="Лікар загальної практики - сімейний лікар",Y835/Z835,0)))</f>
        <v>0</v>
      </c>
      <c r="Z836" s="203">
        <f>SUM(U836:Y836)</f>
        <v>0</v>
      </c>
      <c r="AA836" s="930"/>
      <c r="AB836" s="203">
        <f>IF($B$833="Лікар-педіатр",AB835/AG835,IF($B$833="Лікар-терапевт","х",IF($B$833="Лікар загальної практики - сімейний лікар",AB835/AG835,0)))</f>
        <v>0</v>
      </c>
      <c r="AC836" s="203">
        <f>IF($B$833="Лікар-педіатр",AC835/AG835,IF($B$833="Лікар-терапевт","х",IF($B$833="Лікар загальної практики - сімейний лікар",AC835/AG835,0)))</f>
        <v>0</v>
      </c>
      <c r="AD836" s="203">
        <f>IF($B$833="Лікар-педіатр","x",IF($B$833="Лікар-терапевт",AD835/AG835,IF($B$833="Лікар загальної практики - сімейний лікар",AD835/AG835,0)))</f>
        <v>0</v>
      </c>
      <c r="AE836" s="203">
        <f>IF($B$833="Лікар-педіатр","x",IF($B$833="Лікар-терапевт",AE835/AG835,IF($B$833="Лікар загальної практики - сімейний лікар",AE835/AG835,0)))</f>
        <v>0</v>
      </c>
      <c r="AF836" s="203">
        <f>IF($B$833="Лікар-педіатр","x",IF($B$833="Лікар-терапевт",AF835/AG835,IF($B$833="Лікар загальної практики - сімейний лікар",AF835/AG835,0)))</f>
        <v>0</v>
      </c>
      <c r="AG836" s="203">
        <f>SUM(AB836:AF836)</f>
        <v>0</v>
      </c>
      <c r="AH836" s="930"/>
      <c r="AI836" s="201"/>
      <c r="AJ836" s="933"/>
      <c r="AK836" s="927"/>
      <c r="AL836" s="927"/>
      <c r="AM836" s="902"/>
      <c r="AN836" s="924"/>
      <c r="AO836" s="924"/>
      <c r="AP836" s="924"/>
      <c r="AQ836" s="924"/>
      <c r="AR836" s="915"/>
    </row>
    <row r="837" spans="1:44" s="50" customFormat="1" ht="45" hidden="1" customHeight="1" thickBot="1">
      <c r="A837" s="197"/>
      <c r="B837" s="893"/>
      <c r="C837" s="896"/>
      <c r="D837" s="912"/>
      <c r="E837" s="909"/>
      <c r="F837" s="204" t="s">
        <v>585</v>
      </c>
      <c r="G837" s="205">
        <f>IF($B$833="Лікар загальної практики - сімейний лікар",AVERAGE(G833:G835),IF($B$833="Лікар-педіатр",AVERAGE(G833:G835),IF($B$833="Лікар-терапевт","х",0)))</f>
        <v>0</v>
      </c>
      <c r="H837" s="205">
        <f>IF($B$833="Лікар загальної практики - сімейний лікар",AVERAGE(H833:H835),IF($B$833="Лікар-педіатр",AVERAGE(H833:H835),IF($B$833="Лікар-терапевт","х",0)))</f>
        <v>0</v>
      </c>
      <c r="I837" s="205">
        <f>IF($B$833="Лікар загальної практики - сімейний лікар",AVERAGE(I833:I835),IF($B$833="Лікар-педіатр","x",IF($B$833="Лікар-терапевт",AVERAGE(I833:I835),0)))</f>
        <v>0</v>
      </c>
      <c r="J837" s="205">
        <f>IF($B$833="Лікар загальної практики - сімейний лікар",AVERAGE(J833:J835),IF($B$833="Лікар-педіатр","x",IF($B$833="Лікар-терапевт",AVERAGE(J833:J835),0)))</f>
        <v>0</v>
      </c>
      <c r="K837" s="205">
        <f>IF($B$833="Лікар загальної практики - сімейний лікар",AVERAGE(K833:K835),IF($B$833="Лікар-педіатр","x",IF($B$833="Лікар-терапевт",AVERAGE(K833:K835),0)))</f>
        <v>0</v>
      </c>
      <c r="L837" s="206">
        <f>SUM(G837:K837)</f>
        <v>0</v>
      </c>
      <c r="M837" s="930"/>
      <c r="N837" s="205">
        <f>IF($B$833="Лікар загальної практики - сімейний лікар",AVERAGE(N833:N835),IF($B$833="Лікар-педіатр",AVERAGE(N833:N835),IF($B$833="Лікар-терапевт","х",0)))</f>
        <v>0</v>
      </c>
      <c r="O837" s="205">
        <f>IF($B$833="Лікар загальної практики - сімейний лікар",AVERAGE(O833:O835),IF($B$833="Лікар-педіатр",AVERAGE(O833:O835),IF($B$833="Лікар-терапевт","х",0)))</f>
        <v>0</v>
      </c>
      <c r="P837" s="205">
        <f>IF($B$833="Лікар загальної практики - сімейний лікар",AVERAGE(P833:P835),IF($B$833="Лікар-педіатр","x",IF($B$833="Лікар-терапевт",AVERAGE(P833:P835),0)))</f>
        <v>0</v>
      </c>
      <c r="Q837" s="205">
        <f>IF($B$833="Лікар загальної практики - сімейний лікар",AVERAGE(Q833:Q835),IF($B$833="Лікар-педіатр","x",IF($B$833="Лікар-терапевт",AVERAGE(Q833:Q835),0)))</f>
        <v>0</v>
      </c>
      <c r="R837" s="205">
        <f>IF($B$833="Лікар загальної практики - сімейний лікар",AVERAGE(R833:R835),IF($B$833="Лікар-педіатр","x",IF($B$833="Лікар-терапевт",AVERAGE(R833:R835),0)))</f>
        <v>0</v>
      </c>
      <c r="S837" s="206">
        <f>SUM(N837:R837)</f>
        <v>0</v>
      </c>
      <c r="T837" s="930"/>
      <c r="U837" s="205">
        <f>IF($B$833="Лікар загальної практики - сімейний лікар",AVERAGE(U833:U835),IF($B$833="Лікар-педіатр",AVERAGE(U833:U835),IF($B$833="Лікар-терапевт","х",0)))</f>
        <v>0</v>
      </c>
      <c r="V837" s="205">
        <f>IF($B$833="Лікар загальної практики - сімейний лікар",AVERAGE(V833:V835),IF($B$833="Лікар-педіатр",AVERAGE(V833:V835),IF($B$833="Лікар-терапевт","х",0)))</f>
        <v>0</v>
      </c>
      <c r="W837" s="205">
        <f>IF($B$833="Лікар загальної практики - сімейний лікар",AVERAGE(W833:W835),IF($B$833="Лікар-педіатр","x",IF($B$833="Лікар-терапевт",AVERAGE(W833:W835),0)))</f>
        <v>0</v>
      </c>
      <c r="X837" s="205">
        <f>IF($B$833="Лікар загальної практики - сімейний лікар",AVERAGE(X833:X835),IF($B$833="Лікар-педіатр","x",IF($B$833="Лікар-терапевт",AVERAGE(X833:X835),0)))</f>
        <v>0</v>
      </c>
      <c r="Y837" s="205">
        <f>IF($B$833="Лікар загальної практики - сімейний лікар",AVERAGE(Y833:Y835),IF($B$833="Лікар-педіатр","x",IF($B$833="Лікар-терапевт",AVERAGE(Y833:Y835),0)))</f>
        <v>0</v>
      </c>
      <c r="Z837" s="206">
        <f>SUM(U837:Y837)</f>
        <v>0</v>
      </c>
      <c r="AA837" s="930"/>
      <c r="AB837" s="205">
        <f>IF($B$833="Лікар загальної практики - сімейний лікар",AVERAGE(AB833:AB835),IF($B$833="Лікар-педіатр",AVERAGE(AB833:AB835),IF($B$833="Лікар-терапевт","х",0)))</f>
        <v>0</v>
      </c>
      <c r="AC837" s="205">
        <f>IF($B$833="Лікар загальної практики - сімейний лікар",AVERAGE(AC833:AC835),IF($B$833="Лікар-педіатр",AVERAGE(AC833:AC835),IF($B$833="Лікар-терапевт","х",0)))</f>
        <v>0</v>
      </c>
      <c r="AD837" s="205">
        <f>IF($B$833="Лікар загальної практики - сімейний лікар",AVERAGE(AD833:AD835),IF($B$833="Лікар-педіатр","x",IF($B$833="Лікар-терапевт",AVERAGE(AD833:AD835),0)))</f>
        <v>0</v>
      </c>
      <c r="AE837" s="205">
        <f>IF($B$833="Лікар загальної практики - сімейний лікар",AVERAGE(AE833:AE835),IF($B$833="Лікар-педіатр","x",IF($B$833="Лікар-терапевт",AVERAGE(AE833:AE835),0)))</f>
        <v>0</v>
      </c>
      <c r="AF837" s="205">
        <f>IF($B$833="Лікар загальної практики - сімейний лікар",AVERAGE(AF833:AF835),IF($B$833="Лікар-педіатр","x",IF($B$833="Лікар-терапевт",AVERAGE(AF833:AF835),0)))</f>
        <v>0</v>
      </c>
      <c r="AG837" s="206">
        <f>SUM(AB837:AF837)</f>
        <v>0</v>
      </c>
      <c r="AH837" s="930"/>
      <c r="AI837" s="201"/>
      <c r="AJ837" s="933"/>
      <c r="AK837" s="927"/>
      <c r="AL837" s="927"/>
      <c r="AM837" s="903"/>
      <c r="AN837" s="925"/>
      <c r="AO837" s="925"/>
      <c r="AP837" s="925"/>
      <c r="AQ837" s="925"/>
      <c r="AR837" s="916"/>
    </row>
    <row r="838" spans="1:44" s="50" customFormat="1" ht="40.5" hidden="1">
      <c r="A838" s="197"/>
      <c r="B838" s="893"/>
      <c r="C838" s="896"/>
      <c r="D838" s="912"/>
      <c r="E838" s="909"/>
      <c r="F838" s="237" t="str">
        <f ca="1">IF(B833="Лікар-педіатр",Законод!$C$17,IF(B833="Лікар загальної практики - сімейний лікар",Законод!$C$21,IF(B833="Лікар-терапевт",Законод!$C$25,"х")))</f>
        <v>х</v>
      </c>
      <c r="G838" s="208">
        <f ca="1">IF($B$833="Лікар загальної практики - сімейний лікар",IF(L837&lt;=Законод!$C$22,G837,Законод!$C$22*'01_Доходи'!G836),IF($B$833="Лікар-педіатр",IF(L837&lt;=Законод!$C$18,G837,Законод!$C$18*'01_Доходи'!G836),IF($B$833="Лікар-терапевт","x",0)))</f>
        <v>0</v>
      </c>
      <c r="H838" s="208">
        <f ca="1">IF($B$833="Лікар загальної практики - сімейний лікар",IF(L837&lt;=Законод!$C$22,H837,Законод!$C$22*'01_Доходи'!H836),IF($B$833="Лікар-педіатр",IF(L837&lt;=Законод!$C$18,H837,Законод!$C$18*'01_Доходи'!H836),IF($B$833="Лікар-терапевт","x",0)))</f>
        <v>0</v>
      </c>
      <c r="I838" s="208">
        <f ca="1">IF($B$833="Лікар загальної практики - сімейний лікар",IF(L837&lt;=Законод!$C$22,I837,Законод!$C$22*'01_Доходи'!I836),IF($B$833="Лікар-педіатр","x",IF($B$833="Лікар-терапевт",IF(L837&lt;=Законод!$C$26,I837,Законод!$C$26*'01_Доходи'!I836),0)))</f>
        <v>0</v>
      </c>
      <c r="J838" s="208">
        <f ca="1">IF($B$833="Лікар загальної практики - сімейний лікар",IF(L837&lt;=Законод!$C$22,J837,Законод!$C$22*'01_Доходи'!J836),IF($B$833="Лікар-педіатр","x",IF($B$833="Лікар-терапевт",IF(L837&lt;=Законод!$C$26,J837,Законод!$C$26*'01_Доходи'!J836),0)))</f>
        <v>0</v>
      </c>
      <c r="K838" s="208">
        <f ca="1">IF($B$833="Лікар загальної практики - сімейний лікар",IF(L837&lt;=Законод!$C$22,K837,Законод!$C$22*'01_Доходи'!K836),IF($B$833="Лікар-педіатр","x",IF($B$833="Лікар-терапевт",IF(L837&lt;=Законод!$C$26,K837,Законод!$C$26*'01_Доходи'!K836),0)))</f>
        <v>0</v>
      </c>
      <c r="L838" s="209">
        <f ca="1">SUM(G838:K838)</f>
        <v>0</v>
      </c>
      <c r="M838" s="930"/>
      <c r="N838" s="208">
        <f ca="1">IF($B$833="Лікар загальної практики - сімейний лікар",IF(S837&lt;=Законод!$C$22,N837,Законод!$C$22*'01_Доходи'!N836),IF($B$833="Лікар-педіатр",IF(S837&lt;=Законод!$C$18,N837,Законод!$C$18*'01_Доходи'!N836),IF($B$833="Лікар-терапевт","x",0)))</f>
        <v>0</v>
      </c>
      <c r="O838" s="208">
        <f ca="1">IF($B$833="Лікар загальної практики - сімейний лікар",IF(S837&lt;=Законод!$C$22,O837,Законод!$C$22*'01_Доходи'!O836),IF($B$833="Лікар-педіатр",IF(S837&lt;=Законод!$C$18,O837,Законод!$C$18*'01_Доходи'!O836),IF($B$833="Лікар-терапевт","x",0)))</f>
        <v>0</v>
      </c>
      <c r="P838" s="208">
        <f ca="1">IF($B$833="Лікар загальної практики - сімейний лікар",IF(S837&lt;=Законод!$C$22,P837,Законод!$C$22*'01_Доходи'!P836),IF($B$833="Лікар-педіатр","x",IF($B$833="Лікар-терапевт",IF(S837&lt;=Законод!$C$26,P837,Законод!$C$26*'01_Доходи'!P836),0)))</f>
        <v>0</v>
      </c>
      <c r="Q838" s="208">
        <f ca="1">IF($B$833="Лікар загальної практики - сімейний лікар",IF(S837&lt;=Законод!$C$22,Q837,Законод!$C$22*'01_Доходи'!Q836),IF($B$833="Лікар-педіатр","x",IF($B$833="Лікар-терапевт",IF(S837&lt;=Законод!$C$26,Q837,Законод!$C$26*'01_Доходи'!Q836),0)))</f>
        <v>0</v>
      </c>
      <c r="R838" s="208">
        <f ca="1">IF($B$833="Лікар загальної практики - сімейний лікар",IF(S837&lt;=Законод!$C$22,R837,Законод!$C$22*'01_Доходи'!R836),IF($B$833="Лікар-педіатр","x",IF($B$833="Лікар-терапевт",IF(S837&lt;=Законод!$C$26,R837,Законод!$C$26*'01_Доходи'!R836),0)))</f>
        <v>0</v>
      </c>
      <c r="S838" s="209">
        <f ca="1">SUM(N838:R838)</f>
        <v>0</v>
      </c>
      <c r="T838" s="930"/>
      <c r="U838" s="208">
        <f ca="1">IF($B$833="Лікар загальної практики - сімейний лікар",IF(Z837&lt;=Законод!$C$22,U837,Законод!$C$22*'01_Доходи'!U836),IF($B$833="Лікар-педіатр",IF(Z837&lt;=Законод!$C$18,U837,Законод!$C$18*'01_Доходи'!U836),IF($B$833="Лікар-терапевт","x",0)))</f>
        <v>0</v>
      </c>
      <c r="V838" s="208">
        <f ca="1">IF($B$833="Лікар загальної практики - сімейний лікар",IF(Z837&lt;=Законод!$C$22,V837,Законод!$C$22*'01_Доходи'!V836),IF($B$833="Лікар-педіатр",IF(Z837&lt;=Законод!$C$18,V837,Законод!$C$18*'01_Доходи'!V836),IF($B$833="Лікар-терапевт","x",0)))</f>
        <v>0</v>
      </c>
      <c r="W838" s="208">
        <f ca="1">IF($B$833="Лікар загальної практики - сімейний лікар",IF(Z837&lt;=Законод!$C$22,W837,Законод!$C$22*'01_Доходи'!W836),IF($B$833="Лікар-педіатр","x",IF($B$833="Лікар-терапевт",IF(Z837&lt;=Законод!$C$26,W837,Законод!$C$26*'01_Доходи'!W836),0)))</f>
        <v>0</v>
      </c>
      <c r="X838" s="208">
        <f ca="1">IF($B$833="Лікар загальної практики - сімейний лікар",IF(Z837&lt;=Законод!$C$22,X837,Законод!$C$22*'01_Доходи'!X836),IF($B$833="Лікар-педіатр","x",IF($B$833="Лікар-терапевт",IF(Z837&lt;=Законод!$C$26,X837,Законод!$C$26*'01_Доходи'!X836),0)))</f>
        <v>0</v>
      </c>
      <c r="Y838" s="208">
        <f ca="1">IF($B$833="Лікар загальної практики - сімейний лікар",IF(Z837&lt;=Законод!$C$22,Y837,Законод!$C$22*'01_Доходи'!Y836),IF($B$833="Лікар-педіатр","x",IF($B$833="Лікар-терапевт",IF(Z837&lt;=Законод!$C$26,Y837,Законод!$C$26*'01_Доходи'!Y836),0)))</f>
        <v>0</v>
      </c>
      <c r="Z838" s="209">
        <f ca="1">SUM(U838:Y838)</f>
        <v>0</v>
      </c>
      <c r="AA838" s="930"/>
      <c r="AB838" s="208">
        <f ca="1">IF($B$833="Лікар загальної практики - сімейний лікар",IF(AG837&lt;=Законод!$C$22,AB837,Законод!$C$22*'01_Доходи'!AB836),IF($B$833="Лікар-педіатр",IF(AG837&lt;=Законод!$C$18,AB837,Законод!$C$18*'01_Доходи'!AB836),IF($B$833="Лікар-терапевт","x",0)))</f>
        <v>0</v>
      </c>
      <c r="AC838" s="208">
        <f ca="1">IF($B$833="Лікар загальної практики - сімейний лікар",IF(AG837&lt;=Законод!$C$22,AC837,Законод!$C$22*'01_Доходи'!AC836),IF($B$833="Лікар-педіатр",IF(AG837&lt;=Законод!$C$18,AC837,Законод!$C$18*'01_Доходи'!AC836),IF($B$833="Лікар-терапевт","x",0)))</f>
        <v>0</v>
      </c>
      <c r="AD838" s="208">
        <f ca="1">IF($B$833="Лікар загальної практики - сімейний лікар",IF(AG837&lt;=Законод!$C$22,AD837,Законод!$C$22*'01_Доходи'!AD836),IF($B$833="Лікар-педіатр","x",IF($B$833="Лікар-терапевт",IF(AG837&lt;=Законод!$C$26,AD837,Законод!$C$26*'01_Доходи'!AD836),0)))</f>
        <v>0</v>
      </c>
      <c r="AE838" s="208">
        <f ca="1">IF($B$833="Лікар загальної практики - сімейний лікар",IF(AG837&lt;=Законод!$C$22,AE837,Законод!$C$22*'01_Доходи'!AE836),IF($B$833="Лікар-педіатр","x",IF($B$833="Лікар-терапевт",IF(AG837&lt;=Законод!$C$26,AE837,Законод!$C$26*'01_Доходи'!AE836),0)))</f>
        <v>0</v>
      </c>
      <c r="AF838" s="208">
        <f ca="1">IF($B$833="Лікар загальної практики - сімейний лікар",IF(AG837&lt;=Законод!$C$22,AF837,Законод!$C$22*'01_Доходи'!AF836),IF($B$833="Лікар-педіатр","x",IF($B$833="Лікар-терапевт",IF(AG837&lt;=Законод!$C$26,AF837,Законод!$C$26*'01_Доходи'!AF836),0)))</f>
        <v>0</v>
      </c>
      <c r="AG838" s="209">
        <f ca="1">SUM(AB838:AF838)</f>
        <v>0</v>
      </c>
      <c r="AH838" s="930"/>
      <c r="AI838" s="201"/>
      <c r="AJ838" s="933"/>
      <c r="AK838" s="927"/>
      <c r="AL838" s="927"/>
      <c r="AM838" s="348" t="s">
        <v>374</v>
      </c>
      <c r="AN838" s="210">
        <f ca="1">IF(B833="Лікар загальної практики - сімейний лікар",G838*Законод!$C$11+'01_Доходи'!H838*Законод!$D$11+'01_Доходи'!I838*Законод!$E$11+'01_Доходи'!J838*Законод!$F$11+'01_Доходи'!K838*Законод!$G$11,IF(B833="Лікар-педіатр",G838*Законод!$C$11+'01_Доходи'!H838*Законод!$D$11,IF(B833="Лікар-терапевт",'01_Доходи'!I838*Законод!$E$11+'01_Доходи'!J838*Законод!$F$11+'01_Доходи'!K838*Законод!$G$11,0)))</f>
        <v>0</v>
      </c>
      <c r="AO838" s="210">
        <f ca="1">IF(B833="Лікар загальної практики - сімейний лікар",N838*Законод!$C$11+'01_Доходи'!O838*Законод!$D$11+'01_Доходи'!P838*Законод!$E$11+'01_Доходи'!Q838*Законод!$F$11+'01_Доходи'!R838*Законод!$G$11,IF(B833="Лікар-педіатр",N838*Законод!$C$11+'01_Доходи'!O838*Законод!$D$11,IF(B833="Лікар-терапевт",'01_Доходи'!P838*Законод!$E$11+'01_Доходи'!Q838*Законод!$F$11+'01_Доходи'!R838*Законод!$G$11,0)))</f>
        <v>0</v>
      </c>
      <c r="AP838" s="210">
        <f ca="1">IF(B833="Лікар загальної практики - сімейний лікар",U838*Законод!$C$11+'01_Доходи'!V838*Законод!$D$11+'01_Доходи'!W838*Законод!$E$11+'01_Доходи'!X838*Законод!$F$11+'01_Доходи'!Y838*Законод!$G$11,IF(B833="Лікар-педіатр",U838*Законод!$C$11+'01_Доходи'!V838*Законод!$D$11,IF(B833="Лікар-терапевт",'01_Доходи'!W838*Законод!$E$11+'01_Доходи'!X838*Законод!$F$11+'01_Доходи'!Y838*Законод!$G$11,0)))</f>
        <v>0</v>
      </c>
      <c r="AQ838" s="210">
        <f ca="1">IF(B833="Лікар загальної практики - сімейний лікар",AB838*Законод!$C$11+'01_Доходи'!AC838*Законод!$D$11+'01_Доходи'!AD838*Законод!$E$11+'01_Доходи'!AE838*Законод!$F$11+'01_Доходи'!AF838*Законод!$G$11,IF(B833="Лікар-педіатр",AB838*Законод!$C$11+'01_Доходи'!AC838*Законод!$D$11,IF(B833="Лікар-терапевт",'01_Доходи'!AD838*Законод!$E$11+'01_Доходи'!AE838*Законод!$F$11+'01_Доходи'!AF838*Законод!$G$11,0)))</f>
        <v>0</v>
      </c>
      <c r="AR838" s="211">
        <f t="shared" ref="AR838:AR844" si="91">SUM(AN838:AQ838)</f>
        <v>0</v>
      </c>
    </row>
    <row r="839" spans="1:44" s="50" customFormat="1" ht="31.9" hidden="1" customHeight="1">
      <c r="A839" s="197"/>
      <c r="B839" s="893"/>
      <c r="C839" s="896"/>
      <c r="D839" s="912"/>
      <c r="E839" s="909"/>
      <c r="F839" s="238" t="str">
        <f ca="1">IF(B833="Лікар-педіатр",Законод!$E$17,IF(B833="Лікар загальної практики - сімейний лікар",Законод!$E$21,IF(B833="Лікар-терапевт",Законод!$E$25,"х")))</f>
        <v>х</v>
      </c>
      <c r="G839" s="889" t="s">
        <v>346</v>
      </c>
      <c r="H839" s="890"/>
      <c r="I839" s="890"/>
      <c r="J839" s="890"/>
      <c r="K839" s="891"/>
      <c r="L839" s="196">
        <f ca="1">IF($B$833="Лікар загальної практики - сімейний лікар",IF(L837&lt;Законод!$C$22,0,(IF(AND(L837&gt;=Законод!$E$22,L837&lt;=Законод!$E$23),L837-Законод!$C$22,IF('01_Доходи'!L837&gt;=Законод!$F$22,Законод!$E$24,0)))),IF($B$833="Лікар-педіатр",IF(L837&lt;Законод!$C$18,0,(IF(AND(L837&gt;=Законод!$E$18,L837&lt;=Законод!$E$19),L837-Законод!$C$18,IF('01_Доходи'!L837&gt;=Законод!$F$18,Законод!$E$20,0)))),IF($B$833="Лікар-терапевт",IF(L837&lt;Законод!$C$26,0,(IF(AND(L837&gt;=Законод!$E$26,L837&lt;=Законод!$E$27),L837-Законод!$C$26,IF('01_Доходи'!L837&gt;=Законод!$F$26,Законод!$E$28,0)))),0)))</f>
        <v>0</v>
      </c>
      <c r="M839" s="930"/>
      <c r="N839" s="889" t="s">
        <v>346</v>
      </c>
      <c r="O839" s="890"/>
      <c r="P839" s="890"/>
      <c r="Q839" s="890"/>
      <c r="R839" s="891"/>
      <c r="S839" s="196">
        <f ca="1">IF($B$833="Лікар загальної практики - сімейний лікар",IF(S837&lt;Законод!$C$22,0,(IF(AND(S837&gt;=Законод!$E$22,S837&lt;=Законод!$E$23),S837-Законод!$C$22,IF('01_Доходи'!S837&gt;=Законод!$F$22,Законод!$E$24,0)))),IF($B$833="Лікар-педіатр",IF(S837&lt;Законод!$C$18,0,(IF(AND(S837&gt;=Законод!$E$18,S837&lt;=Законод!$E$19),S837-Законод!$C$18,IF('01_Доходи'!S837&gt;=Законод!$F$18,Законод!$E$20,0)))),IF($B$833="Лікар-терапевт",IF(S837&lt;Законод!$C$26,0,(IF(AND(S837&gt;=Законод!$E$26,S837&lt;=Законод!$E$27),S837-Законод!$C$26,IF('01_Доходи'!S837&gt;=Законод!$F$26,Законод!$E$28,0)))),0)))</f>
        <v>0</v>
      </c>
      <c r="T839" s="930"/>
      <c r="U839" s="889" t="s">
        <v>346</v>
      </c>
      <c r="V839" s="890"/>
      <c r="W839" s="890"/>
      <c r="X839" s="890"/>
      <c r="Y839" s="891"/>
      <c r="Z839" s="196">
        <f ca="1">IF($B$833="Лікар загальної практики - сімейний лікар",IF(Z837&lt;Законод!$C$22,0,(IF(AND(Z837&gt;=Законод!$E$22,Z837&lt;=Законод!$E$23),Z837-Законод!$C$22,IF('01_Доходи'!Z837&gt;=Законод!$F$22,Законод!$E$24,0)))),IF($B$833="Лікар-педіатр",IF(Z837&lt;Законод!$C$18,0,(IF(AND(Z837&gt;=Законод!$E$18,Z837&lt;=Законод!$E$19),Z837-Законод!$C$18,IF('01_Доходи'!Z837&gt;=Законод!$F$18,Законод!$E$20,0)))),IF($B$833="Лікар-терапевт",IF(Z837&lt;Законод!$C$26,0,(IF(AND(Z837&gt;=Законод!$E$26,Z837&lt;=Законод!$E$27),Z837-Законод!$C$26,IF('01_Доходи'!Z837&gt;=Законод!$F$26,Законод!$E$28,0)))),0)))</f>
        <v>0</v>
      </c>
      <c r="AA839" s="930"/>
      <c r="AB839" s="889" t="s">
        <v>346</v>
      </c>
      <c r="AC839" s="890"/>
      <c r="AD839" s="890"/>
      <c r="AE839" s="890"/>
      <c r="AF839" s="891"/>
      <c r="AG839" s="196">
        <f ca="1">IF($B$833="Лікар загальної практики - сімейний лікар",IF(AG837&lt;Законод!$C$22,0,(IF(AND(AG837&gt;=Законод!$E$22,AG837&lt;=Законод!$E$23),AG837-Законод!$C$22,IF('01_Доходи'!AG837&gt;=Законод!$F$22,Законод!$E$24,0)))),IF($B$833="Лікар-педіатр",IF(AG837&lt;Законод!$C$18,0,(IF(AND(AG837&gt;=Законод!$E$18,AG837&lt;=Законод!$E$19),AG837-Законод!$C$18,IF('01_Доходи'!AG837&gt;=Законод!$F$18,Законод!$E$20,0)))),IF($B$833="Лікар-терапевт",IF(AG837&lt;Законод!$C$26,0,(IF(AND(AG837&gt;=Законод!$E$26,AG837&lt;=Законод!$E$27),AG837-Законод!$C$26,IF('01_Доходи'!AG837&gt;=Законод!$F$26,Законод!$E$28,0)))),0)))</f>
        <v>0</v>
      </c>
      <c r="AH839" s="930"/>
      <c r="AI839" s="201"/>
      <c r="AJ839" s="933"/>
      <c r="AK839" s="927"/>
      <c r="AL839" s="927"/>
      <c r="AM839" s="898" t="s">
        <v>375</v>
      </c>
      <c r="AN839" s="210">
        <f ca="1">IF(B833="Лікар загальної практики - сімейний лікар",L839*Законод!$C$9/4*Законод!$E$16,IF(B833="Лікар-педіатр",L839*Законод!$C$9/4*Законод!$E$16,IF(B833="Лікар-терапевт",L839*Законод!$C$9/4*Законод!$E$16,0)))</f>
        <v>0</v>
      </c>
      <c r="AO839" s="210">
        <f ca="1">IF(B833="Лікар загальної практики - сімейний лікар",S839*Законод!$C$9/4*Законод!$E$16,IF(B833="Лікар-педіатр",S839*Законод!$C$9/4*Законод!$E$16,IF(B833="Лікар-терапевт",S839*Законод!$C$9/4*Законод!$E$16,0)))</f>
        <v>0</v>
      </c>
      <c r="AP839" s="210">
        <f ca="1">IF(B833="Лікар загальної практики - сімейний лікар",Z839*Законод!$C$9/4*Законод!$E$16,IF(B833="Лікар-педіатр",Z839*Законод!$C$9/4*Законод!$E$16,IF(B833="Лікар-терапевт",Z839*Законод!$C$9/4*Законод!$E$16,0)))</f>
        <v>0</v>
      </c>
      <c r="AQ839" s="210">
        <f ca="1">IF(B833="Лікар загальної практики - сімейний лікар",AG839*Законод!$C$9/4*Законод!$E$16,IF(B833="Лікар-педіатр",AG839*Законод!$C$9/4*Законод!$E$16,IF(B833="Лікар-терапевт",AG839*Законод!$C$9/4*Законод!$E$16,0)))</f>
        <v>0</v>
      </c>
      <c r="AR839" s="211">
        <f t="shared" si="91"/>
        <v>0</v>
      </c>
    </row>
    <row r="840" spans="1:44" s="50" customFormat="1" ht="31.9" hidden="1" customHeight="1">
      <c r="A840" s="197"/>
      <c r="B840" s="893"/>
      <c r="C840" s="896"/>
      <c r="D840" s="912"/>
      <c r="E840" s="909"/>
      <c r="F840" s="238" t="str">
        <f ca="1">IF(B833="Лікар-педіатр",Законод!$F$17,IF(B833="Лікар загальної практики - сімейний лікар",Законод!$F$21,IF(B833="Лікар-терапевт",Законод!$F$25,"х")))</f>
        <v>х</v>
      </c>
      <c r="G840" s="889" t="s">
        <v>346</v>
      </c>
      <c r="H840" s="890"/>
      <c r="I840" s="890"/>
      <c r="J840" s="890"/>
      <c r="K840" s="891"/>
      <c r="L840" s="196">
        <f ca="1">IF($B$833="Лікар загальної практики - сімейний лікар",IF(L837&lt;Законод!$C$22,0,(IF(AND(L837&gt;=Законод!$F$22,L837&lt;=Законод!$F$23),L837-Законод!$E$23,IF('01_Доходи'!L837&gt;=Законод!$G$22,Законод!$F$24,0)))),IF($B$833="Лікар-педіатр",IF(L837&lt;Законод!$C$18,0,(IF(AND(L837&gt;=Законод!$F$18,L837&lt;=Законод!$F$19),L837-Законод!$E$19,IF('01_Доходи'!L837&gt;=Законод!$G$18,Законод!$F$20,0)))),IF($B$833="Лікар-терапевт",IF(L837&lt;Законод!$C$26,0,(IF(AND(L837&gt;=Законод!$F$26,L837&lt;=Законод!$F$27),L837-Законод!$E$27,IF('01_Доходи'!L837&gt;=Законод!$G$26,Законод!$F$28,0)))),0)))</f>
        <v>0</v>
      </c>
      <c r="M840" s="930"/>
      <c r="N840" s="889" t="s">
        <v>346</v>
      </c>
      <c r="O840" s="890"/>
      <c r="P840" s="890"/>
      <c r="Q840" s="890"/>
      <c r="R840" s="891"/>
      <c r="S840" s="196">
        <f ca="1">IF($B$833="Лікар загальної практики - сімейний лікар",IF(S837&lt;Законод!$C$22,0,(IF(AND(S837&gt;=Законод!$F$22,S837&lt;=Законод!$F$23),S837-Законод!$E$23,IF('01_Доходи'!S837&gt;=Законод!$G$22,Законод!$F$24,0)))),IF($B$833="Лікар-педіатр",IF(S837&lt;Законод!$C$18,0,(IF(AND(S837&gt;=Законод!$F$18,S837&lt;=Законод!$F$19),S837-Законод!$E$19,IF('01_Доходи'!S837&gt;=Законод!$G$18,Законод!$F$20,0)))),IF($B$833="Лікар-терапевт",IF(S837&lt;Законод!$C$26,0,(IF(AND(S837&gt;=Законод!$F$26,S837&lt;=Законод!$F$27),S837-Законод!$E$27,IF('01_Доходи'!S837&gt;=Законод!$G$26,Законод!$F$28,0)))),0)))</f>
        <v>0</v>
      </c>
      <c r="T840" s="930"/>
      <c r="U840" s="889" t="s">
        <v>346</v>
      </c>
      <c r="V840" s="890"/>
      <c r="W840" s="890"/>
      <c r="X840" s="890"/>
      <c r="Y840" s="891"/>
      <c r="Z840" s="196">
        <f ca="1">IF($B$833="Лікар загальної практики - сімейний лікар",IF(Z837&lt;Законод!$C$22,0,(IF(AND(Z837&gt;=Законод!$F$22,Z837&lt;=Законод!$F$23),Z837-Законод!$E$23,IF('01_Доходи'!Z837&gt;=Законод!$G$22,Законод!$F$24,0)))),IF($B$833="Лікар-педіатр",IF(Z837&lt;Законод!$C$18,0,(IF(AND(Z837&gt;=Законод!$F$18,Z837&lt;=Законод!$F$19),Z837-Законод!$E$19,IF('01_Доходи'!Z837&gt;=Законод!$G$18,Законод!$F$20,0)))),IF($B$833="Лікар-терапевт",IF(Z837&lt;Законод!$C$26,0,(IF(AND(Z837&gt;=Законод!$F$26,Z837&lt;=Законод!$F$27),Z837-Законод!$E$27,IF('01_Доходи'!Z837&gt;=Законод!$G$26,Законод!$F$28,0)))),0)))</f>
        <v>0</v>
      </c>
      <c r="AA840" s="930"/>
      <c r="AB840" s="889" t="s">
        <v>346</v>
      </c>
      <c r="AC840" s="890"/>
      <c r="AD840" s="890"/>
      <c r="AE840" s="890"/>
      <c r="AF840" s="891"/>
      <c r="AG840" s="196">
        <f ca="1">IF($B$833="Лікар загальної практики - сімейний лікар",IF(AG837&lt;Законод!$C$22,0,(IF(AND(AG837&gt;=Законод!$F$22,AG837&lt;=Законод!$F$23),AG837-Законод!$E$23,IF('01_Доходи'!AG837&gt;=Законод!$G$22,Законод!$F$24,0)))),IF($B$833="Лікар-педіатр",IF(AG837&lt;Законод!$C$18,0,(IF(AND(AG837&gt;=Законод!$F$18,AG837&lt;=Законод!$F$19),AG837-Законод!$E$19,IF('01_Доходи'!AG837&gt;=Законод!$G$18,Законод!$F$20,0)))),IF($B$833="Лікар-терапевт",IF(AG837&lt;Законод!$C$26,0,(IF(AND(AG837&gt;=Законод!$F$26,AG837&lt;=Законод!$F$27),AG837-Законод!$E$27,IF('01_Доходи'!AG837&gt;=Законод!$G$26,Законод!$F$28,0)))),0)))</f>
        <v>0</v>
      </c>
      <c r="AH840" s="930"/>
      <c r="AI840" s="201"/>
      <c r="AJ840" s="933"/>
      <c r="AK840" s="927"/>
      <c r="AL840" s="927"/>
      <c r="AM840" s="899"/>
      <c r="AN840" s="210">
        <f ca="1">IF(B833="Лікар загальної практики - сімейний лікар",L840*Законод!$C$9/4*Законод!$F$16,IF(B833="Лікар-педіатр",L840*Законод!$C$9/4*Законод!$F$16,IF(B833="Лікар-терапевт",L840*Законод!$C$9/4*Законод!$F$16,0)))</f>
        <v>0</v>
      </c>
      <c r="AO840" s="210">
        <f ca="1">IF(B833="Лікар загальної практики - сімейний лікар",S840*Законод!$C$9/4*Законод!$F$16,IF(B833="Лікар-педіатр",S840*Законод!$C$9/4*Законод!$F$16,IF(B833="Лікар-терапевт",S840*Законод!$C$9/4*Законод!$F$16,0)))</f>
        <v>0</v>
      </c>
      <c r="AP840" s="210">
        <f ca="1">IF(B833="Лікар загальної практики - сімейний лікар",Z840*Законод!$C$9/4*Законод!$F$16,IF(B833="Лікар-педіатр",Z840*Законод!$C$9/4*Законод!$F$16,IF(B833="Лікар-терапевт",Z840*Законод!$C$9/4*Законод!$F$16,0)))</f>
        <v>0</v>
      </c>
      <c r="AQ840" s="210">
        <f ca="1">IF(B833="Лікар загальної практики - сімейний лікар",AG840*Законод!$C$9/4*Законод!$F$16,IF(B833="Лікар-педіатр",AG840*Законод!$C$9/4*Законод!$F$16,IF(B833="Лікар-терапевт",AG840*Законод!$C$9/4*Законод!$F$16,0)))</f>
        <v>0</v>
      </c>
      <c r="AR840" s="211">
        <f t="shared" si="91"/>
        <v>0</v>
      </c>
    </row>
    <row r="841" spans="1:44" s="50" customFormat="1" ht="31.9" hidden="1" customHeight="1">
      <c r="A841" s="197"/>
      <c r="B841" s="893"/>
      <c r="C841" s="896"/>
      <c r="D841" s="912"/>
      <c r="E841" s="909"/>
      <c r="F841" s="238" t="str">
        <f ca="1">IF(B833="Лікар-педіатр",Законод!$G$17,IF(B833="Лікар загальної практики - сімейний лікар",Законод!$G$21,IF(B833="Лікар-терапевт",Законод!$G$25,"х")))</f>
        <v>х</v>
      </c>
      <c r="G841" s="889" t="s">
        <v>346</v>
      </c>
      <c r="H841" s="890"/>
      <c r="I841" s="890"/>
      <c r="J841" s="890"/>
      <c r="K841" s="891"/>
      <c r="L841" s="196">
        <f ca="1">IF($B$833="Лікар загальної практики - сімейний лікар",IF(L837&lt;Законод!$C$22,0,(IF(AND(L837&gt;=Законод!$G$22,L837&lt;=Законод!$G$23),L837-Законод!$F$23,IF('01_Доходи'!L837&gt;=Законод!$H$22,Законод!$G$24,0)))),IF($B$833="Лікар-педіатр",IF(L837&lt;Законод!$C$18,0,(IF(AND(L837&gt;=Законод!$G$18,L837&lt;=Законод!$G$19),L837-Законод!$F$19,IF('01_Доходи'!L837&gt;=Законод!$H$18,Законод!$G$20,0)))),IF($B$833="Лікар-терапевт",IF(L837&lt;Законод!$C$26,0,(IF(AND(L837&gt;=Законод!$G$26,L837&lt;=Законод!$G$27),L837-Законод!$F$27,IF('01_Доходи'!L837&gt;=Законод!$H$26,Законод!$G$28,0)))),0)))</f>
        <v>0</v>
      </c>
      <c r="M841" s="930"/>
      <c r="N841" s="889" t="s">
        <v>346</v>
      </c>
      <c r="O841" s="890"/>
      <c r="P841" s="890"/>
      <c r="Q841" s="890"/>
      <c r="R841" s="891"/>
      <c r="S841" s="196">
        <f ca="1">IF($B$833="Лікар загальної практики - сімейний лікар",IF(S837&lt;Законод!$C$22,0,(IF(AND(S837&gt;=Законод!$G$22,S837&lt;=Законод!$G$23),S837-Законод!$F$23,IF('01_Доходи'!S837&gt;=Законод!$H$22,Законод!$G$24,0)))),IF($B$833="Лікар-педіатр",IF(S837&lt;Законод!$C$18,0,(IF(AND(S837&gt;=Законод!$G$18,S837&lt;=Законод!$G$19),S837-Законод!$F$19,IF('01_Доходи'!S837&gt;=Законод!$H$18,Законод!$G$20,0)))),IF($B$833="Лікар-терапевт",IF(S837&lt;Законод!$C$26,0,(IF(AND(S837&gt;=Законод!$G$26,S837&lt;=Законод!$G$27),S837-Законод!$F$27,IF('01_Доходи'!S837&gt;=Законод!$H$26,Законод!$G$28,0)))),0)))</f>
        <v>0</v>
      </c>
      <c r="T841" s="930"/>
      <c r="U841" s="889" t="s">
        <v>346</v>
      </c>
      <c r="V841" s="890"/>
      <c r="W841" s="890"/>
      <c r="X841" s="890"/>
      <c r="Y841" s="891"/>
      <c r="Z841" s="196">
        <f ca="1">IF($B$833="Лікар загальної практики - сімейний лікар",IF(Z837&lt;Законод!$C$22,0,(IF(AND(Z837&gt;=Законод!$G$22,Z837&lt;=Законод!$G$23),Z837-Законод!$F$23,IF('01_Доходи'!Z837&gt;=Законод!$H$22,Законод!$G$24,0)))),IF($B$833="Лікар-педіатр",IF(Z837&lt;Законод!$C$18,0,(IF(AND(Z837&gt;=Законод!$G$18,Z837&lt;=Законод!$G$19),Z837-Законод!$F$19,IF('01_Доходи'!Z837&gt;=Законод!$H$18,Законод!$G$20,0)))),IF($B$833="Лікар-терапевт",IF(Z837&lt;Законод!$C$26,0,(IF(AND(Z837&gt;=Законод!$G$26,Z837&lt;=Законод!$G$27),Z837-Законод!$F$27,IF('01_Доходи'!Z837&gt;=Законод!$H$26,Законод!$G$28,0)))),0)))</f>
        <v>0</v>
      </c>
      <c r="AA841" s="930"/>
      <c r="AB841" s="889" t="s">
        <v>346</v>
      </c>
      <c r="AC841" s="890"/>
      <c r="AD841" s="890"/>
      <c r="AE841" s="890"/>
      <c r="AF841" s="891"/>
      <c r="AG841" s="196">
        <f ca="1">IF($B$833="Лікар загальної практики - сімейний лікар",IF(AG837&lt;Законод!$C$22,0,(IF(AND(AG837&gt;=Законод!$G$22,AG837&lt;=Законод!$G$23),AG837-Законод!$F$23,IF('01_Доходи'!AG837&gt;=Законод!$H$22,Законод!$G$24,0)))),IF($B$833="Лікар-педіатр",IF(AG837&lt;Законод!$C$18,0,(IF(AND(AG837&gt;=Законод!$G$18,AG837&lt;=Законод!$G$19),AG837-Законод!$F$19,IF('01_Доходи'!AG837&gt;=Законод!$H$18,Законод!$G$20,0)))),IF($B$833="Лікар-терапевт",IF(AG837&lt;Законод!$C$26,0,(IF(AND(AG837&gt;=Законод!$G$26,AG837&lt;=Законод!$G$27),AG837-Законод!$F$27,IF('01_Доходи'!AG837&gt;=Законод!$H$26,Законод!$G$28,0)))),0)))</f>
        <v>0</v>
      </c>
      <c r="AH841" s="930"/>
      <c r="AI841" s="201"/>
      <c r="AJ841" s="933"/>
      <c r="AK841" s="927"/>
      <c r="AL841" s="927"/>
      <c r="AM841" s="899"/>
      <c r="AN841" s="210">
        <f ca="1">IF(B833="Лікар загальної практики - сімейний лікар",L841*Законод!$C$9/4*Законод!$G$16,IF(B833="Лікар-педіатр",L841*Законод!$C$9/4*Законод!$G$16,IF(B833="Лікар-терапевт",L841*Законод!$C$9/4*Законод!$G$16,0)))</f>
        <v>0</v>
      </c>
      <c r="AO841" s="210">
        <f ca="1">IF(B833="Лікар загальної практики - сімейний лікар",S841*Законод!$C$9/4*Законод!$G$16,IF(B833="Лікар-педіатр",S841*Законод!$C$9/4*Законод!$G$16,IF(B833="Лікар-терапевт",S841*Законод!$C$9/4*Законод!$G$16,0)))</f>
        <v>0</v>
      </c>
      <c r="AP841" s="210">
        <f ca="1">IF(B833="Лікар загальної практики - сімейний лікар",Z841*Законод!$C$9/4*Законод!$G$16,IF(B833="Лікар-педіатр",Z841*Законод!$C$9/4*Законод!$G$16,IF(B833="Лікар-терапевт",Z841*Законод!$C$9/4*Законод!$G$16,0)))</f>
        <v>0</v>
      </c>
      <c r="AQ841" s="210">
        <f ca="1">IF(B833="Лікар загальної практики - сімейний лікар",AG841*Законод!$C$9/4*Законод!$G$16,IF(B833="Лікар-педіатр",AG841*Законод!$C$9/4*Законод!$G$16,IF(B833="Лікар-терапевт",AG841*Законод!$C$9/4*Законод!$G$16,0)))</f>
        <v>0</v>
      </c>
      <c r="AR841" s="211">
        <f t="shared" si="91"/>
        <v>0</v>
      </c>
    </row>
    <row r="842" spans="1:44" s="50" customFormat="1" ht="31.9" hidden="1" customHeight="1">
      <c r="A842" s="197"/>
      <c r="B842" s="893"/>
      <c r="C842" s="896"/>
      <c r="D842" s="912"/>
      <c r="E842" s="909"/>
      <c r="F842" s="238" t="str">
        <f ca="1">IF(B833="Лікар-педіатр",Законод!$H$17,IF(B833="Лікар загальної практики - сімейний лікар",Законод!$H$21,IF(B833="Лікар-терапевт",Законод!$H$25,"х")))</f>
        <v>х</v>
      </c>
      <c r="G842" s="889" t="s">
        <v>346</v>
      </c>
      <c r="H842" s="890"/>
      <c r="I842" s="890"/>
      <c r="J842" s="890"/>
      <c r="K842" s="891"/>
      <c r="L842" s="196">
        <f ca="1">IF($B$833="Лікар загальної практики - сімейний лікар",IF(L837&lt;Законод!$C$22,0,(IF(AND(L837&gt;=Законод!$H$22,L837&lt;=Законод!$H$23),L837-Законод!$G$23,IF('01_Доходи'!L837&gt;=Законод!$I$22,Законод!$H$24,0)))),IF($B$833="Лікар-педіатр",IF(L837&lt;Законод!$C$18,0,(IF(AND(L837&gt;=Законод!$H$18,L837&lt;=Законод!$H$19),L837-Законод!$G$19,IF('01_Доходи'!L837&gt;=Законод!$I$18,Законод!$H$20,0)))),IF($B$833="Лікар-терапевт",IF(L837&lt;Законод!$C$26,0,(IF(AND(L837&gt;=Законод!$H$26,L837&lt;=Законод!$H$27),L837-Законод!$G$27,IF(L837&gt;=Законод!$I$26,Законод!$H$28,0)))),0)))</f>
        <v>0</v>
      </c>
      <c r="M842" s="930"/>
      <c r="N842" s="889" t="s">
        <v>346</v>
      </c>
      <c r="O842" s="890"/>
      <c r="P842" s="890"/>
      <c r="Q842" s="890"/>
      <c r="R842" s="891"/>
      <c r="S842" s="196">
        <f ca="1">IF($B$833="Лікар загальної практики - сімейний лікар",IF(S837&lt;Законод!$C$22,0,(IF(AND(S837&gt;=Законод!$H$22,S837&lt;=Законод!$H$23),S837-Законод!$G$23,IF('01_Доходи'!S837&gt;=Законод!$I$22,Законод!$H$24,0)))),IF($B$833="Лікар-педіатр",IF(S837&lt;Законод!$C$18,0,(IF(AND(S837&gt;=Законод!$H$18,S837&lt;=Законод!$H$19),S837-Законод!$G$19,IF('01_Доходи'!S837&gt;=Законод!$I$18,Законод!$H$20,0)))),IF($B$833="Лікар-терапевт",IF(S837&lt;Законод!$C$26,0,(IF(AND(S837&gt;=Законод!$H$26,S837&lt;=Законод!$H$27),S837-Законод!$G$27,IF(S837&gt;=Законод!$I$26,Законод!$H$28,0)))),0)))</f>
        <v>0</v>
      </c>
      <c r="T842" s="930"/>
      <c r="U842" s="889" t="s">
        <v>346</v>
      </c>
      <c r="V842" s="890"/>
      <c r="W842" s="890"/>
      <c r="X842" s="890"/>
      <c r="Y842" s="891"/>
      <c r="Z842" s="196">
        <f ca="1">IF($B$833="Лікар загальної практики - сімейний лікар",IF(Z837&lt;Законод!$C$22,0,(IF(AND(Z837&gt;=Законод!$H$22,Z837&lt;=Законод!$H$23),Z837-Законод!$G$23,IF('01_Доходи'!Z837&gt;=Законод!$I$22,Законод!$H$24,0)))),IF($B$833="Лікар-педіатр",IF(Z837&lt;Законод!$C$18,0,(IF(AND(Z837&gt;=Законод!$H$18,Z837&lt;=Законод!$H$19),Z837-Законод!$G$19,IF('01_Доходи'!Z837&gt;=Законод!$I$18,Законод!$H$20,0)))),IF($B$833="Лікар-терапевт",IF(Z837&lt;Законод!$C$26,0,(IF(AND(Z837&gt;=Законод!$H$26,Z837&lt;=Законод!$H$27),Z837-Законод!$G$27,IF(Z837&gt;=Законод!$I$26,Законод!$H$28,0)))),0)))</f>
        <v>0</v>
      </c>
      <c r="AA842" s="930"/>
      <c r="AB842" s="889" t="s">
        <v>346</v>
      </c>
      <c r="AC842" s="890"/>
      <c r="AD842" s="890"/>
      <c r="AE842" s="890"/>
      <c r="AF842" s="891"/>
      <c r="AG842" s="196">
        <f ca="1">IF($B$833="Лікар загальної практики - сімейний лікар",IF(AG837&lt;Законод!$C$22,0,(IF(AND(AG837&gt;=Законод!$H$22,AG837&lt;=Законод!$H$23),AG837-Законод!$G$23,IF('01_Доходи'!AG837&gt;=Законод!$I$22,Законод!$H$24,0)))),IF($B$833="Лікар-педіатр",IF(AG837&lt;Законод!$C$18,0,(IF(AND(AG837&gt;=Законод!$H$18,AG837&lt;=Законод!$H$19),AG837-Законод!$G$19,IF('01_Доходи'!AG837&gt;=Законод!$I$18,Законод!$H$20,0)))),IF($B$833="Лікар-терапевт",IF(AG837&lt;Законод!$C$26,0,(IF(AND(AG837&gt;=Законод!$H$26,AG837&lt;=Законод!$H$27),AG837-Законод!$G$27,IF(AG837&gt;=Законод!$I$26,Законод!$H$28,0)))),0)))</f>
        <v>0</v>
      </c>
      <c r="AH842" s="930"/>
      <c r="AI842" s="201"/>
      <c r="AJ842" s="933"/>
      <c r="AK842" s="927"/>
      <c r="AL842" s="927"/>
      <c r="AM842" s="899"/>
      <c r="AN842" s="210">
        <f ca="1">IF(B833="Лікар загальної практики - сімейний лікар",L842*Законод!$C$9/4*Законод!$H$16,IF(B833="Лікар-педіатр",L842*Законод!$C$9/4*Законод!$H$16,IF(B833="Лікар-терапевт",L842*Законод!$C$9/4*Законод!$H$16,0)))</f>
        <v>0</v>
      </c>
      <c r="AO842" s="210">
        <f ca="1">IF(B833="Лікар загальної практики - сімейний лікар",S842*Законод!$C$9/4*Законод!$H$16,IF(B833="Лікар-педіатр",S842*Законод!$C$9/4*Законод!$H$16,IF(B833="Лікар-терапевт",S842*Законод!$C$9/4*Законод!$H$16,0)))</f>
        <v>0</v>
      </c>
      <c r="AP842" s="210">
        <f ca="1">IF(B833="Лікар загальної практики - сімейний лікар",Z842*Законод!$C$9/4*Законод!$H$16,IF(B833="Лікар-педіатр",Z842*Законод!$C$9/4*Законод!$H$16,IF(B833="Лікар-терапевт",Z842*Законод!$C$9/4*Законод!$H$16,0)))</f>
        <v>0</v>
      </c>
      <c r="AQ842" s="210">
        <f ca="1">IF(B833="Лікар загальної практики - сімейний лікар",AG842*Законод!$C$9/4*Законод!$H$16,IF(B833="Лікар-педіатр",AG842*Законод!$C$9/4*Законод!$H$16,IF(B833="Лікар-терапевт",AG842*Законод!$C$9/4*Законод!$H$16,0)))</f>
        <v>0</v>
      </c>
      <c r="AR842" s="211">
        <f t="shared" si="91"/>
        <v>0</v>
      </c>
    </row>
    <row r="843" spans="1:44" s="50" customFormat="1" ht="31.9" hidden="1" customHeight="1">
      <c r="A843" s="197"/>
      <c r="B843" s="893"/>
      <c r="C843" s="896"/>
      <c r="D843" s="912"/>
      <c r="E843" s="909"/>
      <c r="F843" s="238" t="str">
        <f ca="1">IF(B833="Лікар-педіатр",Законод!$I$17,IF(B833="Лікар загальної практики - сімейний лікар",Законод!$I$21,IF(B833="Лікар-терапевт",Законод!$I$25,"х")))</f>
        <v>х</v>
      </c>
      <c r="G843" s="889" t="s">
        <v>346</v>
      </c>
      <c r="H843" s="890"/>
      <c r="I843" s="890"/>
      <c r="J843" s="890"/>
      <c r="K843" s="891"/>
      <c r="L843" s="196">
        <f ca="1">IF($B$833="Лікар загальної практики - сімейний лікар",IF(L837&lt;Законод!$C$22,0,(IF(AND(L837&gt;=Законод!$I$22,L837&lt;=Законод!$I$23),L837-Законод!$H$23,IF('01_Доходи'!L837&gt;=Законод!$I$22,Законод!$I$24,0)))),IF($B$833="Лікар-педіатр",IF(L837&lt;Законод!$C$18,0,(IF(AND(L837&gt;=Законод!$I$18,L837&lt;=Законод!$I$19),L837-Законод!$H$19,IF('01_Доходи'!L837&gt;=Законод!$I$18,Законод!$H$20,0)))),IF($B$833="Лікар-терапевт",IF(L837&lt;Законод!$C$26,0,(IF(AND(L837&gt;=Законод!$I$26,L837&lt;=Законод!$I$27),L837-Законод!$H$27,IF('01_Доходи'!L837&gt;=Законод!$I$26,Законод!$H$28,0)))),0)))</f>
        <v>0</v>
      </c>
      <c r="M843" s="930"/>
      <c r="N843" s="889" t="s">
        <v>346</v>
      </c>
      <c r="O843" s="890"/>
      <c r="P843" s="890"/>
      <c r="Q843" s="890"/>
      <c r="R843" s="891"/>
      <c r="S843" s="196">
        <f ca="1">IF($B$833="Лікар загальної практики - сімейний лікар",IF(S837&lt;Законод!$C$22,0,(IF(AND(S837&gt;=Законод!$I$22,S837&lt;=Законод!$I$23),S837-Законод!$H$23,IF('01_Доходи'!S837&gt;=Законод!$I$22,Законод!$I$24,0)))),IF($B$833="Лікар-педіатр",IF(S837&lt;Законод!$C$18,0,(IF(AND(S837&gt;=Законод!$I$18,S837&lt;=Законод!$I$19),S837-Законод!$H$19,IF('01_Доходи'!S837&gt;=Законод!$I$18,Законод!$H$20,0)))),IF($B$833="Лікар-терапевт",IF(S837&lt;Законод!$C$26,0,(IF(AND(S837&gt;=Законод!$I$26,S837&lt;=Законод!$I$27),S837-Законод!$H$27,IF('01_Доходи'!S837&gt;=Законод!$I$26,Законод!$H$28,0)))),0)))</f>
        <v>0</v>
      </c>
      <c r="T843" s="930"/>
      <c r="U843" s="889" t="s">
        <v>346</v>
      </c>
      <c r="V843" s="890"/>
      <c r="W843" s="890"/>
      <c r="X843" s="890"/>
      <c r="Y843" s="891"/>
      <c r="Z843" s="196">
        <f ca="1">IF($B$833="Лікар загальної практики - сімейний лікар",IF(Z837&lt;Законод!$C$22,0,(IF(AND(Z837&gt;=Законод!$I$22,Z837&lt;=Законод!$I$23),Z837-Законод!$H$23,IF('01_Доходи'!Z837&gt;=Законод!$I$22,Законод!$I$24,0)))),IF($B$833="Лікар-педіатр",IF(Z837&lt;Законод!$C$18,0,(IF(AND(Z837&gt;=Законод!$I$18,Z837&lt;=Законод!$I$19),Z837-Законод!$H$19,IF('01_Доходи'!Z837&gt;=Законод!$I$18,Законод!$H$20,0)))),IF($B$833="Лікар-терапевт",IF(Z837&lt;Законод!$C$26,0,(IF(AND(Z837&gt;=Законод!$I$26,Z837&lt;=Законод!$I$27),Z837-Законод!$H$27,IF('01_Доходи'!Z837&gt;=Законод!$I$26,Законод!$H$28,0)))),0)))</f>
        <v>0</v>
      </c>
      <c r="AA843" s="930"/>
      <c r="AB843" s="889" t="s">
        <v>346</v>
      </c>
      <c r="AC843" s="890"/>
      <c r="AD843" s="890"/>
      <c r="AE843" s="890"/>
      <c r="AF843" s="891"/>
      <c r="AG843" s="196">
        <f ca="1">IF($B$833="Лікар загальної практики - сімейний лікар",IF(AG837&lt;Законод!$C$22,0,(IF(AND(AG837&gt;=Законод!$I$22,AG837&lt;=Законод!$I$23),AG837-Законод!$H$23,IF('01_Доходи'!AG837&gt;=Законод!$I$22,Законод!$I$24,0)))),IF($B$833="Лікар-педіатр",IF(AG837&lt;Законод!$C$18,0,(IF(AND(AG837&gt;=Законод!$I$18,AG837&lt;=Законод!$I$19),AG837-Законод!$H$19,IF('01_Доходи'!AG837&gt;=Законод!$I$18,Законод!$H$20,0)))),IF($B$833="Лікар-терапевт",IF(AG837&lt;Законод!$C$26,0,(IF(AND(AG837&gt;=Законод!$I$26,AG837&lt;=Законод!$I$27),AG837-Законод!$H$27,IF('01_Доходи'!AG837&gt;=Законод!$I$26,Законод!$H$28,0)))),0)))</f>
        <v>0</v>
      </c>
      <c r="AH843" s="930"/>
      <c r="AI843" s="201"/>
      <c r="AJ843" s="933"/>
      <c r="AK843" s="927"/>
      <c r="AL843" s="927"/>
      <c r="AM843" s="899"/>
      <c r="AN843" s="210">
        <f ca="1">IF(B833="Лікар загальної практики - сімейний лікар",L843*Законод!$C$9/4*Законод!$I$16,IF(B833="Лікар-педіатр",L843*Законод!$C$9/4*Законод!$I$16,IF(B833="Лікар-терапевт",L843*Законод!$C$9/4*Законод!$I$16,0)))</f>
        <v>0</v>
      </c>
      <c r="AO843" s="210">
        <f ca="1">IF(B833="Лікар загальної практики - сімейний лікар",S843*Законод!$C$9/4*Законод!$I$16,IF(B833="Лікар-педіатр",S843*Законод!$C$9/4*Законод!$I$16,IF(B833="Лікар-терапевт",S843*Законод!$C$9/4*Законод!$I$16,0)))</f>
        <v>0</v>
      </c>
      <c r="AP843" s="210">
        <f ca="1">IF(B833="Лікар загальної практики - сімейний лікар",Z843*Законод!$C$9/4*Законод!$I$16,IF(B833="Лікар-педіатр",Z843*Законод!$C$9/4*Законод!$I$16,IF(B833="Лікар-терапевт",Z843*Законод!$C$9/4*Законод!$I$16,0)))</f>
        <v>0</v>
      </c>
      <c r="AQ843" s="210">
        <f ca="1">IF(B833="Лікар загальної практики - сімейний лікар",AG843*Законод!$C$9/4*Законод!$I$16,IF(B833="Лікар-педіатр",AG843*Законод!$C$9/4*Законод!$I$16,IF(B833="Лікар-терапевт",AG843*Законод!$C$9/4*Законод!$I$16,0)))</f>
        <v>0</v>
      </c>
      <c r="AR843" s="211">
        <f t="shared" si="91"/>
        <v>0</v>
      </c>
    </row>
    <row r="844" spans="1:44" s="218" customFormat="1" ht="31.9" hidden="1" customHeight="1" thickBot="1">
      <c r="A844" s="213"/>
      <c r="B844" s="894"/>
      <c r="C844" s="897"/>
      <c r="D844" s="913"/>
      <c r="E844" s="910"/>
      <c r="F844" s="239" t="str">
        <f ca="1">IF(B833="Лікар-педіатр",Законод!$J$17,IF(B833="Лікар загальної практики - сімейний лікар",Законод!$J$21,IF(B833="Лікар-терапевт",Законод!$J$25,"х")))</f>
        <v>х</v>
      </c>
      <c r="G844" s="935" t="s">
        <v>346</v>
      </c>
      <c r="H844" s="936"/>
      <c r="I844" s="936"/>
      <c r="J844" s="936"/>
      <c r="K844" s="937"/>
      <c r="L844" s="196">
        <f ca="1">IF($B$833="Лікар загальної практики - сімейний лікар",IF(L837&gt;=Законод!$J$22,'01_Доходи'!L837-('01_Доходи'!L838+'01_Доходи'!L839+'01_Доходи'!L840+'01_Доходи'!L841+'01_Доходи'!L842+'01_Доходи'!L843),0),IF($B$833="Лікар-педіатр",IF(L837&gt;=Законод!$J$18,'01_Доходи'!L837-('01_Доходи'!L838+'01_Доходи'!L839+'01_Доходи'!L840+'01_Доходи'!L841+'01_Доходи'!L842+'01_Доходи'!L843),0),IF($B$833="Лікар-терапевт",IF('01_Доходи'!L837&gt;=Законод!$J$26,L837-Законод!$I$27,0),0)))</f>
        <v>0</v>
      </c>
      <c r="M844" s="931"/>
      <c r="N844" s="935" t="s">
        <v>346</v>
      </c>
      <c r="O844" s="936"/>
      <c r="P844" s="936"/>
      <c r="Q844" s="936"/>
      <c r="R844" s="937"/>
      <c r="S844" s="196">
        <f ca="1">IF($B$833="Лікар загальної практики - сімейний лікар",IF(S837&gt;=Законод!$J$22,'01_Доходи'!S837-('01_Доходи'!S838+'01_Доходи'!S839+'01_Доходи'!S840+'01_Доходи'!S841+'01_Доходи'!S842+'01_Доходи'!S843),0),IF($B$833="Лікар-педіатр",IF(S837&gt;=Законод!$J$18,'01_Доходи'!S837-('01_Доходи'!S838+'01_Доходи'!S839+'01_Доходи'!S840+'01_Доходи'!S841+'01_Доходи'!S842+'01_Доходи'!S843),0),IF($B$833="Лікар-терапевт",IF('01_Доходи'!S837&gt;=Законод!$J$26,S837-Законод!$I$27,0),0)))</f>
        <v>0</v>
      </c>
      <c r="T844" s="931"/>
      <c r="U844" s="935" t="s">
        <v>346</v>
      </c>
      <c r="V844" s="936"/>
      <c r="W844" s="936"/>
      <c r="X844" s="936"/>
      <c r="Y844" s="937"/>
      <c r="Z844" s="196">
        <f ca="1">IF($B$833="Лікар загальної практики - сімейний лікар",IF(Z837&gt;=Законод!$J$22,'01_Доходи'!Z837-('01_Доходи'!Z838+'01_Доходи'!Z839+'01_Доходи'!Z840+'01_Доходи'!Z841+'01_Доходи'!Z842+'01_Доходи'!Z843),0),IF($B$833="Лікар-педіатр",IF(Z837&gt;=Законод!$J$18,'01_Доходи'!Z837-('01_Доходи'!Z838+'01_Доходи'!Z839+'01_Доходи'!Z840+'01_Доходи'!Z841+'01_Доходи'!Z842+'01_Доходи'!Z843),0),IF($B$833="Лікар-терапевт",IF('01_Доходи'!Z837&gt;=Законод!$J$26,Z837-Законод!$I$27,0),0)))</f>
        <v>0</v>
      </c>
      <c r="AA844" s="931"/>
      <c r="AB844" s="935" t="s">
        <v>346</v>
      </c>
      <c r="AC844" s="936"/>
      <c r="AD844" s="936"/>
      <c r="AE844" s="936"/>
      <c r="AF844" s="937"/>
      <c r="AG844" s="196">
        <f ca="1">IF($B$833="Лікар загальної практики - сімейний лікар",IF(AG837&gt;=Законод!$J$22,'01_Доходи'!AG837-('01_Доходи'!AG838+'01_Доходи'!AG839+'01_Доходи'!AG840+'01_Доходи'!AG841+'01_Доходи'!AG842+'01_Доходи'!AG843),0),IF($B$833="Лікар-педіатр",IF(AG837&gt;=Законод!$J$18,'01_Доходи'!AG837-('01_Доходи'!AG838+'01_Доходи'!AG839+'01_Доходи'!AG840+'01_Доходи'!AG841+'01_Доходи'!AG842+'01_Доходи'!AG843),0),IF($B$833="Лікар-терапевт",IF('01_Доходи'!AG837&gt;=Законод!$J$26,AG837-Законод!$I$27,0),0)))</f>
        <v>0</v>
      </c>
      <c r="AH844" s="931"/>
      <c r="AI844" s="215"/>
      <c r="AJ844" s="934"/>
      <c r="AK844" s="928"/>
      <c r="AL844" s="928"/>
      <c r="AM844" s="900"/>
      <c r="AN844" s="216">
        <f ca="1">IF(B833="Лікар загальної практики - сімейний лікар",L844*Законод!$C$9/4*Законод!$J$16,IF(B833="Лікар-педіатр",L844*Законод!$C$9/4*Законод!$J$16,IF(B833="Лікар-терапевт",L844*Законод!$C$9/4*Законод!$J$16,0)))</f>
        <v>0</v>
      </c>
      <c r="AO844" s="216">
        <f ca="1">IF(B833="Лікар загальної практики - сімейний лікар",S844*Законод!$C$9/4*Законод!$J$16,IF(B833="Лікар-педіатр",S844*Законод!$C$9/4*Законод!$J$16,IF(B833="Лікар-терапевт",S844*Законод!$C$9/4*Законод!$J$16,0)))</f>
        <v>0</v>
      </c>
      <c r="AP844" s="216">
        <f ca="1">IF(B833="Лікар загальної практики - сімейний лікар",S844*Законод!$C$9/4*Законод!$J$16,IF(B833="Лікар-педіатр",S844*Законод!$C$9/4*Законод!$J$16,IF(B833="Лікар-терапевт",S844*Законод!$C$9/4*Законод!$J$16,0)))</f>
        <v>0</v>
      </c>
      <c r="AQ844" s="216">
        <f ca="1">IF(B833="Лікар загальної практики - сімейний лікар",AG844*Законод!$C$9/4*Законод!$J$16,IF(B833="Лікар-педіатр",AG844*Законод!$C$9/4*Законод!$J$16,IF(B833="Лікар-терапевт",AG844*Законод!$C$9/4*Законод!$J$16,0)))</f>
        <v>0</v>
      </c>
      <c r="AR844" s="217">
        <f t="shared" si="91"/>
        <v>0</v>
      </c>
    </row>
    <row r="845" spans="1:44" s="247" customFormat="1" ht="23.45" hidden="1" customHeight="1" thickBot="1">
      <c r="A845" s="243"/>
      <c r="B845" s="244"/>
      <c r="C845" s="244"/>
      <c r="D845" s="244"/>
      <c r="E845" s="244"/>
      <c r="F845" s="245"/>
      <c r="G845" s="246"/>
      <c r="H845" s="246"/>
      <c r="L845" s="248"/>
      <c r="S845" s="248"/>
      <c r="Z845" s="248"/>
      <c r="AG845" s="248"/>
      <c r="AM845" s="249"/>
      <c r="AR845" s="250"/>
    </row>
    <row r="846" spans="1:44" s="191" customFormat="1" ht="24.6" hidden="1" customHeight="1">
      <c r="A846" s="194">
        <f>A833+1</f>
        <v>63</v>
      </c>
      <c r="B846" s="892"/>
      <c r="C846" s="895"/>
      <c r="D846" s="911"/>
      <c r="E846" s="908"/>
      <c r="F846" s="234" t="s">
        <v>582</v>
      </c>
      <c r="G846" s="196">
        <f>IF($B$846="Лікар-педіатр",G849*L846,IF($B$846="Лікар-терапевт","х",IF($B$846="Лікар загальної практики - сімейний лікар",G849*L846,0)))</f>
        <v>0</v>
      </c>
      <c r="H846" s="196">
        <f>IF($B$846="Лікар-педіатр",H849*L846,IF($B$846="Лікар-терапевт","х",IF($B$846="Лікар загальної практики - сімейний лікар",H849*L846,0)))</f>
        <v>0</v>
      </c>
      <c r="I846" s="196">
        <f>IF($B$846="Лікар-педіатр","x",IF($B$846="Лікар-терапевт",I849*L846,IF($B$846="Лікар загальної практики - сімейний лікар",I849*L846,0)))</f>
        <v>0</v>
      </c>
      <c r="J846" s="196">
        <f>IF($B$846="Лікар-педіатр","x",IF($B$846="Лікар-терапевт",J849*L846,IF($B$846="Лікар загальної практики - сімейний лікар",J849*L846,0)))</f>
        <v>0</v>
      </c>
      <c r="K846" s="196">
        <f>IF($B$846="Лікар-педіатр","x",IF($B$846="Лікар-терапевт",K849*L846,IF($B$846="Лікар загальної практики - сімейний лікар",K849*L846,0)))</f>
        <v>0</v>
      </c>
      <c r="L846" s="558"/>
      <c r="M846" s="929"/>
      <c r="N846" s="196">
        <f>IF($B$846="Лікар-педіатр",N849*S846,IF($B$846="Лікар-терапевт","х",IF($B$846="Лікар загальної практики - сімейний лікар",N849*S846,0)))</f>
        <v>0</v>
      </c>
      <c r="O846" s="196">
        <f>IF($B$846="Лікар-педіатр",O849*S846,IF($B$846="Лікар-терапевт","х",IF($B$846="Лікар загальної практики - сімейний лікар",O849*S846,0)))</f>
        <v>0</v>
      </c>
      <c r="P846" s="196">
        <f>IF($B$846="Лікар-педіатр","x",IF($B$846="Лікар-терапевт",P849*S846,IF($B$846="Лікар загальної практики - сімейний лікар",P849*S846,0)))</f>
        <v>0</v>
      </c>
      <c r="Q846" s="196">
        <f>IF($B$846="Лікар-педіатр","x",IF($B$846="Лікар-терапевт",Q849*S846,IF($B$846="Лікар загальної практики - сімейний лікар",Q849*S846,0)))</f>
        <v>0</v>
      </c>
      <c r="R846" s="196">
        <f>IF($B$846="Лікар-педіатр","x",IF($B$846="Лікар-терапевт",R849*S846,IF($B$846="Лікар загальної практики - сімейний лікар",R849*S846,0)))</f>
        <v>0</v>
      </c>
      <c r="S846" s="558"/>
      <c r="T846" s="929"/>
      <c r="U846" s="196">
        <f>IF($B$846="Лікар-педіатр",U849*Z846,IF($B$846="Лікар-терапевт","х",IF($B$846="Лікар загальної практики - сімейний лікар",U849*Z846,0)))</f>
        <v>0</v>
      </c>
      <c r="V846" s="196">
        <f>IF($B$846="Лікар-педіатр",V849*Z846,IF($B$846="Лікар-терапевт","х",IF($B$846="Лікар загальної практики - сімейний лікар",V849*Z846,0)))</f>
        <v>0</v>
      </c>
      <c r="W846" s="196">
        <f>IF($B$846="Лікар-педіатр","x",IF($B$846="Лікар-терапевт",W849*Z846,IF($B$846="Лікар загальної практики - сімейний лікар",W849*Z846,0)))</f>
        <v>0</v>
      </c>
      <c r="X846" s="196">
        <f>IF($B$846="Лікар-педіатр","x",IF($B$846="Лікар-терапевт",X849*Z846,IF($B$846="Лікар загальної практики - сімейний лікар",X849*Z846,0)))</f>
        <v>0</v>
      </c>
      <c r="Y846" s="196">
        <f>IF($B$846="Лікар-педіатр","x",IF($B$846="Лікар-терапевт",Y849*Z846,IF($B$846="Лікар загальної практики - сімейний лікар",Y849*Z846,0)))</f>
        <v>0</v>
      </c>
      <c r="Z846" s="558"/>
      <c r="AA846" s="929"/>
      <c r="AB846" s="196">
        <f>IF($B$846="Лікар-педіатр",AB849*AG846,IF($B$846="Лікар-терапевт","х",IF($B$846="Лікар загальної практики - сімейний лікар",AB849*AG846,0)))</f>
        <v>0</v>
      </c>
      <c r="AC846" s="196">
        <f>IF($B$846="Лікар-педіатр",AC849*AG846,IF($B$846="Лікар-терапевт","х",IF($B$846="Лікар загальної практики - сімейний лікар",AC849*AG846,0)))</f>
        <v>0</v>
      </c>
      <c r="AD846" s="196">
        <f>IF($B$846="Лікар-педіатр","x",IF($B$846="Лікар-терапевт",AD849*AG846,IF($B$846="Лікар загальної практики - сімейний лікар",AD849*AG846,0)))</f>
        <v>0</v>
      </c>
      <c r="AE846" s="196">
        <f>IF($B$846="Лікар-педіатр","x",IF($B$846="Лікар-терапевт",AE849*AG846,IF($B$846="Лікар загальної практики - сімейний лікар",AE849*AG846,0)))</f>
        <v>0</v>
      </c>
      <c r="AF846" s="196">
        <f>IF($B$846="Лікар-педіатр","x",IF($B$846="Лікар-терапевт",AF849*AG846,IF($B$846="Лікар загальної практики - сімейний лікар",AF849*AG846,0)))</f>
        <v>0</v>
      </c>
      <c r="AG846" s="558"/>
      <c r="AH846" s="929"/>
      <c r="AI846" s="541">
        <f>A846</f>
        <v>63</v>
      </c>
      <c r="AJ846" s="932">
        <f>B846</f>
        <v>0</v>
      </c>
      <c r="AK846" s="926">
        <f>C846</f>
        <v>0</v>
      </c>
      <c r="AL846" s="926">
        <f>D846</f>
        <v>0</v>
      </c>
      <c r="AM846" s="901" t="s">
        <v>785</v>
      </c>
      <c r="AN846" s="923">
        <f>SUM(AN851:AN857)</f>
        <v>0</v>
      </c>
      <c r="AO846" s="923">
        <f>SUM(AO851:AO857)</f>
        <v>0</v>
      </c>
      <c r="AP846" s="923">
        <f>SUM(AP851:AP857)</f>
        <v>0</v>
      </c>
      <c r="AQ846" s="923">
        <f>SUM(AQ851:AQ857)</f>
        <v>0</v>
      </c>
      <c r="AR846" s="914">
        <f>SUM(AN846:AQ850)</f>
        <v>0</v>
      </c>
    </row>
    <row r="847" spans="1:44" s="50" customFormat="1" ht="28.15" hidden="1" customHeight="1">
      <c r="A847" s="197"/>
      <c r="B847" s="893"/>
      <c r="C847" s="896"/>
      <c r="D847" s="912"/>
      <c r="E847" s="909"/>
      <c r="F847" s="234" t="s">
        <v>583</v>
      </c>
      <c r="G847" s="196">
        <f>IF($B$846="Лікар-педіатр",G849*L847,IF($B$846="Лікар-терапевт","х",IF($B$846="Лікар загальної практики - сімейний лікар",G849*L847,0)))</f>
        <v>0</v>
      </c>
      <c r="H847" s="196">
        <f>IF($B$846="Лікар-педіатр",H849*L847,IF($B$846="Лікар-терапевт","х",IF($B$846="Лікар загальної практики - сімейний лікар",H849*L847,0)))</f>
        <v>0</v>
      </c>
      <c r="I847" s="196">
        <f>IF($B$846="Лікар-педіатр","x",IF($B$846="Лікар-терапевт",I849*L847,IF($B$846="Лікар загальної практики - сімейний лікар",I849*L847,0)))</f>
        <v>0</v>
      </c>
      <c r="J847" s="196">
        <f>IF($B$846="Лікар-педіатр","x",IF($B$846="Лікар-терапевт",J849*L847,IF($B$846="Лікар загальної практики - сімейний лікар",J849*L847,0)))</f>
        <v>0</v>
      </c>
      <c r="K847" s="196">
        <f>IF($B$846="Лікар-педіатр","x",IF($B$846="Лікар-терапевт",K849*L847,IF($B$846="Лікар загальної практики - сімейний лікар",K849*L847,0)))</f>
        <v>0</v>
      </c>
      <c r="L847" s="558"/>
      <c r="M847" s="930"/>
      <c r="N847" s="196">
        <f>IF($B$846="Лікар-педіатр",N849*S847,IF($B$846="Лікар-терапевт","х",IF($B$846="Лікар загальної практики - сімейний лікар",N849*S847,0)))</f>
        <v>0</v>
      </c>
      <c r="O847" s="196">
        <f>IF($B$846="Лікар-педіатр",O849*S847,IF($B$846="Лікар-терапевт","х",IF($B$846="Лікар загальної практики - сімейний лікар",O849*S847,0)))</f>
        <v>0</v>
      </c>
      <c r="P847" s="196">
        <f>IF($B$846="Лікар-педіатр","x",IF($B$846="Лікар-терапевт",P849*S847,IF($B$846="Лікар загальної практики - сімейний лікар",P849*S847,0)))</f>
        <v>0</v>
      </c>
      <c r="Q847" s="196">
        <f>IF($B$846="Лікар-педіатр","x",IF($B$846="Лікар-терапевт",Q849*S847,IF($B$846="Лікар загальної практики - сімейний лікар",Q849*S847,0)))</f>
        <v>0</v>
      </c>
      <c r="R847" s="196">
        <f>IF($B$846="Лікар-педіатр","x",IF($B$846="Лікар-терапевт",R849*S847,IF($B$846="Лікар загальної практики - сімейний лікар",R849*S847,0)))</f>
        <v>0</v>
      </c>
      <c r="S847" s="558"/>
      <c r="T847" s="930"/>
      <c r="U847" s="196">
        <f>IF($B$846="Лікар-педіатр",U849*Z847,IF($B$846="Лікар-терапевт","х",IF($B$846="Лікар загальної практики - сімейний лікар",U849*Z847,0)))</f>
        <v>0</v>
      </c>
      <c r="V847" s="196">
        <f>IF($B$846="Лікар-педіатр",V849*Z847,IF($B$846="Лікар-терапевт","х",IF($B$846="Лікар загальної практики - сімейний лікар",V849*Z847,0)))</f>
        <v>0</v>
      </c>
      <c r="W847" s="196">
        <f>IF($B$846="Лікар-педіатр","x",IF($B$846="Лікар-терапевт",W849*Z847,IF($B$846="Лікар загальної практики - сімейний лікар",W849*Z847,0)))</f>
        <v>0</v>
      </c>
      <c r="X847" s="196">
        <f>IF($B$846="Лікар-педіатр","x",IF($B$846="Лікар-терапевт",X849*Z847,IF($B$846="Лікар загальної практики - сімейний лікар",X849*Z847,0)))</f>
        <v>0</v>
      </c>
      <c r="Y847" s="196">
        <f>IF($B$846="Лікар-педіатр","x",IF($B$846="Лікар-терапевт",Y849*Z847,IF($B$846="Лікар загальної практики - сімейний лікар",Y849*Z847,0)))</f>
        <v>0</v>
      </c>
      <c r="Z847" s="558"/>
      <c r="AA847" s="930"/>
      <c r="AB847" s="196">
        <f>IF($B$846="Лікар-педіатр",AB849*AG847,IF($B$846="Лікар-терапевт","х",IF($B$846="Лікар загальної практики - сімейний лікар",AB849*AG847,0)))</f>
        <v>0</v>
      </c>
      <c r="AC847" s="196">
        <f>IF($B$846="Лікар-педіатр",AC849*AG847,IF($B$846="Лікар-терапевт","х",IF($B$846="Лікар загальної практики - сімейний лікар",AC849*AG847,0)))</f>
        <v>0</v>
      </c>
      <c r="AD847" s="196">
        <f>IF($B$846="Лікар-педіатр","x",IF($B$846="Лікар-терапевт",AD849*AG847,IF($B$846="Лікар загальної практики - сімейний лікар",AD849*AG847,0)))</f>
        <v>0</v>
      </c>
      <c r="AE847" s="196">
        <f>IF($B$846="Лікар-педіатр","x",IF($B$846="Лікар-терапевт",AE849*AG847,IF($B$846="Лікар загальної практики - сімейний лікар",AE849*AG847,0)))</f>
        <v>0</v>
      </c>
      <c r="AF847" s="196">
        <f>IF($B$846="Лікар-педіатр","x",IF($B$846="Лікар-терапевт",AF849*AG847,IF($B$846="Лікар загальної практики - сімейний лікар",AF849*AG847,0)))</f>
        <v>0</v>
      </c>
      <c r="AG847" s="558"/>
      <c r="AH847" s="930"/>
      <c r="AI847" s="198"/>
      <c r="AJ847" s="933"/>
      <c r="AK847" s="927"/>
      <c r="AL847" s="927"/>
      <c r="AM847" s="902"/>
      <c r="AN847" s="924"/>
      <c r="AO847" s="924"/>
      <c r="AP847" s="924"/>
      <c r="AQ847" s="924"/>
      <c r="AR847" s="915"/>
    </row>
    <row r="848" spans="1:44" s="90" customFormat="1" ht="31.15" hidden="1" customHeight="1">
      <c r="A848" s="240"/>
      <c r="B848" s="893"/>
      <c r="C848" s="896"/>
      <c r="D848" s="912"/>
      <c r="E848" s="909"/>
      <c r="F848" s="241" t="s">
        <v>584</v>
      </c>
      <c r="G848" s="199">
        <f>IF(B846="Лікар загальної практики - сімейний лікар"," ",IF(B846="Лікар-педіатр"," ",IF(B846="Лікар-терапевт","х",0)))</f>
        <v>0</v>
      </c>
      <c r="H848" s="199">
        <f>IF(B846="Лікар загальної практики - сімейний лікар"," ",IF(B846="Лікар-педіатр"," ",IF(B846="Лікар-терапевт","х",0)))</f>
        <v>0</v>
      </c>
      <c r="I848" s="199">
        <f>IF(B846="Лікар загальної практики - сімейний лікар"," ",IF(B846="Лікар-педіатр","х",IF(B846="Лікар-терапевт"," ",0)))</f>
        <v>0</v>
      </c>
      <c r="J848" s="199">
        <f>IF(B846="Лікар загальної практики - сімейний лікар"," ",IF(B846="Лікар-педіатр","х",IF(B846="Лікар-терапевт"," ",0)))</f>
        <v>0</v>
      </c>
      <c r="K848" s="199">
        <f>IF(B846="Лікар загальної практики - сімейний лікар"," ",IF(B846="Лікар-педіатр","х",IF(B846="Лікар-терапевт"," ",0)))</f>
        <v>0</v>
      </c>
      <c r="L848" s="200">
        <f>SUM(G848:K848)</f>
        <v>0</v>
      </c>
      <c r="M848" s="930"/>
      <c r="N848" s="199">
        <f>IF(B846="Лікар загальної практики - сімейний лікар"," ",IF(B846="Лікар-педіатр"," ",IF(B846="Лікар-терапевт","х",0)))</f>
        <v>0</v>
      </c>
      <c r="O848" s="199">
        <f>IF(B846="Лікар загальної практики - сімейний лікар"," ",IF(B846="Лікар-педіатр"," ",IF(B846="Лікар-терапевт","х",0)))</f>
        <v>0</v>
      </c>
      <c r="P848" s="199">
        <f>IF(B846="Лікар загальної практики - сімейний лікар"," ",IF(B846="Лікар-педіатр","х",IF(B846="Лікар-терапевт"," ",0)))</f>
        <v>0</v>
      </c>
      <c r="Q848" s="199">
        <f>IF(B846="Лікар загальної практики - сімейний лікар"," ",IF(B846="Лікар-педіатр","х",IF(B846="Лікар-терапевт"," ",0)))</f>
        <v>0</v>
      </c>
      <c r="R848" s="199">
        <f>IF(B846="Лікар загальної практики - сімейний лікар"," ",IF(B846="Лікар-педіатр","х",IF(B846="Лікар-терапевт"," ",0)))</f>
        <v>0</v>
      </c>
      <c r="S848" s="200">
        <f>SUM(N848:R848)</f>
        <v>0</v>
      </c>
      <c r="T848" s="930"/>
      <c r="U848" s="199">
        <f>IF(B846="Лікар загальної практики - сімейний лікар"," ",IF(B846="Лікар-педіатр"," ",IF(B846="Лікар-терапевт","х",0)))</f>
        <v>0</v>
      </c>
      <c r="V848" s="199">
        <f>IF(B846="Лікар загальної практики - сімейний лікар"," ",IF(B846="Лікар-педіатр"," ",IF(B846="Лікар-терапевт","х",0)))</f>
        <v>0</v>
      </c>
      <c r="W848" s="199">
        <f>IF(B846="Лікар загальної практики - сімейний лікар"," ",IF(B846="Лікар-педіатр","х",IF(B846="Лікар-терапевт"," ",0)))</f>
        <v>0</v>
      </c>
      <c r="X848" s="199">
        <f>IF(B846="Лікар загальної практики - сімейний лікар"," ",IF(B846="Лікар-педіатр","х",IF(B846="Лікар-терапевт"," ",0)))</f>
        <v>0</v>
      </c>
      <c r="Y848" s="199">
        <f>IF(B846="Лікар загальної практики - сімейний лікар"," ",IF(B846="Лікар-педіатр","х",IF(B846="Лікар-терапевт"," ",0)))</f>
        <v>0</v>
      </c>
      <c r="Z848" s="200">
        <f>SUM(U848:Y848)</f>
        <v>0</v>
      </c>
      <c r="AA848" s="930"/>
      <c r="AB848" s="199">
        <f>IF(B846="Лікар загальної практики - сімейний лікар"," ",IF(B846="Лікар-педіатр"," ",IF(B846="Лікар-терапевт","х",0)))</f>
        <v>0</v>
      </c>
      <c r="AC848" s="199">
        <f>IF(B846="Лікар загальної практики - сімейний лікар"," ",IF(B846="Лікар-педіатр"," ",IF(B846="Лікар-терапевт","х",0)))</f>
        <v>0</v>
      </c>
      <c r="AD848" s="199">
        <f>IF(B846="Лікар загальної практики - сімейний лікар"," ",IF(B846="Лікар-педіатр","х",IF(B846="Лікар-терапевт"," ",0)))</f>
        <v>0</v>
      </c>
      <c r="AE848" s="199">
        <f>IF(B846="Лікар загальної практики - сімейний лікар"," ",IF(B846="Лікар-педіатр","х",IF(B846="Лікар-терапевт"," ",0)))</f>
        <v>0</v>
      </c>
      <c r="AF848" s="199">
        <f>IF(B846="Лікар загальної практики - сімейний лікар"," ",IF(B846="Лікар-педіатр","х",IF(B846="Лікар-терапевт"," ",0)))</f>
        <v>0</v>
      </c>
      <c r="AG848" s="200">
        <f>SUM(AB848:AF848)</f>
        <v>0</v>
      </c>
      <c r="AH848" s="930"/>
      <c r="AI848" s="242"/>
      <c r="AJ848" s="933"/>
      <c r="AK848" s="927"/>
      <c r="AL848" s="927"/>
      <c r="AM848" s="902"/>
      <c r="AN848" s="924"/>
      <c r="AO848" s="924"/>
      <c r="AP848" s="924"/>
      <c r="AQ848" s="924"/>
      <c r="AR848" s="915"/>
    </row>
    <row r="849" spans="1:44" s="50" customFormat="1" ht="31.9" hidden="1" customHeight="1" thickBot="1">
      <c r="A849" s="197"/>
      <c r="B849" s="893"/>
      <c r="C849" s="896"/>
      <c r="D849" s="912"/>
      <c r="E849" s="909"/>
      <c r="F849" s="236" t="s">
        <v>349</v>
      </c>
      <c r="G849" s="203">
        <f>IF($B$846="Лікар-педіатр",G848/L848,IF($B$846="Лікар-терапевт","х",IF($B$846="Лікар загальної практики - сімейний лікар",G848/L848,0)))</f>
        <v>0</v>
      </c>
      <c r="H849" s="203">
        <f>IF($B$846="Лікар-педіатр",H848/L848,IF($B$846="Лікар-терапевт","х",IF($B$846="Лікар загальної практики - сімейний лікар",H848/L848,0)))</f>
        <v>0</v>
      </c>
      <c r="I849" s="203">
        <f>IF($B$846="Лікар-педіатр","x",IF($B$846="Лікар-терапевт",I848/L848,IF($B$846="Лікар загальної практики - сімейний лікар",I848/L848,0)))</f>
        <v>0</v>
      </c>
      <c r="J849" s="203">
        <f>IF($B$846="Лікар-педіатр","x",IF($B$846="Лікар-терапевт",J848/L848,IF($B$846="Лікар загальної практики - сімейний лікар",J848/L848,0)))</f>
        <v>0</v>
      </c>
      <c r="K849" s="203">
        <f>IF($B$846="Лікар-педіатр","x",IF($B$846="Лікар-терапевт",K848/L848,IF($B$846="Лікар загальної практики - сімейний лікар",K848/L848,0)))</f>
        <v>0</v>
      </c>
      <c r="L849" s="203">
        <f>SUM(G849:K849)</f>
        <v>0</v>
      </c>
      <c r="M849" s="930"/>
      <c r="N849" s="203">
        <f>IF($B$846="Лікар-педіатр",N848/S848,IF($B$846="Лікар-терапевт","х",IF($B$846="Лікар загальної практики - сімейний лікар",N848/S848,0)))</f>
        <v>0</v>
      </c>
      <c r="O849" s="203">
        <f>IF($B$846="Лікар-педіатр",O848/S848,IF($B$846="Лікар-терапевт","х",IF($B$846="Лікар загальної практики - сімейний лікар",O848/S848,0)))</f>
        <v>0</v>
      </c>
      <c r="P849" s="203">
        <f>IF($B$846="Лікар-педіатр","x",IF($B$846="Лікар-терапевт",P848/S848,IF($B$846="Лікар загальної практики - сімейний лікар",P848/S848,0)))</f>
        <v>0</v>
      </c>
      <c r="Q849" s="203">
        <f>IF($B$846="Лікар-педіатр","x",IF($B$846="Лікар-терапевт",Q848/S848,IF($B$846="Лікар загальної практики - сімейний лікар",Q848/S848,0)))</f>
        <v>0</v>
      </c>
      <c r="R849" s="203">
        <f>IF($B$846="Лікар-педіатр","x",IF($B$846="Лікар-терапевт",R848/S848,IF($B$846="Лікар загальної практики - сімейний лікар",R848/S848,0)))</f>
        <v>0</v>
      </c>
      <c r="S849" s="203">
        <f>SUM(N849:R849)</f>
        <v>0</v>
      </c>
      <c r="T849" s="930"/>
      <c r="U849" s="203">
        <f>IF($B$846="Лікар-педіатр",U848/Z848,IF($B$846="Лікар-терапевт","х",IF($B$846="Лікар загальної практики - сімейний лікар",U848/Z848,0)))</f>
        <v>0</v>
      </c>
      <c r="V849" s="203">
        <f>IF($B$846="Лікар-педіатр",V848/Z848,IF($B$846="Лікар-терапевт","х",IF($B$846="Лікар загальної практики - сімейний лікар",V848/Z848,0)))</f>
        <v>0</v>
      </c>
      <c r="W849" s="203">
        <f>IF($B$846="Лікар-педіатр","x",IF($B$846="Лікар-терапевт",W848/Z848,IF($B$846="Лікар загальної практики - сімейний лікар",W848/Z848,0)))</f>
        <v>0</v>
      </c>
      <c r="X849" s="203">
        <f>IF($B$846="Лікар-педіатр","x",IF($B$846="Лікар-терапевт",X848/Z848,IF($B$846="Лікар загальної практики - сімейний лікар",X848/Z848,0)))</f>
        <v>0</v>
      </c>
      <c r="Y849" s="203">
        <f>IF($B$846="Лікар-педіатр","x",IF($B$846="Лікар-терапевт",Y848/Z848,IF($B$846="Лікар загальної практики - сімейний лікар",Y848/Z848,0)))</f>
        <v>0</v>
      </c>
      <c r="Z849" s="203">
        <f>SUM(U849:Y849)</f>
        <v>0</v>
      </c>
      <c r="AA849" s="930"/>
      <c r="AB849" s="203">
        <f>IF($B$846="Лікар-педіатр",AB848/AG848,IF($B$846="Лікар-терапевт","х",IF($B$846="Лікар загальної практики - сімейний лікар",AB848/AG848,0)))</f>
        <v>0</v>
      </c>
      <c r="AC849" s="203">
        <f>IF($B$846="Лікар-педіатр",AC848/AG848,IF($B$846="Лікар-терапевт","х",IF($B$846="Лікар загальної практики - сімейний лікар",AC848/AG848,0)))</f>
        <v>0</v>
      </c>
      <c r="AD849" s="203">
        <f>IF($B$846="Лікар-педіатр","x",IF($B$846="Лікар-терапевт",AD848/AG848,IF($B$846="Лікар загальної практики - сімейний лікар",AD848/AG848,0)))</f>
        <v>0</v>
      </c>
      <c r="AE849" s="203">
        <f>IF($B$846="Лікар-педіатр","x",IF($B$846="Лікар-терапевт",AE848/AG848,IF($B$846="Лікар загальної практики - сімейний лікар",AE848/AG848,0)))</f>
        <v>0</v>
      </c>
      <c r="AF849" s="203">
        <f>IF($B$846="Лікар-педіатр","x",IF($B$846="Лікар-терапевт",AF848/AG848,IF($B$846="Лікар загальної практики - сімейний лікар",AF848/AG848,0)))</f>
        <v>0</v>
      </c>
      <c r="AG849" s="203">
        <f>SUM(AB849:AF849)</f>
        <v>0</v>
      </c>
      <c r="AH849" s="930"/>
      <c r="AI849" s="201"/>
      <c r="AJ849" s="933"/>
      <c r="AK849" s="927"/>
      <c r="AL849" s="927"/>
      <c r="AM849" s="902"/>
      <c r="AN849" s="924"/>
      <c r="AO849" s="924"/>
      <c r="AP849" s="924"/>
      <c r="AQ849" s="924"/>
      <c r="AR849" s="915"/>
    </row>
    <row r="850" spans="1:44" s="50" customFormat="1" ht="45" hidden="1" customHeight="1" thickBot="1">
      <c r="A850" s="197"/>
      <c r="B850" s="893"/>
      <c r="C850" s="896"/>
      <c r="D850" s="912"/>
      <c r="E850" s="909"/>
      <c r="F850" s="204" t="s">
        <v>585</v>
      </c>
      <c r="G850" s="205">
        <f>IF($B$846="Лікар загальної практики - сімейний лікар",AVERAGE(G846:G848),IF($B$846="Лікар-педіатр",AVERAGE(G846:G848),IF($B$846="Лікар-терапевт","х",0)))</f>
        <v>0</v>
      </c>
      <c r="H850" s="205">
        <f>IF($B$846="Лікар загальної практики - сімейний лікар",AVERAGE(H846:H848),IF($B$846="Лікар-педіатр",AVERAGE(H846:H848),IF($B$846="Лікар-терапевт","х",0)))</f>
        <v>0</v>
      </c>
      <c r="I850" s="205">
        <f>IF($B$846="Лікар загальної практики - сімейний лікар",AVERAGE(I846:I848),IF($B$846="Лікар-педіатр","x",IF($B$846="Лікар-терапевт",AVERAGE(I846:I848),0)))</f>
        <v>0</v>
      </c>
      <c r="J850" s="205">
        <f>IF($B$846="Лікар загальної практики - сімейний лікар",AVERAGE(J846:J848),IF($B$846="Лікар-педіатр","x",IF($B$846="Лікар-терапевт",AVERAGE(J846:J848),0)))</f>
        <v>0</v>
      </c>
      <c r="K850" s="205">
        <f>IF($B$846="Лікар загальної практики - сімейний лікар",AVERAGE(K846:K848),IF($B$846="Лікар-педіатр","x",IF($B$846="Лікар-терапевт",AVERAGE(K846:K848),0)))</f>
        <v>0</v>
      </c>
      <c r="L850" s="206">
        <f>SUM(G850:K850)</f>
        <v>0</v>
      </c>
      <c r="M850" s="930"/>
      <c r="N850" s="205">
        <f>IF($B$846="Лікар загальної практики - сімейний лікар",AVERAGE(N846:N848),IF($B$846="Лікар-педіатр",AVERAGE(N846:N848),IF($B$846="Лікар-терапевт","х",0)))</f>
        <v>0</v>
      </c>
      <c r="O850" s="205">
        <f>IF($B$846="Лікар загальної практики - сімейний лікар",AVERAGE(O846:O848),IF($B$846="Лікар-педіатр",AVERAGE(O846:O848),IF($B$846="Лікар-терапевт","х",0)))</f>
        <v>0</v>
      </c>
      <c r="P850" s="205">
        <f>IF($B$846="Лікар загальної практики - сімейний лікар",AVERAGE(P846:P848),IF($B$846="Лікар-педіатр","x",IF($B$846="Лікар-терапевт",AVERAGE(P846:P848),0)))</f>
        <v>0</v>
      </c>
      <c r="Q850" s="205">
        <f>IF($B$846="Лікар загальної практики - сімейний лікар",AVERAGE(Q846:Q848),IF($B$846="Лікар-педіатр","x",IF($B$846="Лікар-терапевт",AVERAGE(Q846:Q848),0)))</f>
        <v>0</v>
      </c>
      <c r="R850" s="205">
        <f>IF($B$846="Лікар загальної практики - сімейний лікар",AVERAGE(R846:R848),IF($B$846="Лікар-педіатр","x",IF($B$846="Лікар-терапевт",AVERAGE(R846:R848),0)))</f>
        <v>0</v>
      </c>
      <c r="S850" s="206">
        <f>SUM(N850:R850)</f>
        <v>0</v>
      </c>
      <c r="T850" s="930"/>
      <c r="U850" s="205">
        <f>IF($B$846="Лікар загальної практики - сімейний лікар",AVERAGE(U846:U848),IF($B$846="Лікар-педіатр",AVERAGE(U846:U848),IF($B$846="Лікар-терапевт","х",0)))</f>
        <v>0</v>
      </c>
      <c r="V850" s="205">
        <f>IF($B$846="Лікар загальної практики - сімейний лікар",AVERAGE(V846:V848),IF($B$846="Лікар-педіатр",AVERAGE(V846:V848),IF($B$846="Лікар-терапевт","х",0)))</f>
        <v>0</v>
      </c>
      <c r="W850" s="205">
        <f>IF($B$846="Лікар загальної практики - сімейний лікар",AVERAGE(W846:W848),IF($B$846="Лікар-педіатр","x",IF($B$846="Лікар-терапевт",AVERAGE(W846:W848),0)))</f>
        <v>0</v>
      </c>
      <c r="X850" s="205">
        <f>IF($B$846="Лікар загальної практики - сімейний лікар",AVERAGE(X846:X848),IF($B$846="Лікар-педіатр","x",IF($B$846="Лікар-терапевт",AVERAGE(X846:X848),0)))</f>
        <v>0</v>
      </c>
      <c r="Y850" s="205">
        <f>IF($B$846="Лікар загальної практики - сімейний лікар",AVERAGE(Y846:Y848),IF($B$846="Лікар-педіатр","x",IF($B$846="Лікар-терапевт",AVERAGE(Y846:Y848),0)))</f>
        <v>0</v>
      </c>
      <c r="Z850" s="206">
        <f>SUM(U850:Y850)</f>
        <v>0</v>
      </c>
      <c r="AA850" s="930"/>
      <c r="AB850" s="205">
        <f>IF($B$846="Лікар загальної практики - сімейний лікар",AVERAGE(AB846:AB848),IF($B$846="Лікар-педіатр",AVERAGE(AB846:AB848),IF($B$846="Лікар-терапевт","х",0)))</f>
        <v>0</v>
      </c>
      <c r="AC850" s="205">
        <f>IF($B$846="Лікар загальної практики - сімейний лікар",AVERAGE(AC846:AC848),IF($B$846="Лікар-педіатр",AVERAGE(AC846:AC848),IF($B$846="Лікар-терапевт","х",0)))</f>
        <v>0</v>
      </c>
      <c r="AD850" s="205">
        <f>IF($B$846="Лікар загальної практики - сімейний лікар",AVERAGE(AD846:AD848),IF($B$846="Лікар-педіатр","x",IF($B$846="Лікар-терапевт",AVERAGE(AD846:AD848),0)))</f>
        <v>0</v>
      </c>
      <c r="AE850" s="205">
        <f>IF($B$846="Лікар загальної практики - сімейний лікар",AVERAGE(AE846:AE848),IF($B$846="Лікар-педіатр","x",IF($B$846="Лікар-терапевт",AVERAGE(AE846:AE848),0)))</f>
        <v>0</v>
      </c>
      <c r="AF850" s="205">
        <f>IF($B$846="Лікар загальної практики - сімейний лікар",AVERAGE(AF846:AF848),IF($B$846="Лікар-педіатр","x",IF($B$846="Лікар-терапевт",AVERAGE(AF846:AF848),0)))</f>
        <v>0</v>
      </c>
      <c r="AG850" s="206">
        <f>SUM(AB850:AF850)</f>
        <v>0</v>
      </c>
      <c r="AH850" s="930"/>
      <c r="AI850" s="201"/>
      <c r="AJ850" s="933"/>
      <c r="AK850" s="927"/>
      <c r="AL850" s="927"/>
      <c r="AM850" s="903"/>
      <c r="AN850" s="925"/>
      <c r="AO850" s="925"/>
      <c r="AP850" s="925"/>
      <c r="AQ850" s="925"/>
      <c r="AR850" s="916"/>
    </row>
    <row r="851" spans="1:44" s="50" customFormat="1" ht="40.5" hidden="1">
      <c r="A851" s="197"/>
      <c r="B851" s="893"/>
      <c r="C851" s="896"/>
      <c r="D851" s="912"/>
      <c r="E851" s="909"/>
      <c r="F851" s="237" t="str">
        <f ca="1">IF(B846="Лікар-педіатр",Законод!$C$17,IF(B846="Лікар загальної практики - сімейний лікар",Законод!$C$21,IF(B846="Лікар-терапевт",Законод!$C$25,"х")))</f>
        <v>х</v>
      </c>
      <c r="G851" s="208">
        <f ca="1">IF($B$846="Лікар загальної практики - сімейний лікар",IF(L850&lt;=Законод!$C$22,G850,Законод!$C$22*'01_Доходи'!G849),IF($B$846="Лікар-педіатр",IF(L850&lt;=Законод!$C$18,G850,Законод!$C$18*'01_Доходи'!G849),IF($B$846="Лікар-терапевт","x",0)))</f>
        <v>0</v>
      </c>
      <c r="H851" s="208">
        <f ca="1">IF($B$846="Лікар загальної практики - сімейний лікар",IF(L850&lt;=Законод!$C$22,H850,Законод!$C$22*'01_Доходи'!H849),IF($B$846="Лікар-педіатр",IF(L850&lt;=Законод!$C$18,H850,Законод!$C$18*'01_Доходи'!H849),IF($B$846="Лікар-терапевт","x",0)))</f>
        <v>0</v>
      </c>
      <c r="I851" s="208">
        <f ca="1">IF($B$846="Лікар загальної практики - сімейний лікар",IF(L850&lt;=Законод!$C$22,I850,Законод!$C$22*'01_Доходи'!I849),IF($B$846="Лікар-педіатр","x",IF($B$846="Лікар-терапевт",IF(L850&lt;=Законод!$C$26,I850,Законод!$C$26*'01_Доходи'!I849),0)))</f>
        <v>0</v>
      </c>
      <c r="J851" s="208">
        <f ca="1">IF($B$846="Лікар загальної практики - сімейний лікар",IF(L850&lt;=Законод!$C$22,J850,Законод!$C$22*'01_Доходи'!J849),IF($B$846="Лікар-педіатр","x",IF($B$846="Лікар-терапевт",IF(L850&lt;=Законод!$C$26,J850,Законод!$C$26*'01_Доходи'!J849),0)))</f>
        <v>0</v>
      </c>
      <c r="K851" s="208">
        <f ca="1">IF($B$846="Лікар загальної практики - сімейний лікар",IF(L850&lt;=Законод!$C$22,K850,Законод!$C$22*'01_Доходи'!K849),IF($B$846="Лікар-педіатр","x",IF($B$846="Лікар-терапевт",IF(L850&lt;=Законод!$C$26,K850,Законод!$C$26*'01_Доходи'!K849),0)))</f>
        <v>0</v>
      </c>
      <c r="L851" s="209">
        <f ca="1">SUM(G851:K851)</f>
        <v>0</v>
      </c>
      <c r="M851" s="930"/>
      <c r="N851" s="208">
        <f ca="1">IF($B$846="Лікар загальної практики - сімейний лікар",IF(S850&lt;=Законод!$C$22,N850,Законод!$C$22*'01_Доходи'!N849),IF($B$846="Лікар-педіатр",IF(S850&lt;=Законод!$C$18,N850,Законод!$C$18*'01_Доходи'!N849),IF($B$846="Лікар-терапевт","x",0)))</f>
        <v>0</v>
      </c>
      <c r="O851" s="208">
        <f ca="1">IF($B$846="Лікар загальної практики - сімейний лікар",IF(S850&lt;=Законод!$C$22,O850,Законод!$C$22*'01_Доходи'!O849),IF($B$846="Лікар-педіатр",IF(S850&lt;=Законод!$C$18,O850,Законод!$C$18*'01_Доходи'!O849),IF($B$846="Лікар-терапевт","x",0)))</f>
        <v>0</v>
      </c>
      <c r="P851" s="208">
        <f ca="1">IF($B$846="Лікар загальної практики - сімейний лікар",IF(S850&lt;=Законод!$C$22,P850,Законод!$C$22*'01_Доходи'!P849),IF($B$846="Лікар-педіатр","x",IF($B$846="Лікар-терапевт",IF(S850&lt;=Законод!$C$26,P850,Законод!$C$26*'01_Доходи'!P849),0)))</f>
        <v>0</v>
      </c>
      <c r="Q851" s="208">
        <f ca="1">IF($B$846="Лікар загальної практики - сімейний лікар",IF(S850&lt;=Законод!$C$22,Q850,Законод!$C$22*'01_Доходи'!Q849),IF($B$846="Лікар-педіатр","x",IF($B$846="Лікар-терапевт",IF(S850&lt;=Законод!$C$26,Q850,Законод!$C$26*'01_Доходи'!Q849),0)))</f>
        <v>0</v>
      </c>
      <c r="R851" s="208">
        <f ca="1">IF($B$846="Лікар загальної практики - сімейний лікар",IF(S850&lt;=Законод!$C$22,R850,Законод!$C$22*'01_Доходи'!R849),IF($B$846="Лікар-педіатр","x",IF($B$846="Лікар-терапевт",IF(S850&lt;=Законод!$C$26,R850,Законод!$C$26*'01_Доходи'!R849),0)))</f>
        <v>0</v>
      </c>
      <c r="S851" s="209">
        <f ca="1">SUM(N851:R851)</f>
        <v>0</v>
      </c>
      <c r="T851" s="930"/>
      <c r="U851" s="208">
        <f ca="1">IF($B$846="Лікар загальної практики - сімейний лікар",IF(Z850&lt;=Законод!$C$22,U850,Законод!$C$22*'01_Доходи'!U849),IF($B$846="Лікар-педіатр",IF(Z850&lt;=Законод!$C$18,U850,Законод!$C$18*'01_Доходи'!U849),IF($B$846="Лікар-терапевт","x",0)))</f>
        <v>0</v>
      </c>
      <c r="V851" s="208">
        <f ca="1">IF($B$846="Лікар загальної практики - сімейний лікар",IF(Z850&lt;=Законод!$C$22,V850,Законод!$C$22*'01_Доходи'!V849),IF($B$846="Лікар-педіатр",IF(Z850&lt;=Законод!$C$18,V850,Законод!$C$18*'01_Доходи'!V849),IF($B$846="Лікар-терапевт","x",0)))</f>
        <v>0</v>
      </c>
      <c r="W851" s="208">
        <f ca="1">IF($B$846="Лікар загальної практики - сімейний лікар",IF(Z850&lt;=Законод!$C$22,W850,Законод!$C$22*'01_Доходи'!W849),IF($B$846="Лікар-педіатр","x",IF($B$846="Лікар-терапевт",IF(Z850&lt;=Законод!$C$26,W850,Законод!$C$26*'01_Доходи'!W849),0)))</f>
        <v>0</v>
      </c>
      <c r="X851" s="208">
        <f ca="1">IF($B$846="Лікар загальної практики - сімейний лікар",IF(Z850&lt;=Законод!$C$22,X850,Законод!$C$22*'01_Доходи'!X849),IF($B$846="Лікар-педіатр","x",IF($B$846="Лікар-терапевт",IF(Z850&lt;=Законод!$C$26,X850,Законод!$C$26*'01_Доходи'!X849),0)))</f>
        <v>0</v>
      </c>
      <c r="Y851" s="208">
        <f ca="1">IF($B$846="Лікар загальної практики - сімейний лікар",IF(Z850&lt;=Законод!$C$22,Y850,Законод!$C$22*'01_Доходи'!Y849),IF($B$846="Лікар-педіатр","x",IF($B$846="Лікар-терапевт",IF(Z850&lt;=Законод!$C$26,Y850,Законод!$C$26*'01_Доходи'!Y849),0)))</f>
        <v>0</v>
      </c>
      <c r="Z851" s="209">
        <f ca="1">SUM(U851:Y851)</f>
        <v>0</v>
      </c>
      <c r="AA851" s="930"/>
      <c r="AB851" s="208">
        <f ca="1">IF($B$846="Лікар загальної практики - сімейний лікар",IF(AG850&lt;=Законод!$C$22,AB850,Законод!$C$22*'01_Доходи'!AB849),IF($B$846="Лікар-педіатр",IF(AG850&lt;=Законод!$C$18,AB850,Законод!$C$18*'01_Доходи'!AB849),IF($B$846="Лікар-терапевт","x",0)))</f>
        <v>0</v>
      </c>
      <c r="AC851" s="208">
        <f ca="1">IF($B$846="Лікар загальної практики - сімейний лікар",IF(AG850&lt;=Законод!$C$22,AC850,Законод!$C$22*'01_Доходи'!AC849),IF($B$846="Лікар-педіатр",IF(AG850&lt;=Законод!$C$18,AC850,Законод!$C$18*'01_Доходи'!AC849),IF($B$846="Лікар-терапевт","x",0)))</f>
        <v>0</v>
      </c>
      <c r="AD851" s="208">
        <f ca="1">IF($B$846="Лікар загальної практики - сімейний лікар",IF(AG850&lt;=Законод!$C$22,AD850,Законод!$C$22*'01_Доходи'!AD849),IF($B$846="Лікар-педіатр","x",IF($B$846="Лікар-терапевт",IF(AG850&lt;=Законод!$C$26,AD850,Законод!$C$26*'01_Доходи'!AD849),0)))</f>
        <v>0</v>
      </c>
      <c r="AE851" s="208">
        <f ca="1">IF($B$846="Лікар загальної практики - сімейний лікар",IF(AG850&lt;=Законод!$C$22,AE850,Законод!$C$22*'01_Доходи'!AE849),IF($B$846="Лікар-педіатр","x",IF($B$846="Лікар-терапевт",IF(AG850&lt;=Законод!$C$26,AE850,Законод!$C$26*'01_Доходи'!AE849),0)))</f>
        <v>0</v>
      </c>
      <c r="AF851" s="208">
        <f ca="1">IF($B$846="Лікар загальної практики - сімейний лікар",IF(AG850&lt;=Законод!$C$22,AF850,Законод!$C$22*'01_Доходи'!AF849),IF($B$846="Лікар-педіатр","x",IF($B$846="Лікар-терапевт",IF(AG850&lt;=Законод!$C$26,AF850,Законод!$C$26*'01_Доходи'!AF849),0)))</f>
        <v>0</v>
      </c>
      <c r="AG851" s="209">
        <f ca="1">SUM(AB851:AF851)</f>
        <v>0</v>
      </c>
      <c r="AH851" s="930"/>
      <c r="AI851" s="201"/>
      <c r="AJ851" s="933"/>
      <c r="AK851" s="927"/>
      <c r="AL851" s="927"/>
      <c r="AM851" s="348" t="s">
        <v>374</v>
      </c>
      <c r="AN851" s="210">
        <f ca="1">IF(B846="Лікар загальної практики - сімейний лікар",G851*Законод!$C$11+'01_Доходи'!H851*Законод!$D$11+'01_Доходи'!I851*Законод!$E$11+'01_Доходи'!J851*Законод!$F$11+'01_Доходи'!K851*Законод!$G$11,IF(B846="Лікар-педіатр",G851*Законод!$C$11+'01_Доходи'!H851*Законод!$D$11,IF(B846="Лікар-терапевт",'01_Доходи'!I851*Законод!$E$11+'01_Доходи'!J851*Законод!$F$11+'01_Доходи'!K851*Законод!$G$11,0)))</f>
        <v>0</v>
      </c>
      <c r="AO851" s="210">
        <f ca="1">IF(B846="Лікар загальної практики - сімейний лікар",N851*Законод!$C$11+'01_Доходи'!O851*Законод!$D$11+'01_Доходи'!P851*Законод!$E$11+'01_Доходи'!Q851*Законод!$F$11+'01_Доходи'!R851*Законод!$G$11,IF(B846="Лікар-педіатр",N851*Законод!$C$11+'01_Доходи'!O851*Законод!$D$11,IF(B846="Лікар-терапевт",'01_Доходи'!P851*Законод!$E$11+'01_Доходи'!Q851*Законод!$F$11+'01_Доходи'!R851*Законод!$G$11,0)))</f>
        <v>0</v>
      </c>
      <c r="AP851" s="210">
        <f ca="1">IF(B846="Лікар загальної практики - сімейний лікар",U851*Законод!$C$11+'01_Доходи'!V851*Законод!$D$11+'01_Доходи'!W851*Законод!$E$11+'01_Доходи'!X851*Законод!$F$11+'01_Доходи'!Y851*Законод!$G$11,IF(B846="Лікар-педіатр",U851*Законод!$C$11+'01_Доходи'!V851*Законод!$D$11,IF(B846="Лікар-терапевт",'01_Доходи'!W851*Законод!$E$11+'01_Доходи'!X851*Законод!$F$11+'01_Доходи'!Y851*Законод!$G$11,0)))</f>
        <v>0</v>
      </c>
      <c r="AQ851" s="210">
        <f ca="1">IF(B846="Лікар загальної практики - сімейний лікар",AB851*Законод!$C$11+'01_Доходи'!AC851*Законод!$D$11+'01_Доходи'!AD851*Законод!$E$11+'01_Доходи'!AE851*Законод!$F$11+'01_Доходи'!AF851*Законод!$G$11,IF(B846="Лікар-педіатр",AB851*Законод!$C$11+'01_Доходи'!AC851*Законод!$D$11,IF(B846="Лікар-терапевт",'01_Доходи'!AD851*Законод!$E$11+'01_Доходи'!AE851*Законод!$F$11+'01_Доходи'!AF851*Законод!$G$11,0)))</f>
        <v>0</v>
      </c>
      <c r="AR851" s="211">
        <f t="shared" ref="AR851:AR857" si="92">SUM(AN851:AQ851)</f>
        <v>0</v>
      </c>
    </row>
    <row r="852" spans="1:44" s="50" customFormat="1" ht="31.9" hidden="1" customHeight="1">
      <c r="A852" s="197"/>
      <c r="B852" s="893"/>
      <c r="C852" s="896"/>
      <c r="D852" s="912"/>
      <c r="E852" s="909"/>
      <c r="F852" s="238" t="str">
        <f ca="1">IF(B846="Лікар-педіатр",Законод!$E$17,IF(B846="Лікар загальної практики - сімейний лікар",Законод!$E$21,IF(B846="Лікар-терапевт",Законод!$E$25,"х")))</f>
        <v>х</v>
      </c>
      <c r="G852" s="889" t="s">
        <v>346</v>
      </c>
      <c r="H852" s="890"/>
      <c r="I852" s="890"/>
      <c r="J852" s="890"/>
      <c r="K852" s="891"/>
      <c r="L852" s="196">
        <f ca="1">IF($B$846="Лікар загальної практики - сімейний лікар",IF(L850&lt;Законод!$C$22,0,(IF(AND(L850&gt;=Законод!$E$22,L850&lt;=Законод!$E$23),L850-Законод!$C$22,IF('01_Доходи'!L850&gt;=Законод!$F$22,Законод!$E$24,0)))),IF($B$846="Лікар-педіатр",IF(L850&lt;Законод!$C$18,0,(IF(AND(L850&gt;=Законод!$E$18,L850&lt;=Законод!$E$19),L850-Законод!$C$18,IF('01_Доходи'!L850&gt;=Законод!$F$18,Законод!$E$20,0)))),IF($B$846="Лікар-терапевт",IF(L850&lt;Законод!$C$26,0,(IF(AND(L850&gt;=Законод!$E$26,L850&lt;=Законод!$E$27),L850-Законод!$C$26,IF('01_Доходи'!L850&gt;=Законод!$F$26,Законод!$E$28,0)))),0)))</f>
        <v>0</v>
      </c>
      <c r="M852" s="930"/>
      <c r="N852" s="889" t="s">
        <v>346</v>
      </c>
      <c r="O852" s="890"/>
      <c r="P852" s="890"/>
      <c r="Q852" s="890"/>
      <c r="R852" s="891"/>
      <c r="S852" s="196">
        <f ca="1">IF($B$846="Лікар загальної практики - сімейний лікар",IF(S850&lt;Законод!$C$22,0,(IF(AND(S850&gt;=Законод!$E$22,S850&lt;=Законод!$E$23),S850-Законод!$C$22,IF('01_Доходи'!S850&gt;=Законод!$F$22,Законод!$E$24,0)))),IF($B$846="Лікар-педіатр",IF(S850&lt;Законод!$C$18,0,(IF(AND(S850&gt;=Законод!$E$18,S850&lt;=Законод!$E$19),S850-Законод!$C$18,IF('01_Доходи'!S850&gt;=Законод!$F$18,Законод!$E$20,0)))),IF($B$846="Лікар-терапевт",IF(S850&lt;Законод!$C$26,0,(IF(AND(S850&gt;=Законод!$E$26,S850&lt;=Законод!$E$27),S850-Законод!$C$26,IF('01_Доходи'!S850&gt;=Законод!$F$26,Законод!$E$28,0)))),0)))</f>
        <v>0</v>
      </c>
      <c r="T852" s="930"/>
      <c r="U852" s="889" t="s">
        <v>346</v>
      </c>
      <c r="V852" s="890"/>
      <c r="W852" s="890"/>
      <c r="X852" s="890"/>
      <c r="Y852" s="891"/>
      <c r="Z852" s="196">
        <f ca="1">IF($B$846="Лікар загальної практики - сімейний лікар",IF(Z850&lt;Законод!$C$22,0,(IF(AND(Z850&gt;=Законод!$E$22,Z850&lt;=Законод!$E$23),Z850-Законод!$C$22,IF('01_Доходи'!Z850&gt;=Законод!$F$22,Законод!$E$24,0)))),IF($B$846="Лікар-педіатр",IF(Z850&lt;Законод!$C$18,0,(IF(AND(Z850&gt;=Законод!$E$18,Z850&lt;=Законод!$E$19),Z850-Законод!$C$18,IF('01_Доходи'!Z850&gt;=Законод!$F$18,Законод!$E$20,0)))),IF($B$846="Лікар-терапевт",IF(Z850&lt;Законод!$C$26,0,(IF(AND(Z850&gt;=Законод!$E$26,Z850&lt;=Законод!$E$27),Z850-Законод!$C$26,IF('01_Доходи'!Z850&gt;=Законод!$F$26,Законод!$E$28,0)))),0)))</f>
        <v>0</v>
      </c>
      <c r="AA852" s="930"/>
      <c r="AB852" s="889" t="s">
        <v>346</v>
      </c>
      <c r="AC852" s="890"/>
      <c r="AD852" s="890"/>
      <c r="AE852" s="890"/>
      <c r="AF852" s="891"/>
      <c r="AG852" s="196">
        <f ca="1">IF($B$846="Лікар загальної практики - сімейний лікар",IF(AG850&lt;Законод!$C$22,0,(IF(AND(AG850&gt;=Законод!$E$22,AG850&lt;=Законод!$E$23),AG850-Законод!$C$22,IF('01_Доходи'!AG850&gt;=Законод!$F$22,Законод!$E$24,0)))),IF($B$846="Лікар-педіатр",IF(AG850&lt;Законод!$C$18,0,(IF(AND(AG850&gt;=Законод!$E$18,AG850&lt;=Законод!$E$19),AG850-Законод!$C$18,IF('01_Доходи'!AG850&gt;=Законод!$F$18,Законод!$E$20,0)))),IF($B$846="Лікар-терапевт",IF(AG850&lt;Законод!$C$26,0,(IF(AND(AG850&gt;=Законод!$E$26,AG850&lt;=Законод!$E$27),AG850-Законод!$C$26,IF('01_Доходи'!AG850&gt;=Законод!$F$26,Законод!$E$28,0)))),0)))</f>
        <v>0</v>
      </c>
      <c r="AH852" s="930"/>
      <c r="AI852" s="201"/>
      <c r="AJ852" s="933"/>
      <c r="AK852" s="927"/>
      <c r="AL852" s="927"/>
      <c r="AM852" s="898" t="s">
        <v>375</v>
      </c>
      <c r="AN852" s="210">
        <f ca="1">IF(B846="Лікар загальної практики - сімейний лікар",L852*Законод!$C$9/4*Законод!$E$16,IF(B846="Лікар-педіатр",L852*Законод!$C$9/4*Законод!$E$16,IF(B846="Лікар-терапевт",L852*Законод!$C$9/4*Законод!$E$16,0)))</f>
        <v>0</v>
      </c>
      <c r="AO852" s="210">
        <f ca="1">IF(B846="Лікар загальної практики - сімейний лікар",S852*Законод!$C$9/4*Законод!$E$16,IF(B846="Лікар-педіатр",S852*Законод!$C$9/4*Законод!$E$16,IF(B846="Лікар-терапевт",S852*Законод!$C$9/4*Законод!$E$16,0)))</f>
        <v>0</v>
      </c>
      <c r="AP852" s="210">
        <f ca="1">IF(B846="Лікар загальної практики - сімейний лікар",Z852*Законод!$C$9/4*Законод!$E$16,IF(B846="Лікар-педіатр",Z852*Законод!$C$9/4*Законод!$E$16,IF(B846="Лікар-терапевт",Z852*Законод!$C$9/4*Законод!$E$16,0)))</f>
        <v>0</v>
      </c>
      <c r="AQ852" s="210">
        <f ca="1">IF(B846="Лікар загальної практики - сімейний лікар",AG852*Законод!$C$9/4*Законод!$E$16,IF(B846="Лікар-педіатр",AG852*Законод!$C$9/4*Законод!$E$16,IF(B846="Лікар-терапевт",AG852*Законод!$C$9/4*Законод!$E$16,0)))</f>
        <v>0</v>
      </c>
      <c r="AR852" s="211">
        <f t="shared" si="92"/>
        <v>0</v>
      </c>
    </row>
    <row r="853" spans="1:44" s="50" customFormat="1" ht="31.9" hidden="1" customHeight="1">
      <c r="A853" s="197"/>
      <c r="B853" s="893"/>
      <c r="C853" s="896"/>
      <c r="D853" s="912"/>
      <c r="E853" s="909"/>
      <c r="F853" s="238" t="str">
        <f ca="1">IF(B846="Лікар-педіатр",Законод!$F$17,IF(B846="Лікар загальної практики - сімейний лікар",Законод!$F$21,IF(B846="Лікар-терапевт",Законод!$F$25,"х")))</f>
        <v>х</v>
      </c>
      <c r="G853" s="889" t="s">
        <v>346</v>
      </c>
      <c r="H853" s="890"/>
      <c r="I853" s="890"/>
      <c r="J853" s="890"/>
      <c r="K853" s="891"/>
      <c r="L853" s="196">
        <f ca="1">IF($B$846="Лікар загальної практики - сімейний лікар",IF(L850&lt;Законод!$C$22,0,(IF(AND(L850&gt;=Законод!$F$22,L850&lt;=Законод!$F$23),L850-Законод!$E$23,IF('01_Доходи'!L850&gt;=Законод!$G$22,Законод!$F$24,0)))),IF($B$846="Лікар-педіатр",IF(L850&lt;Законод!$C$18,0,(IF(AND(L850&gt;=Законод!$F$18,L850&lt;=Законод!$F$19),L850-Законод!$E$19,IF('01_Доходи'!L850&gt;=Законод!$G$18,Законод!$F$20,0)))),IF($B$846="Лікар-терапевт",IF(L850&lt;Законод!$C$26,0,(IF(AND(L850&gt;=Законод!$F$26,L850&lt;=Законод!$F$27),L850-Законод!$E$27,IF('01_Доходи'!L850&gt;=Законод!$G$26,Законод!$F$28,0)))),0)))</f>
        <v>0</v>
      </c>
      <c r="M853" s="930"/>
      <c r="N853" s="889" t="s">
        <v>346</v>
      </c>
      <c r="O853" s="890"/>
      <c r="P853" s="890"/>
      <c r="Q853" s="890"/>
      <c r="R853" s="891"/>
      <c r="S853" s="196">
        <f ca="1">IF($B$846="Лікар загальної практики - сімейний лікар",IF(S850&lt;Законод!$C$22,0,(IF(AND(S850&gt;=Законод!$F$22,S850&lt;=Законод!$F$23),S850-Законод!$E$23,IF('01_Доходи'!S850&gt;=Законод!$G$22,Законод!$F$24,0)))),IF($B$846="Лікар-педіатр",IF(S850&lt;Законод!$C$18,0,(IF(AND(S850&gt;=Законод!$F$18,S850&lt;=Законод!$F$19),S850-Законод!$E$19,IF('01_Доходи'!S850&gt;=Законод!$G$18,Законод!$F$20,0)))),IF($B$846="Лікар-терапевт",IF(S850&lt;Законод!$C$26,0,(IF(AND(S850&gt;=Законод!$F$26,S850&lt;=Законод!$F$27),S850-Законод!$E$27,IF('01_Доходи'!S850&gt;=Законод!$G$26,Законод!$F$28,0)))),0)))</f>
        <v>0</v>
      </c>
      <c r="T853" s="930"/>
      <c r="U853" s="889" t="s">
        <v>346</v>
      </c>
      <c r="V853" s="890"/>
      <c r="W853" s="890"/>
      <c r="X853" s="890"/>
      <c r="Y853" s="891"/>
      <c r="Z853" s="196">
        <f ca="1">IF($B$846="Лікар загальної практики - сімейний лікар",IF(Z850&lt;Законод!$C$22,0,(IF(AND(Z850&gt;=Законод!$F$22,Z850&lt;=Законод!$F$23),Z850-Законод!$E$23,IF('01_Доходи'!Z850&gt;=Законод!$G$22,Законод!$F$24,0)))),IF($B$846="Лікар-педіатр",IF(Z850&lt;Законод!$C$18,0,(IF(AND(Z850&gt;=Законод!$F$18,Z850&lt;=Законод!$F$19),Z850-Законод!$E$19,IF('01_Доходи'!Z850&gt;=Законод!$G$18,Законод!$F$20,0)))),IF($B$846="Лікар-терапевт",IF(Z850&lt;Законод!$C$26,0,(IF(AND(Z850&gt;=Законод!$F$26,Z850&lt;=Законод!$F$27),Z850-Законод!$E$27,IF('01_Доходи'!Z850&gt;=Законод!$G$26,Законод!$F$28,0)))),0)))</f>
        <v>0</v>
      </c>
      <c r="AA853" s="930"/>
      <c r="AB853" s="889" t="s">
        <v>346</v>
      </c>
      <c r="AC853" s="890"/>
      <c r="AD853" s="890"/>
      <c r="AE853" s="890"/>
      <c r="AF853" s="891"/>
      <c r="AG853" s="196">
        <f ca="1">IF($B$846="Лікар загальної практики - сімейний лікар",IF(AG850&lt;Законод!$C$22,0,(IF(AND(AG850&gt;=Законод!$F$22,AG850&lt;=Законод!$F$23),AG850-Законод!$E$23,IF('01_Доходи'!AG850&gt;=Законод!$G$22,Законод!$F$24,0)))),IF($B$846="Лікар-педіатр",IF(AG850&lt;Законод!$C$18,0,(IF(AND(AG850&gt;=Законод!$F$18,AG850&lt;=Законод!$F$19),AG850-Законод!$E$19,IF('01_Доходи'!AG850&gt;=Законод!$G$18,Законод!$F$20,0)))),IF($B$846="Лікар-терапевт",IF(AG850&lt;Законод!$C$26,0,(IF(AND(AG850&gt;=Законод!$F$26,AG850&lt;=Законод!$F$27),AG850-Законод!$E$27,IF('01_Доходи'!AG850&gt;=Законод!$G$26,Законод!$F$28,0)))),0)))</f>
        <v>0</v>
      </c>
      <c r="AH853" s="930"/>
      <c r="AI853" s="201"/>
      <c r="AJ853" s="933"/>
      <c r="AK853" s="927"/>
      <c r="AL853" s="927"/>
      <c r="AM853" s="899"/>
      <c r="AN853" s="210">
        <f ca="1">IF(B846="Лікар загальної практики - сімейний лікар",L853*Законод!$C$9/4*Законод!$F$16,IF(B846="Лікар-педіатр",L853*Законод!$C$9/4*Законод!$F$16,IF(B846="Лікар-терапевт",L853*Законод!$C$9/4*Законод!$F$16,0)))</f>
        <v>0</v>
      </c>
      <c r="AO853" s="210">
        <f ca="1">IF(B846="Лікар загальної практики - сімейний лікар",S853*Законод!$C$9/4*Законод!$F$16,IF(B846="Лікар-педіатр",S853*Законод!$C$9/4*Законод!$F$16,IF(B846="Лікар-терапевт",S853*Законод!$C$9/4*Законод!$F$16,0)))</f>
        <v>0</v>
      </c>
      <c r="AP853" s="210">
        <f ca="1">IF(B846="Лікар загальної практики - сімейний лікар",Z853*Законод!$C$9/4*Законод!$F$16,IF(B846="Лікар-педіатр",Z853*Законод!$C$9/4*Законод!$F$16,IF(B846="Лікар-терапевт",Z853*Законод!$C$9/4*Законод!$F$16,0)))</f>
        <v>0</v>
      </c>
      <c r="AQ853" s="210">
        <f ca="1">IF(B846="Лікар загальної практики - сімейний лікар",AG853*Законод!$C$9/4*Законод!$F$16,IF(B846="Лікар-педіатр",AG853*Законод!$C$9/4*Законод!$F$16,IF(B846="Лікар-терапевт",AG853*Законод!$C$9/4*Законод!$F$16,0)))</f>
        <v>0</v>
      </c>
      <c r="AR853" s="211">
        <f t="shared" si="92"/>
        <v>0</v>
      </c>
    </row>
    <row r="854" spans="1:44" s="50" customFormat="1" ht="31.9" hidden="1" customHeight="1">
      <c r="A854" s="197"/>
      <c r="B854" s="893"/>
      <c r="C854" s="896"/>
      <c r="D854" s="912"/>
      <c r="E854" s="909"/>
      <c r="F854" s="238" t="str">
        <f ca="1">IF(B846="Лікар-педіатр",Законод!$G$17,IF(B846="Лікар загальної практики - сімейний лікар",Законод!$G$21,IF(B846="Лікар-терапевт",Законод!$G$25,"х")))</f>
        <v>х</v>
      </c>
      <c r="G854" s="889" t="s">
        <v>346</v>
      </c>
      <c r="H854" s="890"/>
      <c r="I854" s="890"/>
      <c r="J854" s="890"/>
      <c r="K854" s="891"/>
      <c r="L854" s="196">
        <f ca="1">IF($B$846="Лікар загальної практики - сімейний лікар",IF(L850&lt;Законод!$C$22,0,(IF(AND(L850&gt;=Законод!$G$22,L850&lt;=Законод!$G$23),L850-Законод!$F$23,IF('01_Доходи'!L850&gt;=Законод!$H$22,Законод!$G$24,0)))),IF($B$846="Лікар-педіатр",IF(L850&lt;Законод!$C$18,0,(IF(AND(L850&gt;=Законод!$G$18,L850&lt;=Законод!$G$19),L850-Законод!$F$19,IF('01_Доходи'!L850&gt;=Законод!$H$18,Законод!$G$20,0)))),IF($B$846="Лікар-терапевт",IF(L850&lt;Законод!$C$26,0,(IF(AND(L850&gt;=Законод!$G$26,L850&lt;=Законод!$G$27),L850-Законод!$F$27,IF('01_Доходи'!L850&gt;=Законод!$H$26,Законод!$G$28,0)))),0)))</f>
        <v>0</v>
      </c>
      <c r="M854" s="930"/>
      <c r="N854" s="889" t="s">
        <v>346</v>
      </c>
      <c r="O854" s="890"/>
      <c r="P854" s="890"/>
      <c r="Q854" s="890"/>
      <c r="R854" s="891"/>
      <c r="S854" s="196">
        <f ca="1">IF($B$846="Лікар загальної практики - сімейний лікар",IF(S850&lt;Законод!$C$22,0,(IF(AND(S850&gt;=Законод!$G$22,S850&lt;=Законод!$G$23),S850-Законод!$F$23,IF('01_Доходи'!S850&gt;=Законод!$H$22,Законод!$G$24,0)))),IF($B$846="Лікар-педіатр",IF(S850&lt;Законод!$C$18,0,(IF(AND(S850&gt;=Законод!$G$18,S850&lt;=Законод!$G$19),S850-Законод!$F$19,IF('01_Доходи'!S850&gt;=Законод!$H$18,Законод!$G$20,0)))),IF($B$846="Лікар-терапевт",IF(S850&lt;Законод!$C$26,0,(IF(AND(S850&gt;=Законод!$G$26,S850&lt;=Законод!$G$27),S850-Законод!$F$27,IF('01_Доходи'!S850&gt;=Законод!$H$26,Законод!$G$28,0)))),0)))</f>
        <v>0</v>
      </c>
      <c r="T854" s="930"/>
      <c r="U854" s="889" t="s">
        <v>346</v>
      </c>
      <c r="V854" s="890"/>
      <c r="W854" s="890"/>
      <c r="X854" s="890"/>
      <c r="Y854" s="891"/>
      <c r="Z854" s="196">
        <f ca="1">IF($B$846="Лікар загальної практики - сімейний лікар",IF(Z850&lt;Законод!$C$22,0,(IF(AND(Z850&gt;=Законод!$G$22,Z850&lt;=Законод!$G$23),Z850-Законод!$F$23,IF('01_Доходи'!Z850&gt;=Законод!$H$22,Законод!$G$24,0)))),IF($B$846="Лікар-педіатр",IF(Z850&lt;Законод!$C$18,0,(IF(AND(Z850&gt;=Законод!$G$18,Z850&lt;=Законод!$G$19),Z850-Законод!$F$19,IF('01_Доходи'!Z850&gt;=Законод!$H$18,Законод!$G$20,0)))),IF($B$846="Лікар-терапевт",IF(Z850&lt;Законод!$C$26,0,(IF(AND(Z850&gt;=Законод!$G$26,Z850&lt;=Законод!$G$27),Z850-Законод!$F$27,IF('01_Доходи'!Z850&gt;=Законод!$H$26,Законод!$G$28,0)))),0)))</f>
        <v>0</v>
      </c>
      <c r="AA854" s="930"/>
      <c r="AB854" s="889" t="s">
        <v>346</v>
      </c>
      <c r="AC854" s="890"/>
      <c r="AD854" s="890"/>
      <c r="AE854" s="890"/>
      <c r="AF854" s="891"/>
      <c r="AG854" s="196">
        <f ca="1">IF($B$846="Лікар загальної практики - сімейний лікар",IF(AG850&lt;Законод!$C$22,0,(IF(AND(AG850&gt;=Законод!$G$22,AG850&lt;=Законод!$G$23),AG850-Законод!$F$23,IF('01_Доходи'!AG850&gt;=Законод!$H$22,Законод!$G$24,0)))),IF($B$846="Лікар-педіатр",IF(AG850&lt;Законод!$C$18,0,(IF(AND(AG850&gt;=Законод!$G$18,AG850&lt;=Законод!$G$19),AG850-Законод!$F$19,IF('01_Доходи'!AG850&gt;=Законод!$H$18,Законод!$G$20,0)))),IF($B$846="Лікар-терапевт",IF(AG850&lt;Законод!$C$26,0,(IF(AND(AG850&gt;=Законод!$G$26,AG850&lt;=Законод!$G$27),AG850-Законод!$F$27,IF('01_Доходи'!AG850&gt;=Законод!$H$26,Законод!$G$28,0)))),0)))</f>
        <v>0</v>
      </c>
      <c r="AH854" s="930"/>
      <c r="AI854" s="201"/>
      <c r="AJ854" s="933"/>
      <c r="AK854" s="927"/>
      <c r="AL854" s="927"/>
      <c r="AM854" s="899"/>
      <c r="AN854" s="210">
        <f ca="1">IF(B846="Лікар загальної практики - сімейний лікар",L854*Законод!$C$9/4*Законод!$G$16,IF(B846="Лікар-педіатр",L854*Законод!$C$9/4*Законод!$G$16,IF(B846="Лікар-терапевт",L854*Законод!$C$9/4*Законод!$G$16,0)))</f>
        <v>0</v>
      </c>
      <c r="AO854" s="210">
        <f ca="1">IF(B846="Лікар загальної практики - сімейний лікар",S854*Законод!$C$9/4*Законод!$G$16,IF(B846="Лікар-педіатр",S854*Законод!$C$9/4*Законод!$G$16,IF(B846="Лікар-терапевт",S854*Законод!$C$9/4*Законод!$G$16,0)))</f>
        <v>0</v>
      </c>
      <c r="AP854" s="210">
        <f ca="1">IF(B846="Лікар загальної практики - сімейний лікар",Z854*Законод!$C$9/4*Законод!$G$16,IF(B846="Лікар-педіатр",Z854*Законод!$C$9/4*Законод!$G$16,IF(B846="Лікар-терапевт",Z854*Законод!$C$9/4*Законод!$G$16,0)))</f>
        <v>0</v>
      </c>
      <c r="AQ854" s="210">
        <f ca="1">IF(B846="Лікар загальної практики - сімейний лікар",AG854*Законод!$C$9/4*Законод!$G$16,IF(B846="Лікар-педіатр",AG854*Законод!$C$9/4*Законод!$G$16,IF(B846="Лікар-терапевт",AG854*Законод!$C$9/4*Законод!$G$16,0)))</f>
        <v>0</v>
      </c>
      <c r="AR854" s="211">
        <f t="shared" si="92"/>
        <v>0</v>
      </c>
    </row>
    <row r="855" spans="1:44" s="50" customFormat="1" ht="31.9" hidden="1" customHeight="1">
      <c r="A855" s="197"/>
      <c r="B855" s="893"/>
      <c r="C855" s="896"/>
      <c r="D855" s="912"/>
      <c r="E855" s="909"/>
      <c r="F855" s="238" t="str">
        <f ca="1">IF(B846="Лікар-педіатр",Законод!$H$17,IF(B846="Лікар загальної практики - сімейний лікар",Законод!$H$21,IF(B846="Лікар-терапевт",Законод!$H$25,"х")))</f>
        <v>х</v>
      </c>
      <c r="G855" s="889" t="s">
        <v>346</v>
      </c>
      <c r="H855" s="890"/>
      <c r="I855" s="890"/>
      <c r="J855" s="890"/>
      <c r="K855" s="891"/>
      <c r="L855" s="196">
        <f ca="1">IF($B$846="Лікар загальної практики - сімейний лікар",IF(L850&lt;Законод!$C$22,0,(IF(AND(L850&gt;=Законод!$H$22,L850&lt;=Законод!$H$23),L850-Законод!$G$23,IF('01_Доходи'!L850&gt;=Законод!$I$22,Законод!$H$24,0)))),IF($B$846="Лікар-педіатр",IF(L850&lt;Законод!$C$18,0,(IF(AND(L850&gt;=Законод!$H$18,L850&lt;=Законод!$H$19),L850-Законод!$G$19,IF('01_Доходи'!L850&gt;=Законод!$I$18,Законод!$H$20,0)))),IF($B$846="Лікар-терапевт",IF(L850&lt;Законод!$C$26,0,(IF(AND(L850&gt;=Законод!$H$26,L850&lt;=Законод!$H$27),L850-Законод!$G$27,IF(L850&gt;=Законод!$I$26,Законод!$H$28,0)))),0)))</f>
        <v>0</v>
      </c>
      <c r="M855" s="930"/>
      <c r="N855" s="889" t="s">
        <v>346</v>
      </c>
      <c r="O855" s="890"/>
      <c r="P855" s="890"/>
      <c r="Q855" s="890"/>
      <c r="R855" s="891"/>
      <c r="S855" s="196">
        <f ca="1">IF($B$846="Лікар загальної практики - сімейний лікар",IF(S850&lt;Законод!$C$22,0,(IF(AND(S850&gt;=Законод!$H$22,S850&lt;=Законод!$H$23),S850-Законод!$G$23,IF('01_Доходи'!S850&gt;=Законод!$I$22,Законод!$H$24,0)))),IF($B$846="Лікар-педіатр",IF(S850&lt;Законод!$C$18,0,(IF(AND(S850&gt;=Законод!$H$18,S850&lt;=Законод!$H$19),S850-Законод!$G$19,IF('01_Доходи'!S850&gt;=Законод!$I$18,Законод!$H$20,0)))),IF($B$846="Лікар-терапевт",IF(S850&lt;Законод!$C$26,0,(IF(AND(S850&gt;=Законод!$H$26,S850&lt;=Законод!$H$27),S850-Законод!$G$27,IF(S850&gt;=Законод!$I$26,Законод!$H$28,0)))),0)))</f>
        <v>0</v>
      </c>
      <c r="T855" s="930"/>
      <c r="U855" s="889" t="s">
        <v>346</v>
      </c>
      <c r="V855" s="890"/>
      <c r="W855" s="890"/>
      <c r="X855" s="890"/>
      <c r="Y855" s="891"/>
      <c r="Z855" s="196">
        <f ca="1">IF($B$846="Лікар загальної практики - сімейний лікар",IF(Z850&lt;Законод!$C$22,0,(IF(AND(Z850&gt;=Законод!$H$22,Z850&lt;=Законод!$H$23),Z850-Законод!$G$23,IF('01_Доходи'!Z850&gt;=Законод!$I$22,Законод!$H$24,0)))),IF($B$846="Лікар-педіатр",IF(Z850&lt;Законод!$C$18,0,(IF(AND(Z850&gt;=Законод!$H$18,Z850&lt;=Законод!$H$19),Z850-Законод!$G$19,IF('01_Доходи'!Z850&gt;=Законод!$I$18,Законод!$H$20,0)))),IF($B$846="Лікар-терапевт",IF(Z850&lt;Законод!$C$26,0,(IF(AND(Z850&gt;=Законод!$H$26,Z850&lt;=Законод!$H$27),Z850-Законод!$G$27,IF(Z850&gt;=Законод!$I$26,Законод!$H$28,0)))),0)))</f>
        <v>0</v>
      </c>
      <c r="AA855" s="930"/>
      <c r="AB855" s="889" t="s">
        <v>346</v>
      </c>
      <c r="AC855" s="890"/>
      <c r="AD855" s="890"/>
      <c r="AE855" s="890"/>
      <c r="AF855" s="891"/>
      <c r="AG855" s="196">
        <f ca="1">IF($B$846="Лікар загальної практики - сімейний лікар",IF(AG850&lt;Законод!$C$22,0,(IF(AND(AG850&gt;=Законод!$H$22,AG850&lt;=Законод!$H$23),AG850-Законод!$G$23,IF('01_Доходи'!AG850&gt;=Законод!$I$22,Законод!$H$24,0)))),IF($B$846="Лікар-педіатр",IF(AG850&lt;Законод!$C$18,0,(IF(AND(AG850&gt;=Законод!$H$18,AG850&lt;=Законод!$H$19),AG850-Законод!$G$19,IF('01_Доходи'!AG850&gt;=Законод!$I$18,Законод!$H$20,0)))),IF($B$846="Лікар-терапевт",IF(AG850&lt;Законод!$C$26,0,(IF(AND(AG850&gt;=Законод!$H$26,AG850&lt;=Законод!$H$27),AG850-Законод!$G$27,IF(AG850&gt;=Законод!$I$26,Законод!$H$28,0)))),0)))</f>
        <v>0</v>
      </c>
      <c r="AH855" s="930"/>
      <c r="AI855" s="201"/>
      <c r="AJ855" s="933"/>
      <c r="AK855" s="927"/>
      <c r="AL855" s="927"/>
      <c r="AM855" s="899"/>
      <c r="AN855" s="210">
        <f ca="1">IF(B846="Лікар загальної практики - сімейний лікар",L855*Законод!$C$9/4*Законод!$H$16,IF(B846="Лікар-педіатр",L855*Законод!$C$9/4*Законод!$H$16,IF(B846="Лікар-терапевт",L855*Законод!$C$9/4*Законод!$H$16,0)))</f>
        <v>0</v>
      </c>
      <c r="AO855" s="210">
        <f ca="1">IF(B846="Лікар загальної практики - сімейний лікар",S855*Законод!$C$9/4*Законод!$H$16,IF(B846="Лікар-педіатр",S855*Законод!$C$9/4*Законод!$H$16,IF(B846="Лікар-терапевт",S855*Законод!$C$9/4*Законод!$H$16,0)))</f>
        <v>0</v>
      </c>
      <c r="AP855" s="210">
        <f ca="1">IF(B846="Лікар загальної практики - сімейний лікар",Z855*Законод!$C$9/4*Законод!$H$16,IF(B846="Лікар-педіатр",Z855*Законод!$C$9/4*Законод!$H$16,IF(B846="Лікар-терапевт",Z855*Законод!$C$9/4*Законод!$H$16,0)))</f>
        <v>0</v>
      </c>
      <c r="AQ855" s="210">
        <f ca="1">IF(B846="Лікар загальної практики - сімейний лікар",AG855*Законод!$C$9/4*Законод!$H$16,IF(B846="Лікар-педіатр",AG855*Законод!$C$9/4*Законод!$H$16,IF(B846="Лікар-терапевт",AG855*Законод!$C$9/4*Законод!$H$16,0)))</f>
        <v>0</v>
      </c>
      <c r="AR855" s="211">
        <f t="shared" si="92"/>
        <v>0</v>
      </c>
    </row>
    <row r="856" spans="1:44" s="50" customFormat="1" ht="31.9" hidden="1" customHeight="1">
      <c r="A856" s="197"/>
      <c r="B856" s="893"/>
      <c r="C856" s="896"/>
      <c r="D856" s="912"/>
      <c r="E856" s="909"/>
      <c r="F856" s="238" t="str">
        <f ca="1">IF(B846="Лікар-педіатр",Законод!$I$17,IF(B846="Лікар загальної практики - сімейний лікар",Законод!$I$21,IF(B846="Лікар-терапевт",Законод!$I$25,"х")))</f>
        <v>х</v>
      </c>
      <c r="G856" s="889" t="s">
        <v>346</v>
      </c>
      <c r="H856" s="890"/>
      <c r="I856" s="890"/>
      <c r="J856" s="890"/>
      <c r="K856" s="891"/>
      <c r="L856" s="196">
        <f ca="1">IF($B$846="Лікар загальної практики - сімейний лікар",IF(L850&lt;Законод!$C$22,0,(IF(AND(L850&gt;=Законод!$I$22,L850&lt;=Законод!$I$23),L850-Законод!$H$23,IF('01_Доходи'!L850&gt;=Законод!$I$22,Законод!$I$24,0)))),IF($B$846="Лікар-педіатр",IF(L850&lt;Законод!$C$18,0,(IF(AND(L850&gt;=Законод!$I$18,L850&lt;=Законод!$I$19),L850-Законод!$H$19,IF('01_Доходи'!L850&gt;=Законод!$I$18,Законод!$H$20,0)))),IF($B$846="Лікар-терапевт",IF(L850&lt;Законод!$C$26,0,(IF(AND(L850&gt;=Законод!$I$26,L850&lt;=Законод!$I$27),L850-Законод!$H$27,IF('01_Доходи'!L850&gt;=Законод!$I$26,Законод!$H$28,0)))),0)))</f>
        <v>0</v>
      </c>
      <c r="M856" s="930"/>
      <c r="N856" s="889" t="s">
        <v>346</v>
      </c>
      <c r="O856" s="890"/>
      <c r="P856" s="890"/>
      <c r="Q856" s="890"/>
      <c r="R856" s="891"/>
      <c r="S856" s="196">
        <f ca="1">IF($B$846="Лікар загальної практики - сімейний лікар",IF(S850&lt;Законод!$C$22,0,(IF(AND(S850&gt;=Законод!$I$22,S850&lt;=Законод!$I$23),S850-Законод!$H$23,IF('01_Доходи'!S850&gt;=Законод!$I$22,Законод!$I$24,0)))),IF($B$846="Лікар-педіатр",IF(S850&lt;Законод!$C$18,0,(IF(AND(S850&gt;=Законод!$I$18,S850&lt;=Законод!$I$19),S850-Законод!$H$19,IF('01_Доходи'!S850&gt;=Законод!$I$18,Законод!$H$20,0)))),IF($B$846="Лікар-терапевт",IF(S850&lt;Законод!$C$26,0,(IF(AND(S850&gt;=Законод!$I$26,S850&lt;=Законод!$I$27),S850-Законод!$H$27,IF('01_Доходи'!S850&gt;=Законод!$I$26,Законод!$H$28,0)))),0)))</f>
        <v>0</v>
      </c>
      <c r="T856" s="930"/>
      <c r="U856" s="889" t="s">
        <v>346</v>
      </c>
      <c r="V856" s="890"/>
      <c r="W856" s="890"/>
      <c r="X856" s="890"/>
      <c r="Y856" s="891"/>
      <c r="Z856" s="196">
        <f ca="1">IF($B$846="Лікар загальної практики - сімейний лікар",IF(Z850&lt;Законод!$C$22,0,(IF(AND(Z850&gt;=Законод!$I$22,Z850&lt;=Законод!$I$23),Z850-Законод!$H$23,IF('01_Доходи'!Z850&gt;=Законод!$I$22,Законод!$I$24,0)))),IF($B$846="Лікар-педіатр",IF(Z850&lt;Законод!$C$18,0,(IF(AND(Z850&gt;=Законод!$I$18,Z850&lt;=Законод!$I$19),Z850-Законод!$H$19,IF('01_Доходи'!Z850&gt;=Законод!$I$18,Законод!$H$20,0)))),IF($B$846="Лікар-терапевт",IF(Z850&lt;Законод!$C$26,0,(IF(AND(Z850&gt;=Законод!$I$26,Z850&lt;=Законод!$I$27),Z850-Законод!$H$27,IF('01_Доходи'!Z850&gt;=Законод!$I$26,Законод!$H$28,0)))),0)))</f>
        <v>0</v>
      </c>
      <c r="AA856" s="930"/>
      <c r="AB856" s="889" t="s">
        <v>346</v>
      </c>
      <c r="AC856" s="890"/>
      <c r="AD856" s="890"/>
      <c r="AE856" s="890"/>
      <c r="AF856" s="891"/>
      <c r="AG856" s="196">
        <f ca="1">IF($B$846="Лікар загальної практики - сімейний лікар",IF(AG850&lt;Законод!$C$22,0,(IF(AND(AG850&gt;=Законод!$I$22,AG850&lt;=Законод!$I$23),AG850-Законод!$H$23,IF('01_Доходи'!AG850&gt;=Законод!$I$22,Законод!$I$24,0)))),IF($B$846="Лікар-педіатр",IF(AG850&lt;Законод!$C$18,0,(IF(AND(AG850&gt;=Законод!$I$18,AG850&lt;=Законод!$I$19),AG850-Законод!$H$19,IF('01_Доходи'!AG850&gt;=Законод!$I$18,Законод!$H$20,0)))),IF($B$846="Лікар-терапевт",IF(AG850&lt;Законод!$C$26,0,(IF(AND(AG850&gt;=Законод!$I$26,AG850&lt;=Законод!$I$27),AG850-Законод!$H$27,IF('01_Доходи'!AG850&gt;=Законод!$I$26,Законод!$H$28,0)))),0)))</f>
        <v>0</v>
      </c>
      <c r="AH856" s="930"/>
      <c r="AI856" s="201"/>
      <c r="AJ856" s="933"/>
      <c r="AK856" s="927"/>
      <c r="AL856" s="927"/>
      <c r="AM856" s="899"/>
      <c r="AN856" s="210">
        <f ca="1">IF(B846="Лікар загальної практики - сімейний лікар",L856*Законод!$C$9/4*Законод!$I$16,IF(B846="Лікар-педіатр",L856*Законод!$C$9/4*Законод!$I$16,IF(B846="Лікар-терапевт",L856*Законод!$C$9/4*Законод!$I$16,0)))</f>
        <v>0</v>
      </c>
      <c r="AO856" s="210">
        <f ca="1">IF(B846="Лікар загальної практики - сімейний лікар",S856*Законод!$C$9/4*Законод!$I$16,IF(B846="Лікар-педіатр",S856*Законод!$C$9/4*Законод!$I$16,IF(B846="Лікар-терапевт",S856*Законод!$C$9/4*Законод!$I$16,0)))</f>
        <v>0</v>
      </c>
      <c r="AP856" s="210">
        <f ca="1">IF(B846="Лікар загальної практики - сімейний лікар",Z856*Законод!$C$9/4*Законод!$I$16,IF(B846="Лікар-педіатр",Z856*Законод!$C$9/4*Законод!$I$16,IF(B846="Лікар-терапевт",Z856*Законод!$C$9/4*Законод!$I$16,0)))</f>
        <v>0</v>
      </c>
      <c r="AQ856" s="210">
        <f ca="1">IF(B846="Лікар загальної практики - сімейний лікар",AG856*Законод!$C$9/4*Законод!$I$16,IF(B846="Лікар-педіатр",AG856*Законод!$C$9/4*Законод!$I$16,IF(B846="Лікар-терапевт",AG856*Законод!$C$9/4*Законод!$I$16,0)))</f>
        <v>0</v>
      </c>
      <c r="AR856" s="211">
        <f t="shared" si="92"/>
        <v>0</v>
      </c>
    </row>
    <row r="857" spans="1:44" s="218" customFormat="1" ht="31.9" hidden="1" customHeight="1" thickBot="1">
      <c r="A857" s="213"/>
      <c r="B857" s="894"/>
      <c r="C857" s="897"/>
      <c r="D857" s="913"/>
      <c r="E857" s="910"/>
      <c r="F857" s="239" t="str">
        <f ca="1">IF(B846="Лікар-педіатр",Законод!$J$17,IF(B846="Лікар загальної практики - сімейний лікар",Законод!$J$21,IF(B846="Лікар-терапевт",Законод!$J$25,"х")))</f>
        <v>х</v>
      </c>
      <c r="G857" s="935" t="s">
        <v>346</v>
      </c>
      <c r="H857" s="936"/>
      <c r="I857" s="936"/>
      <c r="J857" s="936"/>
      <c r="K857" s="937"/>
      <c r="L857" s="196">
        <f ca="1">IF($B$846="Лікар загальної практики - сімейний лікар",IF(L850&gt;=Законод!$J$22,'01_Доходи'!L850-('01_Доходи'!L851+'01_Доходи'!L852+'01_Доходи'!L853+'01_Доходи'!L854+'01_Доходи'!L855+'01_Доходи'!L856),0),IF($B$846="Лікар-педіатр",IF(L850&gt;=Законод!$J$18,'01_Доходи'!L850-('01_Доходи'!L851+'01_Доходи'!L852+'01_Доходи'!L853+'01_Доходи'!L854+'01_Доходи'!L855+'01_Доходи'!L856),0),IF($B$846="Лікар-терапевт",IF('01_Доходи'!L850&gt;=Законод!$J$26,L850-Законод!$I$27,0),0)))</f>
        <v>0</v>
      </c>
      <c r="M857" s="931"/>
      <c r="N857" s="935" t="s">
        <v>346</v>
      </c>
      <c r="O857" s="936"/>
      <c r="P857" s="936"/>
      <c r="Q857" s="936"/>
      <c r="R857" s="937"/>
      <c r="S857" s="196">
        <f ca="1">IF($B$846="Лікар загальної практики - сімейний лікар",IF(S850&gt;=Законод!$J$22,'01_Доходи'!S850-('01_Доходи'!S851+'01_Доходи'!S852+'01_Доходи'!S853+'01_Доходи'!S854+'01_Доходи'!S855+'01_Доходи'!S856),0),IF($B$846="Лікар-педіатр",IF(S850&gt;=Законод!$J$18,'01_Доходи'!S850-('01_Доходи'!S851+'01_Доходи'!S852+'01_Доходи'!S853+'01_Доходи'!S854+'01_Доходи'!S855+'01_Доходи'!S856),0),IF($B$846="Лікар-терапевт",IF('01_Доходи'!S850&gt;=Законод!$J$26,S850-Законод!$I$27,0),0)))</f>
        <v>0</v>
      </c>
      <c r="T857" s="931"/>
      <c r="U857" s="935" t="s">
        <v>346</v>
      </c>
      <c r="V857" s="936"/>
      <c r="W857" s="936"/>
      <c r="X857" s="936"/>
      <c r="Y857" s="937"/>
      <c r="Z857" s="196">
        <f ca="1">IF($B$846="Лікар загальної практики - сімейний лікар",IF(Z850&gt;=Законод!$J$22,'01_Доходи'!Z850-('01_Доходи'!Z851+'01_Доходи'!Z852+'01_Доходи'!Z853+'01_Доходи'!Z854+'01_Доходи'!Z855+'01_Доходи'!Z856),0),IF($B$846="Лікар-педіатр",IF(Z850&gt;=Законод!$J$18,'01_Доходи'!Z850-('01_Доходи'!Z851+'01_Доходи'!Z852+'01_Доходи'!Z853+'01_Доходи'!Z854+'01_Доходи'!Z855+'01_Доходи'!Z856),0),IF($B$846="Лікар-терапевт",IF('01_Доходи'!Z850&gt;=Законод!$J$26,Z850-Законод!$I$27,0),0)))</f>
        <v>0</v>
      </c>
      <c r="AA857" s="931"/>
      <c r="AB857" s="935" t="s">
        <v>346</v>
      </c>
      <c r="AC857" s="936"/>
      <c r="AD857" s="936"/>
      <c r="AE857" s="936"/>
      <c r="AF857" s="937"/>
      <c r="AG857" s="196">
        <f ca="1">IF($B$846="Лікар загальної практики - сімейний лікар",IF(AG850&gt;=Законод!$J$22,'01_Доходи'!AG850-('01_Доходи'!AG851+'01_Доходи'!AG852+'01_Доходи'!AG853+'01_Доходи'!AG854+'01_Доходи'!AG855+'01_Доходи'!AG856),0),IF($B$846="Лікар-педіатр",IF(AG850&gt;=Законод!$J$18,'01_Доходи'!AG850-('01_Доходи'!AG851+'01_Доходи'!AG852+'01_Доходи'!AG853+'01_Доходи'!AG854+'01_Доходи'!AG855+'01_Доходи'!AG856),0),IF($B$846="Лікар-терапевт",IF('01_Доходи'!AG850&gt;=Законод!$J$26,AG850-Законод!$I$27,0),0)))</f>
        <v>0</v>
      </c>
      <c r="AH857" s="931"/>
      <c r="AI857" s="215"/>
      <c r="AJ857" s="934"/>
      <c r="AK857" s="928"/>
      <c r="AL857" s="928"/>
      <c r="AM857" s="900"/>
      <c r="AN857" s="216">
        <f ca="1">IF(B846="Лікар загальної практики - сімейний лікар",L857*Законод!$C$9/4*Законод!$J$16,IF(B846="Лікар-педіатр",L857*Законод!$C$9/4*Законод!$J$16,IF(B846="Лікар-терапевт",L857*Законод!$C$9/4*Законод!$J$16,0)))</f>
        <v>0</v>
      </c>
      <c r="AO857" s="216">
        <f ca="1">IF(B846="Лікар загальної практики - сімейний лікар",S857*Законод!$C$9/4*Законод!$J$16,IF(B846="Лікар-педіатр",S857*Законод!$C$9/4*Законод!$J$16,IF(B846="Лікар-терапевт",S857*Законод!$C$9/4*Законод!$J$16,0)))</f>
        <v>0</v>
      </c>
      <c r="AP857" s="216">
        <f ca="1">IF(B846="Лікар загальної практики - сімейний лікар",S857*Законод!$C$9/4*Законод!$J$16,IF(B846="Лікар-педіатр",S857*Законод!$C$9/4*Законод!$J$16,IF(B846="Лікар-терапевт",S857*Законод!$C$9/4*Законод!$J$16,0)))</f>
        <v>0</v>
      </c>
      <c r="AQ857" s="216">
        <f ca="1">IF(B846="Лікар загальної практики - сімейний лікар",AG857*Законод!$C$9/4*Законод!$J$16,IF(B846="Лікар-педіатр",AG857*Законод!$C$9/4*Законод!$J$16,IF(B846="Лікар-терапевт",AG857*Законод!$C$9/4*Законод!$J$16,0)))</f>
        <v>0</v>
      </c>
      <c r="AR857" s="217">
        <f t="shared" si="92"/>
        <v>0</v>
      </c>
    </row>
    <row r="858" spans="1:44" s="247" customFormat="1" ht="23.45" hidden="1" customHeight="1" thickBot="1">
      <c r="A858" s="243"/>
      <c r="B858" s="244"/>
      <c r="C858" s="244"/>
      <c r="D858" s="244"/>
      <c r="E858" s="244"/>
      <c r="F858" s="245"/>
      <c r="G858" s="246"/>
      <c r="H858" s="246"/>
      <c r="L858" s="248"/>
      <c r="S858" s="248"/>
      <c r="Z858" s="248"/>
      <c r="AG858" s="248"/>
      <c r="AM858" s="249"/>
      <c r="AR858" s="250"/>
    </row>
    <row r="859" spans="1:44" s="191" customFormat="1" ht="24.6" hidden="1" customHeight="1">
      <c r="A859" s="194">
        <f>A846+1</f>
        <v>64</v>
      </c>
      <c r="B859" s="892"/>
      <c r="C859" s="895"/>
      <c r="D859" s="911"/>
      <c r="E859" s="908"/>
      <c r="F859" s="234" t="s">
        <v>582</v>
      </c>
      <c r="G859" s="196">
        <f>IF($B$859="Лікар-педіатр",G862*L859,IF($B$859="Лікар-терапевт","х",IF($B$859="Лікар загальної практики - сімейний лікар",G862*L859,0)))</f>
        <v>0</v>
      </c>
      <c r="H859" s="196">
        <f>IF($B$859="Лікар-педіатр",H862*L859,IF($B$859="Лікар-терапевт","х",IF($B$859="Лікар загальної практики - сімейний лікар",H862*L859,0)))</f>
        <v>0</v>
      </c>
      <c r="I859" s="196">
        <f>IF($B$859="Лікар-педіатр","x",IF($B$859="Лікар-терапевт",I862*L859,IF($B$859="Лікар загальної практики - сімейний лікар",I862*L859,0)))</f>
        <v>0</v>
      </c>
      <c r="J859" s="196">
        <f>IF($B$859="Лікар-педіатр","x",IF($B$859="Лікар-терапевт",J862*L859,IF($B$859="Лікар загальної практики - сімейний лікар",J862*L859,0)))</f>
        <v>0</v>
      </c>
      <c r="K859" s="196">
        <f>IF($B$859="Лікар-педіатр","x",IF($B$859="Лікар-терапевт",K862*L859,IF($B$859="Лікар загальної практики - сімейний лікар",K862*L859,0)))</f>
        <v>0</v>
      </c>
      <c r="L859" s="558"/>
      <c r="M859" s="929"/>
      <c r="N859" s="196">
        <f>IF($B$859="Лікар-педіатр",N862*S859,IF($B$859="Лікар-терапевт","х",IF($B$859="Лікар загальної практики - сімейний лікар",N862*S859,0)))</f>
        <v>0</v>
      </c>
      <c r="O859" s="196">
        <f>IF($B$859="Лікар-педіатр",O862*S859,IF($B$859="Лікар-терапевт","х",IF($B$859="Лікар загальної практики - сімейний лікар",O862*S859,0)))</f>
        <v>0</v>
      </c>
      <c r="P859" s="196">
        <f>IF($B$859="Лікар-педіатр","x",IF($B$859="Лікар-терапевт",P862*S859,IF($B$859="Лікар загальної практики - сімейний лікар",P862*S859,0)))</f>
        <v>0</v>
      </c>
      <c r="Q859" s="196">
        <f>IF($B$859="Лікар-педіатр","x",IF($B$859="Лікар-терапевт",Q862*S859,IF($B$859="Лікар загальної практики - сімейний лікар",Q862*S859,0)))</f>
        <v>0</v>
      </c>
      <c r="R859" s="196">
        <f>IF($B$859="Лікар-педіатр","x",IF($B$859="Лікар-терапевт",R862*S859,IF($B$859="Лікар загальної практики - сімейний лікар",R862*S859,0)))</f>
        <v>0</v>
      </c>
      <c r="S859" s="558"/>
      <c r="T859" s="929"/>
      <c r="U859" s="196">
        <f>IF($B$859="Лікар-педіатр",U862*Z859,IF($B$859="Лікар-терапевт","х",IF($B$859="Лікар загальної практики - сімейний лікар",U862*Z859,0)))</f>
        <v>0</v>
      </c>
      <c r="V859" s="196">
        <f>IF($B$859="Лікар-педіатр",V862*Z859,IF($B$859="Лікар-терапевт","х",IF($B$859="Лікар загальної практики - сімейний лікар",V862*Z859,0)))</f>
        <v>0</v>
      </c>
      <c r="W859" s="196">
        <f>IF($B$859="Лікар-педіатр","x",IF($B$859="Лікар-терапевт",W862*Z859,IF($B$859="Лікар загальної практики - сімейний лікар",W862*Z859,0)))</f>
        <v>0</v>
      </c>
      <c r="X859" s="196">
        <f>IF($B$859="Лікар-педіатр","x",IF($B$859="Лікар-терапевт",X862*Z859,IF($B$859="Лікар загальної практики - сімейний лікар",X862*Z859,0)))</f>
        <v>0</v>
      </c>
      <c r="Y859" s="196">
        <f>IF($B$859="Лікар-педіатр","x",IF($B$859="Лікар-терапевт",Y862*Z859,IF($B$859="Лікар загальної практики - сімейний лікар",Y862*Z859,0)))</f>
        <v>0</v>
      </c>
      <c r="Z859" s="558"/>
      <c r="AA859" s="929"/>
      <c r="AB859" s="196">
        <f>IF($B$859="Лікар-педіатр",AB862*AG859,IF($B$859="Лікар-терапевт","х",IF($B$859="Лікар загальної практики - сімейний лікар",AB862*AG859,0)))</f>
        <v>0</v>
      </c>
      <c r="AC859" s="196">
        <f>IF($B$859="Лікар-педіатр",AC862*AG859,IF($B$859="Лікар-терапевт","х",IF($B$859="Лікар загальної практики - сімейний лікар",AC862*AG859,0)))</f>
        <v>0</v>
      </c>
      <c r="AD859" s="196">
        <f>IF($B$859="Лікар-педіатр","x",IF($B$859="Лікар-терапевт",AD862*AG859,IF($B$859="Лікар загальної практики - сімейний лікар",AD862*AG859,0)))</f>
        <v>0</v>
      </c>
      <c r="AE859" s="196">
        <f>IF($B$859="Лікар-педіатр","x",IF($B$859="Лікар-терапевт",AE862*AG859,IF($B$859="Лікар загальної практики - сімейний лікар",AE862*AG859,0)))</f>
        <v>0</v>
      </c>
      <c r="AF859" s="196">
        <f>IF($B$859="Лікар-педіатр","x",IF($B$859="Лікар-терапевт",AF862*AG859,IF($B$859="Лікар загальної практики - сімейний лікар",AF862*AG859,0)))</f>
        <v>0</v>
      </c>
      <c r="AG859" s="558"/>
      <c r="AH859" s="929"/>
      <c r="AI859" s="541">
        <f>A859</f>
        <v>64</v>
      </c>
      <c r="AJ859" s="932">
        <f>B859</f>
        <v>0</v>
      </c>
      <c r="AK859" s="926">
        <f>C859</f>
        <v>0</v>
      </c>
      <c r="AL859" s="926">
        <f>D859</f>
        <v>0</v>
      </c>
      <c r="AM859" s="901" t="s">
        <v>785</v>
      </c>
      <c r="AN859" s="923">
        <f>SUM(AN864:AN870)</f>
        <v>0</v>
      </c>
      <c r="AO859" s="923">
        <f>SUM(AO864:AO870)</f>
        <v>0</v>
      </c>
      <c r="AP859" s="923">
        <f>SUM(AP864:AP870)</f>
        <v>0</v>
      </c>
      <c r="AQ859" s="923">
        <f>SUM(AQ864:AQ870)</f>
        <v>0</v>
      </c>
      <c r="AR859" s="914">
        <f>SUM(AN859:AQ863)</f>
        <v>0</v>
      </c>
    </row>
    <row r="860" spans="1:44" s="50" customFormat="1" ht="28.15" hidden="1" customHeight="1">
      <c r="A860" s="197"/>
      <c r="B860" s="893"/>
      <c r="C860" s="896"/>
      <c r="D860" s="912"/>
      <c r="E860" s="909"/>
      <c r="F860" s="234" t="s">
        <v>583</v>
      </c>
      <c r="G860" s="196">
        <f>IF($B$859="Лікар-педіатр",G862*L860,IF($B$859="Лікар-терапевт","х",IF($B$859="Лікар загальної практики - сімейний лікар",G862*L860,0)))</f>
        <v>0</v>
      </c>
      <c r="H860" s="196">
        <f>IF($B$859="Лікар-педіатр",H862*L860,IF($B$859="Лікар-терапевт","х",IF($B$859="Лікар загальної практики - сімейний лікар",H862*L860,0)))</f>
        <v>0</v>
      </c>
      <c r="I860" s="196">
        <f>IF($B$859="Лікар-педіатр","x",IF($B$859="Лікар-терапевт",I862*L860,IF($B$859="Лікар загальної практики - сімейний лікар",I862*L860,0)))</f>
        <v>0</v>
      </c>
      <c r="J860" s="196">
        <f>IF($B$859="Лікар-педіатр","x",IF($B$859="Лікар-терапевт",J862*L860,IF($B$859="Лікар загальної практики - сімейний лікар",J862*L860,0)))</f>
        <v>0</v>
      </c>
      <c r="K860" s="196">
        <f>IF($B$859="Лікар-педіатр","x",IF($B$859="Лікар-терапевт",K862*L860,IF($B$859="Лікар загальної практики - сімейний лікар",K862*L860,0)))</f>
        <v>0</v>
      </c>
      <c r="L860" s="558"/>
      <c r="M860" s="930"/>
      <c r="N860" s="196">
        <f>IF($B$859="Лікар-педіатр",N862*S860,IF($B$859="Лікар-терапевт","х",IF($B$859="Лікар загальної практики - сімейний лікар",N862*S860,0)))</f>
        <v>0</v>
      </c>
      <c r="O860" s="196">
        <f>IF($B$859="Лікар-педіатр",O862*S860,IF($B$859="Лікар-терапевт","х",IF($B$859="Лікар загальної практики - сімейний лікар",O862*S860,0)))</f>
        <v>0</v>
      </c>
      <c r="P860" s="196">
        <f>IF($B$859="Лікар-педіатр","x",IF($B$859="Лікар-терапевт",P862*S860,IF($B$859="Лікар загальної практики - сімейний лікар",P862*S860,0)))</f>
        <v>0</v>
      </c>
      <c r="Q860" s="196">
        <f>IF($B$859="Лікар-педіатр","x",IF($B$859="Лікар-терапевт",Q862*S860,IF($B$859="Лікар загальної практики - сімейний лікар",Q862*S860,0)))</f>
        <v>0</v>
      </c>
      <c r="R860" s="196">
        <f>IF($B$859="Лікар-педіатр","x",IF($B$859="Лікар-терапевт",R862*S860,IF($B$859="Лікар загальної практики - сімейний лікар",R862*S860,0)))</f>
        <v>0</v>
      </c>
      <c r="S860" s="558"/>
      <c r="T860" s="930"/>
      <c r="U860" s="196">
        <f>IF($B$859="Лікар-педіатр",U862*Z860,IF($B$859="Лікар-терапевт","х",IF($B$859="Лікар загальної практики - сімейний лікар",U862*Z860,0)))</f>
        <v>0</v>
      </c>
      <c r="V860" s="196">
        <f>IF($B$859="Лікар-педіатр",V862*Z860,IF($B$859="Лікар-терапевт","х",IF($B$859="Лікар загальної практики - сімейний лікар",V862*Z860,0)))</f>
        <v>0</v>
      </c>
      <c r="W860" s="196">
        <f>IF($B$859="Лікар-педіатр","x",IF($B$859="Лікар-терапевт",W862*Z860,IF($B$859="Лікар загальної практики - сімейний лікар",W862*Z860,0)))</f>
        <v>0</v>
      </c>
      <c r="X860" s="196">
        <f>IF($B$859="Лікар-педіатр","x",IF($B$859="Лікар-терапевт",X862*Z860,IF($B$859="Лікар загальної практики - сімейний лікар",X862*Z860,0)))</f>
        <v>0</v>
      </c>
      <c r="Y860" s="196">
        <f>IF($B$859="Лікар-педіатр","x",IF($B$859="Лікар-терапевт",Y862*Z860,IF($B$859="Лікар загальної практики - сімейний лікар",Y862*Z860,0)))</f>
        <v>0</v>
      </c>
      <c r="Z860" s="558"/>
      <c r="AA860" s="930"/>
      <c r="AB860" s="196">
        <f>IF($B$859="Лікар-педіатр",AB862*AG860,IF($B$859="Лікар-терапевт","х",IF($B$859="Лікар загальної практики - сімейний лікар",AB862*AG860,0)))</f>
        <v>0</v>
      </c>
      <c r="AC860" s="196">
        <f>IF($B$859="Лікар-педіатр",AC862*AG860,IF($B$859="Лікар-терапевт","х",IF($B$859="Лікар загальної практики - сімейний лікар",AC862*AG860,0)))</f>
        <v>0</v>
      </c>
      <c r="AD860" s="196">
        <f>IF($B$859="Лікар-педіатр","x",IF($B$859="Лікар-терапевт",AD862*AG860,IF($B$859="Лікар загальної практики - сімейний лікар",AD862*AG860,0)))</f>
        <v>0</v>
      </c>
      <c r="AE860" s="196">
        <f>IF($B$859="Лікар-педіатр","x",IF($B$859="Лікар-терапевт",AE862*AG860,IF($B$859="Лікар загальної практики - сімейний лікар",AE862*AG860,0)))</f>
        <v>0</v>
      </c>
      <c r="AF860" s="196">
        <f>IF($B$859="Лікар-педіатр","x",IF($B$859="Лікар-терапевт",AF862*AG860,IF($B$859="Лікар загальної практики - сімейний лікар",AF862*AG860,0)))</f>
        <v>0</v>
      </c>
      <c r="AG860" s="558"/>
      <c r="AH860" s="930"/>
      <c r="AI860" s="198"/>
      <c r="AJ860" s="933"/>
      <c r="AK860" s="927"/>
      <c r="AL860" s="927"/>
      <c r="AM860" s="902"/>
      <c r="AN860" s="924"/>
      <c r="AO860" s="924"/>
      <c r="AP860" s="924"/>
      <c r="AQ860" s="924"/>
      <c r="AR860" s="915"/>
    </row>
    <row r="861" spans="1:44" s="90" customFormat="1" ht="31.15" hidden="1" customHeight="1">
      <c r="A861" s="240"/>
      <c r="B861" s="893"/>
      <c r="C861" s="896"/>
      <c r="D861" s="912"/>
      <c r="E861" s="909"/>
      <c r="F861" s="241" t="s">
        <v>584</v>
      </c>
      <c r="G861" s="199">
        <f>IF(B859="Лікар загальної практики - сімейний лікар"," ",IF(B859="Лікар-педіатр"," ",IF(B859="Лікар-терапевт","х",0)))</f>
        <v>0</v>
      </c>
      <c r="H861" s="199">
        <f>IF(B859="Лікар загальної практики - сімейний лікар"," ",IF(B859="Лікар-педіатр"," ",IF(B859="Лікар-терапевт","х",0)))</f>
        <v>0</v>
      </c>
      <c r="I861" s="199">
        <f>IF(B859="Лікар загальної практики - сімейний лікар"," ",IF(B859="Лікар-педіатр","х",IF(B859="Лікар-терапевт"," ",0)))</f>
        <v>0</v>
      </c>
      <c r="J861" s="199">
        <f>IF(B859="Лікар загальної практики - сімейний лікар"," ",IF(B859="Лікар-педіатр","х",IF(B859="Лікар-терапевт"," ",0)))</f>
        <v>0</v>
      </c>
      <c r="K861" s="199">
        <f>IF(B859="Лікар загальної практики - сімейний лікар"," ",IF(B859="Лікар-педіатр","х",IF(B859="Лікар-терапевт"," ",0)))</f>
        <v>0</v>
      </c>
      <c r="L861" s="200">
        <f>SUM(G861:K861)</f>
        <v>0</v>
      </c>
      <c r="M861" s="930"/>
      <c r="N861" s="199">
        <f>IF(B859="Лікар загальної практики - сімейний лікар"," ",IF(B859="Лікар-педіатр"," ",IF(B859="Лікар-терапевт","х",0)))</f>
        <v>0</v>
      </c>
      <c r="O861" s="199">
        <f>IF(B859="Лікар загальної практики - сімейний лікар"," ",IF(B859="Лікар-педіатр"," ",IF(B859="Лікар-терапевт","х",0)))</f>
        <v>0</v>
      </c>
      <c r="P861" s="199">
        <f>IF(B859="Лікар загальної практики - сімейний лікар"," ",IF(B859="Лікар-педіатр","х",IF(B859="Лікар-терапевт"," ",0)))</f>
        <v>0</v>
      </c>
      <c r="Q861" s="199">
        <f>IF(B859="Лікар загальної практики - сімейний лікар"," ",IF(B859="Лікар-педіатр","х",IF(B859="Лікар-терапевт"," ",0)))</f>
        <v>0</v>
      </c>
      <c r="R861" s="199">
        <f>IF(B859="Лікар загальної практики - сімейний лікар"," ",IF(B859="Лікар-педіатр","х",IF(B859="Лікар-терапевт"," ",0)))</f>
        <v>0</v>
      </c>
      <c r="S861" s="200">
        <f>SUM(N861:R861)</f>
        <v>0</v>
      </c>
      <c r="T861" s="930"/>
      <c r="U861" s="199">
        <f>IF(B859="Лікар загальної практики - сімейний лікар"," ",IF(B859="Лікар-педіатр"," ",IF(B859="Лікар-терапевт","х",0)))</f>
        <v>0</v>
      </c>
      <c r="V861" s="199">
        <f>IF(B859="Лікар загальної практики - сімейний лікар"," ",IF(B859="Лікар-педіатр"," ",IF(B859="Лікар-терапевт","х",0)))</f>
        <v>0</v>
      </c>
      <c r="W861" s="199">
        <f>IF(B859="Лікар загальної практики - сімейний лікар"," ",IF(B859="Лікар-педіатр","х",IF(B859="Лікар-терапевт"," ",0)))</f>
        <v>0</v>
      </c>
      <c r="X861" s="199">
        <f>IF(B859="Лікар загальної практики - сімейний лікар"," ",IF(B859="Лікар-педіатр","х",IF(B859="Лікар-терапевт"," ",0)))</f>
        <v>0</v>
      </c>
      <c r="Y861" s="199">
        <f>IF(B859="Лікар загальної практики - сімейний лікар"," ",IF(B859="Лікар-педіатр","х",IF(B859="Лікар-терапевт"," ",0)))</f>
        <v>0</v>
      </c>
      <c r="Z861" s="200">
        <f>SUM(U861:Y861)</f>
        <v>0</v>
      </c>
      <c r="AA861" s="930"/>
      <c r="AB861" s="199">
        <f>IF(B859="Лікар загальної практики - сімейний лікар"," ",IF(B859="Лікар-педіатр"," ",IF(B859="Лікар-терапевт","х",0)))</f>
        <v>0</v>
      </c>
      <c r="AC861" s="199">
        <f>IF(B859="Лікар загальної практики - сімейний лікар"," ",IF(B859="Лікар-педіатр"," ",IF(B859="Лікар-терапевт","х",0)))</f>
        <v>0</v>
      </c>
      <c r="AD861" s="199">
        <f>IF(B859="Лікар загальної практики - сімейний лікар"," ",IF(B859="Лікар-педіатр","х",IF(B859="Лікар-терапевт"," ",0)))</f>
        <v>0</v>
      </c>
      <c r="AE861" s="199">
        <f>IF(B859="Лікар загальної практики - сімейний лікар"," ",IF(B859="Лікар-педіатр","х",IF(B859="Лікар-терапевт"," ",0)))</f>
        <v>0</v>
      </c>
      <c r="AF861" s="199">
        <f>IF(B859="Лікар загальної практики - сімейний лікар"," ",IF(B859="Лікар-педіатр","х",IF(B859="Лікар-терапевт"," ",0)))</f>
        <v>0</v>
      </c>
      <c r="AG861" s="200">
        <f>SUM(AB861:AF861)</f>
        <v>0</v>
      </c>
      <c r="AH861" s="930"/>
      <c r="AI861" s="242"/>
      <c r="AJ861" s="933"/>
      <c r="AK861" s="927"/>
      <c r="AL861" s="927"/>
      <c r="AM861" s="902"/>
      <c r="AN861" s="924"/>
      <c r="AO861" s="924"/>
      <c r="AP861" s="924"/>
      <c r="AQ861" s="924"/>
      <c r="AR861" s="915"/>
    </row>
    <row r="862" spans="1:44" s="50" customFormat="1" ht="31.9" hidden="1" customHeight="1" thickBot="1">
      <c r="A862" s="197"/>
      <c r="B862" s="893"/>
      <c r="C862" s="896"/>
      <c r="D862" s="912"/>
      <c r="E862" s="909"/>
      <c r="F862" s="236" t="s">
        <v>349</v>
      </c>
      <c r="G862" s="203">
        <f>IF($B$859="Лікар-педіатр",G861/L861,IF($B$859="Лікар-терапевт","х",IF($B$859="Лікар загальної практики - сімейний лікар",G861/L861,0)))</f>
        <v>0</v>
      </c>
      <c r="H862" s="203">
        <f>IF($B$859="Лікар-педіатр",H861/L861,IF($B$859="Лікар-терапевт","х",IF($B$859="Лікар загальної практики - сімейний лікар",H861/L861,0)))</f>
        <v>0</v>
      </c>
      <c r="I862" s="203">
        <f>IF($B$859="Лікар-педіатр","x",IF($B$859="Лікар-терапевт",I861/L861,IF($B$859="Лікар загальної практики - сімейний лікар",I861/L861,0)))</f>
        <v>0</v>
      </c>
      <c r="J862" s="203">
        <f>IF($B$859="Лікар-педіатр","x",IF($B$859="Лікар-терапевт",J861/L861,IF($B$859="Лікар загальної практики - сімейний лікар",J861/L861,0)))</f>
        <v>0</v>
      </c>
      <c r="K862" s="203">
        <f>IF($B$859="Лікар-педіатр","x",IF($B$859="Лікар-терапевт",K861/L861,IF($B$859="Лікар загальної практики - сімейний лікар",K861/L861,0)))</f>
        <v>0</v>
      </c>
      <c r="L862" s="203">
        <f>SUM(G862:K862)</f>
        <v>0</v>
      </c>
      <c r="M862" s="930"/>
      <c r="N862" s="203">
        <f>IF($B$859="Лікар-педіатр",N861/S861,IF($B$859="Лікар-терапевт","х",IF($B$859="Лікар загальної практики - сімейний лікар",N861/S861,0)))</f>
        <v>0</v>
      </c>
      <c r="O862" s="203">
        <f>IF($B$859="Лікар-педіатр",O861/S861,IF($B$859="Лікар-терапевт","х",IF($B$859="Лікар загальної практики - сімейний лікар",O861/S861,0)))</f>
        <v>0</v>
      </c>
      <c r="P862" s="203">
        <f>IF($B$859="Лікар-педіатр","x",IF($B$859="Лікар-терапевт",P861/S861,IF($B$859="Лікар загальної практики - сімейний лікар",P861/S861,0)))</f>
        <v>0</v>
      </c>
      <c r="Q862" s="203">
        <f>IF($B$859="Лікар-педіатр","x",IF($B$859="Лікар-терапевт",Q861/S861,IF($B$859="Лікар загальної практики - сімейний лікар",Q861/S861,0)))</f>
        <v>0</v>
      </c>
      <c r="R862" s="203">
        <f>IF($B$859="Лікар-педіатр","x",IF($B$859="Лікар-терапевт",R861/S861,IF($B$859="Лікар загальної практики - сімейний лікар",R861/S861,0)))</f>
        <v>0</v>
      </c>
      <c r="S862" s="203">
        <f>SUM(N862:R862)</f>
        <v>0</v>
      </c>
      <c r="T862" s="930"/>
      <c r="U862" s="203">
        <f>IF($B$859="Лікар-педіатр",U861/Z861,IF($B$859="Лікар-терапевт","х",IF($B$859="Лікар загальної практики - сімейний лікар",U861/Z861,0)))</f>
        <v>0</v>
      </c>
      <c r="V862" s="203">
        <f>IF($B$859="Лікар-педіатр",V861/Z861,IF($B$859="Лікар-терапевт","х",IF($B$859="Лікар загальної практики - сімейний лікар",V861/Z861,0)))</f>
        <v>0</v>
      </c>
      <c r="W862" s="203">
        <f>IF($B$859="Лікар-педіатр","x",IF($B$859="Лікар-терапевт",W861/Z861,IF($B$859="Лікар загальної практики - сімейний лікар",W861/Z861,0)))</f>
        <v>0</v>
      </c>
      <c r="X862" s="203">
        <f>IF($B$859="Лікар-педіатр","x",IF($B$859="Лікар-терапевт",X861/Z861,IF($B$859="Лікар загальної практики - сімейний лікар",X861/Z861,0)))</f>
        <v>0</v>
      </c>
      <c r="Y862" s="203">
        <f>IF($B$859="Лікар-педіатр","x",IF($B$859="Лікар-терапевт",Y861/Z861,IF($B$859="Лікар загальної практики - сімейний лікар",Y861/Z861,0)))</f>
        <v>0</v>
      </c>
      <c r="Z862" s="203">
        <f>SUM(U862:Y862)</f>
        <v>0</v>
      </c>
      <c r="AA862" s="930"/>
      <c r="AB862" s="203">
        <f>IF($B$859="Лікар-педіатр",AB861/AG861,IF($B$859="Лікар-терапевт","х",IF($B$859="Лікар загальної практики - сімейний лікар",AB861/AG861,0)))</f>
        <v>0</v>
      </c>
      <c r="AC862" s="203">
        <f>IF($B$859="Лікар-педіатр",AC861/AG861,IF($B$859="Лікар-терапевт","х",IF($B$859="Лікар загальної практики - сімейний лікар",AC861/AG861,0)))</f>
        <v>0</v>
      </c>
      <c r="AD862" s="203">
        <f>IF($B$859="Лікар-педіатр","x",IF($B$859="Лікар-терапевт",AD861/AG861,IF($B$859="Лікар загальної практики - сімейний лікар",AD861/AG861,0)))</f>
        <v>0</v>
      </c>
      <c r="AE862" s="203">
        <f>IF($B$859="Лікар-педіатр","x",IF($B$859="Лікар-терапевт",AE861/AG861,IF($B$859="Лікар загальної практики - сімейний лікар",AE861/AG861,0)))</f>
        <v>0</v>
      </c>
      <c r="AF862" s="203">
        <f>IF($B$859="Лікар-педіатр","x",IF($B$859="Лікар-терапевт",AF861/AG861,IF($B$859="Лікар загальної практики - сімейний лікар",AF861/AG861,0)))</f>
        <v>0</v>
      </c>
      <c r="AG862" s="203">
        <f>SUM(AB862:AF862)</f>
        <v>0</v>
      </c>
      <c r="AH862" s="930"/>
      <c r="AI862" s="201"/>
      <c r="AJ862" s="933"/>
      <c r="AK862" s="927"/>
      <c r="AL862" s="927"/>
      <c r="AM862" s="902"/>
      <c r="AN862" s="924"/>
      <c r="AO862" s="924"/>
      <c r="AP862" s="924"/>
      <c r="AQ862" s="924"/>
      <c r="AR862" s="915"/>
    </row>
    <row r="863" spans="1:44" s="50" customFormat="1" ht="45" hidden="1" customHeight="1" thickBot="1">
      <c r="A863" s="197"/>
      <c r="B863" s="893"/>
      <c r="C863" s="896"/>
      <c r="D863" s="912"/>
      <c r="E863" s="909"/>
      <c r="F863" s="204" t="s">
        <v>585</v>
      </c>
      <c r="G863" s="205">
        <f>IF($B$859="Лікар загальної практики - сімейний лікар",AVERAGE(G859:G861),IF($B$859="Лікар-педіатр",AVERAGE(G859:G861),IF($B$859="Лікар-терапевт","х",0)))</f>
        <v>0</v>
      </c>
      <c r="H863" s="205">
        <f>IF($B$859="Лікар загальної практики - сімейний лікар",AVERAGE(H859:H861),IF($B$859="Лікар-педіатр",AVERAGE(H859:H861),IF($B$859="Лікар-терапевт","х",0)))</f>
        <v>0</v>
      </c>
      <c r="I863" s="205">
        <f>IF($B$859="Лікар загальної практики - сімейний лікар",AVERAGE(I859:I861),IF($B$859="Лікар-педіатр","x",IF($B$859="Лікар-терапевт",AVERAGE(I859:I861),0)))</f>
        <v>0</v>
      </c>
      <c r="J863" s="205">
        <f>IF($B$859="Лікар загальної практики - сімейний лікар",AVERAGE(J859:J861),IF($B$859="Лікар-педіатр","x",IF($B$859="Лікар-терапевт",AVERAGE(J859:J861),0)))</f>
        <v>0</v>
      </c>
      <c r="K863" s="205">
        <f>IF($B$859="Лікар загальної практики - сімейний лікар",AVERAGE(K859:K861),IF($B$859="Лікар-педіатр","x",IF($B$859="Лікар-терапевт",AVERAGE(K859:K861),0)))</f>
        <v>0</v>
      </c>
      <c r="L863" s="206">
        <f>SUM(G863:K863)</f>
        <v>0</v>
      </c>
      <c r="M863" s="930"/>
      <c r="N863" s="205">
        <f>IF($B$859="Лікар загальної практики - сімейний лікар",AVERAGE(N859:N861),IF($B$859="Лікар-педіатр",AVERAGE(N859:N861),IF($B$859="Лікар-терапевт","х",0)))</f>
        <v>0</v>
      </c>
      <c r="O863" s="205">
        <f>IF($B$859="Лікар загальної практики - сімейний лікар",AVERAGE(O859:O861),IF($B$859="Лікар-педіатр",AVERAGE(O859:O861),IF($B$859="Лікар-терапевт","х",0)))</f>
        <v>0</v>
      </c>
      <c r="P863" s="205">
        <f>IF($B$859="Лікар загальної практики - сімейний лікар",AVERAGE(P859:P861),IF($B$859="Лікар-педіатр","x",IF($B$859="Лікар-терапевт",AVERAGE(P859:P861),0)))</f>
        <v>0</v>
      </c>
      <c r="Q863" s="205">
        <f>IF($B$859="Лікар загальної практики - сімейний лікар",AVERAGE(Q859:Q861),IF($B$859="Лікар-педіатр","x",IF($B$859="Лікар-терапевт",AVERAGE(Q859:Q861),0)))</f>
        <v>0</v>
      </c>
      <c r="R863" s="205">
        <f>IF($B$859="Лікар загальної практики - сімейний лікар",AVERAGE(R859:R861),IF($B$859="Лікар-педіатр","x",IF($B$859="Лікар-терапевт",AVERAGE(R859:R861),0)))</f>
        <v>0</v>
      </c>
      <c r="S863" s="206">
        <f>SUM(N863:R863)</f>
        <v>0</v>
      </c>
      <c r="T863" s="930"/>
      <c r="U863" s="205">
        <f>IF($B$859="Лікар загальної практики - сімейний лікар",AVERAGE(U859:U861),IF($B$859="Лікар-педіатр",AVERAGE(U859:U861),IF($B$859="Лікар-терапевт","х",0)))</f>
        <v>0</v>
      </c>
      <c r="V863" s="205">
        <f>IF($B$859="Лікар загальної практики - сімейний лікар",AVERAGE(V859:V861),IF($B$859="Лікар-педіатр",AVERAGE(V859:V861),IF($B$859="Лікар-терапевт","х",0)))</f>
        <v>0</v>
      </c>
      <c r="W863" s="205">
        <f>IF($B$859="Лікар загальної практики - сімейний лікар",AVERAGE(W859:W861),IF($B$859="Лікар-педіатр","x",IF($B$859="Лікар-терапевт",AVERAGE(W859:W861),0)))</f>
        <v>0</v>
      </c>
      <c r="X863" s="205">
        <f>IF($B$859="Лікар загальної практики - сімейний лікар",AVERAGE(X859:X861),IF($B$859="Лікар-педіатр","x",IF($B$859="Лікар-терапевт",AVERAGE(X859:X861),0)))</f>
        <v>0</v>
      </c>
      <c r="Y863" s="205">
        <f>IF($B$859="Лікар загальної практики - сімейний лікар",AVERAGE(Y859:Y861),IF($B$859="Лікар-педіатр","x",IF($B$859="Лікар-терапевт",AVERAGE(Y859:Y861),0)))</f>
        <v>0</v>
      </c>
      <c r="Z863" s="206">
        <f>SUM(U863:Y863)</f>
        <v>0</v>
      </c>
      <c r="AA863" s="930"/>
      <c r="AB863" s="205">
        <f>IF($B$859="Лікар загальної практики - сімейний лікар",AVERAGE(AB859:AB861),IF($B$859="Лікар-педіатр",AVERAGE(AB859:AB861),IF($B$859="Лікар-терапевт","х",0)))</f>
        <v>0</v>
      </c>
      <c r="AC863" s="205">
        <f>IF($B$859="Лікар загальної практики - сімейний лікар",AVERAGE(AC859:AC861),IF($B$859="Лікар-педіатр",AVERAGE(AC859:AC861),IF($B$859="Лікар-терапевт","х",0)))</f>
        <v>0</v>
      </c>
      <c r="AD863" s="205">
        <f>IF($B$859="Лікар загальної практики - сімейний лікар",AVERAGE(AD859:AD861),IF($B$859="Лікар-педіатр","x",IF($B$859="Лікар-терапевт",AVERAGE(AD859:AD861),0)))</f>
        <v>0</v>
      </c>
      <c r="AE863" s="205">
        <f>IF($B$859="Лікар загальної практики - сімейний лікар",AVERAGE(AE859:AE861),IF($B$859="Лікар-педіатр","x",IF($B$859="Лікар-терапевт",AVERAGE(AE859:AE861),0)))</f>
        <v>0</v>
      </c>
      <c r="AF863" s="205">
        <f>IF($B$859="Лікар загальної практики - сімейний лікар",AVERAGE(AF859:AF861),IF($B$859="Лікар-педіатр","x",IF($B$859="Лікар-терапевт",AVERAGE(AF859:AF861),0)))</f>
        <v>0</v>
      </c>
      <c r="AG863" s="206">
        <f>SUM(AB863:AF863)</f>
        <v>0</v>
      </c>
      <c r="AH863" s="930"/>
      <c r="AI863" s="201"/>
      <c r="AJ863" s="933"/>
      <c r="AK863" s="927"/>
      <c r="AL863" s="927"/>
      <c r="AM863" s="903"/>
      <c r="AN863" s="925"/>
      <c r="AO863" s="925"/>
      <c r="AP863" s="925"/>
      <c r="AQ863" s="925"/>
      <c r="AR863" s="916"/>
    </row>
    <row r="864" spans="1:44" s="50" customFormat="1" ht="40.5" hidden="1">
      <c r="A864" s="197"/>
      <c r="B864" s="893"/>
      <c r="C864" s="896"/>
      <c r="D864" s="912"/>
      <c r="E864" s="909"/>
      <c r="F864" s="237" t="str">
        <f ca="1">IF(B859="Лікар-педіатр",Законод!$C$17,IF(B859="Лікар загальної практики - сімейний лікар",Законод!$C$21,IF(B859="Лікар-терапевт",Законод!$C$25,"х")))</f>
        <v>х</v>
      </c>
      <c r="G864" s="208">
        <f ca="1">IF($B$859="Лікар загальної практики - сімейний лікар",IF(L863&lt;=Законод!$C$22,G863,Законод!$C$22*'01_Доходи'!G862),IF($B$859="Лікар-педіатр",IF(L863&lt;=Законод!$C$18,G863,Законод!$C$18*'01_Доходи'!G862),IF($B$859="Лікар-терапевт","x",0)))</f>
        <v>0</v>
      </c>
      <c r="H864" s="208">
        <f ca="1">IF($B$859="Лікар загальної практики - сімейний лікар",IF(L863&lt;=Законод!$C$22,H863,Законод!$C$22*'01_Доходи'!H862),IF($B$859="Лікар-педіатр",IF(L863&lt;=Законод!$C$18,H863,Законод!$C$18*'01_Доходи'!H862),IF($B$859="Лікар-терапевт","x",0)))</f>
        <v>0</v>
      </c>
      <c r="I864" s="208">
        <f ca="1">IF($B$859="Лікар загальної практики - сімейний лікар",IF(L863&lt;=Законод!$C$22,I863,Законод!$C$22*'01_Доходи'!I862),IF($B$859="Лікар-педіатр","x",IF($B$859="Лікар-терапевт",IF(L863&lt;=Законод!$C$26,I863,Законод!$C$26*'01_Доходи'!I862),0)))</f>
        <v>0</v>
      </c>
      <c r="J864" s="208">
        <f ca="1">IF($B$859="Лікар загальної практики - сімейний лікар",IF(L863&lt;=Законод!$C$22,J863,Законод!$C$22*'01_Доходи'!J862),IF($B$859="Лікар-педіатр","x",IF($B$859="Лікар-терапевт",IF(L863&lt;=Законод!$C$26,J863,Законод!$C$26*'01_Доходи'!J862),0)))</f>
        <v>0</v>
      </c>
      <c r="K864" s="208">
        <f ca="1">IF($B$859="Лікар загальної практики - сімейний лікар",IF(L863&lt;=Законод!$C$22,K863,Законод!$C$22*'01_Доходи'!K862),IF($B$859="Лікар-педіатр","x",IF($B$859="Лікар-терапевт",IF(L863&lt;=Законод!$C$26,K863,Законод!$C$26*'01_Доходи'!K862),0)))</f>
        <v>0</v>
      </c>
      <c r="L864" s="209">
        <f ca="1">SUM(G864:K864)</f>
        <v>0</v>
      </c>
      <c r="M864" s="930"/>
      <c r="N864" s="208">
        <f ca="1">IF($B$859="Лікар загальної практики - сімейний лікар",IF(S863&lt;=Законод!$C$22,N863,Законод!$C$22*'01_Доходи'!N862),IF($B$859="Лікар-педіатр",IF(S863&lt;=Законод!$C$18,N863,Законод!$C$18*'01_Доходи'!N862),IF($B$859="Лікар-терапевт","x",0)))</f>
        <v>0</v>
      </c>
      <c r="O864" s="208">
        <f ca="1">IF($B$859="Лікар загальної практики - сімейний лікар",IF(S863&lt;=Законод!$C$22,O863,Законод!$C$22*'01_Доходи'!O862),IF($B$859="Лікар-педіатр",IF(S863&lt;=Законод!$C$18,O863,Законод!$C$18*'01_Доходи'!O862),IF($B$859="Лікар-терапевт","x",0)))</f>
        <v>0</v>
      </c>
      <c r="P864" s="208">
        <f ca="1">IF($B$859="Лікар загальної практики - сімейний лікар",IF(S863&lt;=Законод!$C$22,P863,Законод!$C$22*'01_Доходи'!P862),IF($B$859="Лікар-педіатр","x",IF($B$859="Лікар-терапевт",IF(S863&lt;=Законод!$C$26,P863,Законод!$C$26*'01_Доходи'!P862),0)))</f>
        <v>0</v>
      </c>
      <c r="Q864" s="208">
        <f ca="1">IF($B$859="Лікар загальної практики - сімейний лікар",IF(S863&lt;=Законод!$C$22,Q863,Законод!$C$22*'01_Доходи'!Q862),IF($B$859="Лікар-педіатр","x",IF($B$859="Лікар-терапевт",IF(S863&lt;=Законод!$C$26,Q863,Законод!$C$26*'01_Доходи'!Q862),0)))</f>
        <v>0</v>
      </c>
      <c r="R864" s="208">
        <f ca="1">IF($B$859="Лікар загальної практики - сімейний лікар",IF(S863&lt;=Законод!$C$22,R863,Законод!$C$22*'01_Доходи'!R862),IF($B$859="Лікар-педіатр","x",IF($B$859="Лікар-терапевт",IF(S863&lt;=Законод!$C$26,R863,Законод!$C$26*'01_Доходи'!R862),0)))</f>
        <v>0</v>
      </c>
      <c r="S864" s="209">
        <f ca="1">SUM(N864:R864)</f>
        <v>0</v>
      </c>
      <c r="T864" s="930"/>
      <c r="U864" s="208">
        <f ca="1">IF($B$859="Лікар загальної практики - сімейний лікар",IF(Z863&lt;=Законод!$C$22,U863,Законод!$C$22*'01_Доходи'!U862),IF($B$859="Лікар-педіатр",IF(Z863&lt;=Законод!$C$18,U863,Законод!$C$18*'01_Доходи'!U862),IF($B$859="Лікар-терапевт","x",0)))</f>
        <v>0</v>
      </c>
      <c r="V864" s="208">
        <f ca="1">IF($B$859="Лікар загальної практики - сімейний лікар",IF(Z863&lt;=Законод!$C$22,V863,Законод!$C$22*'01_Доходи'!V862),IF($B$859="Лікар-педіатр",IF(Z863&lt;=Законод!$C$18,V863,Законод!$C$18*'01_Доходи'!V862),IF($B$859="Лікар-терапевт","x",0)))</f>
        <v>0</v>
      </c>
      <c r="W864" s="208">
        <f ca="1">IF($B$859="Лікар загальної практики - сімейний лікар",IF(Z863&lt;=Законод!$C$22,W863,Законод!$C$22*'01_Доходи'!W862),IF($B$859="Лікар-педіатр","x",IF($B$859="Лікар-терапевт",IF(Z863&lt;=Законод!$C$26,W863,Законод!$C$26*'01_Доходи'!W862),0)))</f>
        <v>0</v>
      </c>
      <c r="X864" s="208">
        <f ca="1">IF($B$859="Лікар загальної практики - сімейний лікар",IF(Z863&lt;=Законод!$C$22,X863,Законод!$C$22*'01_Доходи'!X862),IF($B$859="Лікар-педіатр","x",IF($B$859="Лікар-терапевт",IF(Z863&lt;=Законод!$C$26,X863,Законод!$C$26*'01_Доходи'!X862),0)))</f>
        <v>0</v>
      </c>
      <c r="Y864" s="208">
        <f ca="1">IF($B$859="Лікар загальної практики - сімейний лікар",IF(Z863&lt;=Законод!$C$22,Y863,Законод!$C$22*'01_Доходи'!Y862),IF($B$859="Лікар-педіатр","x",IF($B$859="Лікар-терапевт",IF(Z863&lt;=Законод!$C$26,Y863,Законод!$C$26*'01_Доходи'!Y862),0)))</f>
        <v>0</v>
      </c>
      <c r="Z864" s="209">
        <f ca="1">SUM(U864:Y864)</f>
        <v>0</v>
      </c>
      <c r="AA864" s="930"/>
      <c r="AB864" s="208">
        <f ca="1">IF($B$859="Лікар загальної практики - сімейний лікар",IF(AG863&lt;=Законод!$C$22,AB863,Законод!$C$22*'01_Доходи'!AB862),IF($B$859="Лікар-педіатр",IF(AG863&lt;=Законод!$C$18,AB863,Законод!$C$18*'01_Доходи'!AB862),IF($B$859="Лікар-терапевт","x",0)))</f>
        <v>0</v>
      </c>
      <c r="AC864" s="208">
        <f ca="1">IF($B$859="Лікар загальної практики - сімейний лікар",IF(AG863&lt;=Законод!$C$22,AC863,Законод!$C$22*'01_Доходи'!AC862),IF($B$859="Лікар-педіатр",IF(AG863&lt;=Законод!$C$18,AC863,Законод!$C$18*'01_Доходи'!AC862),IF($B$859="Лікар-терапевт","x",0)))</f>
        <v>0</v>
      </c>
      <c r="AD864" s="208">
        <f ca="1">IF($B$859="Лікар загальної практики - сімейний лікар",IF(AG863&lt;=Законод!$C$22,AD863,Законод!$C$22*'01_Доходи'!AD862),IF($B$859="Лікар-педіатр","x",IF($B$859="Лікар-терапевт",IF(AG863&lt;=Законод!$C$26,AD863,Законод!$C$26*'01_Доходи'!AD862),0)))</f>
        <v>0</v>
      </c>
      <c r="AE864" s="208">
        <f ca="1">IF($B$859="Лікар загальної практики - сімейний лікар",IF(AG863&lt;=Законод!$C$22,AE863,Законод!$C$22*'01_Доходи'!AE862),IF($B$859="Лікар-педіатр","x",IF($B$859="Лікар-терапевт",IF(AG863&lt;=Законод!$C$26,AE863,Законод!$C$26*'01_Доходи'!AE862),0)))</f>
        <v>0</v>
      </c>
      <c r="AF864" s="208">
        <f ca="1">IF($B$859="Лікар загальної практики - сімейний лікар",IF(AG863&lt;=Законод!$C$22,AF863,Законод!$C$22*'01_Доходи'!AF862),IF($B$859="Лікар-педіатр","x",IF($B$859="Лікар-терапевт",IF(AG863&lt;=Законод!$C$26,AF863,Законод!$C$26*'01_Доходи'!AF862),0)))</f>
        <v>0</v>
      </c>
      <c r="AG864" s="209">
        <f ca="1">SUM(AB864:AF864)</f>
        <v>0</v>
      </c>
      <c r="AH864" s="930"/>
      <c r="AI864" s="201"/>
      <c r="AJ864" s="933"/>
      <c r="AK864" s="927"/>
      <c r="AL864" s="927"/>
      <c r="AM864" s="348" t="s">
        <v>374</v>
      </c>
      <c r="AN864" s="210">
        <f ca="1">IF(B859="Лікар загальної практики - сімейний лікар",G864*Законод!$C$11+'01_Доходи'!H864*Законод!$D$11+'01_Доходи'!I864*Законод!$E$11+'01_Доходи'!J864*Законод!$F$11+'01_Доходи'!K864*Законод!$G$11,IF(B859="Лікар-педіатр",G864*Законод!$C$11+'01_Доходи'!H864*Законод!$D$11,IF(B859="Лікар-терапевт",'01_Доходи'!I864*Законод!$E$11+'01_Доходи'!J864*Законод!$F$11+'01_Доходи'!K864*Законод!$G$11,0)))</f>
        <v>0</v>
      </c>
      <c r="AO864" s="210">
        <f ca="1">IF(B859="Лікар загальної практики - сімейний лікар",N864*Законод!$C$11+'01_Доходи'!O864*Законод!$D$11+'01_Доходи'!P864*Законод!$E$11+'01_Доходи'!Q864*Законод!$F$11+'01_Доходи'!R864*Законод!$G$11,IF(B859="Лікар-педіатр",N864*Законод!$C$11+'01_Доходи'!O864*Законод!$D$11,IF(B859="Лікар-терапевт",'01_Доходи'!P864*Законод!$E$11+'01_Доходи'!Q864*Законод!$F$11+'01_Доходи'!R864*Законод!$G$11,0)))</f>
        <v>0</v>
      </c>
      <c r="AP864" s="210">
        <f ca="1">IF(B859="Лікар загальної практики - сімейний лікар",U864*Законод!$C$11+'01_Доходи'!V864*Законод!$D$11+'01_Доходи'!W864*Законод!$E$11+'01_Доходи'!X864*Законод!$F$11+'01_Доходи'!Y864*Законод!$G$11,IF(B859="Лікар-педіатр",U864*Законод!$C$11+'01_Доходи'!V864*Законод!$D$11,IF(B859="Лікар-терапевт",'01_Доходи'!W864*Законод!$E$11+'01_Доходи'!X864*Законод!$F$11+'01_Доходи'!Y864*Законод!$G$11,0)))</f>
        <v>0</v>
      </c>
      <c r="AQ864" s="210">
        <f ca="1">IF(B859="Лікар загальної практики - сімейний лікар",AB864*Законод!$C$11+'01_Доходи'!AC864*Законод!$D$11+'01_Доходи'!AD864*Законод!$E$11+'01_Доходи'!AE864*Законод!$F$11+'01_Доходи'!AF864*Законод!$G$11,IF(B859="Лікар-педіатр",AB864*Законод!$C$11+'01_Доходи'!AC864*Законод!$D$11,IF(B859="Лікар-терапевт",'01_Доходи'!AD864*Законод!$E$11+'01_Доходи'!AE864*Законод!$F$11+'01_Доходи'!AF864*Законод!$G$11,0)))</f>
        <v>0</v>
      </c>
      <c r="AR864" s="211">
        <f t="shared" ref="AR864:AR870" si="93">SUM(AN864:AQ864)</f>
        <v>0</v>
      </c>
    </row>
    <row r="865" spans="1:44" s="50" customFormat="1" ht="31.9" hidden="1" customHeight="1">
      <c r="A865" s="197"/>
      <c r="B865" s="893"/>
      <c r="C865" s="896"/>
      <c r="D865" s="912"/>
      <c r="E865" s="909"/>
      <c r="F865" s="238" t="str">
        <f ca="1">IF(B859="Лікар-педіатр",Законод!$E$17,IF(B859="Лікар загальної практики - сімейний лікар",Законод!$E$21,IF(B859="Лікар-терапевт",Законод!$E$25,"х")))</f>
        <v>х</v>
      </c>
      <c r="G865" s="889" t="s">
        <v>346</v>
      </c>
      <c r="H865" s="890"/>
      <c r="I865" s="890"/>
      <c r="J865" s="890"/>
      <c r="K865" s="891"/>
      <c r="L865" s="196">
        <f ca="1">IF($B$859="Лікар загальної практики - сімейний лікар",IF(L863&lt;Законод!$C$22,0,(IF(AND(L863&gt;=Законод!$E$22,L863&lt;=Законод!$E$23),L863-Законод!$C$22,IF('01_Доходи'!L863&gt;=Законод!$F$22,Законод!$E$24,0)))),IF($B$859="Лікар-педіатр",IF(L863&lt;Законод!$C$18,0,(IF(AND(L863&gt;=Законод!$E$18,L863&lt;=Законод!$E$19),L863-Законод!$C$18,IF('01_Доходи'!L863&gt;=Законод!$F$18,Законод!$E$20,0)))),IF($B$859="Лікар-терапевт",IF(L863&lt;Законод!$C$26,0,(IF(AND(L863&gt;=Законод!$E$26,L863&lt;=Законод!$E$27),L863-Законод!$C$26,IF('01_Доходи'!L863&gt;=Законод!$F$26,Законод!$E$28,0)))),0)))</f>
        <v>0</v>
      </c>
      <c r="M865" s="930"/>
      <c r="N865" s="889" t="s">
        <v>346</v>
      </c>
      <c r="O865" s="890"/>
      <c r="P865" s="890"/>
      <c r="Q865" s="890"/>
      <c r="R865" s="891"/>
      <c r="S865" s="196">
        <f ca="1">IF($B$859="Лікар загальної практики - сімейний лікар",IF(S863&lt;Законод!$C$22,0,(IF(AND(S863&gt;=Законод!$E$22,S863&lt;=Законод!$E$23),S863-Законод!$C$22,IF('01_Доходи'!S863&gt;=Законод!$F$22,Законод!$E$24,0)))),IF($B$859="Лікар-педіатр",IF(S863&lt;Законод!$C$18,0,(IF(AND(S863&gt;=Законод!$E$18,S863&lt;=Законод!$E$19),S863-Законод!$C$18,IF('01_Доходи'!S863&gt;=Законод!$F$18,Законод!$E$20,0)))),IF($B$859="Лікар-терапевт",IF(S863&lt;Законод!$C$26,0,(IF(AND(S863&gt;=Законод!$E$26,S863&lt;=Законод!$E$27),S863-Законод!$C$26,IF('01_Доходи'!S863&gt;=Законод!$F$26,Законод!$E$28,0)))),0)))</f>
        <v>0</v>
      </c>
      <c r="T865" s="930"/>
      <c r="U865" s="889" t="s">
        <v>346</v>
      </c>
      <c r="V865" s="890"/>
      <c r="W865" s="890"/>
      <c r="X865" s="890"/>
      <c r="Y865" s="891"/>
      <c r="Z865" s="196">
        <f ca="1">IF($B$859="Лікар загальної практики - сімейний лікар",IF(Z863&lt;Законод!$C$22,0,(IF(AND(Z863&gt;=Законод!$E$22,Z863&lt;=Законод!$E$23),Z863-Законод!$C$22,IF('01_Доходи'!Z863&gt;=Законод!$F$22,Законод!$E$24,0)))),IF($B$859="Лікар-педіатр",IF(Z863&lt;Законод!$C$18,0,(IF(AND(Z863&gt;=Законод!$E$18,Z863&lt;=Законод!$E$19),Z863-Законод!$C$18,IF('01_Доходи'!Z863&gt;=Законод!$F$18,Законод!$E$20,0)))),IF($B$859="Лікар-терапевт",IF(Z863&lt;Законод!$C$26,0,(IF(AND(Z863&gt;=Законод!$E$26,Z863&lt;=Законод!$E$27),Z863-Законод!$C$26,IF('01_Доходи'!Z863&gt;=Законод!$F$26,Законод!$E$28,0)))),0)))</f>
        <v>0</v>
      </c>
      <c r="AA865" s="930"/>
      <c r="AB865" s="889" t="s">
        <v>346</v>
      </c>
      <c r="AC865" s="890"/>
      <c r="AD865" s="890"/>
      <c r="AE865" s="890"/>
      <c r="AF865" s="891"/>
      <c r="AG865" s="196">
        <f ca="1">IF($B$859="Лікар загальної практики - сімейний лікар",IF(AG863&lt;Законод!$C$22,0,(IF(AND(AG863&gt;=Законод!$E$22,AG863&lt;=Законод!$E$23),AG863-Законод!$C$22,IF('01_Доходи'!AG863&gt;=Законод!$F$22,Законод!$E$24,0)))),IF($B$859="Лікар-педіатр",IF(AG863&lt;Законод!$C$18,0,(IF(AND(AG863&gt;=Законод!$E$18,AG863&lt;=Законод!$E$19),AG863-Законод!$C$18,IF('01_Доходи'!AG863&gt;=Законод!$F$18,Законод!$E$20,0)))),IF($B$859="Лікар-терапевт",IF(AG863&lt;Законод!$C$26,0,(IF(AND(AG863&gt;=Законод!$E$26,AG863&lt;=Законод!$E$27),AG863-Законод!$C$26,IF('01_Доходи'!AG863&gt;=Законод!$F$26,Законод!$E$28,0)))),0)))</f>
        <v>0</v>
      </c>
      <c r="AH865" s="930"/>
      <c r="AI865" s="201"/>
      <c r="AJ865" s="933"/>
      <c r="AK865" s="927"/>
      <c r="AL865" s="927"/>
      <c r="AM865" s="898" t="s">
        <v>375</v>
      </c>
      <c r="AN865" s="210">
        <f ca="1">IF(B859="Лікар загальної практики - сімейний лікар",L865*Законод!$C$9/4*Законод!$E$16,IF(B859="Лікар-педіатр",L865*Законод!$C$9/4*Законод!$E$16,IF(B859="Лікар-терапевт",L865*Законод!$C$9/4*Законод!$E$16,0)))</f>
        <v>0</v>
      </c>
      <c r="AO865" s="210">
        <f ca="1">IF(B859="Лікар загальної практики - сімейний лікар",S865*Законод!$C$9/4*Законод!$E$16,IF(B859="Лікар-педіатр",S865*Законод!$C$9/4*Законод!$E$16,IF(B859="Лікар-терапевт",S865*Законод!$C$9/4*Законод!$E$16,0)))</f>
        <v>0</v>
      </c>
      <c r="AP865" s="210">
        <f ca="1">IF(B859="Лікар загальної практики - сімейний лікар",Z865*Законод!$C$9/4*Законод!$E$16,IF(B859="Лікар-педіатр",Z865*Законод!$C$9/4*Законод!$E$16,IF(B859="Лікар-терапевт",Z865*Законод!$C$9/4*Законод!$E$16,0)))</f>
        <v>0</v>
      </c>
      <c r="AQ865" s="210">
        <f ca="1">IF(B859="Лікар загальної практики - сімейний лікар",AG865*Законод!$C$9/4*Законод!$E$16,IF(B859="Лікар-педіатр",AG865*Законод!$C$9/4*Законод!$E$16,IF(B859="Лікар-терапевт",AG865*Законод!$C$9/4*Законод!$E$16,0)))</f>
        <v>0</v>
      </c>
      <c r="AR865" s="211">
        <f t="shared" si="93"/>
        <v>0</v>
      </c>
    </row>
    <row r="866" spans="1:44" s="50" customFormat="1" ht="31.9" hidden="1" customHeight="1">
      <c r="A866" s="197"/>
      <c r="B866" s="893"/>
      <c r="C866" s="896"/>
      <c r="D866" s="912"/>
      <c r="E866" s="909"/>
      <c r="F866" s="238" t="str">
        <f ca="1">IF(B859="Лікар-педіатр",Законод!$F$17,IF(B859="Лікар загальної практики - сімейний лікар",Законод!$F$21,IF(B859="Лікар-терапевт",Законод!$F$25,"х")))</f>
        <v>х</v>
      </c>
      <c r="G866" s="889" t="s">
        <v>346</v>
      </c>
      <c r="H866" s="890"/>
      <c r="I866" s="890"/>
      <c r="J866" s="890"/>
      <c r="K866" s="891"/>
      <c r="L866" s="196">
        <f ca="1">IF($B$859="Лікар загальної практики - сімейний лікар",IF(L863&lt;Законод!$C$22,0,(IF(AND(L863&gt;=Законод!$F$22,L863&lt;=Законод!$F$23),L863-Законод!$E$23,IF('01_Доходи'!L863&gt;=Законод!$G$22,Законод!$F$24,0)))),IF($B$859="Лікар-педіатр",IF(L863&lt;Законод!$C$18,0,(IF(AND(L863&gt;=Законод!$F$18,L863&lt;=Законод!$F$19),L863-Законод!$E$19,IF('01_Доходи'!L863&gt;=Законод!$G$18,Законод!$F$20,0)))),IF($B$859="Лікар-терапевт",IF(L863&lt;Законод!$C$26,0,(IF(AND(L863&gt;=Законод!$F$26,L863&lt;=Законод!$F$27),L863-Законод!$E$27,IF('01_Доходи'!L863&gt;=Законод!$G$26,Законод!$F$28,0)))),0)))</f>
        <v>0</v>
      </c>
      <c r="M866" s="930"/>
      <c r="N866" s="889" t="s">
        <v>346</v>
      </c>
      <c r="O866" s="890"/>
      <c r="P866" s="890"/>
      <c r="Q866" s="890"/>
      <c r="R866" s="891"/>
      <c r="S866" s="196">
        <f ca="1">IF($B$859="Лікар загальної практики - сімейний лікар",IF(S863&lt;Законод!$C$22,0,(IF(AND(S863&gt;=Законод!$F$22,S863&lt;=Законод!$F$23),S863-Законод!$E$23,IF('01_Доходи'!S863&gt;=Законод!$G$22,Законод!$F$24,0)))),IF($B$859="Лікар-педіатр",IF(S863&lt;Законод!$C$18,0,(IF(AND(S863&gt;=Законод!$F$18,S863&lt;=Законод!$F$19),S863-Законод!$E$19,IF('01_Доходи'!S863&gt;=Законод!$G$18,Законод!$F$20,0)))),IF($B$859="Лікар-терапевт",IF(S863&lt;Законод!$C$26,0,(IF(AND(S863&gt;=Законод!$F$26,S863&lt;=Законод!$F$27),S863-Законод!$E$27,IF('01_Доходи'!S863&gt;=Законод!$G$26,Законод!$F$28,0)))),0)))</f>
        <v>0</v>
      </c>
      <c r="T866" s="930"/>
      <c r="U866" s="889" t="s">
        <v>346</v>
      </c>
      <c r="V866" s="890"/>
      <c r="W866" s="890"/>
      <c r="X866" s="890"/>
      <c r="Y866" s="891"/>
      <c r="Z866" s="196">
        <f ca="1">IF($B$859="Лікар загальної практики - сімейний лікар",IF(Z863&lt;Законод!$C$22,0,(IF(AND(Z863&gt;=Законод!$F$22,Z863&lt;=Законод!$F$23),Z863-Законод!$E$23,IF('01_Доходи'!Z863&gt;=Законод!$G$22,Законод!$F$24,0)))),IF($B$859="Лікар-педіатр",IF(Z863&lt;Законод!$C$18,0,(IF(AND(Z863&gt;=Законод!$F$18,Z863&lt;=Законод!$F$19),Z863-Законод!$E$19,IF('01_Доходи'!Z863&gt;=Законод!$G$18,Законод!$F$20,0)))),IF($B$859="Лікар-терапевт",IF(Z863&lt;Законод!$C$26,0,(IF(AND(Z863&gt;=Законод!$F$26,Z863&lt;=Законод!$F$27),Z863-Законод!$E$27,IF('01_Доходи'!Z863&gt;=Законод!$G$26,Законод!$F$28,0)))),0)))</f>
        <v>0</v>
      </c>
      <c r="AA866" s="930"/>
      <c r="AB866" s="889" t="s">
        <v>346</v>
      </c>
      <c r="AC866" s="890"/>
      <c r="AD866" s="890"/>
      <c r="AE866" s="890"/>
      <c r="AF866" s="891"/>
      <c r="AG866" s="196">
        <f ca="1">IF($B$859="Лікар загальної практики - сімейний лікар",IF(AG863&lt;Законод!$C$22,0,(IF(AND(AG863&gt;=Законод!$F$22,AG863&lt;=Законод!$F$23),AG863-Законод!$E$23,IF('01_Доходи'!AG863&gt;=Законод!$G$22,Законод!$F$24,0)))),IF($B$859="Лікар-педіатр",IF(AG863&lt;Законод!$C$18,0,(IF(AND(AG863&gt;=Законод!$F$18,AG863&lt;=Законод!$F$19),AG863-Законод!$E$19,IF('01_Доходи'!AG863&gt;=Законод!$G$18,Законод!$F$20,0)))),IF($B$859="Лікар-терапевт",IF(AG863&lt;Законод!$C$26,0,(IF(AND(AG863&gt;=Законод!$F$26,AG863&lt;=Законод!$F$27),AG863-Законод!$E$27,IF('01_Доходи'!AG863&gt;=Законод!$G$26,Законод!$F$28,0)))),0)))</f>
        <v>0</v>
      </c>
      <c r="AH866" s="930"/>
      <c r="AI866" s="201"/>
      <c r="AJ866" s="933"/>
      <c r="AK866" s="927"/>
      <c r="AL866" s="927"/>
      <c r="AM866" s="899"/>
      <c r="AN866" s="210">
        <f ca="1">IF(B859="Лікар загальної практики - сімейний лікар",L866*Законод!$C$9/4*Законод!$F$16,IF(B859="Лікар-педіатр",L866*Законод!$C$9/4*Законод!$F$16,IF(B859="Лікар-терапевт",L866*Законод!$C$9/4*Законод!$F$16,0)))</f>
        <v>0</v>
      </c>
      <c r="AO866" s="210">
        <f ca="1">IF(B859="Лікар загальної практики - сімейний лікар",S866*Законод!$C$9/4*Законод!$F$16,IF(B859="Лікар-педіатр",S866*Законод!$C$9/4*Законод!$F$16,IF(B859="Лікар-терапевт",S866*Законод!$C$9/4*Законод!$F$16,0)))</f>
        <v>0</v>
      </c>
      <c r="AP866" s="210">
        <f ca="1">IF(B859="Лікар загальної практики - сімейний лікар",Z866*Законод!$C$9/4*Законод!$F$16,IF(B859="Лікар-педіатр",Z866*Законод!$C$9/4*Законод!$F$16,IF(B859="Лікар-терапевт",Z866*Законод!$C$9/4*Законод!$F$16,0)))</f>
        <v>0</v>
      </c>
      <c r="AQ866" s="210">
        <f ca="1">IF(B859="Лікар загальної практики - сімейний лікар",AG866*Законод!$C$9/4*Законод!$F$16,IF(B859="Лікар-педіатр",AG866*Законод!$C$9/4*Законод!$F$16,IF(B859="Лікар-терапевт",AG866*Законод!$C$9/4*Законод!$F$16,0)))</f>
        <v>0</v>
      </c>
      <c r="AR866" s="211">
        <f t="shared" si="93"/>
        <v>0</v>
      </c>
    </row>
    <row r="867" spans="1:44" s="50" customFormat="1" ht="31.9" hidden="1" customHeight="1">
      <c r="A867" s="197"/>
      <c r="B867" s="893"/>
      <c r="C867" s="896"/>
      <c r="D867" s="912"/>
      <c r="E867" s="909"/>
      <c r="F867" s="238" t="str">
        <f ca="1">IF(B859="Лікар-педіатр",Законод!$G$17,IF(B859="Лікар загальної практики - сімейний лікар",Законод!$G$21,IF(B859="Лікар-терапевт",Законод!$G$25,"х")))</f>
        <v>х</v>
      </c>
      <c r="G867" s="889" t="s">
        <v>346</v>
      </c>
      <c r="H867" s="890"/>
      <c r="I867" s="890"/>
      <c r="J867" s="890"/>
      <c r="K867" s="891"/>
      <c r="L867" s="196">
        <f ca="1">IF($B$859="Лікар загальної практики - сімейний лікар",IF(L863&lt;Законод!$C$22,0,(IF(AND(L863&gt;=Законод!$G$22,L863&lt;=Законод!$G$23),L863-Законод!$F$23,IF('01_Доходи'!L863&gt;=Законод!$H$22,Законод!$G$24,0)))),IF($B$859="Лікар-педіатр",IF(L863&lt;Законод!$C$18,0,(IF(AND(L863&gt;=Законод!$G$18,L863&lt;=Законод!$G$19),L863-Законод!$F$19,IF('01_Доходи'!L863&gt;=Законод!$H$18,Законод!$G$20,0)))),IF($B$859="Лікар-терапевт",IF(L863&lt;Законод!$C$26,0,(IF(AND(L863&gt;=Законод!$G$26,L863&lt;=Законод!$G$27),L863-Законод!$F$27,IF('01_Доходи'!L863&gt;=Законод!$H$26,Законод!$G$28,0)))),0)))</f>
        <v>0</v>
      </c>
      <c r="M867" s="930"/>
      <c r="N867" s="889" t="s">
        <v>346</v>
      </c>
      <c r="O867" s="890"/>
      <c r="P867" s="890"/>
      <c r="Q867" s="890"/>
      <c r="R867" s="891"/>
      <c r="S867" s="196">
        <f ca="1">IF($B$859="Лікар загальної практики - сімейний лікар",IF(S863&lt;Законод!$C$22,0,(IF(AND(S863&gt;=Законод!$G$22,S863&lt;=Законод!$G$23),S863-Законод!$F$23,IF('01_Доходи'!S863&gt;=Законод!$H$22,Законод!$G$24,0)))),IF($B$859="Лікар-педіатр",IF(S863&lt;Законод!$C$18,0,(IF(AND(S863&gt;=Законод!$G$18,S863&lt;=Законод!$G$19),S863-Законод!$F$19,IF('01_Доходи'!S863&gt;=Законод!$H$18,Законод!$G$20,0)))),IF($B$859="Лікар-терапевт",IF(S863&lt;Законод!$C$26,0,(IF(AND(S863&gt;=Законод!$G$26,S863&lt;=Законод!$G$27),S863-Законод!$F$27,IF('01_Доходи'!S863&gt;=Законод!$H$26,Законод!$G$28,0)))),0)))</f>
        <v>0</v>
      </c>
      <c r="T867" s="930"/>
      <c r="U867" s="889" t="s">
        <v>346</v>
      </c>
      <c r="V867" s="890"/>
      <c r="W867" s="890"/>
      <c r="X867" s="890"/>
      <c r="Y867" s="891"/>
      <c r="Z867" s="196">
        <f ca="1">IF($B$859="Лікар загальної практики - сімейний лікар",IF(Z863&lt;Законод!$C$22,0,(IF(AND(Z863&gt;=Законод!$G$22,Z863&lt;=Законод!$G$23),Z863-Законод!$F$23,IF('01_Доходи'!Z863&gt;=Законод!$H$22,Законод!$G$24,0)))),IF($B$859="Лікар-педіатр",IF(Z863&lt;Законод!$C$18,0,(IF(AND(Z863&gt;=Законод!$G$18,Z863&lt;=Законод!$G$19),Z863-Законод!$F$19,IF('01_Доходи'!Z863&gt;=Законод!$H$18,Законод!$G$20,0)))),IF($B$859="Лікар-терапевт",IF(Z863&lt;Законод!$C$26,0,(IF(AND(Z863&gt;=Законод!$G$26,Z863&lt;=Законод!$G$27),Z863-Законод!$F$27,IF('01_Доходи'!Z863&gt;=Законод!$H$26,Законод!$G$28,0)))),0)))</f>
        <v>0</v>
      </c>
      <c r="AA867" s="930"/>
      <c r="AB867" s="889" t="s">
        <v>346</v>
      </c>
      <c r="AC867" s="890"/>
      <c r="AD867" s="890"/>
      <c r="AE867" s="890"/>
      <c r="AF867" s="891"/>
      <c r="AG867" s="196">
        <f ca="1">IF($B$859="Лікар загальної практики - сімейний лікар",IF(AG863&lt;Законод!$C$22,0,(IF(AND(AG863&gt;=Законод!$G$22,AG863&lt;=Законод!$G$23),AG863-Законод!$F$23,IF('01_Доходи'!AG863&gt;=Законод!$H$22,Законод!$G$24,0)))),IF($B$859="Лікар-педіатр",IF(AG863&lt;Законод!$C$18,0,(IF(AND(AG863&gt;=Законод!$G$18,AG863&lt;=Законод!$G$19),AG863-Законод!$F$19,IF('01_Доходи'!AG863&gt;=Законод!$H$18,Законод!$G$20,0)))),IF($B$859="Лікар-терапевт",IF(AG863&lt;Законод!$C$26,0,(IF(AND(AG863&gt;=Законод!$G$26,AG863&lt;=Законод!$G$27),AG863-Законод!$F$27,IF('01_Доходи'!AG863&gt;=Законод!$H$26,Законод!$G$28,0)))),0)))</f>
        <v>0</v>
      </c>
      <c r="AH867" s="930"/>
      <c r="AI867" s="201"/>
      <c r="AJ867" s="933"/>
      <c r="AK867" s="927"/>
      <c r="AL867" s="927"/>
      <c r="AM867" s="899"/>
      <c r="AN867" s="210">
        <f ca="1">IF(B859="Лікар загальної практики - сімейний лікар",L867*Законод!$C$9/4*Законод!$G$16,IF(B859="Лікар-педіатр",L867*Законод!$C$9/4*Законод!$G$16,IF(B859="Лікар-терапевт",L867*Законод!$C$9/4*Законод!$G$16,0)))</f>
        <v>0</v>
      </c>
      <c r="AO867" s="210">
        <f ca="1">IF(B859="Лікар загальної практики - сімейний лікар",S867*Законод!$C$9/4*Законод!$G$16,IF(B859="Лікар-педіатр",S867*Законод!$C$9/4*Законод!$G$16,IF(B859="Лікар-терапевт",S867*Законод!$C$9/4*Законод!$G$16,0)))</f>
        <v>0</v>
      </c>
      <c r="AP867" s="210">
        <f ca="1">IF(B859="Лікар загальної практики - сімейний лікар",Z867*Законод!$C$9/4*Законод!$G$16,IF(B859="Лікар-педіатр",Z867*Законод!$C$9/4*Законод!$G$16,IF(B859="Лікар-терапевт",Z867*Законод!$C$9/4*Законод!$G$16,0)))</f>
        <v>0</v>
      </c>
      <c r="AQ867" s="210">
        <f ca="1">IF(B859="Лікар загальної практики - сімейний лікар",AG867*Законод!$C$9/4*Законод!$G$16,IF(B859="Лікар-педіатр",AG867*Законод!$C$9/4*Законод!$G$16,IF(B859="Лікар-терапевт",AG867*Законод!$C$9/4*Законод!$G$16,0)))</f>
        <v>0</v>
      </c>
      <c r="AR867" s="211">
        <f t="shared" si="93"/>
        <v>0</v>
      </c>
    </row>
    <row r="868" spans="1:44" s="50" customFormat="1" ht="31.9" hidden="1" customHeight="1">
      <c r="A868" s="197"/>
      <c r="B868" s="893"/>
      <c r="C868" s="896"/>
      <c r="D868" s="912"/>
      <c r="E868" s="909"/>
      <c r="F868" s="238" t="str">
        <f ca="1">IF(B859="Лікар-педіатр",Законод!$H$17,IF(B859="Лікар загальної практики - сімейний лікар",Законод!$H$21,IF(B859="Лікар-терапевт",Законод!$H$25,"х")))</f>
        <v>х</v>
      </c>
      <c r="G868" s="889" t="s">
        <v>346</v>
      </c>
      <c r="H868" s="890"/>
      <c r="I868" s="890"/>
      <c r="J868" s="890"/>
      <c r="K868" s="891"/>
      <c r="L868" s="196">
        <f ca="1">IF($B$859="Лікар загальної практики - сімейний лікар",IF(L863&lt;Законод!$C$22,0,(IF(AND(L863&gt;=Законод!$H$22,L863&lt;=Законод!$H$23),L863-Законод!$G$23,IF('01_Доходи'!L863&gt;=Законод!$I$22,Законод!$H$24,0)))),IF($B$859="Лікар-педіатр",IF(L863&lt;Законод!$C$18,0,(IF(AND(L863&gt;=Законод!$H$18,L863&lt;=Законод!$H$19),L863-Законод!$G$19,IF('01_Доходи'!L863&gt;=Законод!$I$18,Законод!$H$20,0)))),IF($B$859="Лікар-терапевт",IF(L863&lt;Законод!$C$26,0,(IF(AND(L863&gt;=Законод!$H$26,L863&lt;=Законод!$H$27),L863-Законод!$G$27,IF(L863&gt;=Законод!$I$26,Законод!$H$28,0)))),0)))</f>
        <v>0</v>
      </c>
      <c r="M868" s="930"/>
      <c r="N868" s="889" t="s">
        <v>346</v>
      </c>
      <c r="O868" s="890"/>
      <c r="P868" s="890"/>
      <c r="Q868" s="890"/>
      <c r="R868" s="891"/>
      <c r="S868" s="196">
        <f ca="1">IF($B$859="Лікар загальної практики - сімейний лікар",IF(S863&lt;Законод!$C$22,0,(IF(AND(S863&gt;=Законод!$H$22,S863&lt;=Законод!$H$23),S863-Законод!$G$23,IF('01_Доходи'!S863&gt;=Законод!$I$22,Законод!$H$24,0)))),IF($B$859="Лікар-педіатр",IF(S863&lt;Законод!$C$18,0,(IF(AND(S863&gt;=Законод!$H$18,S863&lt;=Законод!$H$19),S863-Законод!$G$19,IF('01_Доходи'!S863&gt;=Законод!$I$18,Законод!$H$20,0)))),IF($B$859="Лікар-терапевт",IF(S863&lt;Законод!$C$26,0,(IF(AND(S863&gt;=Законод!$H$26,S863&lt;=Законод!$H$27),S863-Законод!$G$27,IF(S863&gt;=Законод!$I$26,Законод!$H$28,0)))),0)))</f>
        <v>0</v>
      </c>
      <c r="T868" s="930"/>
      <c r="U868" s="889" t="s">
        <v>346</v>
      </c>
      <c r="V868" s="890"/>
      <c r="W868" s="890"/>
      <c r="X868" s="890"/>
      <c r="Y868" s="891"/>
      <c r="Z868" s="196">
        <f ca="1">IF($B$859="Лікар загальної практики - сімейний лікар",IF(Z863&lt;Законод!$C$22,0,(IF(AND(Z863&gt;=Законод!$H$22,Z863&lt;=Законод!$H$23),Z863-Законод!$G$23,IF('01_Доходи'!Z863&gt;=Законод!$I$22,Законод!$H$24,0)))),IF($B$859="Лікар-педіатр",IF(Z863&lt;Законод!$C$18,0,(IF(AND(Z863&gt;=Законод!$H$18,Z863&lt;=Законод!$H$19),Z863-Законод!$G$19,IF('01_Доходи'!Z863&gt;=Законод!$I$18,Законод!$H$20,0)))),IF($B$859="Лікар-терапевт",IF(Z863&lt;Законод!$C$26,0,(IF(AND(Z863&gt;=Законод!$H$26,Z863&lt;=Законод!$H$27),Z863-Законод!$G$27,IF(Z863&gt;=Законод!$I$26,Законод!$H$28,0)))),0)))</f>
        <v>0</v>
      </c>
      <c r="AA868" s="930"/>
      <c r="AB868" s="889" t="s">
        <v>346</v>
      </c>
      <c r="AC868" s="890"/>
      <c r="AD868" s="890"/>
      <c r="AE868" s="890"/>
      <c r="AF868" s="891"/>
      <c r="AG868" s="196">
        <f ca="1">IF($B$859="Лікар загальної практики - сімейний лікар",IF(AG863&lt;Законод!$C$22,0,(IF(AND(AG863&gt;=Законод!$H$22,AG863&lt;=Законод!$H$23),AG863-Законод!$G$23,IF('01_Доходи'!AG863&gt;=Законод!$I$22,Законод!$H$24,0)))),IF($B$859="Лікар-педіатр",IF(AG863&lt;Законод!$C$18,0,(IF(AND(AG863&gt;=Законод!$H$18,AG863&lt;=Законод!$H$19),AG863-Законод!$G$19,IF('01_Доходи'!AG863&gt;=Законод!$I$18,Законод!$H$20,0)))),IF($B$859="Лікар-терапевт",IF(AG863&lt;Законод!$C$26,0,(IF(AND(AG863&gt;=Законод!$H$26,AG863&lt;=Законод!$H$27),AG863-Законод!$G$27,IF(AG863&gt;=Законод!$I$26,Законод!$H$28,0)))),0)))</f>
        <v>0</v>
      </c>
      <c r="AH868" s="930"/>
      <c r="AI868" s="201"/>
      <c r="AJ868" s="933"/>
      <c r="AK868" s="927"/>
      <c r="AL868" s="927"/>
      <c r="AM868" s="899"/>
      <c r="AN868" s="210">
        <f ca="1">IF(B859="Лікар загальної практики - сімейний лікар",L868*Законод!$C$9/4*Законод!$H$16,IF(B859="Лікар-педіатр",L868*Законод!$C$9/4*Законод!$H$16,IF(B859="Лікар-терапевт",L868*Законод!$C$9/4*Законод!$H$16,0)))</f>
        <v>0</v>
      </c>
      <c r="AO868" s="210">
        <f ca="1">IF(B859="Лікар загальної практики - сімейний лікар",S868*Законод!$C$9/4*Законод!$H$16,IF(B859="Лікар-педіатр",S868*Законод!$C$9/4*Законод!$H$16,IF(B859="Лікар-терапевт",S868*Законод!$C$9/4*Законод!$H$16,0)))</f>
        <v>0</v>
      </c>
      <c r="AP868" s="210">
        <f ca="1">IF(B859="Лікар загальної практики - сімейний лікар",Z868*Законод!$C$9/4*Законод!$H$16,IF(B859="Лікар-педіатр",Z868*Законод!$C$9/4*Законод!$H$16,IF(B859="Лікар-терапевт",Z868*Законод!$C$9/4*Законод!$H$16,0)))</f>
        <v>0</v>
      </c>
      <c r="AQ868" s="210">
        <f ca="1">IF(B859="Лікар загальної практики - сімейний лікар",AG868*Законод!$C$9/4*Законод!$H$16,IF(B859="Лікар-педіатр",AG868*Законод!$C$9/4*Законод!$H$16,IF(B859="Лікар-терапевт",AG868*Законод!$C$9/4*Законод!$H$16,0)))</f>
        <v>0</v>
      </c>
      <c r="AR868" s="211">
        <f t="shared" si="93"/>
        <v>0</v>
      </c>
    </row>
    <row r="869" spans="1:44" s="50" customFormat="1" ht="31.9" hidden="1" customHeight="1">
      <c r="A869" s="197"/>
      <c r="B869" s="893"/>
      <c r="C869" s="896"/>
      <c r="D869" s="912"/>
      <c r="E869" s="909"/>
      <c r="F869" s="238" t="str">
        <f ca="1">IF(B859="Лікар-педіатр",Законод!$I$17,IF(B859="Лікар загальної практики - сімейний лікар",Законод!$I$21,IF(B859="Лікар-терапевт",Законод!$I$25,"х")))</f>
        <v>х</v>
      </c>
      <c r="G869" s="889" t="s">
        <v>346</v>
      </c>
      <c r="H869" s="890"/>
      <c r="I869" s="890"/>
      <c r="J869" s="890"/>
      <c r="K869" s="891"/>
      <c r="L869" s="196">
        <f ca="1">IF($B$859="Лікар загальної практики - сімейний лікар",IF(L863&lt;Законод!$C$22,0,(IF(AND(L863&gt;=Законод!$I$22,L863&lt;=Законод!$I$23),L863-Законод!$H$23,IF('01_Доходи'!L863&gt;=Законод!$I$22,Законод!$I$24,0)))),IF($B$859="Лікар-педіатр",IF(L863&lt;Законод!$C$18,0,(IF(AND(L863&gt;=Законод!$I$18,L863&lt;=Законод!$I$19),L863-Законод!$H$19,IF('01_Доходи'!L863&gt;=Законод!$I$18,Законод!$H$20,0)))),IF($B$859="Лікар-терапевт",IF(L863&lt;Законод!$C$26,0,(IF(AND(L863&gt;=Законод!$I$26,L863&lt;=Законод!$I$27),L863-Законод!$H$27,IF('01_Доходи'!L863&gt;=Законод!$I$26,Законод!$H$28,0)))),0)))</f>
        <v>0</v>
      </c>
      <c r="M869" s="930"/>
      <c r="N869" s="889" t="s">
        <v>346</v>
      </c>
      <c r="O869" s="890"/>
      <c r="P869" s="890"/>
      <c r="Q869" s="890"/>
      <c r="R869" s="891"/>
      <c r="S869" s="196">
        <f ca="1">IF($B$859="Лікар загальної практики - сімейний лікар",IF(S863&lt;Законод!$C$22,0,(IF(AND(S863&gt;=Законод!$I$22,S863&lt;=Законод!$I$23),S863-Законод!$H$23,IF('01_Доходи'!S863&gt;=Законод!$I$22,Законод!$I$24,0)))),IF($B$859="Лікар-педіатр",IF(S863&lt;Законод!$C$18,0,(IF(AND(S863&gt;=Законод!$I$18,S863&lt;=Законод!$I$19),S863-Законод!$H$19,IF('01_Доходи'!S863&gt;=Законод!$I$18,Законод!$H$20,0)))),IF($B$859="Лікар-терапевт",IF(S863&lt;Законод!$C$26,0,(IF(AND(S863&gt;=Законод!$I$26,S863&lt;=Законод!$I$27),S863-Законод!$H$27,IF('01_Доходи'!S863&gt;=Законод!$I$26,Законод!$H$28,0)))),0)))</f>
        <v>0</v>
      </c>
      <c r="T869" s="930"/>
      <c r="U869" s="889" t="s">
        <v>346</v>
      </c>
      <c r="V869" s="890"/>
      <c r="W869" s="890"/>
      <c r="X869" s="890"/>
      <c r="Y869" s="891"/>
      <c r="Z869" s="196">
        <f ca="1">IF($B$859="Лікар загальної практики - сімейний лікар",IF(Z863&lt;Законод!$C$22,0,(IF(AND(Z863&gt;=Законод!$I$22,Z863&lt;=Законод!$I$23),Z863-Законод!$H$23,IF('01_Доходи'!Z863&gt;=Законод!$I$22,Законод!$I$24,0)))),IF($B$859="Лікар-педіатр",IF(Z863&lt;Законод!$C$18,0,(IF(AND(Z863&gt;=Законод!$I$18,Z863&lt;=Законод!$I$19),Z863-Законод!$H$19,IF('01_Доходи'!Z863&gt;=Законод!$I$18,Законод!$H$20,0)))),IF($B$859="Лікар-терапевт",IF(Z863&lt;Законод!$C$26,0,(IF(AND(Z863&gt;=Законод!$I$26,Z863&lt;=Законод!$I$27),Z863-Законод!$H$27,IF('01_Доходи'!Z863&gt;=Законод!$I$26,Законод!$H$28,0)))),0)))</f>
        <v>0</v>
      </c>
      <c r="AA869" s="930"/>
      <c r="AB869" s="889" t="s">
        <v>346</v>
      </c>
      <c r="AC869" s="890"/>
      <c r="AD869" s="890"/>
      <c r="AE869" s="890"/>
      <c r="AF869" s="891"/>
      <c r="AG869" s="196">
        <f ca="1">IF($B$859="Лікар загальної практики - сімейний лікар",IF(AG863&lt;Законод!$C$22,0,(IF(AND(AG863&gt;=Законод!$I$22,AG863&lt;=Законод!$I$23),AG863-Законод!$H$23,IF('01_Доходи'!AG863&gt;=Законод!$I$22,Законод!$I$24,0)))),IF($B$859="Лікар-педіатр",IF(AG863&lt;Законод!$C$18,0,(IF(AND(AG863&gt;=Законод!$I$18,AG863&lt;=Законод!$I$19),AG863-Законод!$H$19,IF('01_Доходи'!AG863&gt;=Законод!$I$18,Законод!$H$20,0)))),IF($B$859="Лікар-терапевт",IF(AG863&lt;Законод!$C$26,0,(IF(AND(AG863&gt;=Законод!$I$26,AG863&lt;=Законод!$I$27),AG863-Законод!$H$27,IF('01_Доходи'!AG863&gt;=Законод!$I$26,Законод!$H$28,0)))),0)))</f>
        <v>0</v>
      </c>
      <c r="AH869" s="930"/>
      <c r="AI869" s="201"/>
      <c r="AJ869" s="933"/>
      <c r="AK869" s="927"/>
      <c r="AL869" s="927"/>
      <c r="AM869" s="899"/>
      <c r="AN869" s="210">
        <f ca="1">IF(B859="Лікар загальної практики - сімейний лікар",L869*Законод!$C$9/4*Законод!$I$16,IF(B859="Лікар-педіатр",L869*Законод!$C$9/4*Законод!$I$16,IF(B859="Лікар-терапевт",L869*Законод!$C$9/4*Законод!$I$16,0)))</f>
        <v>0</v>
      </c>
      <c r="AO869" s="210">
        <f ca="1">IF(B859="Лікар загальної практики - сімейний лікар",S869*Законод!$C$9/4*Законод!$I$16,IF(B859="Лікар-педіатр",S869*Законод!$C$9/4*Законод!$I$16,IF(B859="Лікар-терапевт",S869*Законод!$C$9/4*Законод!$I$16,0)))</f>
        <v>0</v>
      </c>
      <c r="AP869" s="210">
        <f ca="1">IF(B859="Лікар загальної практики - сімейний лікар",Z869*Законод!$C$9/4*Законод!$I$16,IF(B859="Лікар-педіатр",Z869*Законод!$C$9/4*Законод!$I$16,IF(B859="Лікар-терапевт",Z869*Законод!$C$9/4*Законод!$I$16,0)))</f>
        <v>0</v>
      </c>
      <c r="AQ869" s="210">
        <f ca="1">IF(B859="Лікар загальної практики - сімейний лікар",AG869*Законод!$C$9/4*Законод!$I$16,IF(B859="Лікар-педіатр",AG869*Законод!$C$9/4*Законод!$I$16,IF(B859="Лікар-терапевт",AG869*Законод!$C$9/4*Законод!$I$16,0)))</f>
        <v>0</v>
      </c>
      <c r="AR869" s="211">
        <f t="shared" si="93"/>
        <v>0</v>
      </c>
    </row>
    <row r="870" spans="1:44" s="218" customFormat="1" ht="31.9" hidden="1" customHeight="1" thickBot="1">
      <c r="A870" s="213"/>
      <c r="B870" s="894"/>
      <c r="C870" s="897"/>
      <c r="D870" s="913"/>
      <c r="E870" s="910"/>
      <c r="F870" s="239" t="str">
        <f ca="1">IF(B859="Лікар-педіатр",Законод!$J$17,IF(B859="Лікар загальної практики - сімейний лікар",Законод!$J$21,IF(B859="Лікар-терапевт",Законод!$J$25,"х")))</f>
        <v>х</v>
      </c>
      <c r="G870" s="935" t="s">
        <v>346</v>
      </c>
      <c r="H870" s="936"/>
      <c r="I870" s="936"/>
      <c r="J870" s="936"/>
      <c r="K870" s="937"/>
      <c r="L870" s="196">
        <f ca="1">IF($B$859="Лікар загальної практики - сімейний лікар",IF(L863&gt;=Законод!$J$22,'01_Доходи'!L863-('01_Доходи'!L864+'01_Доходи'!L865+'01_Доходи'!L866+'01_Доходи'!L867+'01_Доходи'!L868+'01_Доходи'!L869),0),IF($B$859="Лікар-педіатр",IF(L863&gt;=Законод!$J$18,'01_Доходи'!L863-('01_Доходи'!L864+'01_Доходи'!L865+'01_Доходи'!L866+'01_Доходи'!L867+'01_Доходи'!L868+'01_Доходи'!L869),0),IF($B$859="Лікар-терапевт",IF('01_Доходи'!L863&gt;=Законод!$J$26,L863-Законод!$I$27,0),0)))</f>
        <v>0</v>
      </c>
      <c r="M870" s="931"/>
      <c r="N870" s="935" t="s">
        <v>346</v>
      </c>
      <c r="O870" s="936"/>
      <c r="P870" s="936"/>
      <c r="Q870" s="936"/>
      <c r="R870" s="937"/>
      <c r="S870" s="196">
        <f ca="1">IF($B$859="Лікар загальної практики - сімейний лікар",IF(S863&gt;=Законод!$J$22,'01_Доходи'!S863-('01_Доходи'!S864+'01_Доходи'!S865+'01_Доходи'!S866+'01_Доходи'!S867+'01_Доходи'!S868+'01_Доходи'!S869),0),IF($B$859="Лікар-педіатр",IF(S863&gt;=Законод!$J$18,'01_Доходи'!S863-('01_Доходи'!S864+'01_Доходи'!S865+'01_Доходи'!S866+'01_Доходи'!S867+'01_Доходи'!S868+'01_Доходи'!S869),0),IF($B$859="Лікар-терапевт",IF('01_Доходи'!S863&gt;=Законод!$J$26,S863-Законод!$I$27,0),0)))</f>
        <v>0</v>
      </c>
      <c r="T870" s="931"/>
      <c r="U870" s="935" t="s">
        <v>346</v>
      </c>
      <c r="V870" s="936"/>
      <c r="W870" s="936"/>
      <c r="X870" s="936"/>
      <c r="Y870" s="937"/>
      <c r="Z870" s="196">
        <f ca="1">IF($B$859="Лікар загальної практики - сімейний лікар",IF(Z863&gt;=Законод!$J$22,'01_Доходи'!Z863-('01_Доходи'!Z864+'01_Доходи'!Z865+'01_Доходи'!Z866+'01_Доходи'!Z867+'01_Доходи'!Z868+'01_Доходи'!Z869),0),IF($B$859="Лікар-педіатр",IF(Z863&gt;=Законод!$J$18,'01_Доходи'!Z863-('01_Доходи'!Z864+'01_Доходи'!Z865+'01_Доходи'!Z866+'01_Доходи'!Z867+'01_Доходи'!Z868+'01_Доходи'!Z869),0),IF($B$859="Лікар-терапевт",IF('01_Доходи'!Z863&gt;=Законод!$J$26,Z863-Законод!$I$27,0),0)))</f>
        <v>0</v>
      </c>
      <c r="AA870" s="931"/>
      <c r="AB870" s="935" t="s">
        <v>346</v>
      </c>
      <c r="AC870" s="936"/>
      <c r="AD870" s="936"/>
      <c r="AE870" s="936"/>
      <c r="AF870" s="937"/>
      <c r="AG870" s="196">
        <f ca="1">IF($B$859="Лікар загальної практики - сімейний лікар",IF(AG863&gt;=Законод!$J$22,'01_Доходи'!AG863-('01_Доходи'!AG864+'01_Доходи'!AG865+'01_Доходи'!AG866+'01_Доходи'!AG867+'01_Доходи'!AG868+'01_Доходи'!AG869),0),IF($B$859="Лікар-педіатр",IF(AG863&gt;=Законод!$J$18,'01_Доходи'!AG863-('01_Доходи'!AG864+'01_Доходи'!AG865+'01_Доходи'!AG866+'01_Доходи'!AG867+'01_Доходи'!AG868+'01_Доходи'!AG869),0),IF($B$859="Лікар-терапевт",IF('01_Доходи'!AG863&gt;=Законод!$J$26,AG863-Законод!$I$27,0),0)))</f>
        <v>0</v>
      </c>
      <c r="AH870" s="931"/>
      <c r="AI870" s="215"/>
      <c r="AJ870" s="934"/>
      <c r="AK870" s="928"/>
      <c r="AL870" s="928"/>
      <c r="AM870" s="900"/>
      <c r="AN870" s="216">
        <f ca="1">IF(B859="Лікар загальної практики - сімейний лікар",L870*Законод!$C$9/4*Законод!$J$16,IF(B859="Лікар-педіатр",L870*Законод!$C$9/4*Законод!$J$16,IF(B859="Лікар-терапевт",L870*Законод!$C$9/4*Законод!$J$16,0)))</f>
        <v>0</v>
      </c>
      <c r="AO870" s="216">
        <f ca="1">IF(B859="Лікар загальної практики - сімейний лікар",S870*Законод!$C$9/4*Законод!$J$16,IF(B859="Лікар-педіатр",S870*Законод!$C$9/4*Законод!$J$16,IF(B859="Лікар-терапевт",S870*Законод!$C$9/4*Законод!$J$16,0)))</f>
        <v>0</v>
      </c>
      <c r="AP870" s="216">
        <f ca="1">IF(B859="Лікар загальної практики - сімейний лікар",S870*Законод!$C$9/4*Законод!$J$16,IF(B859="Лікар-педіатр",S870*Законод!$C$9/4*Законод!$J$16,IF(B859="Лікар-терапевт",S870*Законод!$C$9/4*Законод!$J$16,0)))</f>
        <v>0</v>
      </c>
      <c r="AQ870" s="216">
        <f ca="1">IF(B859="Лікар загальної практики - сімейний лікар",AG870*Законод!$C$9/4*Законод!$J$16,IF(B859="Лікар-педіатр",AG870*Законод!$C$9/4*Законод!$J$16,IF(B859="Лікар-терапевт",AG870*Законод!$C$9/4*Законод!$J$16,0)))</f>
        <v>0</v>
      </c>
      <c r="AR870" s="217">
        <f t="shared" si="93"/>
        <v>0</v>
      </c>
    </row>
    <row r="871" spans="1:44" s="247" customFormat="1" ht="23.45" hidden="1" customHeight="1" thickBot="1">
      <c r="A871" s="243"/>
      <c r="B871" s="244"/>
      <c r="C871" s="244"/>
      <c r="D871" s="244"/>
      <c r="E871" s="244"/>
      <c r="F871" s="245"/>
      <c r="G871" s="246"/>
      <c r="H871" s="246"/>
      <c r="L871" s="248"/>
      <c r="S871" s="248"/>
      <c r="Z871" s="248"/>
      <c r="AG871" s="248"/>
      <c r="AM871" s="249"/>
      <c r="AR871" s="250"/>
    </row>
    <row r="872" spans="1:44" s="191" customFormat="1" ht="24.6" hidden="1" customHeight="1">
      <c r="A872" s="194">
        <f>A859+1</f>
        <v>65</v>
      </c>
      <c r="B872" s="892"/>
      <c r="C872" s="895"/>
      <c r="D872" s="911"/>
      <c r="E872" s="908"/>
      <c r="F872" s="234" t="s">
        <v>582</v>
      </c>
      <c r="G872" s="196">
        <f>IF($B$872="Лікар-педіатр",G875*L872,IF($B$872="Лікар-терапевт","х",IF($B$872="Лікар загальної практики - сімейний лікар",G875*L872,0)))</f>
        <v>0</v>
      </c>
      <c r="H872" s="196">
        <f>IF($B$872="Лікар-педіатр",H875*L872,IF($B$872="Лікар-терапевт","х",IF($B$872="Лікар загальної практики - сімейний лікар",H875*L872,0)))</f>
        <v>0</v>
      </c>
      <c r="I872" s="196">
        <f>IF($B$872="Лікар-педіатр","x",IF($B$872="Лікар-терапевт",I875*L872,IF($B$872="Лікар загальної практики - сімейний лікар",I875*L872,0)))</f>
        <v>0</v>
      </c>
      <c r="J872" s="196">
        <f>IF($B$872="Лікар-педіатр","x",IF($B$872="Лікар-терапевт",J875*L872,IF($B$872="Лікар загальної практики - сімейний лікар",J875*L872,0)))</f>
        <v>0</v>
      </c>
      <c r="K872" s="196">
        <f>IF($B$872="Лікар-педіатр","x",IF($B$872="Лікар-терапевт",K875*L872,IF($B$872="Лікар загальної практики - сімейний лікар",K875*L872,0)))</f>
        <v>0</v>
      </c>
      <c r="L872" s="558"/>
      <c r="M872" s="929"/>
      <c r="N872" s="196">
        <f>IF($B$872="Лікар-педіатр",N875*S872,IF($B$872="Лікар-терапевт","х",IF($B$872="Лікар загальної практики - сімейний лікар",N875*S872,0)))</f>
        <v>0</v>
      </c>
      <c r="O872" s="196">
        <f>IF($B$872="Лікар-педіатр",O875*S872,IF($B$872="Лікар-терапевт","х",IF($B$872="Лікар загальної практики - сімейний лікар",O875*S872,0)))</f>
        <v>0</v>
      </c>
      <c r="P872" s="196">
        <f>IF($B$872="Лікар-педіатр","x",IF($B$872="Лікар-терапевт",P875*S872,IF($B$872="Лікар загальної практики - сімейний лікар",P875*S872,0)))</f>
        <v>0</v>
      </c>
      <c r="Q872" s="196">
        <f>IF($B$872="Лікар-педіатр","x",IF($B$872="Лікар-терапевт",Q875*S872,IF($B$872="Лікар загальної практики - сімейний лікар",Q875*S872,0)))</f>
        <v>0</v>
      </c>
      <c r="R872" s="196">
        <f>IF($B$872="Лікар-педіатр","x",IF($B$872="Лікар-терапевт",R875*S872,IF($B$872="Лікар загальної практики - сімейний лікар",R875*S872,0)))</f>
        <v>0</v>
      </c>
      <c r="S872" s="558"/>
      <c r="T872" s="929"/>
      <c r="U872" s="196">
        <f>IF($B$872="Лікар-педіатр",U875*Z872,IF($B$872="Лікар-терапевт","х",IF($B$872="Лікар загальної практики - сімейний лікар",U875*Z872,0)))</f>
        <v>0</v>
      </c>
      <c r="V872" s="196">
        <f>IF($B$872="Лікар-педіатр",V875*Z872,IF($B$872="Лікар-терапевт","х",IF($B$872="Лікар загальної практики - сімейний лікар",V875*Z872,0)))</f>
        <v>0</v>
      </c>
      <c r="W872" s="196">
        <f>IF($B$872="Лікар-педіатр","x",IF($B$872="Лікар-терапевт",W875*Z872,IF($B$872="Лікар загальної практики - сімейний лікар",W875*Z872,0)))</f>
        <v>0</v>
      </c>
      <c r="X872" s="196">
        <f>IF($B$872="Лікар-педіатр","x",IF($B$872="Лікар-терапевт",X875*Z872,IF($B$872="Лікар загальної практики - сімейний лікар",X875*Z872,0)))</f>
        <v>0</v>
      </c>
      <c r="Y872" s="196">
        <f>IF($B$872="Лікар-педіатр","x",IF($B$872="Лікар-терапевт",Y875*Z872,IF($B$872="Лікар загальної практики - сімейний лікар",Y875*Z872,0)))</f>
        <v>0</v>
      </c>
      <c r="Z872" s="558"/>
      <c r="AA872" s="929"/>
      <c r="AB872" s="196">
        <f>IF($B$872="Лікар-педіатр",AB875*AG872,IF($B$872="Лікар-терапевт","х",IF($B$872="Лікар загальної практики - сімейний лікар",AB875*AG872,0)))</f>
        <v>0</v>
      </c>
      <c r="AC872" s="196">
        <f>IF($B$872="Лікар-педіатр",AC875*AG872,IF($B$872="Лікар-терапевт","х",IF($B$872="Лікар загальної практики - сімейний лікар",AC875*AG872,0)))</f>
        <v>0</v>
      </c>
      <c r="AD872" s="196">
        <f>IF($B$872="Лікар-педіатр","x",IF($B$872="Лікар-терапевт",AD875*AG872,IF($B$872="Лікар загальної практики - сімейний лікар",AD875*AG872,0)))</f>
        <v>0</v>
      </c>
      <c r="AE872" s="196">
        <f>IF($B$872="Лікар-педіатр","x",IF($B$872="Лікар-терапевт",AE875*AG872,IF($B$872="Лікар загальної практики - сімейний лікар",AE875*AG872,0)))</f>
        <v>0</v>
      </c>
      <c r="AF872" s="196">
        <f>IF($B$872="Лікар-педіатр","x",IF($B$872="Лікар-терапевт",AF875*AG872,IF($B$872="Лікар загальної практики - сімейний лікар",AF875*AG872,0)))</f>
        <v>0</v>
      </c>
      <c r="AG872" s="558"/>
      <c r="AH872" s="929"/>
      <c r="AI872" s="541">
        <f>A872</f>
        <v>65</v>
      </c>
      <c r="AJ872" s="932">
        <f>B872</f>
        <v>0</v>
      </c>
      <c r="AK872" s="926">
        <f>C872</f>
        <v>0</v>
      </c>
      <c r="AL872" s="926">
        <f>D872</f>
        <v>0</v>
      </c>
      <c r="AM872" s="901" t="s">
        <v>785</v>
      </c>
      <c r="AN872" s="923">
        <f>SUM(AN877:AN883)</f>
        <v>0</v>
      </c>
      <c r="AO872" s="923">
        <f>SUM(AO877:AO883)</f>
        <v>0</v>
      </c>
      <c r="AP872" s="923">
        <f>SUM(AP877:AP883)</f>
        <v>0</v>
      </c>
      <c r="AQ872" s="923">
        <f>SUM(AQ877:AQ883)</f>
        <v>0</v>
      </c>
      <c r="AR872" s="914">
        <f>SUM(AN872:AQ876)</f>
        <v>0</v>
      </c>
    </row>
    <row r="873" spans="1:44" s="50" customFormat="1" ht="28.15" hidden="1" customHeight="1">
      <c r="A873" s="197"/>
      <c r="B873" s="893"/>
      <c r="C873" s="896"/>
      <c r="D873" s="912"/>
      <c r="E873" s="909"/>
      <c r="F873" s="234" t="s">
        <v>583</v>
      </c>
      <c r="G873" s="196">
        <f>IF($B$872="Лікар-педіатр",G875*L873,IF($B$872="Лікар-терапевт","х",IF($B$872="Лікар загальної практики - сімейний лікар",G875*L873,0)))</f>
        <v>0</v>
      </c>
      <c r="H873" s="196">
        <f>IF($B$872="Лікар-педіатр",H875*L873,IF($B$872="Лікар-терапевт","х",IF($B$872="Лікар загальної практики - сімейний лікар",H875*L873,0)))</f>
        <v>0</v>
      </c>
      <c r="I873" s="196">
        <f>IF($B$872="Лікар-педіатр","x",IF($B$872="Лікар-терапевт",I875*L873,IF($B$872="Лікар загальної практики - сімейний лікар",I875*L873,0)))</f>
        <v>0</v>
      </c>
      <c r="J873" s="196">
        <f>IF($B$872="Лікар-педіатр","x",IF($B$872="Лікар-терапевт",J875*L873,IF($B$872="Лікар загальної практики - сімейний лікар",J875*L873,0)))</f>
        <v>0</v>
      </c>
      <c r="K873" s="196">
        <f>IF($B$872="Лікар-педіатр","x",IF($B$872="Лікар-терапевт",K875*L873,IF($B$872="Лікар загальної практики - сімейний лікар",K875*L873,0)))</f>
        <v>0</v>
      </c>
      <c r="L873" s="558"/>
      <c r="M873" s="930"/>
      <c r="N873" s="196">
        <f>IF($B$872="Лікар-педіатр",N875*S873,IF($B$872="Лікар-терапевт","х",IF($B$872="Лікар загальної практики - сімейний лікар",N875*S873,0)))</f>
        <v>0</v>
      </c>
      <c r="O873" s="196">
        <f>IF($B$872="Лікар-педіатр",O875*S873,IF($B$872="Лікар-терапевт","х",IF($B$872="Лікар загальної практики - сімейний лікар",O875*S873,0)))</f>
        <v>0</v>
      </c>
      <c r="P873" s="196">
        <f>IF($B$872="Лікар-педіатр","x",IF($B$872="Лікар-терапевт",P875*S873,IF($B$872="Лікар загальної практики - сімейний лікар",P875*S873,0)))</f>
        <v>0</v>
      </c>
      <c r="Q873" s="196">
        <f>IF($B$872="Лікар-педіатр","x",IF($B$872="Лікар-терапевт",Q875*S873,IF($B$872="Лікар загальної практики - сімейний лікар",Q875*S873,0)))</f>
        <v>0</v>
      </c>
      <c r="R873" s="196">
        <f>IF($B$872="Лікар-педіатр","x",IF($B$872="Лікар-терапевт",R875*S873,IF($B$872="Лікар загальної практики - сімейний лікар",R875*S873,0)))</f>
        <v>0</v>
      </c>
      <c r="S873" s="558"/>
      <c r="T873" s="930"/>
      <c r="U873" s="196">
        <f>IF($B$872="Лікар-педіатр",U875*Z873,IF($B$872="Лікар-терапевт","х",IF($B$872="Лікар загальної практики - сімейний лікар",U875*Z873,0)))</f>
        <v>0</v>
      </c>
      <c r="V873" s="196">
        <f>IF($B$872="Лікар-педіатр",V875*Z873,IF($B$872="Лікар-терапевт","х",IF($B$872="Лікар загальної практики - сімейний лікар",V875*Z873,0)))</f>
        <v>0</v>
      </c>
      <c r="W873" s="196">
        <f>IF($B$872="Лікар-педіатр","x",IF($B$872="Лікар-терапевт",W875*Z873,IF($B$872="Лікар загальної практики - сімейний лікар",W875*Z873,0)))</f>
        <v>0</v>
      </c>
      <c r="X873" s="196">
        <f>IF($B$872="Лікар-педіатр","x",IF($B$872="Лікар-терапевт",X875*Z873,IF($B$872="Лікар загальної практики - сімейний лікар",X875*Z873,0)))</f>
        <v>0</v>
      </c>
      <c r="Y873" s="196">
        <f>IF($B$872="Лікар-педіатр","x",IF($B$872="Лікар-терапевт",Y875*Z873,IF($B$872="Лікар загальної практики - сімейний лікар",Y875*Z873,0)))</f>
        <v>0</v>
      </c>
      <c r="Z873" s="558"/>
      <c r="AA873" s="930"/>
      <c r="AB873" s="196">
        <f>IF($B$872="Лікар-педіатр",AB875*AG873,IF($B$872="Лікар-терапевт","х",IF($B$872="Лікар загальної практики - сімейний лікар",AB875*AG873,0)))</f>
        <v>0</v>
      </c>
      <c r="AC873" s="196">
        <f>IF($B$872="Лікар-педіатр",AC875*AG873,IF($B$872="Лікар-терапевт","х",IF($B$872="Лікар загальної практики - сімейний лікар",AC875*AG873,0)))</f>
        <v>0</v>
      </c>
      <c r="AD873" s="196">
        <f>IF($B$872="Лікар-педіатр","x",IF($B$872="Лікар-терапевт",AD875*AG873,IF($B$872="Лікар загальної практики - сімейний лікар",AD875*AG873,0)))</f>
        <v>0</v>
      </c>
      <c r="AE873" s="196">
        <f>IF($B$872="Лікар-педіатр","x",IF($B$872="Лікар-терапевт",AE875*AG873,IF($B$872="Лікар загальної практики - сімейний лікар",AE875*AG873,0)))</f>
        <v>0</v>
      </c>
      <c r="AF873" s="196">
        <f>IF($B$872="Лікар-педіатр","x",IF($B$872="Лікар-терапевт",AF875*AG873,IF($B$872="Лікар загальної практики - сімейний лікар",AF875*AG873,0)))</f>
        <v>0</v>
      </c>
      <c r="AG873" s="558"/>
      <c r="AH873" s="930"/>
      <c r="AI873" s="198"/>
      <c r="AJ873" s="933"/>
      <c r="AK873" s="927"/>
      <c r="AL873" s="927"/>
      <c r="AM873" s="902"/>
      <c r="AN873" s="924"/>
      <c r="AO873" s="924"/>
      <c r="AP873" s="924"/>
      <c r="AQ873" s="924"/>
      <c r="AR873" s="915"/>
    </row>
    <row r="874" spans="1:44" s="90" customFormat="1" ht="31.15" hidden="1" customHeight="1">
      <c r="A874" s="240"/>
      <c r="B874" s="893"/>
      <c r="C874" s="896"/>
      <c r="D874" s="912"/>
      <c r="E874" s="909"/>
      <c r="F874" s="241" t="s">
        <v>584</v>
      </c>
      <c r="G874" s="199">
        <f>IF(B872="Лікар загальної практики - сімейний лікар"," ",IF(B872="Лікар-педіатр"," ",IF(B872="Лікар-терапевт","х",0)))</f>
        <v>0</v>
      </c>
      <c r="H874" s="199">
        <f>IF(B872="Лікар загальної практики - сімейний лікар"," ",IF(B872="Лікар-педіатр"," ",IF(B872="Лікар-терапевт","х",0)))</f>
        <v>0</v>
      </c>
      <c r="I874" s="199">
        <f>IF(B872="Лікар загальної практики - сімейний лікар"," ",IF(B872="Лікар-педіатр","х",IF(B872="Лікар-терапевт"," ",0)))</f>
        <v>0</v>
      </c>
      <c r="J874" s="199">
        <f>IF(B872="Лікар загальної практики - сімейний лікар"," ",IF(B872="Лікар-педіатр","х",IF(B872="Лікар-терапевт"," ",0)))</f>
        <v>0</v>
      </c>
      <c r="K874" s="199">
        <f>IF(B872="Лікар загальної практики - сімейний лікар"," ",IF(B872="Лікар-педіатр","х",IF(B872="Лікар-терапевт"," ",0)))</f>
        <v>0</v>
      </c>
      <c r="L874" s="200">
        <f>SUM(G874:K874)</f>
        <v>0</v>
      </c>
      <c r="M874" s="930"/>
      <c r="N874" s="199">
        <f>IF(B872="Лікар загальної практики - сімейний лікар"," ",IF(B872="Лікар-педіатр"," ",IF(B872="Лікар-терапевт","х",0)))</f>
        <v>0</v>
      </c>
      <c r="O874" s="199">
        <f>IF(B872="Лікар загальної практики - сімейний лікар"," ",IF(B872="Лікар-педіатр"," ",IF(B872="Лікар-терапевт","х",0)))</f>
        <v>0</v>
      </c>
      <c r="P874" s="199">
        <f>IF(B872="Лікар загальної практики - сімейний лікар"," ",IF(B872="Лікар-педіатр","х",IF(B872="Лікар-терапевт"," ",0)))</f>
        <v>0</v>
      </c>
      <c r="Q874" s="199">
        <f>IF(B872="Лікар загальної практики - сімейний лікар"," ",IF(B872="Лікар-педіатр","х",IF(B872="Лікар-терапевт"," ",0)))</f>
        <v>0</v>
      </c>
      <c r="R874" s="199">
        <f>IF(B872="Лікар загальної практики - сімейний лікар"," ",IF(B872="Лікар-педіатр","х",IF(B872="Лікар-терапевт"," ",0)))</f>
        <v>0</v>
      </c>
      <c r="S874" s="200">
        <f>SUM(N874:R874)</f>
        <v>0</v>
      </c>
      <c r="T874" s="930"/>
      <c r="U874" s="199">
        <f>IF(B872="Лікар загальної практики - сімейний лікар"," ",IF(B872="Лікар-педіатр"," ",IF(B872="Лікар-терапевт","х",0)))</f>
        <v>0</v>
      </c>
      <c r="V874" s="199">
        <f>IF(B872="Лікар загальної практики - сімейний лікар"," ",IF(B872="Лікар-педіатр"," ",IF(B872="Лікар-терапевт","х",0)))</f>
        <v>0</v>
      </c>
      <c r="W874" s="199">
        <f>IF(B872="Лікар загальної практики - сімейний лікар"," ",IF(B872="Лікар-педіатр","х",IF(B872="Лікар-терапевт"," ",0)))</f>
        <v>0</v>
      </c>
      <c r="X874" s="199">
        <f>IF(B872="Лікар загальної практики - сімейний лікар"," ",IF(B872="Лікар-педіатр","х",IF(B872="Лікар-терапевт"," ",0)))</f>
        <v>0</v>
      </c>
      <c r="Y874" s="199">
        <f>IF(B872="Лікар загальної практики - сімейний лікар"," ",IF(B872="Лікар-педіатр","х",IF(B872="Лікар-терапевт"," ",0)))</f>
        <v>0</v>
      </c>
      <c r="Z874" s="200">
        <f>SUM(U874:Y874)</f>
        <v>0</v>
      </c>
      <c r="AA874" s="930"/>
      <c r="AB874" s="199">
        <f>IF(B872="Лікар загальної практики - сімейний лікар"," ",IF(B872="Лікар-педіатр"," ",IF(B872="Лікар-терапевт","х",0)))</f>
        <v>0</v>
      </c>
      <c r="AC874" s="199">
        <f>IF(B872="Лікар загальної практики - сімейний лікар"," ",IF(B872="Лікар-педіатр"," ",IF(B872="Лікар-терапевт","х",0)))</f>
        <v>0</v>
      </c>
      <c r="AD874" s="199">
        <f>IF(B872="Лікар загальної практики - сімейний лікар"," ",IF(B872="Лікар-педіатр","х",IF(B872="Лікар-терапевт"," ",0)))</f>
        <v>0</v>
      </c>
      <c r="AE874" s="199">
        <f>IF(B872="Лікар загальної практики - сімейний лікар"," ",IF(B872="Лікар-педіатр","х",IF(B872="Лікар-терапевт"," ",0)))</f>
        <v>0</v>
      </c>
      <c r="AF874" s="199">
        <f>IF(B872="Лікар загальної практики - сімейний лікар"," ",IF(B872="Лікар-педіатр","х",IF(B872="Лікар-терапевт"," ",0)))</f>
        <v>0</v>
      </c>
      <c r="AG874" s="200">
        <f>SUM(AB874:AF874)</f>
        <v>0</v>
      </c>
      <c r="AH874" s="930"/>
      <c r="AI874" s="242"/>
      <c r="AJ874" s="933"/>
      <c r="AK874" s="927"/>
      <c r="AL874" s="927"/>
      <c r="AM874" s="902"/>
      <c r="AN874" s="924"/>
      <c r="AO874" s="924"/>
      <c r="AP874" s="924"/>
      <c r="AQ874" s="924"/>
      <c r="AR874" s="915"/>
    </row>
    <row r="875" spans="1:44" s="50" customFormat="1" ht="31.9" hidden="1" customHeight="1" thickBot="1">
      <c r="A875" s="197"/>
      <c r="B875" s="893"/>
      <c r="C875" s="896"/>
      <c r="D875" s="912"/>
      <c r="E875" s="909"/>
      <c r="F875" s="236" t="s">
        <v>349</v>
      </c>
      <c r="G875" s="203">
        <f>IF($B$872="Лікар-педіатр",G874/L874,IF($B$872="Лікар-терапевт","х",IF($B$872="Лікар загальної практики - сімейний лікар",G874/L874,0)))</f>
        <v>0</v>
      </c>
      <c r="H875" s="203">
        <f>IF($B$872="Лікар-педіатр",H874/L874,IF($B$872="Лікар-терапевт","х",IF($B$872="Лікар загальної практики - сімейний лікар",H874/L874,0)))</f>
        <v>0</v>
      </c>
      <c r="I875" s="203">
        <f>IF($B$872="Лікар-педіатр","x",IF($B$872="Лікар-терапевт",I874/L874,IF($B$872="Лікар загальної практики - сімейний лікар",I874/L874,0)))</f>
        <v>0</v>
      </c>
      <c r="J875" s="203">
        <f>IF($B$872="Лікар-педіатр","x",IF($B$872="Лікар-терапевт",J874/L874,IF($B$872="Лікар загальної практики - сімейний лікар",J874/L874,0)))</f>
        <v>0</v>
      </c>
      <c r="K875" s="203">
        <f>IF($B$872="Лікар-педіатр","x",IF($B$872="Лікар-терапевт",K874/L874,IF($B$872="Лікар загальної практики - сімейний лікар",K874/L874,0)))</f>
        <v>0</v>
      </c>
      <c r="L875" s="203">
        <f>SUM(G875:K875)</f>
        <v>0</v>
      </c>
      <c r="M875" s="930"/>
      <c r="N875" s="203">
        <f>IF($B$872="Лікар-педіатр",N874/S874,IF($B$872="Лікар-терапевт","х",IF($B$872="Лікар загальної практики - сімейний лікар",N874/S874,0)))</f>
        <v>0</v>
      </c>
      <c r="O875" s="203">
        <f>IF($B$872="Лікар-педіатр",O874/S874,IF($B$872="Лікар-терапевт","х",IF($B$872="Лікар загальної практики - сімейний лікар",O874/S874,0)))</f>
        <v>0</v>
      </c>
      <c r="P875" s="203">
        <f>IF($B$872="Лікар-педіатр","x",IF($B$872="Лікар-терапевт",P874/S874,IF($B$872="Лікар загальної практики - сімейний лікар",P874/S874,0)))</f>
        <v>0</v>
      </c>
      <c r="Q875" s="203">
        <f>IF($B$872="Лікар-педіатр","x",IF($B$872="Лікар-терапевт",Q874/S874,IF($B$872="Лікар загальної практики - сімейний лікар",Q874/S874,0)))</f>
        <v>0</v>
      </c>
      <c r="R875" s="203">
        <f>IF($B$872="Лікар-педіатр","x",IF($B$872="Лікар-терапевт",R874/S874,IF($B$872="Лікар загальної практики - сімейний лікар",R874/S874,0)))</f>
        <v>0</v>
      </c>
      <c r="S875" s="203">
        <f>SUM(N875:R875)</f>
        <v>0</v>
      </c>
      <c r="T875" s="930"/>
      <c r="U875" s="203">
        <f>IF($B$872="Лікар-педіатр",U874/Z874,IF($B$872="Лікар-терапевт","х",IF($B$872="Лікар загальної практики - сімейний лікар",U874/Z874,0)))</f>
        <v>0</v>
      </c>
      <c r="V875" s="203">
        <f>IF($B$872="Лікар-педіатр",V874/Z874,IF($B$872="Лікар-терапевт","х",IF($B$872="Лікар загальної практики - сімейний лікар",V874/Z874,0)))</f>
        <v>0</v>
      </c>
      <c r="W875" s="203">
        <f>IF($B$872="Лікар-педіатр","x",IF($B$872="Лікар-терапевт",W874/Z874,IF($B$872="Лікар загальної практики - сімейний лікар",W874/Z874,0)))</f>
        <v>0</v>
      </c>
      <c r="X875" s="203">
        <f>IF($B$872="Лікар-педіатр","x",IF($B$872="Лікар-терапевт",X874/Z874,IF($B$872="Лікар загальної практики - сімейний лікар",X874/Z874,0)))</f>
        <v>0</v>
      </c>
      <c r="Y875" s="203">
        <f>IF($B$872="Лікар-педіатр","x",IF($B$872="Лікар-терапевт",Y874/Z874,IF($B$872="Лікар загальної практики - сімейний лікар",Y874/Z874,0)))</f>
        <v>0</v>
      </c>
      <c r="Z875" s="203">
        <f>SUM(U875:Y875)</f>
        <v>0</v>
      </c>
      <c r="AA875" s="930"/>
      <c r="AB875" s="203">
        <f>IF($B$872="Лікар-педіатр",AB874/AG874,IF($B$872="Лікар-терапевт","х",IF($B$872="Лікар загальної практики - сімейний лікар",AB874/AG874,0)))</f>
        <v>0</v>
      </c>
      <c r="AC875" s="203">
        <f>IF($B$872="Лікар-педіатр",AC874/AG874,IF($B$872="Лікар-терапевт","х",IF($B$872="Лікар загальної практики - сімейний лікар",AC874/AG874,0)))</f>
        <v>0</v>
      </c>
      <c r="AD875" s="203">
        <f>IF($B$872="Лікар-педіатр","x",IF($B$872="Лікар-терапевт",AD874/AG874,IF($B$872="Лікар загальної практики - сімейний лікар",AD874/AG874,0)))</f>
        <v>0</v>
      </c>
      <c r="AE875" s="203">
        <f>IF($B$872="Лікар-педіатр","x",IF($B$872="Лікар-терапевт",AE874/AG874,IF($B$872="Лікар загальної практики - сімейний лікар",AE874/AG874,0)))</f>
        <v>0</v>
      </c>
      <c r="AF875" s="203">
        <f>IF($B$872="Лікар-педіатр","x",IF($B$872="Лікар-терапевт",AF874/AG874,IF($B$872="Лікар загальної практики - сімейний лікар",AF874/AG874,0)))</f>
        <v>0</v>
      </c>
      <c r="AG875" s="203">
        <f>SUM(AB875:AF875)</f>
        <v>0</v>
      </c>
      <c r="AH875" s="930"/>
      <c r="AI875" s="201"/>
      <c r="AJ875" s="933"/>
      <c r="AK875" s="927"/>
      <c r="AL875" s="927"/>
      <c r="AM875" s="902"/>
      <c r="AN875" s="924"/>
      <c r="AO875" s="924"/>
      <c r="AP875" s="924"/>
      <c r="AQ875" s="924"/>
      <c r="AR875" s="915"/>
    </row>
    <row r="876" spans="1:44" s="50" customFormat="1" ht="45" hidden="1" customHeight="1" thickBot="1">
      <c r="A876" s="197"/>
      <c r="B876" s="893"/>
      <c r="C876" s="896"/>
      <c r="D876" s="912"/>
      <c r="E876" s="909"/>
      <c r="F876" s="204" t="s">
        <v>585</v>
      </c>
      <c r="G876" s="205">
        <f>IF($B$872="Лікар загальної практики - сімейний лікар",AVERAGE(G872:G874),IF($B$872="Лікар-педіатр",AVERAGE(G872:G874),IF($B$872="Лікар-терапевт","х",0)))</f>
        <v>0</v>
      </c>
      <c r="H876" s="205">
        <f>IF($B$872="Лікар загальної практики - сімейний лікар",AVERAGE(H872:H874),IF($B$872="Лікар-педіатр",AVERAGE(H872:H874),IF($B$872="Лікар-терапевт","х",0)))</f>
        <v>0</v>
      </c>
      <c r="I876" s="205">
        <f>IF($B$872="Лікар загальної практики - сімейний лікар",AVERAGE(I872:I874),IF($B$872="Лікар-педіатр","x",IF($B$872="Лікар-терапевт",AVERAGE(I872:I874),0)))</f>
        <v>0</v>
      </c>
      <c r="J876" s="205">
        <f>IF($B$872="Лікар загальної практики - сімейний лікар",AVERAGE(J872:J874),IF($B$872="Лікар-педіатр","x",IF($B$872="Лікар-терапевт",AVERAGE(J872:J874),0)))</f>
        <v>0</v>
      </c>
      <c r="K876" s="205">
        <f>IF($B$872="Лікар загальної практики - сімейний лікар",AVERAGE(K872:K874),IF($B$872="Лікар-педіатр","x",IF($B$872="Лікар-терапевт",AVERAGE(K872:K874),0)))</f>
        <v>0</v>
      </c>
      <c r="L876" s="206">
        <f>SUM(G876:K876)</f>
        <v>0</v>
      </c>
      <c r="M876" s="930"/>
      <c r="N876" s="205">
        <f>IF($B$872="Лікар загальної практики - сімейний лікар",AVERAGE(N872:N874),IF($B$872="Лікар-педіатр",AVERAGE(N872:N874),IF($B$872="Лікар-терапевт","х",0)))</f>
        <v>0</v>
      </c>
      <c r="O876" s="205">
        <f>IF($B$872="Лікар загальної практики - сімейний лікар",AVERAGE(O872:O874),IF($B$872="Лікар-педіатр",AVERAGE(O872:O874),IF($B$872="Лікар-терапевт","х",0)))</f>
        <v>0</v>
      </c>
      <c r="P876" s="205">
        <f>IF($B$872="Лікар загальної практики - сімейний лікар",AVERAGE(P872:P874),IF($B$872="Лікар-педіатр","x",IF($B$872="Лікар-терапевт",AVERAGE(P872:P874),0)))</f>
        <v>0</v>
      </c>
      <c r="Q876" s="205">
        <f>IF($B$872="Лікар загальної практики - сімейний лікар",AVERAGE(Q872:Q874),IF($B$872="Лікар-педіатр","x",IF($B$872="Лікар-терапевт",AVERAGE(Q872:Q874),0)))</f>
        <v>0</v>
      </c>
      <c r="R876" s="205">
        <f>IF($B$872="Лікар загальної практики - сімейний лікар",AVERAGE(R872:R874),IF($B$872="Лікар-педіатр","x",IF($B$872="Лікар-терапевт",AVERAGE(R872:R874),0)))</f>
        <v>0</v>
      </c>
      <c r="S876" s="206">
        <f>SUM(N876:R876)</f>
        <v>0</v>
      </c>
      <c r="T876" s="930"/>
      <c r="U876" s="205">
        <f>IF($B$872="Лікар загальної практики - сімейний лікар",AVERAGE(U872:U874),IF($B$872="Лікар-педіатр",AVERAGE(U872:U874),IF($B$872="Лікар-терапевт","х",0)))</f>
        <v>0</v>
      </c>
      <c r="V876" s="205">
        <f>IF($B$872="Лікар загальної практики - сімейний лікар",AVERAGE(V872:V874),IF($B$872="Лікар-педіатр",AVERAGE(V872:V874),IF($B$872="Лікар-терапевт","х",0)))</f>
        <v>0</v>
      </c>
      <c r="W876" s="205">
        <f>IF($B$872="Лікар загальної практики - сімейний лікар",AVERAGE(W872:W874),IF($B$872="Лікар-педіатр","x",IF($B$872="Лікар-терапевт",AVERAGE(W872:W874),0)))</f>
        <v>0</v>
      </c>
      <c r="X876" s="205">
        <f>IF($B$872="Лікар загальної практики - сімейний лікар",AVERAGE(X872:X874),IF($B$872="Лікар-педіатр","x",IF($B$872="Лікар-терапевт",AVERAGE(X872:X874),0)))</f>
        <v>0</v>
      </c>
      <c r="Y876" s="205">
        <f>IF($B$872="Лікар загальної практики - сімейний лікар",AVERAGE(Y872:Y874),IF($B$872="Лікар-педіатр","x",IF($B$872="Лікар-терапевт",AVERAGE(Y872:Y874),0)))</f>
        <v>0</v>
      </c>
      <c r="Z876" s="206">
        <f>SUM(U876:Y876)</f>
        <v>0</v>
      </c>
      <c r="AA876" s="930"/>
      <c r="AB876" s="205">
        <f>IF($B$872="Лікар загальної практики - сімейний лікар",AVERAGE(AB872:AB874),IF($B$872="Лікар-педіатр",AVERAGE(AB872:AB874),IF($B$872="Лікар-терапевт","х",0)))</f>
        <v>0</v>
      </c>
      <c r="AC876" s="205">
        <f>IF($B$872="Лікар загальної практики - сімейний лікар",AVERAGE(AC872:AC874),IF($B$872="Лікар-педіатр",AVERAGE(AC872:AC874),IF($B$872="Лікар-терапевт","х",0)))</f>
        <v>0</v>
      </c>
      <c r="AD876" s="205">
        <f>IF($B$872="Лікар загальної практики - сімейний лікар",AVERAGE(AD872:AD874),IF($B$872="Лікар-педіатр","x",IF($B$872="Лікар-терапевт",AVERAGE(AD872:AD874),0)))</f>
        <v>0</v>
      </c>
      <c r="AE876" s="205">
        <f>IF($B$872="Лікар загальної практики - сімейний лікар",AVERAGE(AE872:AE874),IF($B$872="Лікар-педіатр","x",IF($B$872="Лікар-терапевт",AVERAGE(AE872:AE874),0)))</f>
        <v>0</v>
      </c>
      <c r="AF876" s="205">
        <f>IF($B$872="Лікар загальної практики - сімейний лікар",AVERAGE(AF872:AF874),IF($B$872="Лікар-педіатр","x",IF($B$872="Лікар-терапевт",AVERAGE(AF872:AF874),0)))</f>
        <v>0</v>
      </c>
      <c r="AG876" s="206">
        <f>SUM(AB876:AF876)</f>
        <v>0</v>
      </c>
      <c r="AH876" s="930"/>
      <c r="AI876" s="201"/>
      <c r="AJ876" s="933"/>
      <c r="AK876" s="927"/>
      <c r="AL876" s="927"/>
      <c r="AM876" s="903"/>
      <c r="AN876" s="925"/>
      <c r="AO876" s="925"/>
      <c r="AP876" s="925"/>
      <c r="AQ876" s="925"/>
      <c r="AR876" s="916"/>
    </row>
    <row r="877" spans="1:44" s="50" customFormat="1" ht="40.5" hidden="1">
      <c r="A877" s="197"/>
      <c r="B877" s="893"/>
      <c r="C877" s="896"/>
      <c r="D877" s="912"/>
      <c r="E877" s="909"/>
      <c r="F877" s="237" t="str">
        <f ca="1">IF(B872="Лікар-педіатр",Законод!$C$17,IF(B872="Лікар загальної практики - сімейний лікар",Законод!$C$21,IF(B872="Лікар-терапевт",Законод!$C$25,"х")))</f>
        <v>х</v>
      </c>
      <c r="G877" s="208">
        <f ca="1">IF($B$872="Лікар загальної практики - сімейний лікар",IF(L876&lt;=Законод!$C$22,G876,Законод!$C$22*'01_Доходи'!G875),IF($B$872="Лікар-педіатр",IF(L876&lt;=Законод!$C$18,G876,Законод!$C$18*'01_Доходи'!G875),IF($B$872="Лікар-терапевт","x",0)))</f>
        <v>0</v>
      </c>
      <c r="H877" s="208">
        <f ca="1">IF($B$872="Лікар загальної практики - сімейний лікар",IF(L876&lt;=Законод!$C$22,H876,Законод!$C$22*'01_Доходи'!H875),IF($B$872="Лікар-педіатр",IF(L876&lt;=Законод!$C$18,H876,Законод!$C$18*'01_Доходи'!H875),IF($B$872="Лікар-терапевт","x",0)))</f>
        <v>0</v>
      </c>
      <c r="I877" s="208">
        <f ca="1">IF($B$872="Лікар загальної практики - сімейний лікар",IF(L876&lt;=Законод!$C$22,I876,Законод!$C$22*'01_Доходи'!I875),IF($B$872="Лікар-педіатр","x",IF($B$872="Лікар-терапевт",IF(L876&lt;=Законод!$C$26,I876,Законод!$C$26*'01_Доходи'!I875),0)))</f>
        <v>0</v>
      </c>
      <c r="J877" s="208">
        <f ca="1">IF($B$872="Лікар загальної практики - сімейний лікар",IF(L876&lt;=Законод!$C$22,J876,Законод!$C$22*'01_Доходи'!J875),IF($B$872="Лікар-педіатр","x",IF($B$872="Лікар-терапевт",IF(L876&lt;=Законод!$C$26,J876,Законод!$C$26*'01_Доходи'!J875),0)))</f>
        <v>0</v>
      </c>
      <c r="K877" s="208">
        <f ca="1">IF($B$872="Лікар загальної практики - сімейний лікар",IF(L876&lt;=Законод!$C$22,K876,Законод!$C$22*'01_Доходи'!K875),IF($B$872="Лікар-педіатр","x",IF($B$872="Лікар-терапевт",IF(L876&lt;=Законод!$C$26,K876,Законод!$C$26*'01_Доходи'!K875),0)))</f>
        <v>0</v>
      </c>
      <c r="L877" s="209">
        <f ca="1">SUM(G877:K877)</f>
        <v>0</v>
      </c>
      <c r="M877" s="930"/>
      <c r="N877" s="208">
        <f ca="1">IF($B$872="Лікар загальної практики - сімейний лікар",IF(S876&lt;=Законод!$C$22,N876,Законод!$C$22*'01_Доходи'!N875),IF($B$872="Лікар-педіатр",IF(S876&lt;=Законод!$C$18,N876,Законод!$C$18*'01_Доходи'!N875),IF($B$872="Лікар-терапевт","x",0)))</f>
        <v>0</v>
      </c>
      <c r="O877" s="208">
        <f ca="1">IF($B$872="Лікар загальної практики - сімейний лікар",IF(S876&lt;=Законод!$C$22,O876,Законод!$C$22*'01_Доходи'!O875),IF($B$872="Лікар-педіатр",IF(S876&lt;=Законод!$C$18,O876,Законод!$C$18*'01_Доходи'!O875),IF($B$872="Лікар-терапевт","x",0)))</f>
        <v>0</v>
      </c>
      <c r="P877" s="208">
        <f ca="1">IF($B$872="Лікар загальної практики - сімейний лікар",IF(S876&lt;=Законод!$C$22,P876,Законод!$C$22*'01_Доходи'!P875),IF($B$872="Лікар-педіатр","x",IF($B$872="Лікар-терапевт",IF(S876&lt;=Законод!$C$26,P876,Законод!$C$26*'01_Доходи'!P875),0)))</f>
        <v>0</v>
      </c>
      <c r="Q877" s="208">
        <f ca="1">IF($B$872="Лікар загальної практики - сімейний лікар",IF(S876&lt;=Законод!$C$22,Q876,Законод!$C$22*'01_Доходи'!Q875),IF($B$872="Лікар-педіатр","x",IF($B$872="Лікар-терапевт",IF(S876&lt;=Законод!$C$26,Q876,Законод!$C$26*'01_Доходи'!Q875),0)))</f>
        <v>0</v>
      </c>
      <c r="R877" s="208">
        <f ca="1">IF($B$872="Лікар загальної практики - сімейний лікар",IF(S876&lt;=Законод!$C$22,R876,Законод!$C$22*'01_Доходи'!R875),IF($B$872="Лікар-педіатр","x",IF($B$872="Лікар-терапевт",IF(S876&lt;=Законод!$C$26,R876,Законод!$C$26*'01_Доходи'!R875),0)))</f>
        <v>0</v>
      </c>
      <c r="S877" s="209">
        <f ca="1">SUM(N877:R877)</f>
        <v>0</v>
      </c>
      <c r="T877" s="930"/>
      <c r="U877" s="208">
        <f ca="1">IF($B$872="Лікар загальної практики - сімейний лікар",IF(Z876&lt;=Законод!$C$22,U876,Законод!$C$22*'01_Доходи'!U875),IF($B$872="Лікар-педіатр",IF(Z876&lt;=Законод!$C$18,U876,Законод!$C$18*'01_Доходи'!U875),IF($B$872="Лікар-терапевт","x",0)))</f>
        <v>0</v>
      </c>
      <c r="V877" s="208">
        <f ca="1">IF($B$872="Лікар загальної практики - сімейний лікар",IF(Z876&lt;=Законод!$C$22,V876,Законод!$C$22*'01_Доходи'!V875),IF($B$872="Лікар-педіатр",IF(Z876&lt;=Законод!$C$18,V876,Законод!$C$18*'01_Доходи'!V875),IF($B$872="Лікар-терапевт","x",0)))</f>
        <v>0</v>
      </c>
      <c r="W877" s="208">
        <f ca="1">IF($B$872="Лікар загальної практики - сімейний лікар",IF(Z876&lt;=Законод!$C$22,W876,Законод!$C$22*'01_Доходи'!W875),IF($B$872="Лікар-педіатр","x",IF($B$872="Лікар-терапевт",IF(Z876&lt;=Законод!$C$26,W876,Законод!$C$26*'01_Доходи'!W875),0)))</f>
        <v>0</v>
      </c>
      <c r="X877" s="208">
        <f ca="1">IF($B$872="Лікар загальної практики - сімейний лікар",IF(Z876&lt;=Законод!$C$22,X876,Законод!$C$22*'01_Доходи'!X875),IF($B$872="Лікар-педіатр","x",IF($B$872="Лікар-терапевт",IF(Z876&lt;=Законод!$C$26,X876,Законод!$C$26*'01_Доходи'!X875),0)))</f>
        <v>0</v>
      </c>
      <c r="Y877" s="208">
        <f ca="1">IF($B$872="Лікар загальної практики - сімейний лікар",IF(Z876&lt;=Законод!$C$22,Y876,Законод!$C$22*'01_Доходи'!Y875),IF($B$872="Лікар-педіатр","x",IF($B$872="Лікар-терапевт",IF(Z876&lt;=Законод!$C$26,Y876,Законод!$C$26*'01_Доходи'!Y875),0)))</f>
        <v>0</v>
      </c>
      <c r="Z877" s="209">
        <f ca="1">SUM(U877:Y877)</f>
        <v>0</v>
      </c>
      <c r="AA877" s="930"/>
      <c r="AB877" s="208">
        <f ca="1">IF($B$872="Лікар загальної практики - сімейний лікар",IF(AG876&lt;=Законод!$C$22,AB876,Законод!$C$22*'01_Доходи'!AB875),IF($B$872="Лікар-педіатр",IF(AG876&lt;=Законод!$C$18,AB876,Законод!$C$18*'01_Доходи'!AB875),IF($B$872="Лікар-терапевт","x",0)))</f>
        <v>0</v>
      </c>
      <c r="AC877" s="208">
        <f ca="1">IF($B$872="Лікар загальної практики - сімейний лікар",IF(AG876&lt;=Законод!$C$22,AC876,Законод!$C$22*'01_Доходи'!AC875),IF($B$872="Лікар-педіатр",IF(AG876&lt;=Законод!$C$18,AC876,Законод!$C$18*'01_Доходи'!AC875),IF($B$872="Лікар-терапевт","x",0)))</f>
        <v>0</v>
      </c>
      <c r="AD877" s="208">
        <f ca="1">IF($B$872="Лікар загальної практики - сімейний лікар",IF(AG876&lt;=Законод!$C$22,AD876,Законод!$C$22*'01_Доходи'!AD875),IF($B$872="Лікар-педіатр","x",IF($B$872="Лікар-терапевт",IF(AG876&lt;=Законод!$C$26,AD876,Законод!$C$26*'01_Доходи'!AD875),0)))</f>
        <v>0</v>
      </c>
      <c r="AE877" s="208">
        <f ca="1">IF($B$872="Лікар загальної практики - сімейний лікар",IF(AG876&lt;=Законод!$C$22,AE876,Законод!$C$22*'01_Доходи'!AE875),IF($B$872="Лікар-педіатр","x",IF($B$872="Лікар-терапевт",IF(AG876&lt;=Законод!$C$26,AE876,Законод!$C$26*'01_Доходи'!AE875),0)))</f>
        <v>0</v>
      </c>
      <c r="AF877" s="208">
        <f ca="1">IF($B$872="Лікар загальної практики - сімейний лікар",IF(AG876&lt;=Законод!$C$22,AF876,Законод!$C$22*'01_Доходи'!AF875),IF($B$872="Лікар-педіатр","x",IF($B$872="Лікар-терапевт",IF(AG876&lt;=Законод!$C$26,AF876,Законод!$C$26*'01_Доходи'!AF875),0)))</f>
        <v>0</v>
      </c>
      <c r="AG877" s="209">
        <f ca="1">SUM(AB877:AF877)</f>
        <v>0</v>
      </c>
      <c r="AH877" s="930"/>
      <c r="AI877" s="201"/>
      <c r="AJ877" s="933"/>
      <c r="AK877" s="927"/>
      <c r="AL877" s="927"/>
      <c r="AM877" s="348" t="s">
        <v>374</v>
      </c>
      <c r="AN877" s="210">
        <f ca="1">IF(B872="Лікар загальної практики - сімейний лікар",G877*Законод!$C$11+'01_Доходи'!H877*Законод!$D$11+'01_Доходи'!I877*Законод!$E$11+'01_Доходи'!J877*Законод!$F$11+'01_Доходи'!K877*Законод!$G$11,IF(B872="Лікар-педіатр",G877*Законод!$C$11+'01_Доходи'!H877*Законод!$D$11,IF(B872="Лікар-терапевт",'01_Доходи'!I877*Законод!$E$11+'01_Доходи'!J877*Законод!$F$11+'01_Доходи'!K877*Законод!$G$11,0)))</f>
        <v>0</v>
      </c>
      <c r="AO877" s="210">
        <f ca="1">IF(B872="Лікар загальної практики - сімейний лікар",N877*Законод!$C$11+'01_Доходи'!O877*Законод!$D$11+'01_Доходи'!P877*Законод!$E$11+'01_Доходи'!Q877*Законод!$F$11+'01_Доходи'!R877*Законод!$G$11,IF(B872="Лікар-педіатр",N877*Законод!$C$11+'01_Доходи'!O877*Законод!$D$11,IF(B872="Лікар-терапевт",'01_Доходи'!P877*Законод!$E$11+'01_Доходи'!Q877*Законод!$F$11+'01_Доходи'!R877*Законод!$G$11,0)))</f>
        <v>0</v>
      </c>
      <c r="AP877" s="210">
        <f ca="1">IF(B872="Лікар загальної практики - сімейний лікар",U877*Законод!$C$11+'01_Доходи'!V877*Законод!$D$11+'01_Доходи'!W877*Законод!$E$11+'01_Доходи'!X877*Законод!$F$11+'01_Доходи'!Y877*Законод!$G$11,IF(B872="Лікар-педіатр",U877*Законод!$C$11+'01_Доходи'!V877*Законод!$D$11,IF(B872="Лікар-терапевт",'01_Доходи'!W877*Законод!$E$11+'01_Доходи'!X877*Законод!$F$11+'01_Доходи'!Y877*Законод!$G$11,0)))</f>
        <v>0</v>
      </c>
      <c r="AQ877" s="210">
        <f ca="1">IF(B872="Лікар загальної практики - сімейний лікар",AB877*Законод!$C$11+'01_Доходи'!AC877*Законод!$D$11+'01_Доходи'!AD877*Законод!$E$11+'01_Доходи'!AE877*Законод!$F$11+'01_Доходи'!AF877*Законод!$G$11,IF(B872="Лікар-педіатр",AB877*Законод!$C$11+'01_Доходи'!AC877*Законод!$D$11,IF(B872="Лікар-терапевт",'01_Доходи'!AD877*Законод!$E$11+'01_Доходи'!AE877*Законод!$F$11+'01_Доходи'!AF877*Законод!$G$11,0)))</f>
        <v>0</v>
      </c>
      <c r="AR877" s="211">
        <f t="shared" ref="AR877:AR883" si="94">SUM(AN877:AQ877)</f>
        <v>0</v>
      </c>
    </row>
    <row r="878" spans="1:44" s="50" customFormat="1" ht="31.9" hidden="1" customHeight="1">
      <c r="A878" s="197"/>
      <c r="B878" s="893"/>
      <c r="C878" s="896"/>
      <c r="D878" s="912"/>
      <c r="E878" s="909"/>
      <c r="F878" s="238" t="str">
        <f ca="1">IF(B872="Лікар-педіатр",Законод!$E$17,IF(B872="Лікар загальної практики - сімейний лікар",Законод!$E$21,IF(B872="Лікар-терапевт",Законод!$E$25,"х")))</f>
        <v>х</v>
      </c>
      <c r="G878" s="889" t="s">
        <v>346</v>
      </c>
      <c r="H878" s="890"/>
      <c r="I878" s="890"/>
      <c r="J878" s="890"/>
      <c r="K878" s="891"/>
      <c r="L878" s="196">
        <f ca="1">IF($B$872="Лікар загальної практики - сімейний лікар",IF(L876&lt;Законод!$C$22,0,(IF(AND(L876&gt;=Законод!$E$22,L876&lt;=Законод!$E$23),L876-Законод!$C$22,IF('01_Доходи'!L876&gt;=Законод!$F$22,Законод!$E$24,0)))),IF($B$872="Лікар-педіатр",IF(L876&lt;Законод!$C$18,0,(IF(AND(L876&gt;=Законод!$E$18,L876&lt;=Законод!$E$19),L876-Законод!$C$18,IF('01_Доходи'!L876&gt;=Законод!$F$18,Законод!$E$20,0)))),IF($B$872="Лікар-терапевт",IF(L876&lt;Законод!$C$26,0,(IF(AND(L876&gt;=Законод!$E$26,L876&lt;=Законод!$E$27),L876-Законод!$C$26,IF('01_Доходи'!L876&gt;=Законод!$F$26,Законод!$E$28,0)))),0)))</f>
        <v>0</v>
      </c>
      <c r="M878" s="930"/>
      <c r="N878" s="889" t="s">
        <v>346</v>
      </c>
      <c r="O878" s="890"/>
      <c r="P878" s="890"/>
      <c r="Q878" s="890"/>
      <c r="R878" s="891"/>
      <c r="S878" s="196">
        <f ca="1">IF($B$872="Лікар загальної практики - сімейний лікар",IF(S876&lt;Законод!$C$22,0,(IF(AND(S876&gt;=Законод!$E$22,S876&lt;=Законод!$E$23),S876-Законод!$C$22,IF('01_Доходи'!S876&gt;=Законод!$F$22,Законод!$E$24,0)))),IF($B$872="Лікар-педіатр",IF(S876&lt;Законод!$C$18,0,(IF(AND(S876&gt;=Законод!$E$18,S876&lt;=Законод!$E$19),S876-Законод!$C$18,IF('01_Доходи'!S876&gt;=Законод!$F$18,Законод!$E$20,0)))),IF($B$872="Лікар-терапевт",IF(S876&lt;Законод!$C$26,0,(IF(AND(S876&gt;=Законод!$E$26,S876&lt;=Законод!$E$27),S876-Законод!$C$26,IF('01_Доходи'!S876&gt;=Законод!$F$26,Законод!$E$28,0)))),0)))</f>
        <v>0</v>
      </c>
      <c r="T878" s="930"/>
      <c r="U878" s="889" t="s">
        <v>346</v>
      </c>
      <c r="V878" s="890"/>
      <c r="W878" s="890"/>
      <c r="X878" s="890"/>
      <c r="Y878" s="891"/>
      <c r="Z878" s="196">
        <f ca="1">IF($B$872="Лікар загальної практики - сімейний лікар",IF(Z876&lt;Законод!$C$22,0,(IF(AND(Z876&gt;=Законод!$E$22,Z876&lt;=Законод!$E$23),Z876-Законод!$C$22,IF('01_Доходи'!Z876&gt;=Законод!$F$22,Законод!$E$24,0)))),IF($B$872="Лікар-педіатр",IF(Z876&lt;Законод!$C$18,0,(IF(AND(Z876&gt;=Законод!$E$18,Z876&lt;=Законод!$E$19),Z876-Законод!$C$18,IF('01_Доходи'!Z876&gt;=Законод!$F$18,Законод!$E$20,0)))),IF($B$872="Лікар-терапевт",IF(Z876&lt;Законод!$C$26,0,(IF(AND(Z876&gt;=Законод!$E$26,Z876&lt;=Законод!$E$27),Z876-Законод!$C$26,IF('01_Доходи'!Z876&gt;=Законод!$F$26,Законод!$E$28,0)))),0)))</f>
        <v>0</v>
      </c>
      <c r="AA878" s="930"/>
      <c r="AB878" s="889" t="s">
        <v>346</v>
      </c>
      <c r="AC878" s="890"/>
      <c r="AD878" s="890"/>
      <c r="AE878" s="890"/>
      <c r="AF878" s="891"/>
      <c r="AG878" s="196">
        <f ca="1">IF($B$872="Лікар загальної практики - сімейний лікар",IF(AG876&lt;Законод!$C$22,0,(IF(AND(AG876&gt;=Законод!$E$22,AG876&lt;=Законод!$E$23),AG876-Законод!$C$22,IF('01_Доходи'!AG876&gt;=Законод!$F$22,Законод!$E$24,0)))),IF($B$872="Лікар-педіатр",IF(AG876&lt;Законод!$C$18,0,(IF(AND(AG876&gt;=Законод!$E$18,AG876&lt;=Законод!$E$19),AG876-Законод!$C$18,IF('01_Доходи'!AG876&gt;=Законод!$F$18,Законод!$E$20,0)))),IF($B$872="Лікар-терапевт",IF(AG876&lt;Законод!$C$26,0,(IF(AND(AG876&gt;=Законод!$E$26,AG876&lt;=Законод!$E$27),AG876-Законод!$C$26,IF('01_Доходи'!AG876&gt;=Законод!$F$26,Законод!$E$28,0)))),0)))</f>
        <v>0</v>
      </c>
      <c r="AH878" s="930"/>
      <c r="AI878" s="201"/>
      <c r="AJ878" s="933"/>
      <c r="AK878" s="927"/>
      <c r="AL878" s="927"/>
      <c r="AM878" s="898" t="s">
        <v>375</v>
      </c>
      <c r="AN878" s="210">
        <f ca="1">IF(B872="Лікар загальної практики - сімейний лікар",L878*Законод!$C$9/4*Законод!$E$16,IF(B872="Лікар-педіатр",L878*Законод!$C$9/4*Законод!$E$16,IF(B872="Лікар-терапевт",L878*Законод!$C$9/4*Законод!$E$16,0)))</f>
        <v>0</v>
      </c>
      <c r="AO878" s="210">
        <f ca="1">IF(B872="Лікар загальної практики - сімейний лікар",S878*Законод!$C$9/4*Законод!$E$16,IF(B872="Лікар-педіатр",S878*Законод!$C$9/4*Законод!$E$16,IF(B872="Лікар-терапевт",S878*Законод!$C$9/4*Законод!$E$16,0)))</f>
        <v>0</v>
      </c>
      <c r="AP878" s="210">
        <f ca="1">IF(B872="Лікар загальної практики - сімейний лікар",Z878*Законод!$C$9/4*Законод!$E$16,IF(B872="Лікар-педіатр",Z878*Законод!$C$9/4*Законод!$E$16,IF(B872="Лікар-терапевт",Z878*Законод!$C$9/4*Законод!$E$16,0)))</f>
        <v>0</v>
      </c>
      <c r="AQ878" s="210">
        <f ca="1">IF(B872="Лікар загальної практики - сімейний лікар",AG878*Законод!$C$9/4*Законод!$E$16,IF(B872="Лікар-педіатр",AG878*Законод!$C$9/4*Законод!$E$16,IF(B872="Лікар-терапевт",AG878*Законод!$C$9/4*Законод!$E$16,0)))</f>
        <v>0</v>
      </c>
      <c r="AR878" s="211">
        <f t="shared" si="94"/>
        <v>0</v>
      </c>
    </row>
    <row r="879" spans="1:44" s="50" customFormat="1" ht="31.9" hidden="1" customHeight="1">
      <c r="A879" s="197"/>
      <c r="B879" s="893"/>
      <c r="C879" s="896"/>
      <c r="D879" s="912"/>
      <c r="E879" s="909"/>
      <c r="F879" s="238" t="str">
        <f ca="1">IF(B872="Лікар-педіатр",Законод!$F$17,IF(B872="Лікар загальної практики - сімейний лікар",Законод!$F$21,IF(B872="Лікар-терапевт",Законод!$F$25,"х")))</f>
        <v>х</v>
      </c>
      <c r="G879" s="889" t="s">
        <v>346</v>
      </c>
      <c r="H879" s="890"/>
      <c r="I879" s="890"/>
      <c r="J879" s="890"/>
      <c r="K879" s="891"/>
      <c r="L879" s="196">
        <f ca="1">IF($B$872="Лікар загальної практики - сімейний лікар",IF(L876&lt;Законод!$C$22,0,(IF(AND(L876&gt;=Законод!$F$22,L876&lt;=Законод!$F$23),L876-Законод!$E$23,IF('01_Доходи'!L876&gt;=Законод!$G$22,Законод!$F$24,0)))),IF($B$872="Лікар-педіатр",IF(L876&lt;Законод!$C$18,0,(IF(AND(L876&gt;=Законод!$F$18,L876&lt;=Законод!$F$19),L876-Законод!$E$19,IF('01_Доходи'!L876&gt;=Законод!$G$18,Законод!$F$20,0)))),IF($B$872="Лікар-терапевт",IF(L876&lt;Законод!$C$26,0,(IF(AND(L876&gt;=Законод!$F$26,L876&lt;=Законод!$F$27),L876-Законод!$E$27,IF('01_Доходи'!L876&gt;=Законод!$G$26,Законод!$F$28,0)))),0)))</f>
        <v>0</v>
      </c>
      <c r="M879" s="930"/>
      <c r="N879" s="889" t="s">
        <v>346</v>
      </c>
      <c r="O879" s="890"/>
      <c r="P879" s="890"/>
      <c r="Q879" s="890"/>
      <c r="R879" s="891"/>
      <c r="S879" s="196">
        <f ca="1">IF($B$872="Лікар загальної практики - сімейний лікар",IF(S876&lt;Законод!$C$22,0,(IF(AND(S876&gt;=Законод!$F$22,S876&lt;=Законод!$F$23),S876-Законод!$E$23,IF('01_Доходи'!S876&gt;=Законод!$G$22,Законод!$F$24,0)))),IF($B$872="Лікар-педіатр",IF(S876&lt;Законод!$C$18,0,(IF(AND(S876&gt;=Законод!$F$18,S876&lt;=Законод!$F$19),S876-Законод!$E$19,IF('01_Доходи'!S876&gt;=Законод!$G$18,Законод!$F$20,0)))),IF($B$872="Лікар-терапевт",IF(S876&lt;Законод!$C$26,0,(IF(AND(S876&gt;=Законод!$F$26,S876&lt;=Законод!$F$27),S876-Законод!$E$27,IF('01_Доходи'!S876&gt;=Законод!$G$26,Законод!$F$28,0)))),0)))</f>
        <v>0</v>
      </c>
      <c r="T879" s="930"/>
      <c r="U879" s="889" t="s">
        <v>346</v>
      </c>
      <c r="V879" s="890"/>
      <c r="W879" s="890"/>
      <c r="X879" s="890"/>
      <c r="Y879" s="891"/>
      <c r="Z879" s="196">
        <f ca="1">IF($B$872="Лікар загальної практики - сімейний лікар",IF(Z876&lt;Законод!$C$22,0,(IF(AND(Z876&gt;=Законод!$F$22,Z876&lt;=Законод!$F$23),Z876-Законод!$E$23,IF('01_Доходи'!Z876&gt;=Законод!$G$22,Законод!$F$24,0)))),IF($B$872="Лікар-педіатр",IF(Z876&lt;Законод!$C$18,0,(IF(AND(Z876&gt;=Законод!$F$18,Z876&lt;=Законод!$F$19),Z876-Законод!$E$19,IF('01_Доходи'!Z876&gt;=Законод!$G$18,Законод!$F$20,0)))),IF($B$872="Лікар-терапевт",IF(Z876&lt;Законод!$C$26,0,(IF(AND(Z876&gt;=Законод!$F$26,Z876&lt;=Законод!$F$27),Z876-Законод!$E$27,IF('01_Доходи'!Z876&gt;=Законод!$G$26,Законод!$F$28,0)))),0)))</f>
        <v>0</v>
      </c>
      <c r="AA879" s="930"/>
      <c r="AB879" s="889" t="s">
        <v>346</v>
      </c>
      <c r="AC879" s="890"/>
      <c r="AD879" s="890"/>
      <c r="AE879" s="890"/>
      <c r="AF879" s="891"/>
      <c r="AG879" s="196">
        <f ca="1">IF($B$872="Лікар загальної практики - сімейний лікар",IF(AG876&lt;Законод!$C$22,0,(IF(AND(AG876&gt;=Законод!$F$22,AG876&lt;=Законод!$F$23),AG876-Законод!$E$23,IF('01_Доходи'!AG876&gt;=Законод!$G$22,Законод!$F$24,0)))),IF($B$872="Лікар-педіатр",IF(AG876&lt;Законод!$C$18,0,(IF(AND(AG876&gt;=Законод!$F$18,AG876&lt;=Законод!$F$19),AG876-Законод!$E$19,IF('01_Доходи'!AG876&gt;=Законод!$G$18,Законод!$F$20,0)))),IF($B$872="Лікар-терапевт",IF(AG876&lt;Законод!$C$26,0,(IF(AND(AG876&gt;=Законод!$F$26,AG876&lt;=Законод!$F$27),AG876-Законод!$E$27,IF('01_Доходи'!AG876&gt;=Законод!$G$26,Законод!$F$28,0)))),0)))</f>
        <v>0</v>
      </c>
      <c r="AH879" s="930"/>
      <c r="AI879" s="201"/>
      <c r="AJ879" s="933"/>
      <c r="AK879" s="927"/>
      <c r="AL879" s="927"/>
      <c r="AM879" s="899"/>
      <c r="AN879" s="210">
        <f ca="1">IF(B872="Лікар загальної практики - сімейний лікар",L879*Законод!$C$9/4*Законод!$F$16,IF(B872="Лікар-педіатр",L879*Законод!$C$9/4*Законод!$F$16,IF(B872="Лікар-терапевт",L879*Законод!$C$9/4*Законод!$F$16,0)))</f>
        <v>0</v>
      </c>
      <c r="AO879" s="210">
        <f ca="1">IF(B872="Лікар загальної практики - сімейний лікар",S879*Законод!$C$9/4*Законод!$F$16,IF(B872="Лікар-педіатр",S879*Законод!$C$9/4*Законод!$F$16,IF(B872="Лікар-терапевт",S879*Законод!$C$9/4*Законод!$F$16,0)))</f>
        <v>0</v>
      </c>
      <c r="AP879" s="210">
        <f ca="1">IF(B872="Лікар загальної практики - сімейний лікар",Z879*Законод!$C$9/4*Законод!$F$16,IF(B872="Лікар-педіатр",Z879*Законод!$C$9/4*Законод!$F$16,IF(B872="Лікар-терапевт",Z879*Законод!$C$9/4*Законод!$F$16,0)))</f>
        <v>0</v>
      </c>
      <c r="AQ879" s="210">
        <f ca="1">IF(B872="Лікар загальної практики - сімейний лікар",AG879*Законод!$C$9/4*Законод!$F$16,IF(B872="Лікар-педіатр",AG879*Законод!$C$9/4*Законод!$F$16,IF(B872="Лікар-терапевт",AG879*Законод!$C$9/4*Законод!$F$16,0)))</f>
        <v>0</v>
      </c>
      <c r="AR879" s="211">
        <f t="shared" si="94"/>
        <v>0</v>
      </c>
    </row>
    <row r="880" spans="1:44" s="50" customFormat="1" ht="31.9" hidden="1" customHeight="1">
      <c r="A880" s="197"/>
      <c r="B880" s="893"/>
      <c r="C880" s="896"/>
      <c r="D880" s="912"/>
      <c r="E880" s="909"/>
      <c r="F880" s="238" t="str">
        <f ca="1">IF(B872="Лікар-педіатр",Законод!$G$17,IF(B872="Лікар загальної практики - сімейний лікар",Законод!$G$21,IF(B872="Лікар-терапевт",Законод!$G$25,"х")))</f>
        <v>х</v>
      </c>
      <c r="G880" s="889" t="s">
        <v>346</v>
      </c>
      <c r="H880" s="890"/>
      <c r="I880" s="890"/>
      <c r="J880" s="890"/>
      <c r="K880" s="891"/>
      <c r="L880" s="196">
        <f ca="1">IF($B$872="Лікар загальної практики - сімейний лікар",IF(L876&lt;Законод!$C$22,0,(IF(AND(L876&gt;=Законод!$G$22,L876&lt;=Законод!$G$23),L876-Законод!$F$23,IF('01_Доходи'!L876&gt;=Законод!$H$22,Законод!$G$24,0)))),IF($B$872="Лікар-педіатр",IF(L876&lt;Законод!$C$18,0,(IF(AND(L876&gt;=Законод!$G$18,L876&lt;=Законод!$G$19),L876-Законод!$F$19,IF('01_Доходи'!L876&gt;=Законод!$H$18,Законод!$G$20,0)))),IF($B$872="Лікар-терапевт",IF(L876&lt;Законод!$C$26,0,(IF(AND(L876&gt;=Законод!$G$26,L876&lt;=Законод!$G$27),L876-Законод!$F$27,IF('01_Доходи'!L876&gt;=Законод!$H$26,Законод!$G$28,0)))),0)))</f>
        <v>0</v>
      </c>
      <c r="M880" s="930"/>
      <c r="N880" s="889" t="s">
        <v>346</v>
      </c>
      <c r="O880" s="890"/>
      <c r="P880" s="890"/>
      <c r="Q880" s="890"/>
      <c r="R880" s="891"/>
      <c r="S880" s="196">
        <f ca="1">IF($B$872="Лікар загальної практики - сімейний лікар",IF(S876&lt;Законод!$C$22,0,(IF(AND(S876&gt;=Законод!$G$22,S876&lt;=Законод!$G$23),S876-Законод!$F$23,IF('01_Доходи'!S876&gt;=Законод!$H$22,Законод!$G$24,0)))),IF($B$872="Лікар-педіатр",IF(S876&lt;Законод!$C$18,0,(IF(AND(S876&gt;=Законод!$G$18,S876&lt;=Законод!$G$19),S876-Законод!$F$19,IF('01_Доходи'!S876&gt;=Законод!$H$18,Законод!$G$20,0)))),IF($B$872="Лікар-терапевт",IF(S876&lt;Законод!$C$26,0,(IF(AND(S876&gt;=Законод!$G$26,S876&lt;=Законод!$G$27),S876-Законод!$F$27,IF('01_Доходи'!S876&gt;=Законод!$H$26,Законод!$G$28,0)))),0)))</f>
        <v>0</v>
      </c>
      <c r="T880" s="930"/>
      <c r="U880" s="889" t="s">
        <v>346</v>
      </c>
      <c r="V880" s="890"/>
      <c r="W880" s="890"/>
      <c r="X880" s="890"/>
      <c r="Y880" s="891"/>
      <c r="Z880" s="196">
        <f ca="1">IF($B$872="Лікар загальної практики - сімейний лікар",IF(Z876&lt;Законод!$C$22,0,(IF(AND(Z876&gt;=Законод!$G$22,Z876&lt;=Законод!$G$23),Z876-Законод!$F$23,IF('01_Доходи'!Z876&gt;=Законод!$H$22,Законод!$G$24,0)))),IF($B$872="Лікар-педіатр",IF(Z876&lt;Законод!$C$18,0,(IF(AND(Z876&gt;=Законод!$G$18,Z876&lt;=Законод!$G$19),Z876-Законод!$F$19,IF('01_Доходи'!Z876&gt;=Законод!$H$18,Законод!$G$20,0)))),IF($B$872="Лікар-терапевт",IF(Z876&lt;Законод!$C$26,0,(IF(AND(Z876&gt;=Законод!$G$26,Z876&lt;=Законод!$G$27),Z876-Законод!$F$27,IF('01_Доходи'!Z876&gt;=Законод!$H$26,Законод!$G$28,0)))),0)))</f>
        <v>0</v>
      </c>
      <c r="AA880" s="930"/>
      <c r="AB880" s="889" t="s">
        <v>346</v>
      </c>
      <c r="AC880" s="890"/>
      <c r="AD880" s="890"/>
      <c r="AE880" s="890"/>
      <c r="AF880" s="891"/>
      <c r="AG880" s="196">
        <f ca="1">IF($B$872="Лікар загальної практики - сімейний лікар",IF(AG876&lt;Законод!$C$22,0,(IF(AND(AG876&gt;=Законод!$G$22,AG876&lt;=Законод!$G$23),AG876-Законод!$F$23,IF('01_Доходи'!AG876&gt;=Законод!$H$22,Законод!$G$24,0)))),IF($B$872="Лікар-педіатр",IF(AG876&lt;Законод!$C$18,0,(IF(AND(AG876&gt;=Законод!$G$18,AG876&lt;=Законод!$G$19),AG876-Законод!$F$19,IF('01_Доходи'!AG876&gt;=Законод!$H$18,Законод!$G$20,0)))),IF($B$872="Лікар-терапевт",IF(AG876&lt;Законод!$C$26,0,(IF(AND(AG876&gt;=Законод!$G$26,AG876&lt;=Законод!$G$27),AG876-Законод!$F$27,IF('01_Доходи'!AG876&gt;=Законод!$H$26,Законод!$G$28,0)))),0)))</f>
        <v>0</v>
      </c>
      <c r="AH880" s="930"/>
      <c r="AI880" s="201"/>
      <c r="AJ880" s="933"/>
      <c r="AK880" s="927"/>
      <c r="AL880" s="927"/>
      <c r="AM880" s="899"/>
      <c r="AN880" s="210">
        <f ca="1">IF(B872="Лікар загальної практики - сімейний лікар",L880*Законод!$C$9/4*Законод!$G$16,IF(B872="Лікар-педіатр",L880*Законод!$C$9/4*Законод!$G$16,IF(B872="Лікар-терапевт",L880*Законод!$C$9/4*Законод!$G$16,0)))</f>
        <v>0</v>
      </c>
      <c r="AO880" s="210">
        <f ca="1">IF(B872="Лікар загальної практики - сімейний лікар",S880*Законод!$C$9/4*Законод!$G$16,IF(B872="Лікар-педіатр",S880*Законод!$C$9/4*Законод!$G$16,IF(B872="Лікар-терапевт",S880*Законод!$C$9/4*Законод!$G$16,0)))</f>
        <v>0</v>
      </c>
      <c r="AP880" s="210">
        <f ca="1">IF(B872="Лікар загальної практики - сімейний лікар",Z880*Законод!$C$9/4*Законод!$G$16,IF(B872="Лікар-педіатр",Z880*Законод!$C$9/4*Законод!$G$16,IF(B872="Лікар-терапевт",Z880*Законод!$C$9/4*Законод!$G$16,0)))</f>
        <v>0</v>
      </c>
      <c r="AQ880" s="210">
        <f ca="1">IF(B872="Лікар загальної практики - сімейний лікар",AG880*Законод!$C$9/4*Законод!$G$16,IF(B872="Лікар-педіатр",AG880*Законод!$C$9/4*Законод!$G$16,IF(B872="Лікар-терапевт",AG880*Законод!$C$9/4*Законод!$G$16,0)))</f>
        <v>0</v>
      </c>
      <c r="AR880" s="211">
        <f t="shared" si="94"/>
        <v>0</v>
      </c>
    </row>
    <row r="881" spans="1:44" s="50" customFormat="1" ht="31.9" hidden="1" customHeight="1">
      <c r="A881" s="197"/>
      <c r="B881" s="893"/>
      <c r="C881" s="896"/>
      <c r="D881" s="912"/>
      <c r="E881" s="909"/>
      <c r="F881" s="238" t="str">
        <f ca="1">IF(B872="Лікар-педіатр",Законод!$H$17,IF(B872="Лікар загальної практики - сімейний лікар",Законод!$H$21,IF(B872="Лікар-терапевт",Законод!$H$25,"х")))</f>
        <v>х</v>
      </c>
      <c r="G881" s="889" t="s">
        <v>346</v>
      </c>
      <c r="H881" s="890"/>
      <c r="I881" s="890"/>
      <c r="J881" s="890"/>
      <c r="K881" s="891"/>
      <c r="L881" s="196">
        <f ca="1">IF($B$872="Лікар загальної практики - сімейний лікар",IF(L876&lt;Законод!$C$22,0,(IF(AND(L876&gt;=Законод!$H$22,L876&lt;=Законод!$H$23),L876-Законод!$G$23,IF('01_Доходи'!L876&gt;=Законод!$I$22,Законод!$H$24,0)))),IF($B$872="Лікар-педіатр",IF(L876&lt;Законод!$C$18,0,(IF(AND(L876&gt;=Законод!$H$18,L876&lt;=Законод!$H$19),L876-Законод!$G$19,IF('01_Доходи'!L876&gt;=Законод!$I$18,Законод!$H$20,0)))),IF($B$872="Лікар-терапевт",IF(L876&lt;Законод!$C$26,0,(IF(AND(L876&gt;=Законод!$H$26,L876&lt;=Законод!$H$27),L876-Законод!$G$27,IF(L876&gt;=Законод!$I$26,Законод!$H$28,0)))),0)))</f>
        <v>0</v>
      </c>
      <c r="M881" s="930"/>
      <c r="N881" s="889" t="s">
        <v>346</v>
      </c>
      <c r="O881" s="890"/>
      <c r="P881" s="890"/>
      <c r="Q881" s="890"/>
      <c r="R881" s="891"/>
      <c r="S881" s="196">
        <f ca="1">IF($B$872="Лікар загальної практики - сімейний лікар",IF(S876&lt;Законод!$C$22,0,(IF(AND(S876&gt;=Законод!$H$22,S876&lt;=Законод!$H$23),S876-Законод!$G$23,IF('01_Доходи'!S876&gt;=Законод!$I$22,Законод!$H$24,0)))),IF($B$872="Лікар-педіатр",IF(S876&lt;Законод!$C$18,0,(IF(AND(S876&gt;=Законод!$H$18,S876&lt;=Законод!$H$19),S876-Законод!$G$19,IF('01_Доходи'!S876&gt;=Законод!$I$18,Законод!$H$20,0)))),IF($B$872="Лікар-терапевт",IF(S876&lt;Законод!$C$26,0,(IF(AND(S876&gt;=Законод!$H$26,S876&lt;=Законод!$H$27),S876-Законод!$G$27,IF(S876&gt;=Законод!$I$26,Законод!$H$28,0)))),0)))</f>
        <v>0</v>
      </c>
      <c r="T881" s="930"/>
      <c r="U881" s="889" t="s">
        <v>346</v>
      </c>
      <c r="V881" s="890"/>
      <c r="W881" s="890"/>
      <c r="X881" s="890"/>
      <c r="Y881" s="891"/>
      <c r="Z881" s="196">
        <f ca="1">IF($B$872="Лікар загальної практики - сімейний лікар",IF(Z876&lt;Законод!$C$22,0,(IF(AND(Z876&gt;=Законод!$H$22,Z876&lt;=Законод!$H$23),Z876-Законод!$G$23,IF('01_Доходи'!Z876&gt;=Законод!$I$22,Законод!$H$24,0)))),IF($B$872="Лікар-педіатр",IF(Z876&lt;Законод!$C$18,0,(IF(AND(Z876&gt;=Законод!$H$18,Z876&lt;=Законод!$H$19),Z876-Законод!$G$19,IF('01_Доходи'!Z876&gt;=Законод!$I$18,Законод!$H$20,0)))),IF($B$872="Лікар-терапевт",IF(Z876&lt;Законод!$C$26,0,(IF(AND(Z876&gt;=Законод!$H$26,Z876&lt;=Законод!$H$27),Z876-Законод!$G$27,IF(Z876&gt;=Законод!$I$26,Законод!$H$28,0)))),0)))</f>
        <v>0</v>
      </c>
      <c r="AA881" s="930"/>
      <c r="AB881" s="889" t="s">
        <v>346</v>
      </c>
      <c r="AC881" s="890"/>
      <c r="AD881" s="890"/>
      <c r="AE881" s="890"/>
      <c r="AF881" s="891"/>
      <c r="AG881" s="196">
        <f ca="1">IF($B$872="Лікар загальної практики - сімейний лікар",IF(AG876&lt;Законод!$C$22,0,(IF(AND(AG876&gt;=Законод!$H$22,AG876&lt;=Законод!$H$23),AG876-Законод!$G$23,IF('01_Доходи'!AG876&gt;=Законод!$I$22,Законод!$H$24,0)))),IF($B$872="Лікар-педіатр",IF(AG876&lt;Законод!$C$18,0,(IF(AND(AG876&gt;=Законод!$H$18,AG876&lt;=Законод!$H$19),AG876-Законод!$G$19,IF('01_Доходи'!AG876&gt;=Законод!$I$18,Законод!$H$20,0)))),IF($B$872="Лікар-терапевт",IF(AG876&lt;Законод!$C$26,0,(IF(AND(AG876&gt;=Законод!$H$26,AG876&lt;=Законод!$H$27),AG876-Законод!$G$27,IF(AG876&gt;=Законод!$I$26,Законод!$H$28,0)))),0)))</f>
        <v>0</v>
      </c>
      <c r="AH881" s="930"/>
      <c r="AI881" s="201"/>
      <c r="AJ881" s="933"/>
      <c r="AK881" s="927"/>
      <c r="AL881" s="927"/>
      <c r="AM881" s="899"/>
      <c r="AN881" s="210">
        <f ca="1">IF(B872="Лікар загальної практики - сімейний лікар",L881*Законод!$C$9/4*Законод!$H$16,IF(B872="Лікар-педіатр",L881*Законод!$C$9/4*Законод!$H$16,IF(B872="Лікар-терапевт",L881*Законод!$C$9/4*Законод!$H$16,0)))</f>
        <v>0</v>
      </c>
      <c r="AO881" s="210">
        <f ca="1">IF(B872="Лікар загальної практики - сімейний лікар",S881*Законод!$C$9/4*Законод!$H$16,IF(B872="Лікар-педіатр",S881*Законод!$C$9/4*Законод!$H$16,IF(B872="Лікар-терапевт",S881*Законод!$C$9/4*Законод!$H$16,0)))</f>
        <v>0</v>
      </c>
      <c r="AP881" s="210">
        <f ca="1">IF(B872="Лікар загальної практики - сімейний лікар",Z881*Законод!$C$9/4*Законод!$H$16,IF(B872="Лікар-педіатр",Z881*Законод!$C$9/4*Законод!$H$16,IF(B872="Лікар-терапевт",Z881*Законод!$C$9/4*Законод!$H$16,0)))</f>
        <v>0</v>
      </c>
      <c r="AQ881" s="210">
        <f ca="1">IF(B872="Лікар загальної практики - сімейний лікар",AG881*Законод!$C$9/4*Законод!$H$16,IF(B872="Лікар-педіатр",AG881*Законод!$C$9/4*Законод!$H$16,IF(B872="Лікар-терапевт",AG881*Законод!$C$9/4*Законод!$H$16,0)))</f>
        <v>0</v>
      </c>
      <c r="AR881" s="211">
        <f t="shared" si="94"/>
        <v>0</v>
      </c>
    </row>
    <row r="882" spans="1:44" s="50" customFormat="1" ht="31.9" hidden="1" customHeight="1">
      <c r="A882" s="197"/>
      <c r="B882" s="893"/>
      <c r="C882" s="896"/>
      <c r="D882" s="912"/>
      <c r="E882" s="909"/>
      <c r="F882" s="238" t="str">
        <f ca="1">IF(B872="Лікар-педіатр",Законод!$I$17,IF(B872="Лікар загальної практики - сімейний лікар",Законод!$I$21,IF(B872="Лікар-терапевт",Законод!$I$25,"х")))</f>
        <v>х</v>
      </c>
      <c r="G882" s="889" t="s">
        <v>346</v>
      </c>
      <c r="H882" s="890"/>
      <c r="I882" s="890"/>
      <c r="J882" s="890"/>
      <c r="K882" s="891"/>
      <c r="L882" s="196">
        <f ca="1">IF($B$872="Лікар загальної практики - сімейний лікар",IF(L876&lt;Законод!$C$22,0,(IF(AND(L876&gt;=Законод!$I$22,L876&lt;=Законод!$I$23),L876-Законод!$H$23,IF('01_Доходи'!L876&gt;=Законод!$I$22,Законод!$I$24,0)))),IF($B$872="Лікар-педіатр",IF(L876&lt;Законод!$C$18,0,(IF(AND(L876&gt;=Законод!$I$18,L876&lt;=Законод!$I$19),L876-Законод!$H$19,IF('01_Доходи'!L876&gt;=Законод!$I$18,Законод!$H$20,0)))),IF($B$872="Лікар-терапевт",IF(L876&lt;Законод!$C$26,0,(IF(AND(L876&gt;=Законод!$I$26,L876&lt;=Законод!$I$27),L876-Законод!$H$27,IF('01_Доходи'!L876&gt;=Законод!$I$26,Законод!$H$28,0)))),0)))</f>
        <v>0</v>
      </c>
      <c r="M882" s="930"/>
      <c r="N882" s="889" t="s">
        <v>346</v>
      </c>
      <c r="O882" s="890"/>
      <c r="P882" s="890"/>
      <c r="Q882" s="890"/>
      <c r="R882" s="891"/>
      <c r="S882" s="196">
        <f ca="1">IF($B$872="Лікар загальної практики - сімейний лікар",IF(S876&lt;Законод!$C$22,0,(IF(AND(S876&gt;=Законод!$I$22,S876&lt;=Законод!$I$23),S876-Законод!$H$23,IF('01_Доходи'!S876&gt;=Законод!$I$22,Законод!$I$24,0)))),IF($B$872="Лікар-педіатр",IF(S876&lt;Законод!$C$18,0,(IF(AND(S876&gt;=Законод!$I$18,S876&lt;=Законод!$I$19),S876-Законод!$H$19,IF('01_Доходи'!S876&gt;=Законод!$I$18,Законод!$H$20,0)))),IF($B$872="Лікар-терапевт",IF(S876&lt;Законод!$C$26,0,(IF(AND(S876&gt;=Законод!$I$26,S876&lt;=Законод!$I$27),S876-Законод!$H$27,IF('01_Доходи'!S876&gt;=Законод!$I$26,Законод!$H$28,0)))),0)))</f>
        <v>0</v>
      </c>
      <c r="T882" s="930"/>
      <c r="U882" s="889" t="s">
        <v>346</v>
      </c>
      <c r="V882" s="890"/>
      <c r="W882" s="890"/>
      <c r="X882" s="890"/>
      <c r="Y882" s="891"/>
      <c r="Z882" s="196">
        <f ca="1">IF($B$872="Лікар загальної практики - сімейний лікар",IF(Z876&lt;Законод!$C$22,0,(IF(AND(Z876&gt;=Законод!$I$22,Z876&lt;=Законод!$I$23),Z876-Законод!$H$23,IF('01_Доходи'!Z876&gt;=Законод!$I$22,Законод!$I$24,0)))),IF($B$872="Лікар-педіатр",IF(Z876&lt;Законод!$C$18,0,(IF(AND(Z876&gt;=Законод!$I$18,Z876&lt;=Законод!$I$19),Z876-Законод!$H$19,IF('01_Доходи'!Z876&gt;=Законод!$I$18,Законод!$H$20,0)))),IF($B$872="Лікар-терапевт",IF(Z876&lt;Законод!$C$26,0,(IF(AND(Z876&gt;=Законод!$I$26,Z876&lt;=Законод!$I$27),Z876-Законод!$H$27,IF('01_Доходи'!Z876&gt;=Законод!$I$26,Законод!$H$28,0)))),0)))</f>
        <v>0</v>
      </c>
      <c r="AA882" s="930"/>
      <c r="AB882" s="889" t="s">
        <v>346</v>
      </c>
      <c r="AC882" s="890"/>
      <c r="AD882" s="890"/>
      <c r="AE882" s="890"/>
      <c r="AF882" s="891"/>
      <c r="AG882" s="196">
        <f ca="1">IF($B$872="Лікар загальної практики - сімейний лікар",IF(AG876&lt;Законод!$C$22,0,(IF(AND(AG876&gt;=Законод!$I$22,AG876&lt;=Законод!$I$23),AG876-Законод!$H$23,IF('01_Доходи'!AG876&gt;=Законод!$I$22,Законод!$I$24,0)))),IF($B$872="Лікар-педіатр",IF(AG876&lt;Законод!$C$18,0,(IF(AND(AG876&gt;=Законод!$I$18,AG876&lt;=Законод!$I$19),AG876-Законод!$H$19,IF('01_Доходи'!AG876&gt;=Законод!$I$18,Законод!$H$20,0)))),IF($B$872="Лікар-терапевт",IF(AG876&lt;Законод!$C$26,0,(IF(AND(AG876&gt;=Законод!$I$26,AG876&lt;=Законод!$I$27),AG876-Законод!$H$27,IF('01_Доходи'!AG876&gt;=Законод!$I$26,Законод!$H$28,0)))),0)))</f>
        <v>0</v>
      </c>
      <c r="AH882" s="930"/>
      <c r="AI882" s="201"/>
      <c r="AJ882" s="933"/>
      <c r="AK882" s="927"/>
      <c r="AL882" s="927"/>
      <c r="AM882" s="899"/>
      <c r="AN882" s="210">
        <f ca="1">IF(B872="Лікар загальної практики - сімейний лікар",L882*Законод!$C$9/4*Законод!$I$16,IF(B872="Лікар-педіатр",L882*Законод!$C$9/4*Законод!$I$16,IF(B872="Лікар-терапевт",L882*Законод!$C$9/4*Законод!$I$16,0)))</f>
        <v>0</v>
      </c>
      <c r="AO882" s="210">
        <f ca="1">IF(B872="Лікар загальної практики - сімейний лікар",S882*Законод!$C$9/4*Законод!$I$16,IF(B872="Лікар-педіатр",S882*Законод!$C$9/4*Законод!$I$16,IF(B872="Лікар-терапевт",S882*Законод!$C$9/4*Законод!$I$16,0)))</f>
        <v>0</v>
      </c>
      <c r="AP882" s="210">
        <f ca="1">IF(B872="Лікар загальної практики - сімейний лікар",Z882*Законод!$C$9/4*Законод!$I$16,IF(B872="Лікар-педіатр",Z882*Законод!$C$9/4*Законод!$I$16,IF(B872="Лікар-терапевт",Z882*Законод!$C$9/4*Законод!$I$16,0)))</f>
        <v>0</v>
      </c>
      <c r="AQ882" s="210">
        <f ca="1">IF(B872="Лікар загальної практики - сімейний лікар",AG882*Законод!$C$9/4*Законод!$I$16,IF(B872="Лікар-педіатр",AG882*Законод!$C$9/4*Законод!$I$16,IF(B872="Лікар-терапевт",AG882*Законод!$C$9/4*Законод!$I$16,0)))</f>
        <v>0</v>
      </c>
      <c r="AR882" s="211">
        <f t="shared" si="94"/>
        <v>0</v>
      </c>
    </row>
    <row r="883" spans="1:44" s="218" customFormat="1" ht="31.9" hidden="1" customHeight="1" thickBot="1">
      <c r="A883" s="213"/>
      <c r="B883" s="894"/>
      <c r="C883" s="897"/>
      <c r="D883" s="913"/>
      <c r="E883" s="910"/>
      <c r="F883" s="239" t="str">
        <f ca="1">IF(B872="Лікар-педіатр",Законод!$J$17,IF(B872="Лікар загальної практики - сімейний лікар",Законод!$J$21,IF(B872="Лікар-терапевт",Законод!$J$25,"х")))</f>
        <v>х</v>
      </c>
      <c r="G883" s="935" t="s">
        <v>346</v>
      </c>
      <c r="H883" s="936"/>
      <c r="I883" s="936"/>
      <c r="J883" s="936"/>
      <c r="K883" s="937"/>
      <c r="L883" s="196">
        <f ca="1">IF($B$872="Лікар загальної практики - сімейний лікар",IF(L876&gt;=Законод!$J$22,'01_Доходи'!L876-('01_Доходи'!L877+'01_Доходи'!L878+'01_Доходи'!L879+'01_Доходи'!L880+'01_Доходи'!L881+'01_Доходи'!L882),0),IF($B$872="Лікар-педіатр",IF(L876&gt;=Законод!$J$18,'01_Доходи'!L876-('01_Доходи'!L877+'01_Доходи'!L878+'01_Доходи'!L879+'01_Доходи'!L880+'01_Доходи'!L881+'01_Доходи'!L882),0),IF($B$872="Лікар-терапевт",IF('01_Доходи'!L876&gt;=Законод!$J$26,L876-Законод!$I$27,0),0)))</f>
        <v>0</v>
      </c>
      <c r="M883" s="931"/>
      <c r="N883" s="935" t="s">
        <v>346</v>
      </c>
      <c r="O883" s="936"/>
      <c r="P883" s="936"/>
      <c r="Q883" s="936"/>
      <c r="R883" s="937"/>
      <c r="S883" s="196">
        <f ca="1">IF($B$872="Лікар загальної практики - сімейний лікар",IF(S876&gt;=Законод!$J$22,'01_Доходи'!S876-('01_Доходи'!S877+'01_Доходи'!S878+'01_Доходи'!S879+'01_Доходи'!S880+'01_Доходи'!S881+'01_Доходи'!S882),0),IF($B$872="Лікар-педіатр",IF(S876&gt;=Законод!$J$18,'01_Доходи'!S876-('01_Доходи'!S877+'01_Доходи'!S878+'01_Доходи'!S879+'01_Доходи'!S880+'01_Доходи'!S881+'01_Доходи'!S882),0),IF($B$872="Лікар-терапевт",IF('01_Доходи'!S876&gt;=Законод!$J$26,S876-Законод!$I$27,0),0)))</f>
        <v>0</v>
      </c>
      <c r="T883" s="931"/>
      <c r="U883" s="935" t="s">
        <v>346</v>
      </c>
      <c r="V883" s="936"/>
      <c r="W883" s="936"/>
      <c r="X883" s="936"/>
      <c r="Y883" s="937"/>
      <c r="Z883" s="196">
        <f ca="1">IF($B$872="Лікар загальної практики - сімейний лікар",IF(Z876&gt;=Законод!$J$22,'01_Доходи'!Z876-('01_Доходи'!Z877+'01_Доходи'!Z878+'01_Доходи'!Z879+'01_Доходи'!Z880+'01_Доходи'!Z881+'01_Доходи'!Z882),0),IF($B$872="Лікар-педіатр",IF(Z876&gt;=Законод!$J$18,'01_Доходи'!Z876-('01_Доходи'!Z877+'01_Доходи'!Z878+'01_Доходи'!Z879+'01_Доходи'!Z880+'01_Доходи'!Z881+'01_Доходи'!Z882),0),IF($B$872="Лікар-терапевт",IF('01_Доходи'!Z876&gt;=Законод!$J$26,Z876-Законод!$I$27,0),0)))</f>
        <v>0</v>
      </c>
      <c r="AA883" s="931"/>
      <c r="AB883" s="935" t="s">
        <v>346</v>
      </c>
      <c r="AC883" s="936"/>
      <c r="AD883" s="936"/>
      <c r="AE883" s="936"/>
      <c r="AF883" s="937"/>
      <c r="AG883" s="196">
        <f ca="1">IF($B$872="Лікар загальної практики - сімейний лікар",IF(AG876&gt;=Законод!$J$22,'01_Доходи'!AG876-('01_Доходи'!AG877+'01_Доходи'!AG878+'01_Доходи'!AG879+'01_Доходи'!AG880+'01_Доходи'!AG881+'01_Доходи'!AG882),0),IF($B$872="Лікар-педіатр",IF(AG876&gt;=Законод!$J$18,'01_Доходи'!AG876-('01_Доходи'!AG877+'01_Доходи'!AG878+'01_Доходи'!AG879+'01_Доходи'!AG880+'01_Доходи'!AG881+'01_Доходи'!AG882),0),IF($B$872="Лікар-терапевт",IF('01_Доходи'!AG876&gt;=Законод!$J$26,AG876-Законод!$I$27,0),0)))</f>
        <v>0</v>
      </c>
      <c r="AH883" s="931"/>
      <c r="AI883" s="215"/>
      <c r="AJ883" s="934"/>
      <c r="AK883" s="928"/>
      <c r="AL883" s="928"/>
      <c r="AM883" s="900"/>
      <c r="AN883" s="216">
        <f ca="1">IF(B872="Лікар загальної практики - сімейний лікар",L883*Законод!$C$9/4*Законод!$J$16,IF(B872="Лікар-педіатр",L883*Законод!$C$9/4*Законод!$J$16,IF(B872="Лікар-терапевт",L883*Законод!$C$9/4*Законод!$J$16,0)))</f>
        <v>0</v>
      </c>
      <c r="AO883" s="216">
        <f ca="1">IF(B872="Лікар загальної практики - сімейний лікар",S883*Законод!$C$9/4*Законод!$J$16,IF(B872="Лікар-педіатр",S883*Законод!$C$9/4*Законод!$J$16,IF(B872="Лікар-терапевт",S883*Законод!$C$9/4*Законод!$J$16,0)))</f>
        <v>0</v>
      </c>
      <c r="AP883" s="216">
        <f ca="1">IF(B872="Лікар загальної практики - сімейний лікар",S883*Законод!$C$9/4*Законод!$J$16,IF(B872="Лікар-педіатр",S883*Законод!$C$9/4*Законод!$J$16,IF(B872="Лікар-терапевт",S883*Законод!$C$9/4*Законод!$J$16,0)))</f>
        <v>0</v>
      </c>
      <c r="AQ883" s="216">
        <f ca="1">IF(B872="Лікар загальної практики - сімейний лікар",AG883*Законод!$C$9/4*Законод!$J$16,IF(B872="Лікар-педіатр",AG883*Законод!$C$9/4*Законод!$J$16,IF(B872="Лікар-терапевт",AG883*Законод!$C$9/4*Законод!$J$16,0)))</f>
        <v>0</v>
      </c>
      <c r="AR883" s="217">
        <f t="shared" si="94"/>
        <v>0</v>
      </c>
    </row>
    <row r="884" spans="1:44" s="247" customFormat="1" ht="23.45" hidden="1" customHeight="1" thickBot="1">
      <c r="A884" s="243"/>
      <c r="B884" s="244"/>
      <c r="C884" s="244"/>
      <c r="D884" s="244"/>
      <c r="E884" s="244"/>
      <c r="F884" s="245"/>
      <c r="G884" s="246"/>
      <c r="H884" s="246"/>
      <c r="L884" s="248"/>
      <c r="S884" s="248"/>
      <c r="Z884" s="248"/>
      <c r="AG884" s="248"/>
      <c r="AM884" s="249"/>
      <c r="AR884" s="250"/>
    </row>
    <row r="885" spans="1:44" s="191" customFormat="1" ht="24.6" hidden="1" customHeight="1">
      <c r="A885" s="194">
        <f>A872+1</f>
        <v>66</v>
      </c>
      <c r="B885" s="892"/>
      <c r="C885" s="895"/>
      <c r="D885" s="911"/>
      <c r="E885" s="908"/>
      <c r="F885" s="234" t="s">
        <v>582</v>
      </c>
      <c r="G885" s="196">
        <f>IF($B$885="Лікар-педіатр",G888*L885,IF($B$885="Лікар-терапевт","х",IF($B$885="Лікар загальної практики - сімейний лікар",G888*L885,0)))</f>
        <v>0</v>
      </c>
      <c r="H885" s="196">
        <f>IF($B$885="Лікар-педіатр",H888*L885,IF($B$885="Лікар-терапевт","х",IF($B$885="Лікар загальної практики - сімейний лікар",H888*L885,0)))</f>
        <v>0</v>
      </c>
      <c r="I885" s="196">
        <f>IF($B$885="Лікар-педіатр","x",IF($B$885="Лікар-терапевт",I888*L885,IF($B$885="Лікар загальної практики - сімейний лікар",I888*L885,0)))</f>
        <v>0</v>
      </c>
      <c r="J885" s="196">
        <f>IF($B$885="Лікар-педіатр","x",IF($B$885="Лікар-терапевт",J888*L885,IF($B$885="Лікар загальної практики - сімейний лікар",J888*L885,0)))</f>
        <v>0</v>
      </c>
      <c r="K885" s="196">
        <f>IF($B$885="Лікар-педіатр","x",IF($B$885="Лікар-терапевт",K888*L885,IF($B$885="Лікар загальної практики - сімейний лікар",K888*L885,0)))</f>
        <v>0</v>
      </c>
      <c r="L885" s="558"/>
      <c r="M885" s="929"/>
      <c r="N885" s="196">
        <f>IF($B$885="Лікар-педіатр",N888*S885,IF($B$885="Лікар-терапевт","х",IF($B$885="Лікар загальної практики - сімейний лікар",N888*S885,0)))</f>
        <v>0</v>
      </c>
      <c r="O885" s="196">
        <f>IF($B$885="Лікар-педіатр",O888*S885,IF($B$885="Лікар-терапевт","х",IF($B$885="Лікар загальної практики - сімейний лікар",O888*S885,0)))</f>
        <v>0</v>
      </c>
      <c r="P885" s="196">
        <f>IF($B$885="Лікар-педіатр","x",IF($B$885="Лікар-терапевт",P888*S885,IF($B$885="Лікар загальної практики - сімейний лікар",P888*S885,0)))</f>
        <v>0</v>
      </c>
      <c r="Q885" s="196">
        <f>IF($B$885="Лікар-педіатр","x",IF($B$885="Лікар-терапевт",Q888*S885,IF($B$885="Лікар загальної практики - сімейний лікар",Q888*S885,0)))</f>
        <v>0</v>
      </c>
      <c r="R885" s="196">
        <f>IF($B$885="Лікар-педіатр","x",IF($B$885="Лікар-терапевт",R888*S885,IF($B$885="Лікар загальної практики - сімейний лікар",R888*S885,0)))</f>
        <v>0</v>
      </c>
      <c r="S885" s="558"/>
      <c r="T885" s="929"/>
      <c r="U885" s="196">
        <f>IF($B$885="Лікар-педіатр",U888*Z885,IF($B$885="Лікар-терапевт","х",IF($B$885="Лікар загальної практики - сімейний лікар",U888*Z885,0)))</f>
        <v>0</v>
      </c>
      <c r="V885" s="196">
        <f>IF($B$885="Лікар-педіатр",V888*Z885,IF($B$885="Лікар-терапевт","х",IF($B$885="Лікар загальної практики - сімейний лікар",V888*Z885,0)))</f>
        <v>0</v>
      </c>
      <c r="W885" s="196">
        <f>IF($B$885="Лікар-педіатр","x",IF($B$885="Лікар-терапевт",W888*Z885,IF($B$885="Лікар загальної практики - сімейний лікар",W888*Z885,0)))</f>
        <v>0</v>
      </c>
      <c r="X885" s="196">
        <f>IF($B$885="Лікар-педіатр","x",IF($B$885="Лікар-терапевт",X888*Z885,IF($B$885="Лікар загальної практики - сімейний лікар",X888*Z885,0)))</f>
        <v>0</v>
      </c>
      <c r="Y885" s="196">
        <f>IF($B$885="Лікар-педіатр","x",IF($B$885="Лікар-терапевт",Y888*Z885,IF($B$885="Лікар загальної практики - сімейний лікар",Y888*Z885,0)))</f>
        <v>0</v>
      </c>
      <c r="Z885" s="558"/>
      <c r="AA885" s="929"/>
      <c r="AB885" s="196">
        <f>IF($B$885="Лікар-педіатр",AB888*AG885,IF($B$885="Лікар-терапевт","х",IF($B$885="Лікар загальної практики - сімейний лікар",AB888*AG885,0)))</f>
        <v>0</v>
      </c>
      <c r="AC885" s="196">
        <f>IF($B$885="Лікар-педіатр",AC888*AG885,IF($B$885="Лікар-терапевт","х",IF($B$885="Лікар загальної практики - сімейний лікар",AC888*AG885,0)))</f>
        <v>0</v>
      </c>
      <c r="AD885" s="196">
        <f>IF($B$885="Лікар-педіатр","x",IF($B$885="Лікар-терапевт",AD888*AG885,IF($B$885="Лікар загальної практики - сімейний лікар",AD888*AG885,0)))</f>
        <v>0</v>
      </c>
      <c r="AE885" s="196">
        <f>IF($B$885="Лікар-педіатр","x",IF($B$885="Лікар-терапевт",AE888*AG885,IF($B$885="Лікар загальної практики - сімейний лікар",AE888*AG885,0)))</f>
        <v>0</v>
      </c>
      <c r="AF885" s="196">
        <f>IF($B$885="Лікар-педіатр","x",IF($B$885="Лікар-терапевт",AF888*AG885,IF($B$885="Лікар загальної практики - сімейний лікар",AF888*AG885,0)))</f>
        <v>0</v>
      </c>
      <c r="AG885" s="558"/>
      <c r="AH885" s="929"/>
      <c r="AI885" s="541">
        <f>A885</f>
        <v>66</v>
      </c>
      <c r="AJ885" s="932">
        <f>B885</f>
        <v>0</v>
      </c>
      <c r="AK885" s="926">
        <f>C885</f>
        <v>0</v>
      </c>
      <c r="AL885" s="926">
        <f>D885</f>
        <v>0</v>
      </c>
      <c r="AM885" s="901" t="s">
        <v>785</v>
      </c>
      <c r="AN885" s="923">
        <f>SUM(AN890:AN896)</f>
        <v>0</v>
      </c>
      <c r="AO885" s="923">
        <f>SUM(AO890:AO896)</f>
        <v>0</v>
      </c>
      <c r="AP885" s="923">
        <f>SUM(AP890:AP896)</f>
        <v>0</v>
      </c>
      <c r="AQ885" s="923">
        <f>SUM(AQ890:AQ896)</f>
        <v>0</v>
      </c>
      <c r="AR885" s="914">
        <f>SUM(AN885:AQ889)</f>
        <v>0</v>
      </c>
    </row>
    <row r="886" spans="1:44" s="50" customFormat="1" ht="28.15" hidden="1" customHeight="1">
      <c r="A886" s="197"/>
      <c r="B886" s="893"/>
      <c r="C886" s="896"/>
      <c r="D886" s="912"/>
      <c r="E886" s="909"/>
      <c r="F886" s="234" t="s">
        <v>583</v>
      </c>
      <c r="G886" s="196">
        <f>IF($B$885="Лікар-педіатр",G888*L886,IF($B$885="Лікар-терапевт","х",IF($B$885="Лікар загальної практики - сімейний лікар",G888*L886,0)))</f>
        <v>0</v>
      </c>
      <c r="H886" s="196">
        <f>IF($B$885="Лікар-педіатр",H888*L886,IF($B$885="Лікар-терапевт","х",IF($B$885="Лікар загальної практики - сімейний лікар",H888*L886,0)))</f>
        <v>0</v>
      </c>
      <c r="I886" s="196">
        <f>IF($B$885="Лікар-педіатр","x",IF($B$885="Лікар-терапевт",I888*L886,IF($B$885="Лікар загальної практики - сімейний лікар",I888*L886,0)))</f>
        <v>0</v>
      </c>
      <c r="J886" s="196">
        <f>IF($B$885="Лікар-педіатр","x",IF($B$885="Лікар-терапевт",J888*L886,IF($B$885="Лікар загальної практики - сімейний лікар",J888*L886,0)))</f>
        <v>0</v>
      </c>
      <c r="K886" s="196">
        <f>IF($B$885="Лікар-педіатр","x",IF($B$885="Лікар-терапевт",K888*L886,IF($B$885="Лікар загальної практики - сімейний лікар",K888*L886,0)))</f>
        <v>0</v>
      </c>
      <c r="L886" s="558"/>
      <c r="M886" s="930"/>
      <c r="N886" s="196">
        <f>IF($B$885="Лікар-педіатр",N888*S886,IF($B$885="Лікар-терапевт","х",IF($B$885="Лікар загальної практики - сімейний лікар",N888*S886,0)))</f>
        <v>0</v>
      </c>
      <c r="O886" s="196">
        <f>IF($B$885="Лікар-педіатр",O888*S886,IF($B$885="Лікар-терапевт","х",IF($B$885="Лікар загальної практики - сімейний лікар",O888*S886,0)))</f>
        <v>0</v>
      </c>
      <c r="P886" s="196">
        <f>IF($B$885="Лікар-педіатр","x",IF($B$885="Лікар-терапевт",P888*S886,IF($B$885="Лікар загальної практики - сімейний лікар",P888*S886,0)))</f>
        <v>0</v>
      </c>
      <c r="Q886" s="196">
        <f>IF($B$885="Лікар-педіатр","x",IF($B$885="Лікар-терапевт",Q888*S886,IF($B$885="Лікар загальної практики - сімейний лікар",Q888*S886,0)))</f>
        <v>0</v>
      </c>
      <c r="R886" s="196">
        <f>IF($B$885="Лікар-педіатр","x",IF($B$885="Лікар-терапевт",R888*S886,IF($B$885="Лікар загальної практики - сімейний лікар",R888*S886,0)))</f>
        <v>0</v>
      </c>
      <c r="S886" s="558"/>
      <c r="T886" s="930"/>
      <c r="U886" s="196">
        <f>IF($B$885="Лікар-педіатр",U888*Z886,IF($B$885="Лікар-терапевт","х",IF($B$885="Лікар загальної практики - сімейний лікар",U888*Z886,0)))</f>
        <v>0</v>
      </c>
      <c r="V886" s="196">
        <f>IF($B$885="Лікар-педіатр",V888*Z886,IF($B$885="Лікар-терапевт","х",IF($B$885="Лікар загальної практики - сімейний лікар",V888*Z886,0)))</f>
        <v>0</v>
      </c>
      <c r="W886" s="196">
        <f>IF($B$885="Лікар-педіатр","x",IF($B$885="Лікар-терапевт",W888*Z886,IF($B$885="Лікар загальної практики - сімейний лікар",W888*Z886,0)))</f>
        <v>0</v>
      </c>
      <c r="X886" s="196">
        <f>IF($B$885="Лікар-педіатр","x",IF($B$885="Лікар-терапевт",X888*Z886,IF($B$885="Лікар загальної практики - сімейний лікар",X888*Z886,0)))</f>
        <v>0</v>
      </c>
      <c r="Y886" s="196">
        <f>IF($B$885="Лікар-педіатр","x",IF($B$885="Лікар-терапевт",Y888*Z886,IF($B$885="Лікар загальної практики - сімейний лікар",Y888*Z886,0)))</f>
        <v>0</v>
      </c>
      <c r="Z886" s="558"/>
      <c r="AA886" s="930"/>
      <c r="AB886" s="196">
        <f>IF($B$885="Лікар-педіатр",AB888*AG886,IF($B$885="Лікар-терапевт","х",IF($B$885="Лікар загальної практики - сімейний лікар",AB888*AG886,0)))</f>
        <v>0</v>
      </c>
      <c r="AC886" s="196">
        <f>IF($B$885="Лікар-педіатр",AC888*AG886,IF($B$885="Лікар-терапевт","х",IF($B$885="Лікар загальної практики - сімейний лікар",AC888*AG886,0)))</f>
        <v>0</v>
      </c>
      <c r="AD886" s="196">
        <f>IF($B$885="Лікар-педіатр","x",IF($B$885="Лікар-терапевт",AD888*AG886,IF($B$885="Лікар загальної практики - сімейний лікар",AD888*AG886,0)))</f>
        <v>0</v>
      </c>
      <c r="AE886" s="196">
        <f>IF($B$885="Лікар-педіатр","x",IF($B$885="Лікар-терапевт",AE888*AG886,IF($B$885="Лікар загальної практики - сімейний лікар",AE888*AG886,0)))</f>
        <v>0</v>
      </c>
      <c r="AF886" s="196">
        <f>IF($B$885="Лікар-педіатр","x",IF($B$885="Лікар-терапевт",AF888*AG886,IF($B$885="Лікар загальної практики - сімейний лікар",AF888*AG886,0)))</f>
        <v>0</v>
      </c>
      <c r="AG886" s="558"/>
      <c r="AH886" s="930"/>
      <c r="AI886" s="198"/>
      <c r="AJ886" s="933"/>
      <c r="AK886" s="927"/>
      <c r="AL886" s="927"/>
      <c r="AM886" s="902"/>
      <c r="AN886" s="924"/>
      <c r="AO886" s="924"/>
      <c r="AP886" s="924"/>
      <c r="AQ886" s="924"/>
      <c r="AR886" s="915"/>
    </row>
    <row r="887" spans="1:44" s="90" customFormat="1" ht="31.15" hidden="1" customHeight="1">
      <c r="A887" s="240"/>
      <c r="B887" s="893"/>
      <c r="C887" s="896"/>
      <c r="D887" s="912"/>
      <c r="E887" s="909"/>
      <c r="F887" s="241" t="s">
        <v>584</v>
      </c>
      <c r="G887" s="199">
        <f>IF(B885="Лікар загальної практики - сімейний лікар"," ",IF(B885="Лікар-педіатр"," ",IF(B885="Лікар-терапевт","х",0)))</f>
        <v>0</v>
      </c>
      <c r="H887" s="199">
        <f>IF(B885="Лікар загальної практики - сімейний лікар"," ",IF(B885="Лікар-педіатр"," ",IF(B885="Лікар-терапевт","х",0)))</f>
        <v>0</v>
      </c>
      <c r="I887" s="199">
        <f>IF(B885="Лікар загальної практики - сімейний лікар"," ",IF(B885="Лікар-педіатр","х",IF(B885="Лікар-терапевт"," ",0)))</f>
        <v>0</v>
      </c>
      <c r="J887" s="199">
        <f>IF(B885="Лікар загальної практики - сімейний лікар"," ",IF(B885="Лікар-педіатр","х",IF(B885="Лікар-терапевт"," ",0)))</f>
        <v>0</v>
      </c>
      <c r="K887" s="199">
        <f>IF(B885="Лікар загальної практики - сімейний лікар"," ",IF(B885="Лікар-педіатр","х",IF(B885="Лікар-терапевт"," ",0)))</f>
        <v>0</v>
      </c>
      <c r="L887" s="200">
        <f>SUM(G887:K887)</f>
        <v>0</v>
      </c>
      <c r="M887" s="930"/>
      <c r="N887" s="199">
        <f>IF(B885="Лікар загальної практики - сімейний лікар"," ",IF(B885="Лікар-педіатр"," ",IF(B885="Лікар-терапевт","х",0)))</f>
        <v>0</v>
      </c>
      <c r="O887" s="199">
        <f>IF(B885="Лікар загальної практики - сімейний лікар"," ",IF(B885="Лікар-педіатр"," ",IF(B885="Лікар-терапевт","х",0)))</f>
        <v>0</v>
      </c>
      <c r="P887" s="199">
        <f>IF(B885="Лікар загальної практики - сімейний лікар"," ",IF(B885="Лікар-педіатр","х",IF(B885="Лікар-терапевт"," ",0)))</f>
        <v>0</v>
      </c>
      <c r="Q887" s="199">
        <f>IF(B885="Лікар загальної практики - сімейний лікар"," ",IF(B885="Лікар-педіатр","х",IF(B885="Лікар-терапевт"," ",0)))</f>
        <v>0</v>
      </c>
      <c r="R887" s="199">
        <f>IF(B885="Лікар загальної практики - сімейний лікар"," ",IF(B885="Лікар-педіатр","х",IF(B885="Лікар-терапевт"," ",0)))</f>
        <v>0</v>
      </c>
      <c r="S887" s="200">
        <f>SUM(N887:R887)</f>
        <v>0</v>
      </c>
      <c r="T887" s="930"/>
      <c r="U887" s="199">
        <f>IF(B885="Лікар загальної практики - сімейний лікар"," ",IF(B885="Лікар-педіатр"," ",IF(B885="Лікар-терапевт","х",0)))</f>
        <v>0</v>
      </c>
      <c r="V887" s="199">
        <f>IF(B885="Лікар загальної практики - сімейний лікар"," ",IF(B885="Лікар-педіатр"," ",IF(B885="Лікар-терапевт","х",0)))</f>
        <v>0</v>
      </c>
      <c r="W887" s="199">
        <f>IF(B885="Лікар загальної практики - сімейний лікар"," ",IF(B885="Лікар-педіатр","х",IF(B885="Лікар-терапевт"," ",0)))</f>
        <v>0</v>
      </c>
      <c r="X887" s="199">
        <f>IF(B885="Лікар загальної практики - сімейний лікар"," ",IF(B885="Лікар-педіатр","х",IF(B885="Лікар-терапевт"," ",0)))</f>
        <v>0</v>
      </c>
      <c r="Y887" s="199">
        <f>IF(B885="Лікар загальної практики - сімейний лікар"," ",IF(B885="Лікар-педіатр","х",IF(B885="Лікар-терапевт"," ",0)))</f>
        <v>0</v>
      </c>
      <c r="Z887" s="200">
        <f>SUM(U887:Y887)</f>
        <v>0</v>
      </c>
      <c r="AA887" s="930"/>
      <c r="AB887" s="199">
        <f>IF(B885="Лікар загальної практики - сімейний лікар"," ",IF(B885="Лікар-педіатр"," ",IF(B885="Лікар-терапевт","х",0)))</f>
        <v>0</v>
      </c>
      <c r="AC887" s="199">
        <f>IF(B885="Лікар загальної практики - сімейний лікар"," ",IF(B885="Лікар-педіатр"," ",IF(B885="Лікар-терапевт","х",0)))</f>
        <v>0</v>
      </c>
      <c r="AD887" s="199">
        <f>IF(B885="Лікар загальної практики - сімейний лікар"," ",IF(B885="Лікар-педіатр","х",IF(B885="Лікар-терапевт"," ",0)))</f>
        <v>0</v>
      </c>
      <c r="AE887" s="199">
        <f>IF(B885="Лікар загальної практики - сімейний лікар"," ",IF(B885="Лікар-педіатр","х",IF(B885="Лікар-терапевт"," ",0)))</f>
        <v>0</v>
      </c>
      <c r="AF887" s="199">
        <f>IF(B885="Лікар загальної практики - сімейний лікар"," ",IF(B885="Лікар-педіатр","х",IF(B885="Лікар-терапевт"," ",0)))</f>
        <v>0</v>
      </c>
      <c r="AG887" s="200">
        <f>SUM(AB887:AF887)</f>
        <v>0</v>
      </c>
      <c r="AH887" s="930"/>
      <c r="AI887" s="242"/>
      <c r="AJ887" s="933"/>
      <c r="AK887" s="927"/>
      <c r="AL887" s="927"/>
      <c r="AM887" s="902"/>
      <c r="AN887" s="924"/>
      <c r="AO887" s="924"/>
      <c r="AP887" s="924"/>
      <c r="AQ887" s="924"/>
      <c r="AR887" s="915"/>
    </row>
    <row r="888" spans="1:44" s="50" customFormat="1" ht="31.9" hidden="1" customHeight="1" thickBot="1">
      <c r="A888" s="197"/>
      <c r="B888" s="893"/>
      <c r="C888" s="896"/>
      <c r="D888" s="912"/>
      <c r="E888" s="909"/>
      <c r="F888" s="236" t="s">
        <v>349</v>
      </c>
      <c r="G888" s="203">
        <f>IF($B$885="Лікар-педіатр",G887/L887,IF($B$885="Лікар-терапевт","х",IF($B$885="Лікар загальної практики - сімейний лікар",G887/L887,0)))</f>
        <v>0</v>
      </c>
      <c r="H888" s="203">
        <f>IF($B$885="Лікар-педіатр",H887/L887,IF($B$885="Лікар-терапевт","х",IF($B$885="Лікар загальної практики - сімейний лікар",H887/L887,0)))</f>
        <v>0</v>
      </c>
      <c r="I888" s="203">
        <f>IF($B$885="Лікар-педіатр","x",IF($B$885="Лікар-терапевт",I887/L887,IF($B$885="Лікар загальної практики - сімейний лікар",I887/L887,0)))</f>
        <v>0</v>
      </c>
      <c r="J888" s="203">
        <f>IF($B$885="Лікар-педіатр","x",IF($B$885="Лікар-терапевт",J887/L887,IF($B$885="Лікар загальної практики - сімейний лікар",J887/L887,0)))</f>
        <v>0</v>
      </c>
      <c r="K888" s="203">
        <f>IF($B$885="Лікар-педіатр","x",IF($B$885="Лікар-терапевт",K887/L887,IF($B$885="Лікар загальної практики - сімейний лікар",K887/L887,0)))</f>
        <v>0</v>
      </c>
      <c r="L888" s="203">
        <f>SUM(G888:K888)</f>
        <v>0</v>
      </c>
      <c r="M888" s="930"/>
      <c r="N888" s="203">
        <f>IF($B$885="Лікар-педіатр",N887/S887,IF($B$885="Лікар-терапевт","х",IF($B$885="Лікар загальної практики - сімейний лікар",N887/S887,0)))</f>
        <v>0</v>
      </c>
      <c r="O888" s="203">
        <f>IF($B$885="Лікар-педіатр",O887/S887,IF($B$885="Лікар-терапевт","х",IF($B$885="Лікар загальної практики - сімейний лікар",O887/S887,0)))</f>
        <v>0</v>
      </c>
      <c r="P888" s="203">
        <f>IF($B$885="Лікар-педіатр","x",IF($B$885="Лікар-терапевт",P887/S887,IF($B$885="Лікар загальної практики - сімейний лікар",P887/S887,0)))</f>
        <v>0</v>
      </c>
      <c r="Q888" s="203">
        <f>IF($B$885="Лікар-педіатр","x",IF($B$885="Лікар-терапевт",Q887/S887,IF($B$885="Лікар загальної практики - сімейний лікар",Q887/S887,0)))</f>
        <v>0</v>
      </c>
      <c r="R888" s="203">
        <f>IF($B$885="Лікар-педіатр","x",IF($B$885="Лікар-терапевт",R887/S887,IF($B$885="Лікар загальної практики - сімейний лікар",R887/S887,0)))</f>
        <v>0</v>
      </c>
      <c r="S888" s="203">
        <f>SUM(N888:R888)</f>
        <v>0</v>
      </c>
      <c r="T888" s="930"/>
      <c r="U888" s="203">
        <f>IF($B$885="Лікар-педіатр",U887/Z887,IF($B$885="Лікар-терапевт","х",IF($B$885="Лікар загальної практики - сімейний лікар",U887/Z887,0)))</f>
        <v>0</v>
      </c>
      <c r="V888" s="203">
        <f>IF($B$885="Лікар-педіатр",V887/Z887,IF($B$885="Лікар-терапевт","х",IF($B$885="Лікар загальної практики - сімейний лікар",V887/Z887,0)))</f>
        <v>0</v>
      </c>
      <c r="W888" s="203">
        <f>IF($B$885="Лікар-педіатр","x",IF($B$885="Лікар-терапевт",W887/Z887,IF($B$885="Лікар загальної практики - сімейний лікар",W887/Z887,0)))</f>
        <v>0</v>
      </c>
      <c r="X888" s="203">
        <f>IF($B$885="Лікар-педіатр","x",IF($B$885="Лікар-терапевт",X887/Z887,IF($B$885="Лікар загальної практики - сімейний лікар",X887/Z887,0)))</f>
        <v>0</v>
      </c>
      <c r="Y888" s="203">
        <f>IF($B$885="Лікар-педіатр","x",IF($B$885="Лікар-терапевт",Y887/Z887,IF($B$885="Лікар загальної практики - сімейний лікар",Y887/Z887,0)))</f>
        <v>0</v>
      </c>
      <c r="Z888" s="203">
        <f>SUM(U888:Y888)</f>
        <v>0</v>
      </c>
      <c r="AA888" s="930"/>
      <c r="AB888" s="203">
        <f>IF($B$885="Лікар-педіатр",AB887/AG887,IF($B$885="Лікар-терапевт","х",IF($B$885="Лікар загальної практики - сімейний лікар",AB887/AG887,0)))</f>
        <v>0</v>
      </c>
      <c r="AC888" s="203">
        <f>IF($B$885="Лікар-педіатр",AC887/AG887,IF($B$885="Лікар-терапевт","х",IF($B$885="Лікар загальної практики - сімейний лікар",AC887/AG887,0)))</f>
        <v>0</v>
      </c>
      <c r="AD888" s="203">
        <f>IF($B$885="Лікар-педіатр","x",IF($B$885="Лікар-терапевт",AD887/AG887,IF($B$885="Лікар загальної практики - сімейний лікар",AD887/AG887,0)))</f>
        <v>0</v>
      </c>
      <c r="AE888" s="203">
        <f>IF($B$885="Лікар-педіатр","x",IF($B$885="Лікар-терапевт",AE887/AG887,IF($B$885="Лікар загальної практики - сімейний лікар",AE887/AG887,0)))</f>
        <v>0</v>
      </c>
      <c r="AF888" s="203">
        <f>IF($B$885="Лікар-педіатр","x",IF($B$885="Лікар-терапевт",AF887/AG887,IF($B$885="Лікар загальної практики - сімейний лікар",AF887/AG887,0)))</f>
        <v>0</v>
      </c>
      <c r="AG888" s="203">
        <f>SUM(AB888:AF888)</f>
        <v>0</v>
      </c>
      <c r="AH888" s="930"/>
      <c r="AI888" s="201"/>
      <c r="AJ888" s="933"/>
      <c r="AK888" s="927"/>
      <c r="AL888" s="927"/>
      <c r="AM888" s="902"/>
      <c r="AN888" s="924"/>
      <c r="AO888" s="924"/>
      <c r="AP888" s="924"/>
      <c r="AQ888" s="924"/>
      <c r="AR888" s="915"/>
    </row>
    <row r="889" spans="1:44" s="50" customFormat="1" ht="45" hidden="1" customHeight="1" thickBot="1">
      <c r="A889" s="197"/>
      <c r="B889" s="893"/>
      <c r="C889" s="896"/>
      <c r="D889" s="912"/>
      <c r="E889" s="909"/>
      <c r="F889" s="204" t="s">
        <v>585</v>
      </c>
      <c r="G889" s="205">
        <f>IF($B$885="Лікар загальної практики - сімейний лікар",AVERAGE(G885:G887),IF($B$885="Лікар-педіатр",AVERAGE(G885:G887),IF($B$885="Лікар-терапевт","х",0)))</f>
        <v>0</v>
      </c>
      <c r="H889" s="205">
        <f>IF($B$885="Лікар загальної практики - сімейний лікар",AVERAGE(H885:H887),IF($B$885="Лікар-педіатр",AVERAGE(H885:H887),IF($B$885="Лікар-терапевт","х",0)))</f>
        <v>0</v>
      </c>
      <c r="I889" s="205">
        <f>IF($B$885="Лікар загальної практики - сімейний лікар",AVERAGE(I885:I887),IF($B$885="Лікар-педіатр","x",IF($B$885="Лікар-терапевт",AVERAGE(I885:I887),0)))</f>
        <v>0</v>
      </c>
      <c r="J889" s="205">
        <f>IF($B$885="Лікар загальної практики - сімейний лікар",AVERAGE(J885:J887),IF($B$885="Лікар-педіатр","x",IF($B$885="Лікар-терапевт",AVERAGE(J885:J887),0)))</f>
        <v>0</v>
      </c>
      <c r="K889" s="205">
        <f>IF($B$885="Лікар загальної практики - сімейний лікар",AVERAGE(K885:K887),IF($B$885="Лікар-педіатр","x",IF($B$885="Лікар-терапевт",AVERAGE(K885:K887),0)))</f>
        <v>0</v>
      </c>
      <c r="L889" s="206">
        <f>SUM(G889:K889)</f>
        <v>0</v>
      </c>
      <c r="M889" s="930"/>
      <c r="N889" s="205">
        <f>IF($B$885="Лікар загальної практики - сімейний лікар",AVERAGE(N885:N887),IF($B$885="Лікар-педіатр",AVERAGE(N885:N887),IF($B$885="Лікар-терапевт","х",0)))</f>
        <v>0</v>
      </c>
      <c r="O889" s="205">
        <f>IF($B$885="Лікар загальної практики - сімейний лікар",AVERAGE(O885:O887),IF($B$885="Лікар-педіатр",AVERAGE(O885:O887),IF($B$885="Лікар-терапевт","х",0)))</f>
        <v>0</v>
      </c>
      <c r="P889" s="205">
        <f>IF($B$885="Лікар загальної практики - сімейний лікар",AVERAGE(P885:P887),IF($B$885="Лікар-педіатр","x",IF($B$885="Лікар-терапевт",AVERAGE(P885:P887),0)))</f>
        <v>0</v>
      </c>
      <c r="Q889" s="205">
        <f>IF($B$885="Лікар загальної практики - сімейний лікар",AVERAGE(Q885:Q887),IF($B$885="Лікар-педіатр","x",IF($B$885="Лікар-терапевт",AVERAGE(Q885:Q887),0)))</f>
        <v>0</v>
      </c>
      <c r="R889" s="205">
        <f>IF($B$885="Лікар загальної практики - сімейний лікар",AVERAGE(R885:R887),IF($B$885="Лікар-педіатр","x",IF($B$885="Лікар-терапевт",AVERAGE(R885:R887),0)))</f>
        <v>0</v>
      </c>
      <c r="S889" s="206">
        <f>SUM(N889:R889)</f>
        <v>0</v>
      </c>
      <c r="T889" s="930"/>
      <c r="U889" s="205">
        <f>IF($B$885="Лікар загальної практики - сімейний лікар",AVERAGE(U885:U887),IF($B$885="Лікар-педіатр",AVERAGE(U885:U887),IF($B$885="Лікар-терапевт","х",0)))</f>
        <v>0</v>
      </c>
      <c r="V889" s="205">
        <f>IF($B$885="Лікар загальної практики - сімейний лікар",AVERAGE(V885:V887),IF($B$885="Лікар-педіатр",AVERAGE(V885:V887),IF($B$885="Лікар-терапевт","х",0)))</f>
        <v>0</v>
      </c>
      <c r="W889" s="205">
        <f>IF($B$885="Лікар загальної практики - сімейний лікар",AVERAGE(W885:W887),IF($B$885="Лікар-педіатр","x",IF($B$885="Лікар-терапевт",AVERAGE(W885:W887),0)))</f>
        <v>0</v>
      </c>
      <c r="X889" s="205">
        <f>IF($B$885="Лікар загальної практики - сімейний лікар",AVERAGE(X885:X887),IF($B$885="Лікар-педіатр","x",IF($B$885="Лікар-терапевт",AVERAGE(X885:X887),0)))</f>
        <v>0</v>
      </c>
      <c r="Y889" s="205">
        <f>IF($B$885="Лікар загальної практики - сімейний лікар",AVERAGE(Y885:Y887),IF($B$885="Лікар-педіатр","x",IF($B$885="Лікар-терапевт",AVERAGE(Y885:Y887),0)))</f>
        <v>0</v>
      </c>
      <c r="Z889" s="206">
        <f>SUM(U889:Y889)</f>
        <v>0</v>
      </c>
      <c r="AA889" s="930"/>
      <c r="AB889" s="205">
        <f>IF($B$885="Лікар загальної практики - сімейний лікар",AVERAGE(AB885:AB887),IF($B$885="Лікар-педіатр",AVERAGE(AB885:AB887),IF($B$885="Лікар-терапевт","х",0)))</f>
        <v>0</v>
      </c>
      <c r="AC889" s="205">
        <f>IF($B$885="Лікар загальної практики - сімейний лікар",AVERAGE(AC885:AC887),IF($B$885="Лікар-педіатр",AVERAGE(AC885:AC887),IF($B$885="Лікар-терапевт","х",0)))</f>
        <v>0</v>
      </c>
      <c r="AD889" s="205">
        <f>IF($B$885="Лікар загальної практики - сімейний лікар",AVERAGE(AD885:AD887),IF($B$885="Лікар-педіатр","x",IF($B$885="Лікар-терапевт",AVERAGE(AD885:AD887),0)))</f>
        <v>0</v>
      </c>
      <c r="AE889" s="205">
        <f>IF($B$885="Лікар загальної практики - сімейний лікар",AVERAGE(AE885:AE887),IF($B$885="Лікар-педіатр","x",IF($B$885="Лікар-терапевт",AVERAGE(AE885:AE887),0)))</f>
        <v>0</v>
      </c>
      <c r="AF889" s="205">
        <f>IF($B$885="Лікар загальної практики - сімейний лікар",AVERAGE(AF885:AF887),IF($B$885="Лікар-педіатр","x",IF($B$885="Лікар-терапевт",AVERAGE(AF885:AF887),0)))</f>
        <v>0</v>
      </c>
      <c r="AG889" s="206">
        <f>SUM(AB889:AF889)</f>
        <v>0</v>
      </c>
      <c r="AH889" s="930"/>
      <c r="AI889" s="201"/>
      <c r="AJ889" s="933"/>
      <c r="AK889" s="927"/>
      <c r="AL889" s="927"/>
      <c r="AM889" s="903"/>
      <c r="AN889" s="925"/>
      <c r="AO889" s="925"/>
      <c r="AP889" s="925"/>
      <c r="AQ889" s="925"/>
      <c r="AR889" s="916"/>
    </row>
    <row r="890" spans="1:44" s="50" customFormat="1" ht="40.5" hidden="1">
      <c r="A890" s="197"/>
      <c r="B890" s="893"/>
      <c r="C890" s="896"/>
      <c r="D890" s="912"/>
      <c r="E890" s="909"/>
      <c r="F890" s="237" t="str">
        <f ca="1">IF(B885="Лікар-педіатр",Законод!$C$17,IF(B885="Лікар загальної практики - сімейний лікар",Законод!$C$21,IF(B885="Лікар-терапевт",Законод!$C$25,"х")))</f>
        <v>х</v>
      </c>
      <c r="G890" s="208">
        <f ca="1">IF($B$885="Лікар загальної практики - сімейний лікар",IF(L889&lt;=Законод!$C$22,G889,Законод!$C$22*'01_Доходи'!G888),IF($B$885="Лікар-педіатр",IF(L889&lt;=Законод!$C$18,G889,Законод!$C$18*'01_Доходи'!G888),IF($B$885="Лікар-терапевт","x",0)))</f>
        <v>0</v>
      </c>
      <c r="H890" s="208">
        <f ca="1">IF($B$885="Лікар загальної практики - сімейний лікар",IF(L889&lt;=Законод!$C$22,H889,Законод!$C$22*'01_Доходи'!H888),IF($B$885="Лікар-педіатр",IF(L889&lt;=Законод!$C$18,H889,Законод!$C$18*'01_Доходи'!H888),IF($B$885="Лікар-терапевт","x",0)))</f>
        <v>0</v>
      </c>
      <c r="I890" s="208">
        <f ca="1">IF($B$885="Лікар загальної практики - сімейний лікар",IF(L889&lt;=Законод!$C$22,I889,Законод!$C$22*'01_Доходи'!I888),IF($B$885="Лікар-педіатр","x",IF($B$885="Лікар-терапевт",IF(L889&lt;=Законод!$C$26,I889,Законод!$C$26*'01_Доходи'!I888),0)))</f>
        <v>0</v>
      </c>
      <c r="J890" s="208">
        <f ca="1">IF($B$885="Лікар загальної практики - сімейний лікар",IF(L889&lt;=Законод!$C$22,J889,Законод!$C$22*'01_Доходи'!J888),IF($B$885="Лікар-педіатр","x",IF($B$885="Лікар-терапевт",IF(L889&lt;=Законод!$C$26,J889,Законод!$C$26*'01_Доходи'!J888),0)))</f>
        <v>0</v>
      </c>
      <c r="K890" s="208">
        <f ca="1">IF($B$885="Лікар загальної практики - сімейний лікар",IF(L889&lt;=Законод!$C$22,K889,Законод!$C$22*'01_Доходи'!K888),IF($B$885="Лікар-педіатр","x",IF($B$885="Лікар-терапевт",IF(L889&lt;=Законод!$C$26,K889,Законод!$C$26*'01_Доходи'!K888),0)))</f>
        <v>0</v>
      </c>
      <c r="L890" s="209">
        <f ca="1">SUM(G890:K890)</f>
        <v>0</v>
      </c>
      <c r="M890" s="930"/>
      <c r="N890" s="208">
        <f ca="1">IF($B$885="Лікар загальної практики - сімейний лікар",IF(S889&lt;=Законод!$C$22,N889,Законод!$C$22*'01_Доходи'!N888),IF($B$885="Лікар-педіатр",IF(S889&lt;=Законод!$C$18,N889,Законод!$C$18*'01_Доходи'!N888),IF($B$885="Лікар-терапевт","x",0)))</f>
        <v>0</v>
      </c>
      <c r="O890" s="208">
        <f ca="1">IF($B$885="Лікар загальної практики - сімейний лікар",IF(S889&lt;=Законод!$C$22,O889,Законод!$C$22*'01_Доходи'!O888),IF($B$885="Лікар-педіатр",IF(S889&lt;=Законод!$C$18,O889,Законод!$C$18*'01_Доходи'!O888),IF($B$885="Лікар-терапевт","x",0)))</f>
        <v>0</v>
      </c>
      <c r="P890" s="208">
        <f ca="1">IF($B$885="Лікар загальної практики - сімейний лікар",IF(S889&lt;=Законод!$C$22,P889,Законод!$C$22*'01_Доходи'!P888),IF($B$885="Лікар-педіатр","x",IF($B$885="Лікар-терапевт",IF(S889&lt;=Законод!$C$26,P889,Законод!$C$26*'01_Доходи'!P888),0)))</f>
        <v>0</v>
      </c>
      <c r="Q890" s="208">
        <f ca="1">IF($B$885="Лікар загальної практики - сімейний лікар",IF(S889&lt;=Законод!$C$22,Q889,Законод!$C$22*'01_Доходи'!Q888),IF($B$885="Лікар-педіатр","x",IF($B$885="Лікар-терапевт",IF(S889&lt;=Законод!$C$26,Q889,Законод!$C$26*'01_Доходи'!Q888),0)))</f>
        <v>0</v>
      </c>
      <c r="R890" s="208">
        <f ca="1">IF($B$885="Лікар загальної практики - сімейний лікар",IF(S889&lt;=Законод!$C$22,R889,Законод!$C$22*'01_Доходи'!R888),IF($B$885="Лікар-педіатр","x",IF($B$885="Лікар-терапевт",IF(S889&lt;=Законод!$C$26,R889,Законод!$C$26*'01_Доходи'!R888),0)))</f>
        <v>0</v>
      </c>
      <c r="S890" s="209">
        <f ca="1">SUM(N890:R890)</f>
        <v>0</v>
      </c>
      <c r="T890" s="930"/>
      <c r="U890" s="208">
        <f ca="1">IF($B$885="Лікар загальної практики - сімейний лікар",IF(Z889&lt;=Законод!$C$22,U889,Законод!$C$22*'01_Доходи'!U888),IF($B$885="Лікар-педіатр",IF(Z889&lt;=Законод!$C$18,U889,Законод!$C$18*'01_Доходи'!U888),IF($B$885="Лікар-терапевт","x",0)))</f>
        <v>0</v>
      </c>
      <c r="V890" s="208">
        <f ca="1">IF($B$885="Лікар загальної практики - сімейний лікар",IF(Z889&lt;=Законод!$C$22,V889,Законод!$C$22*'01_Доходи'!V888),IF($B$885="Лікар-педіатр",IF(Z889&lt;=Законод!$C$18,V889,Законод!$C$18*'01_Доходи'!V888),IF($B$885="Лікар-терапевт","x",0)))</f>
        <v>0</v>
      </c>
      <c r="W890" s="208">
        <f ca="1">IF($B$885="Лікар загальної практики - сімейний лікар",IF(Z889&lt;=Законод!$C$22,W889,Законод!$C$22*'01_Доходи'!W888),IF($B$885="Лікар-педіатр","x",IF($B$885="Лікар-терапевт",IF(Z889&lt;=Законод!$C$26,W889,Законод!$C$26*'01_Доходи'!W888),0)))</f>
        <v>0</v>
      </c>
      <c r="X890" s="208">
        <f ca="1">IF($B$885="Лікар загальної практики - сімейний лікар",IF(Z889&lt;=Законод!$C$22,X889,Законод!$C$22*'01_Доходи'!X888),IF($B$885="Лікар-педіатр","x",IF($B$885="Лікар-терапевт",IF(Z889&lt;=Законод!$C$26,X889,Законод!$C$26*'01_Доходи'!X888),0)))</f>
        <v>0</v>
      </c>
      <c r="Y890" s="208">
        <f ca="1">IF($B$885="Лікар загальної практики - сімейний лікар",IF(Z889&lt;=Законод!$C$22,Y889,Законод!$C$22*'01_Доходи'!Y888),IF($B$885="Лікар-педіатр","x",IF($B$885="Лікар-терапевт",IF(Z889&lt;=Законод!$C$26,Y889,Законод!$C$26*'01_Доходи'!Y888),0)))</f>
        <v>0</v>
      </c>
      <c r="Z890" s="209">
        <f ca="1">SUM(U890:Y890)</f>
        <v>0</v>
      </c>
      <c r="AA890" s="930"/>
      <c r="AB890" s="208">
        <f ca="1">IF($B$885="Лікар загальної практики - сімейний лікар",IF(AG889&lt;=Законод!$C$22,AB889,Законод!$C$22*'01_Доходи'!AB888),IF($B$885="Лікар-педіатр",IF(AG889&lt;=Законод!$C$18,AB889,Законод!$C$18*'01_Доходи'!AB888),IF($B$885="Лікар-терапевт","x",0)))</f>
        <v>0</v>
      </c>
      <c r="AC890" s="208">
        <f ca="1">IF($B$885="Лікар загальної практики - сімейний лікар",IF(AG889&lt;=Законод!$C$22,AC889,Законод!$C$22*'01_Доходи'!AC888),IF($B$885="Лікар-педіатр",IF(AG889&lt;=Законод!$C$18,AC889,Законод!$C$18*'01_Доходи'!AC888),IF($B$885="Лікар-терапевт","x",0)))</f>
        <v>0</v>
      </c>
      <c r="AD890" s="208">
        <f ca="1">IF($B$885="Лікар загальної практики - сімейний лікар",IF(AG889&lt;=Законод!$C$22,AD889,Законод!$C$22*'01_Доходи'!AD888),IF($B$885="Лікар-педіатр","x",IF($B$885="Лікар-терапевт",IF(AG889&lt;=Законод!$C$26,AD889,Законод!$C$26*'01_Доходи'!AD888),0)))</f>
        <v>0</v>
      </c>
      <c r="AE890" s="208">
        <f ca="1">IF($B$885="Лікар загальної практики - сімейний лікар",IF(AG889&lt;=Законод!$C$22,AE889,Законод!$C$22*'01_Доходи'!AE888),IF($B$885="Лікар-педіатр","x",IF($B$885="Лікар-терапевт",IF(AG889&lt;=Законод!$C$26,AE889,Законод!$C$26*'01_Доходи'!AE888),0)))</f>
        <v>0</v>
      </c>
      <c r="AF890" s="208">
        <f ca="1">IF($B$885="Лікар загальної практики - сімейний лікар",IF(AG889&lt;=Законод!$C$22,AF889,Законод!$C$22*'01_Доходи'!AF888),IF($B$885="Лікар-педіатр","x",IF($B$885="Лікар-терапевт",IF(AG889&lt;=Законод!$C$26,AF889,Законод!$C$26*'01_Доходи'!AF888),0)))</f>
        <v>0</v>
      </c>
      <c r="AG890" s="209">
        <f ca="1">SUM(AB890:AF890)</f>
        <v>0</v>
      </c>
      <c r="AH890" s="930"/>
      <c r="AI890" s="201"/>
      <c r="AJ890" s="933"/>
      <c r="AK890" s="927"/>
      <c r="AL890" s="927"/>
      <c r="AM890" s="348" t="s">
        <v>374</v>
      </c>
      <c r="AN890" s="210">
        <f ca="1">IF(B885="Лікар загальної практики - сімейний лікар",G890*Законод!$C$11+'01_Доходи'!H890*Законод!$D$11+'01_Доходи'!I890*Законод!$E$11+'01_Доходи'!J890*Законод!$F$11+'01_Доходи'!K890*Законод!$G$11,IF(B885="Лікар-педіатр",G890*Законод!$C$11+'01_Доходи'!H890*Законод!$D$11,IF(B885="Лікар-терапевт",'01_Доходи'!I890*Законод!$E$11+'01_Доходи'!J890*Законод!$F$11+'01_Доходи'!K890*Законод!$G$11,0)))</f>
        <v>0</v>
      </c>
      <c r="AO890" s="210">
        <f ca="1">IF(B885="Лікар загальної практики - сімейний лікар",N890*Законод!$C$11+'01_Доходи'!O890*Законод!$D$11+'01_Доходи'!P890*Законод!$E$11+'01_Доходи'!Q890*Законод!$F$11+'01_Доходи'!R890*Законод!$G$11,IF(B885="Лікар-педіатр",N890*Законод!$C$11+'01_Доходи'!O890*Законод!$D$11,IF(B885="Лікар-терапевт",'01_Доходи'!P890*Законод!$E$11+'01_Доходи'!Q890*Законод!$F$11+'01_Доходи'!R890*Законод!$G$11,0)))</f>
        <v>0</v>
      </c>
      <c r="AP890" s="210">
        <f ca="1">IF(B885="Лікар загальної практики - сімейний лікар",U890*Законод!$C$11+'01_Доходи'!V890*Законод!$D$11+'01_Доходи'!W890*Законод!$E$11+'01_Доходи'!X890*Законод!$F$11+'01_Доходи'!Y890*Законод!$G$11,IF(B885="Лікар-педіатр",U890*Законод!$C$11+'01_Доходи'!V890*Законод!$D$11,IF(B885="Лікар-терапевт",'01_Доходи'!W890*Законод!$E$11+'01_Доходи'!X890*Законод!$F$11+'01_Доходи'!Y890*Законод!$G$11,0)))</f>
        <v>0</v>
      </c>
      <c r="AQ890" s="210">
        <f ca="1">IF(B885="Лікар загальної практики - сімейний лікар",AB890*Законод!$C$11+'01_Доходи'!AC890*Законод!$D$11+'01_Доходи'!AD890*Законод!$E$11+'01_Доходи'!AE890*Законод!$F$11+'01_Доходи'!AF890*Законод!$G$11,IF(B885="Лікар-педіатр",AB890*Законод!$C$11+'01_Доходи'!AC890*Законод!$D$11,IF(B885="Лікар-терапевт",'01_Доходи'!AD890*Законод!$E$11+'01_Доходи'!AE890*Законод!$F$11+'01_Доходи'!AF890*Законод!$G$11,0)))</f>
        <v>0</v>
      </c>
      <c r="AR890" s="211">
        <f t="shared" ref="AR890:AR896" si="95">SUM(AN890:AQ890)</f>
        <v>0</v>
      </c>
    </row>
    <row r="891" spans="1:44" s="50" customFormat="1" ht="31.9" hidden="1" customHeight="1">
      <c r="A891" s="197"/>
      <c r="B891" s="893"/>
      <c r="C891" s="896"/>
      <c r="D891" s="912"/>
      <c r="E891" s="909"/>
      <c r="F891" s="238" t="str">
        <f ca="1">IF(B885="Лікар-педіатр",Законод!$E$17,IF(B885="Лікар загальної практики - сімейний лікар",Законод!$E$21,IF(B885="Лікар-терапевт",Законод!$E$25,"х")))</f>
        <v>х</v>
      </c>
      <c r="G891" s="889" t="s">
        <v>346</v>
      </c>
      <c r="H891" s="890"/>
      <c r="I891" s="890"/>
      <c r="J891" s="890"/>
      <c r="K891" s="891"/>
      <c r="L891" s="196">
        <f ca="1">IF($B$885="Лікар загальної практики - сімейний лікар",IF(L889&lt;Законод!$C$22,0,(IF(AND(L889&gt;=Законод!$E$22,L889&lt;=Законод!$E$23),L889-Законод!$C$22,IF('01_Доходи'!L889&gt;=Законод!$F$22,Законод!$E$24,0)))),IF($B$885="Лікар-педіатр",IF(L889&lt;Законод!$C$18,0,(IF(AND(L889&gt;=Законод!$E$18,L889&lt;=Законод!$E$19),L889-Законод!$C$18,IF('01_Доходи'!L889&gt;=Законод!$F$18,Законод!$E$20,0)))),IF($B$885="Лікар-терапевт",IF(L889&lt;Законод!$C$26,0,(IF(AND(L889&gt;=Законод!$E$26,L889&lt;=Законод!$E$27),L889-Законод!$C$26,IF('01_Доходи'!L889&gt;=Законод!$F$26,Законод!$E$28,0)))),0)))</f>
        <v>0</v>
      </c>
      <c r="M891" s="930"/>
      <c r="N891" s="889" t="s">
        <v>346</v>
      </c>
      <c r="O891" s="890"/>
      <c r="P891" s="890"/>
      <c r="Q891" s="890"/>
      <c r="R891" s="891"/>
      <c r="S891" s="196">
        <f ca="1">IF($B$885="Лікар загальної практики - сімейний лікар",IF(S889&lt;Законод!$C$22,0,(IF(AND(S889&gt;=Законод!$E$22,S889&lt;=Законод!$E$23),S889-Законод!$C$22,IF('01_Доходи'!S889&gt;=Законод!$F$22,Законод!$E$24,0)))),IF($B$885="Лікар-педіатр",IF(S889&lt;Законод!$C$18,0,(IF(AND(S889&gt;=Законод!$E$18,S889&lt;=Законод!$E$19),S889-Законод!$C$18,IF('01_Доходи'!S889&gt;=Законод!$F$18,Законод!$E$20,0)))),IF($B$885="Лікар-терапевт",IF(S889&lt;Законод!$C$26,0,(IF(AND(S889&gt;=Законод!$E$26,S889&lt;=Законод!$E$27),S889-Законод!$C$26,IF('01_Доходи'!S889&gt;=Законод!$F$26,Законод!$E$28,0)))),0)))</f>
        <v>0</v>
      </c>
      <c r="T891" s="930"/>
      <c r="U891" s="889" t="s">
        <v>346</v>
      </c>
      <c r="V891" s="890"/>
      <c r="W891" s="890"/>
      <c r="X891" s="890"/>
      <c r="Y891" s="891"/>
      <c r="Z891" s="196">
        <f ca="1">IF($B$885="Лікар загальної практики - сімейний лікар",IF(Z889&lt;Законод!$C$22,0,(IF(AND(Z889&gt;=Законод!$E$22,Z889&lt;=Законод!$E$23),Z889-Законод!$C$22,IF('01_Доходи'!Z889&gt;=Законод!$F$22,Законод!$E$24,0)))),IF($B$885="Лікар-педіатр",IF(Z889&lt;Законод!$C$18,0,(IF(AND(Z889&gt;=Законод!$E$18,Z889&lt;=Законод!$E$19),Z889-Законод!$C$18,IF('01_Доходи'!Z889&gt;=Законод!$F$18,Законод!$E$20,0)))),IF($B$885="Лікар-терапевт",IF(Z889&lt;Законод!$C$26,0,(IF(AND(Z889&gt;=Законод!$E$26,Z889&lt;=Законод!$E$27),Z889-Законод!$C$26,IF('01_Доходи'!Z889&gt;=Законод!$F$26,Законод!$E$28,0)))),0)))</f>
        <v>0</v>
      </c>
      <c r="AA891" s="930"/>
      <c r="AB891" s="889" t="s">
        <v>346</v>
      </c>
      <c r="AC891" s="890"/>
      <c r="AD891" s="890"/>
      <c r="AE891" s="890"/>
      <c r="AF891" s="891"/>
      <c r="AG891" s="196">
        <f ca="1">IF($B$885="Лікар загальної практики - сімейний лікар",IF(AG889&lt;Законод!$C$22,0,(IF(AND(AG889&gt;=Законод!$E$22,AG889&lt;=Законод!$E$23),AG889-Законод!$C$22,IF('01_Доходи'!AG889&gt;=Законод!$F$22,Законод!$E$24,0)))),IF($B$885="Лікар-педіатр",IF(AG889&lt;Законод!$C$18,0,(IF(AND(AG889&gt;=Законод!$E$18,AG889&lt;=Законод!$E$19),AG889-Законод!$C$18,IF('01_Доходи'!AG889&gt;=Законод!$F$18,Законод!$E$20,0)))),IF($B$885="Лікар-терапевт",IF(AG889&lt;Законод!$C$26,0,(IF(AND(AG889&gt;=Законод!$E$26,AG889&lt;=Законод!$E$27),AG889-Законод!$C$26,IF('01_Доходи'!AG889&gt;=Законод!$F$26,Законод!$E$28,0)))),0)))</f>
        <v>0</v>
      </c>
      <c r="AH891" s="930"/>
      <c r="AI891" s="201"/>
      <c r="AJ891" s="933"/>
      <c r="AK891" s="927"/>
      <c r="AL891" s="927"/>
      <c r="AM891" s="898" t="s">
        <v>375</v>
      </c>
      <c r="AN891" s="210">
        <f ca="1">IF(B885="Лікар загальної практики - сімейний лікар",L891*Законод!$C$9/4*Законод!$E$16,IF(B885="Лікар-педіатр",L891*Законод!$C$9/4*Законод!$E$16,IF(B885="Лікар-терапевт",L891*Законод!$C$9/4*Законод!$E$16,0)))</f>
        <v>0</v>
      </c>
      <c r="AO891" s="210">
        <f ca="1">IF(B885="Лікар загальної практики - сімейний лікар",S891*Законод!$C$9/4*Законод!$E$16,IF(B885="Лікар-педіатр",S891*Законод!$C$9/4*Законод!$E$16,IF(B885="Лікар-терапевт",S891*Законод!$C$9/4*Законод!$E$16,0)))</f>
        <v>0</v>
      </c>
      <c r="AP891" s="210">
        <f ca="1">IF(B885="Лікар загальної практики - сімейний лікар",Z891*Законод!$C$9/4*Законод!$E$16,IF(B885="Лікар-педіатр",Z891*Законод!$C$9/4*Законод!$E$16,IF(B885="Лікар-терапевт",Z891*Законод!$C$9/4*Законод!$E$16,0)))</f>
        <v>0</v>
      </c>
      <c r="AQ891" s="210">
        <f ca="1">IF(B885="Лікар загальної практики - сімейний лікар",AG891*Законод!$C$9/4*Законод!$E$16,IF(B885="Лікар-педіатр",AG891*Законод!$C$9/4*Законод!$E$16,IF(B885="Лікар-терапевт",AG891*Законод!$C$9/4*Законод!$E$16,0)))</f>
        <v>0</v>
      </c>
      <c r="AR891" s="211">
        <f t="shared" si="95"/>
        <v>0</v>
      </c>
    </row>
    <row r="892" spans="1:44" s="50" customFormat="1" ht="31.9" hidden="1" customHeight="1">
      <c r="A892" s="197"/>
      <c r="B892" s="893"/>
      <c r="C892" s="896"/>
      <c r="D892" s="912"/>
      <c r="E892" s="909"/>
      <c r="F892" s="238" t="str">
        <f ca="1">IF(B885="Лікар-педіатр",Законод!$F$17,IF(B885="Лікар загальної практики - сімейний лікар",Законод!$F$21,IF(B885="Лікар-терапевт",Законод!$F$25,"х")))</f>
        <v>х</v>
      </c>
      <c r="G892" s="889" t="s">
        <v>346</v>
      </c>
      <c r="H892" s="890"/>
      <c r="I892" s="890"/>
      <c r="J892" s="890"/>
      <c r="K892" s="891"/>
      <c r="L892" s="196">
        <f ca="1">IF($B$885="Лікар загальної практики - сімейний лікар",IF(L889&lt;Законод!$C$22,0,(IF(AND(L889&gt;=Законод!$F$22,L889&lt;=Законод!$F$23),L889-Законод!$E$23,IF('01_Доходи'!L889&gt;=Законод!$G$22,Законод!$F$24,0)))),IF($B$885="Лікар-педіатр",IF(L889&lt;Законод!$C$18,0,(IF(AND(L889&gt;=Законод!$F$18,L889&lt;=Законод!$F$19),L889-Законод!$E$19,IF('01_Доходи'!L889&gt;=Законод!$G$18,Законод!$F$20,0)))),IF($B$885="Лікар-терапевт",IF(L889&lt;Законод!$C$26,0,(IF(AND(L889&gt;=Законод!$F$26,L889&lt;=Законод!$F$27),L889-Законод!$E$27,IF('01_Доходи'!L889&gt;=Законод!$G$26,Законод!$F$28,0)))),0)))</f>
        <v>0</v>
      </c>
      <c r="M892" s="930"/>
      <c r="N892" s="889" t="s">
        <v>346</v>
      </c>
      <c r="O892" s="890"/>
      <c r="P892" s="890"/>
      <c r="Q892" s="890"/>
      <c r="R892" s="891"/>
      <c r="S892" s="196">
        <f ca="1">IF($B$885="Лікар загальної практики - сімейний лікар",IF(S889&lt;Законод!$C$22,0,(IF(AND(S889&gt;=Законод!$F$22,S889&lt;=Законод!$F$23),S889-Законод!$E$23,IF('01_Доходи'!S889&gt;=Законод!$G$22,Законод!$F$24,0)))),IF($B$885="Лікар-педіатр",IF(S889&lt;Законод!$C$18,0,(IF(AND(S889&gt;=Законод!$F$18,S889&lt;=Законод!$F$19),S889-Законод!$E$19,IF('01_Доходи'!S889&gt;=Законод!$G$18,Законод!$F$20,0)))),IF($B$885="Лікар-терапевт",IF(S889&lt;Законод!$C$26,0,(IF(AND(S889&gt;=Законод!$F$26,S889&lt;=Законод!$F$27),S889-Законод!$E$27,IF('01_Доходи'!S889&gt;=Законод!$G$26,Законод!$F$28,0)))),0)))</f>
        <v>0</v>
      </c>
      <c r="T892" s="930"/>
      <c r="U892" s="889" t="s">
        <v>346</v>
      </c>
      <c r="V892" s="890"/>
      <c r="W892" s="890"/>
      <c r="X892" s="890"/>
      <c r="Y892" s="891"/>
      <c r="Z892" s="196">
        <f ca="1">IF($B$885="Лікар загальної практики - сімейний лікар",IF(Z889&lt;Законод!$C$22,0,(IF(AND(Z889&gt;=Законод!$F$22,Z889&lt;=Законод!$F$23),Z889-Законод!$E$23,IF('01_Доходи'!Z889&gt;=Законод!$G$22,Законод!$F$24,0)))),IF($B$885="Лікар-педіатр",IF(Z889&lt;Законод!$C$18,0,(IF(AND(Z889&gt;=Законод!$F$18,Z889&lt;=Законод!$F$19),Z889-Законод!$E$19,IF('01_Доходи'!Z889&gt;=Законод!$G$18,Законод!$F$20,0)))),IF($B$885="Лікар-терапевт",IF(Z889&lt;Законод!$C$26,0,(IF(AND(Z889&gt;=Законод!$F$26,Z889&lt;=Законод!$F$27),Z889-Законод!$E$27,IF('01_Доходи'!Z889&gt;=Законод!$G$26,Законод!$F$28,0)))),0)))</f>
        <v>0</v>
      </c>
      <c r="AA892" s="930"/>
      <c r="AB892" s="889" t="s">
        <v>346</v>
      </c>
      <c r="AC892" s="890"/>
      <c r="AD892" s="890"/>
      <c r="AE892" s="890"/>
      <c r="AF892" s="891"/>
      <c r="AG892" s="196">
        <f ca="1">IF($B$885="Лікар загальної практики - сімейний лікар",IF(AG889&lt;Законод!$C$22,0,(IF(AND(AG889&gt;=Законод!$F$22,AG889&lt;=Законод!$F$23),AG889-Законод!$E$23,IF('01_Доходи'!AG889&gt;=Законод!$G$22,Законод!$F$24,0)))),IF($B$885="Лікар-педіатр",IF(AG889&lt;Законод!$C$18,0,(IF(AND(AG889&gt;=Законод!$F$18,AG889&lt;=Законод!$F$19),AG889-Законод!$E$19,IF('01_Доходи'!AG889&gt;=Законод!$G$18,Законод!$F$20,0)))),IF($B$885="Лікар-терапевт",IF(AG889&lt;Законод!$C$26,0,(IF(AND(AG889&gt;=Законод!$F$26,AG889&lt;=Законод!$F$27),AG889-Законод!$E$27,IF('01_Доходи'!AG889&gt;=Законод!$G$26,Законод!$F$28,0)))),0)))</f>
        <v>0</v>
      </c>
      <c r="AH892" s="930"/>
      <c r="AI892" s="201"/>
      <c r="AJ892" s="933"/>
      <c r="AK892" s="927"/>
      <c r="AL892" s="927"/>
      <c r="AM892" s="899"/>
      <c r="AN892" s="210">
        <f ca="1">IF(B885="Лікар загальної практики - сімейний лікар",L892*Законод!$C$9/4*Законод!$F$16,IF(B885="Лікар-педіатр",L892*Законод!$C$9/4*Законод!$F$16,IF(B885="Лікар-терапевт",L892*Законод!$C$9/4*Законод!$F$16,0)))</f>
        <v>0</v>
      </c>
      <c r="AO892" s="210">
        <f ca="1">IF(B885="Лікар загальної практики - сімейний лікар",S892*Законод!$C$9/4*Законод!$F$16,IF(B885="Лікар-педіатр",S892*Законод!$C$9/4*Законод!$F$16,IF(B885="Лікар-терапевт",S892*Законод!$C$9/4*Законод!$F$16,0)))</f>
        <v>0</v>
      </c>
      <c r="AP892" s="210">
        <f ca="1">IF(B885="Лікар загальної практики - сімейний лікар",Z892*Законод!$C$9/4*Законод!$F$16,IF(B885="Лікар-педіатр",Z892*Законод!$C$9/4*Законод!$F$16,IF(B885="Лікар-терапевт",Z892*Законод!$C$9/4*Законод!$F$16,0)))</f>
        <v>0</v>
      </c>
      <c r="AQ892" s="210">
        <f ca="1">IF(B885="Лікар загальної практики - сімейний лікар",AG892*Законод!$C$9/4*Законод!$F$16,IF(B885="Лікар-педіатр",AG892*Законод!$C$9/4*Законод!$F$16,IF(B885="Лікар-терапевт",AG892*Законод!$C$9/4*Законод!$F$16,0)))</f>
        <v>0</v>
      </c>
      <c r="AR892" s="211">
        <f t="shared" si="95"/>
        <v>0</v>
      </c>
    </row>
    <row r="893" spans="1:44" s="50" customFormat="1" ht="31.9" hidden="1" customHeight="1">
      <c r="A893" s="197"/>
      <c r="B893" s="893"/>
      <c r="C893" s="896"/>
      <c r="D893" s="912"/>
      <c r="E893" s="909"/>
      <c r="F893" s="238" t="str">
        <f ca="1">IF(B885="Лікар-педіатр",Законод!$G$17,IF(B885="Лікар загальної практики - сімейний лікар",Законод!$G$21,IF(B885="Лікар-терапевт",Законод!$G$25,"х")))</f>
        <v>х</v>
      </c>
      <c r="G893" s="889" t="s">
        <v>346</v>
      </c>
      <c r="H893" s="890"/>
      <c r="I893" s="890"/>
      <c r="J893" s="890"/>
      <c r="K893" s="891"/>
      <c r="L893" s="196">
        <f ca="1">IF($B$885="Лікар загальної практики - сімейний лікар",IF(L889&lt;Законод!$C$22,0,(IF(AND(L889&gt;=Законод!$G$22,L889&lt;=Законод!$G$23),L889-Законод!$F$23,IF('01_Доходи'!L889&gt;=Законод!$H$22,Законод!$G$24,0)))),IF($B$885="Лікар-педіатр",IF(L889&lt;Законод!$C$18,0,(IF(AND(L889&gt;=Законод!$G$18,L889&lt;=Законод!$G$19),L889-Законод!$F$19,IF('01_Доходи'!L889&gt;=Законод!$H$18,Законод!$G$20,0)))),IF($B$885="Лікар-терапевт",IF(L889&lt;Законод!$C$26,0,(IF(AND(L889&gt;=Законод!$G$26,L889&lt;=Законод!$G$27),L889-Законод!$F$27,IF('01_Доходи'!L889&gt;=Законод!$H$26,Законод!$G$28,0)))),0)))</f>
        <v>0</v>
      </c>
      <c r="M893" s="930"/>
      <c r="N893" s="889" t="s">
        <v>346</v>
      </c>
      <c r="O893" s="890"/>
      <c r="P893" s="890"/>
      <c r="Q893" s="890"/>
      <c r="R893" s="891"/>
      <c r="S893" s="196">
        <f ca="1">IF($B$885="Лікар загальної практики - сімейний лікар",IF(S889&lt;Законод!$C$22,0,(IF(AND(S889&gt;=Законод!$G$22,S889&lt;=Законод!$G$23),S889-Законод!$F$23,IF('01_Доходи'!S889&gt;=Законод!$H$22,Законод!$G$24,0)))),IF($B$885="Лікар-педіатр",IF(S889&lt;Законод!$C$18,0,(IF(AND(S889&gt;=Законод!$G$18,S889&lt;=Законод!$G$19),S889-Законод!$F$19,IF('01_Доходи'!S889&gt;=Законод!$H$18,Законод!$G$20,0)))),IF($B$885="Лікар-терапевт",IF(S889&lt;Законод!$C$26,0,(IF(AND(S889&gt;=Законод!$G$26,S889&lt;=Законод!$G$27),S889-Законод!$F$27,IF('01_Доходи'!S889&gt;=Законод!$H$26,Законод!$G$28,0)))),0)))</f>
        <v>0</v>
      </c>
      <c r="T893" s="930"/>
      <c r="U893" s="889" t="s">
        <v>346</v>
      </c>
      <c r="V893" s="890"/>
      <c r="W893" s="890"/>
      <c r="X893" s="890"/>
      <c r="Y893" s="891"/>
      <c r="Z893" s="196">
        <f ca="1">IF($B$885="Лікар загальної практики - сімейний лікар",IF(Z889&lt;Законод!$C$22,0,(IF(AND(Z889&gt;=Законод!$G$22,Z889&lt;=Законод!$G$23),Z889-Законод!$F$23,IF('01_Доходи'!Z889&gt;=Законод!$H$22,Законод!$G$24,0)))),IF($B$885="Лікар-педіатр",IF(Z889&lt;Законод!$C$18,0,(IF(AND(Z889&gt;=Законод!$G$18,Z889&lt;=Законод!$G$19),Z889-Законод!$F$19,IF('01_Доходи'!Z889&gt;=Законод!$H$18,Законод!$G$20,0)))),IF($B$885="Лікар-терапевт",IF(Z889&lt;Законод!$C$26,0,(IF(AND(Z889&gt;=Законод!$G$26,Z889&lt;=Законод!$G$27),Z889-Законод!$F$27,IF('01_Доходи'!Z889&gt;=Законод!$H$26,Законод!$G$28,0)))),0)))</f>
        <v>0</v>
      </c>
      <c r="AA893" s="930"/>
      <c r="AB893" s="889" t="s">
        <v>346</v>
      </c>
      <c r="AC893" s="890"/>
      <c r="AD893" s="890"/>
      <c r="AE893" s="890"/>
      <c r="AF893" s="891"/>
      <c r="AG893" s="196">
        <f ca="1">IF($B$885="Лікар загальної практики - сімейний лікар",IF(AG889&lt;Законод!$C$22,0,(IF(AND(AG889&gt;=Законод!$G$22,AG889&lt;=Законод!$G$23),AG889-Законод!$F$23,IF('01_Доходи'!AG889&gt;=Законод!$H$22,Законод!$G$24,0)))),IF($B$885="Лікар-педіатр",IF(AG889&lt;Законод!$C$18,0,(IF(AND(AG889&gt;=Законод!$G$18,AG889&lt;=Законод!$G$19),AG889-Законод!$F$19,IF('01_Доходи'!AG889&gt;=Законод!$H$18,Законод!$G$20,0)))),IF($B$885="Лікар-терапевт",IF(AG889&lt;Законод!$C$26,0,(IF(AND(AG889&gt;=Законод!$G$26,AG889&lt;=Законод!$G$27),AG889-Законод!$F$27,IF('01_Доходи'!AG889&gt;=Законод!$H$26,Законод!$G$28,0)))),0)))</f>
        <v>0</v>
      </c>
      <c r="AH893" s="930"/>
      <c r="AI893" s="201"/>
      <c r="AJ893" s="933"/>
      <c r="AK893" s="927"/>
      <c r="AL893" s="927"/>
      <c r="AM893" s="899"/>
      <c r="AN893" s="210">
        <f ca="1">IF(B885="Лікар загальної практики - сімейний лікар",L893*Законод!$C$9/4*Законод!$G$16,IF(B885="Лікар-педіатр",L893*Законод!$C$9/4*Законод!$G$16,IF(B885="Лікар-терапевт",L893*Законод!$C$9/4*Законод!$G$16,0)))</f>
        <v>0</v>
      </c>
      <c r="AO893" s="210">
        <f ca="1">IF(B885="Лікар загальної практики - сімейний лікар",S893*Законод!$C$9/4*Законод!$G$16,IF(B885="Лікар-педіатр",S893*Законод!$C$9/4*Законод!$G$16,IF(B885="Лікар-терапевт",S893*Законод!$C$9/4*Законод!$G$16,0)))</f>
        <v>0</v>
      </c>
      <c r="AP893" s="210">
        <f ca="1">IF(B885="Лікар загальної практики - сімейний лікар",Z893*Законод!$C$9/4*Законод!$G$16,IF(B885="Лікар-педіатр",Z893*Законод!$C$9/4*Законод!$G$16,IF(B885="Лікар-терапевт",Z893*Законод!$C$9/4*Законод!$G$16,0)))</f>
        <v>0</v>
      </c>
      <c r="AQ893" s="210">
        <f ca="1">IF(B885="Лікар загальної практики - сімейний лікар",AG893*Законод!$C$9/4*Законод!$G$16,IF(B885="Лікар-педіатр",AG893*Законод!$C$9/4*Законод!$G$16,IF(B885="Лікар-терапевт",AG893*Законод!$C$9/4*Законод!$G$16,0)))</f>
        <v>0</v>
      </c>
      <c r="AR893" s="211">
        <f t="shared" si="95"/>
        <v>0</v>
      </c>
    </row>
    <row r="894" spans="1:44" s="50" customFormat="1" ht="31.9" hidden="1" customHeight="1">
      <c r="A894" s="197"/>
      <c r="B894" s="893"/>
      <c r="C894" s="896"/>
      <c r="D894" s="912"/>
      <c r="E894" s="909"/>
      <c r="F894" s="238" t="str">
        <f ca="1">IF(B885="Лікар-педіатр",Законод!$H$17,IF(B885="Лікар загальної практики - сімейний лікар",Законод!$H$21,IF(B885="Лікар-терапевт",Законод!$H$25,"х")))</f>
        <v>х</v>
      </c>
      <c r="G894" s="889" t="s">
        <v>346</v>
      </c>
      <c r="H894" s="890"/>
      <c r="I894" s="890"/>
      <c r="J894" s="890"/>
      <c r="K894" s="891"/>
      <c r="L894" s="196">
        <f ca="1">IF($B$885="Лікар загальної практики - сімейний лікар",IF(L889&lt;Законод!$C$22,0,(IF(AND(L889&gt;=Законод!$H$22,L889&lt;=Законод!$H$23),L889-Законод!$G$23,IF('01_Доходи'!L889&gt;=Законод!$I$22,Законод!$H$24,0)))),IF($B$885="Лікар-педіатр",IF(L889&lt;Законод!$C$18,0,(IF(AND(L889&gt;=Законод!$H$18,L889&lt;=Законод!$H$19),L889-Законод!$G$19,IF('01_Доходи'!L889&gt;=Законод!$I$18,Законод!$H$20,0)))),IF($B$885="Лікар-терапевт",IF(L889&lt;Законод!$C$26,0,(IF(AND(L889&gt;=Законод!$H$26,L889&lt;=Законод!$H$27),L889-Законод!$G$27,IF(L889&gt;=Законод!$I$26,Законод!$H$28,0)))),0)))</f>
        <v>0</v>
      </c>
      <c r="M894" s="930"/>
      <c r="N894" s="889" t="s">
        <v>346</v>
      </c>
      <c r="O894" s="890"/>
      <c r="P894" s="890"/>
      <c r="Q894" s="890"/>
      <c r="R894" s="891"/>
      <c r="S894" s="196">
        <f ca="1">IF($B$885="Лікар загальної практики - сімейний лікар",IF(S889&lt;Законод!$C$22,0,(IF(AND(S889&gt;=Законод!$H$22,S889&lt;=Законод!$H$23),S889-Законод!$G$23,IF('01_Доходи'!S889&gt;=Законод!$I$22,Законод!$H$24,0)))),IF($B$885="Лікар-педіатр",IF(S889&lt;Законод!$C$18,0,(IF(AND(S889&gt;=Законод!$H$18,S889&lt;=Законод!$H$19),S889-Законод!$G$19,IF('01_Доходи'!S889&gt;=Законод!$I$18,Законод!$H$20,0)))),IF($B$885="Лікар-терапевт",IF(S889&lt;Законод!$C$26,0,(IF(AND(S889&gt;=Законод!$H$26,S889&lt;=Законод!$H$27),S889-Законод!$G$27,IF(S889&gt;=Законод!$I$26,Законод!$H$28,0)))),0)))</f>
        <v>0</v>
      </c>
      <c r="T894" s="930"/>
      <c r="U894" s="889" t="s">
        <v>346</v>
      </c>
      <c r="V894" s="890"/>
      <c r="W894" s="890"/>
      <c r="X894" s="890"/>
      <c r="Y894" s="891"/>
      <c r="Z894" s="196">
        <f ca="1">IF($B$885="Лікар загальної практики - сімейний лікар",IF(Z889&lt;Законод!$C$22,0,(IF(AND(Z889&gt;=Законод!$H$22,Z889&lt;=Законод!$H$23),Z889-Законод!$G$23,IF('01_Доходи'!Z889&gt;=Законод!$I$22,Законод!$H$24,0)))),IF($B$885="Лікар-педіатр",IF(Z889&lt;Законод!$C$18,0,(IF(AND(Z889&gt;=Законод!$H$18,Z889&lt;=Законод!$H$19),Z889-Законод!$G$19,IF('01_Доходи'!Z889&gt;=Законод!$I$18,Законод!$H$20,0)))),IF($B$885="Лікар-терапевт",IF(Z889&lt;Законод!$C$26,0,(IF(AND(Z889&gt;=Законод!$H$26,Z889&lt;=Законод!$H$27),Z889-Законод!$G$27,IF(Z889&gt;=Законод!$I$26,Законод!$H$28,0)))),0)))</f>
        <v>0</v>
      </c>
      <c r="AA894" s="930"/>
      <c r="AB894" s="889" t="s">
        <v>346</v>
      </c>
      <c r="AC894" s="890"/>
      <c r="AD894" s="890"/>
      <c r="AE894" s="890"/>
      <c r="AF894" s="891"/>
      <c r="AG894" s="196">
        <f ca="1">IF($B$885="Лікар загальної практики - сімейний лікар",IF(AG889&lt;Законод!$C$22,0,(IF(AND(AG889&gt;=Законод!$H$22,AG889&lt;=Законод!$H$23),AG889-Законод!$G$23,IF('01_Доходи'!AG889&gt;=Законод!$I$22,Законод!$H$24,0)))),IF($B$885="Лікар-педіатр",IF(AG889&lt;Законод!$C$18,0,(IF(AND(AG889&gt;=Законод!$H$18,AG889&lt;=Законод!$H$19),AG889-Законод!$G$19,IF('01_Доходи'!AG889&gt;=Законод!$I$18,Законод!$H$20,0)))),IF($B$885="Лікар-терапевт",IF(AG889&lt;Законод!$C$26,0,(IF(AND(AG889&gt;=Законод!$H$26,AG889&lt;=Законод!$H$27),AG889-Законод!$G$27,IF(AG889&gt;=Законод!$I$26,Законод!$H$28,0)))),0)))</f>
        <v>0</v>
      </c>
      <c r="AH894" s="930"/>
      <c r="AI894" s="201"/>
      <c r="AJ894" s="933"/>
      <c r="AK894" s="927"/>
      <c r="AL894" s="927"/>
      <c r="AM894" s="899"/>
      <c r="AN894" s="210">
        <f ca="1">IF(B885="Лікар загальної практики - сімейний лікар",L894*Законод!$C$9/4*Законод!$H$16,IF(B885="Лікар-педіатр",L894*Законод!$C$9/4*Законод!$H$16,IF(B885="Лікар-терапевт",L894*Законод!$C$9/4*Законод!$H$16,0)))</f>
        <v>0</v>
      </c>
      <c r="AO894" s="210">
        <f ca="1">IF(B885="Лікар загальної практики - сімейний лікар",S894*Законод!$C$9/4*Законод!$H$16,IF(B885="Лікар-педіатр",S894*Законод!$C$9/4*Законод!$H$16,IF(B885="Лікар-терапевт",S894*Законод!$C$9/4*Законод!$H$16,0)))</f>
        <v>0</v>
      </c>
      <c r="AP894" s="210">
        <f ca="1">IF(B885="Лікар загальної практики - сімейний лікар",Z894*Законод!$C$9/4*Законод!$H$16,IF(B885="Лікар-педіатр",Z894*Законод!$C$9/4*Законод!$H$16,IF(B885="Лікар-терапевт",Z894*Законод!$C$9/4*Законод!$H$16,0)))</f>
        <v>0</v>
      </c>
      <c r="AQ894" s="210">
        <f ca="1">IF(B885="Лікар загальної практики - сімейний лікар",AG894*Законод!$C$9/4*Законод!$H$16,IF(B885="Лікар-педіатр",AG894*Законод!$C$9/4*Законод!$H$16,IF(B885="Лікар-терапевт",AG894*Законод!$C$9/4*Законод!$H$16,0)))</f>
        <v>0</v>
      </c>
      <c r="AR894" s="211">
        <f t="shared" si="95"/>
        <v>0</v>
      </c>
    </row>
    <row r="895" spans="1:44" s="50" customFormat="1" ht="31.9" hidden="1" customHeight="1">
      <c r="A895" s="197"/>
      <c r="B895" s="893"/>
      <c r="C895" s="896"/>
      <c r="D895" s="912"/>
      <c r="E895" s="909"/>
      <c r="F895" s="238" t="str">
        <f ca="1">IF(B885="Лікар-педіатр",Законод!$I$17,IF(B885="Лікар загальної практики - сімейний лікар",Законод!$I$21,IF(B885="Лікар-терапевт",Законод!$I$25,"х")))</f>
        <v>х</v>
      </c>
      <c r="G895" s="889" t="s">
        <v>346</v>
      </c>
      <c r="H895" s="890"/>
      <c r="I895" s="890"/>
      <c r="J895" s="890"/>
      <c r="K895" s="891"/>
      <c r="L895" s="196">
        <f ca="1">IF($B$885="Лікар загальної практики - сімейний лікар",IF(L889&lt;Законод!$C$22,0,(IF(AND(L889&gt;=Законод!$I$22,L889&lt;=Законод!$I$23),L889-Законод!$H$23,IF('01_Доходи'!L889&gt;=Законод!$I$22,Законод!$I$24,0)))),IF($B$885="Лікар-педіатр",IF(L889&lt;Законод!$C$18,0,(IF(AND(L889&gt;=Законод!$I$18,L889&lt;=Законод!$I$19),L889-Законод!$H$19,IF('01_Доходи'!L889&gt;=Законод!$I$18,Законод!$H$20,0)))),IF($B$885="Лікар-терапевт",IF(L889&lt;Законод!$C$26,0,(IF(AND(L889&gt;=Законод!$I$26,L889&lt;=Законод!$I$27),L889-Законод!$H$27,IF('01_Доходи'!L889&gt;=Законод!$I$26,Законод!$H$28,0)))),0)))</f>
        <v>0</v>
      </c>
      <c r="M895" s="930"/>
      <c r="N895" s="889" t="s">
        <v>346</v>
      </c>
      <c r="O895" s="890"/>
      <c r="P895" s="890"/>
      <c r="Q895" s="890"/>
      <c r="R895" s="891"/>
      <c r="S895" s="196">
        <f ca="1">IF($B$885="Лікар загальної практики - сімейний лікар",IF(S889&lt;Законод!$C$22,0,(IF(AND(S889&gt;=Законод!$I$22,S889&lt;=Законод!$I$23),S889-Законод!$H$23,IF('01_Доходи'!S889&gt;=Законод!$I$22,Законод!$I$24,0)))),IF($B$885="Лікар-педіатр",IF(S889&lt;Законод!$C$18,0,(IF(AND(S889&gt;=Законод!$I$18,S889&lt;=Законод!$I$19),S889-Законод!$H$19,IF('01_Доходи'!S889&gt;=Законод!$I$18,Законод!$H$20,0)))),IF($B$885="Лікар-терапевт",IF(S889&lt;Законод!$C$26,0,(IF(AND(S889&gt;=Законод!$I$26,S889&lt;=Законод!$I$27),S889-Законод!$H$27,IF('01_Доходи'!S889&gt;=Законод!$I$26,Законод!$H$28,0)))),0)))</f>
        <v>0</v>
      </c>
      <c r="T895" s="930"/>
      <c r="U895" s="889" t="s">
        <v>346</v>
      </c>
      <c r="V895" s="890"/>
      <c r="W895" s="890"/>
      <c r="X895" s="890"/>
      <c r="Y895" s="891"/>
      <c r="Z895" s="196">
        <f ca="1">IF($B$885="Лікар загальної практики - сімейний лікар",IF(Z889&lt;Законод!$C$22,0,(IF(AND(Z889&gt;=Законод!$I$22,Z889&lt;=Законод!$I$23),Z889-Законод!$H$23,IF('01_Доходи'!Z889&gt;=Законод!$I$22,Законод!$I$24,0)))),IF($B$885="Лікар-педіатр",IF(Z889&lt;Законод!$C$18,0,(IF(AND(Z889&gt;=Законод!$I$18,Z889&lt;=Законод!$I$19),Z889-Законод!$H$19,IF('01_Доходи'!Z889&gt;=Законод!$I$18,Законод!$H$20,0)))),IF($B$885="Лікар-терапевт",IF(Z889&lt;Законод!$C$26,0,(IF(AND(Z889&gt;=Законод!$I$26,Z889&lt;=Законод!$I$27),Z889-Законод!$H$27,IF('01_Доходи'!Z889&gt;=Законод!$I$26,Законод!$H$28,0)))),0)))</f>
        <v>0</v>
      </c>
      <c r="AA895" s="930"/>
      <c r="AB895" s="889" t="s">
        <v>346</v>
      </c>
      <c r="AC895" s="890"/>
      <c r="AD895" s="890"/>
      <c r="AE895" s="890"/>
      <c r="AF895" s="891"/>
      <c r="AG895" s="196">
        <f ca="1">IF($B$885="Лікар загальної практики - сімейний лікар",IF(AG889&lt;Законод!$C$22,0,(IF(AND(AG889&gt;=Законод!$I$22,AG889&lt;=Законод!$I$23),AG889-Законод!$H$23,IF('01_Доходи'!AG889&gt;=Законод!$I$22,Законод!$I$24,0)))),IF($B$885="Лікар-педіатр",IF(AG889&lt;Законод!$C$18,0,(IF(AND(AG889&gt;=Законод!$I$18,AG889&lt;=Законод!$I$19),AG889-Законод!$H$19,IF('01_Доходи'!AG889&gt;=Законод!$I$18,Законод!$H$20,0)))),IF($B$885="Лікар-терапевт",IF(AG889&lt;Законод!$C$26,0,(IF(AND(AG889&gt;=Законод!$I$26,AG889&lt;=Законод!$I$27),AG889-Законод!$H$27,IF('01_Доходи'!AG889&gt;=Законод!$I$26,Законод!$H$28,0)))),0)))</f>
        <v>0</v>
      </c>
      <c r="AH895" s="930"/>
      <c r="AI895" s="201"/>
      <c r="AJ895" s="933"/>
      <c r="AK895" s="927"/>
      <c r="AL895" s="927"/>
      <c r="AM895" s="899"/>
      <c r="AN895" s="210">
        <f ca="1">IF(B885="Лікар загальної практики - сімейний лікар",L895*Законод!$C$9/4*Законод!$I$16,IF(B885="Лікар-педіатр",L895*Законод!$C$9/4*Законод!$I$16,IF(B885="Лікар-терапевт",L895*Законод!$C$9/4*Законод!$I$16,0)))</f>
        <v>0</v>
      </c>
      <c r="AO895" s="210">
        <f ca="1">IF(B885="Лікар загальної практики - сімейний лікар",S895*Законод!$C$9/4*Законод!$I$16,IF(B885="Лікар-педіатр",S895*Законод!$C$9/4*Законод!$I$16,IF(B885="Лікар-терапевт",S895*Законод!$C$9/4*Законод!$I$16,0)))</f>
        <v>0</v>
      </c>
      <c r="AP895" s="210">
        <f ca="1">IF(B885="Лікар загальної практики - сімейний лікар",Z895*Законод!$C$9/4*Законод!$I$16,IF(B885="Лікар-педіатр",Z895*Законод!$C$9/4*Законод!$I$16,IF(B885="Лікар-терапевт",Z895*Законод!$C$9/4*Законод!$I$16,0)))</f>
        <v>0</v>
      </c>
      <c r="AQ895" s="210">
        <f ca="1">IF(B885="Лікар загальної практики - сімейний лікар",AG895*Законод!$C$9/4*Законод!$I$16,IF(B885="Лікар-педіатр",AG895*Законод!$C$9/4*Законод!$I$16,IF(B885="Лікар-терапевт",AG895*Законод!$C$9/4*Законод!$I$16,0)))</f>
        <v>0</v>
      </c>
      <c r="AR895" s="211">
        <f t="shared" si="95"/>
        <v>0</v>
      </c>
    </row>
    <row r="896" spans="1:44" s="218" customFormat="1" ht="31.9" hidden="1" customHeight="1" thickBot="1">
      <c r="A896" s="213"/>
      <c r="B896" s="894"/>
      <c r="C896" s="897"/>
      <c r="D896" s="913"/>
      <c r="E896" s="910"/>
      <c r="F896" s="239" t="str">
        <f ca="1">IF(B885="Лікар-педіатр",Законод!$J$17,IF(B885="Лікар загальної практики - сімейний лікар",Законод!$J$21,IF(B885="Лікар-терапевт",Законод!$J$25,"х")))</f>
        <v>х</v>
      </c>
      <c r="G896" s="935" t="s">
        <v>346</v>
      </c>
      <c r="H896" s="936"/>
      <c r="I896" s="936"/>
      <c r="J896" s="936"/>
      <c r="K896" s="937"/>
      <c r="L896" s="196">
        <f ca="1">IF($B$885="Лікар загальної практики - сімейний лікар",IF(L889&gt;=Законод!$J$22,'01_Доходи'!L889-('01_Доходи'!L890+'01_Доходи'!L891+'01_Доходи'!L892+'01_Доходи'!L893+'01_Доходи'!L894+'01_Доходи'!L895),0),IF($B$885="Лікар-педіатр",IF(L889&gt;=Законод!$J$18,'01_Доходи'!L889-('01_Доходи'!L890+'01_Доходи'!L891+'01_Доходи'!L892+'01_Доходи'!L893+'01_Доходи'!L894+'01_Доходи'!L895),0),IF($B$885="Лікар-терапевт",IF('01_Доходи'!L889&gt;=Законод!$J$26,L889-Законод!$I$27,0),0)))</f>
        <v>0</v>
      </c>
      <c r="M896" s="931"/>
      <c r="N896" s="935" t="s">
        <v>346</v>
      </c>
      <c r="O896" s="936"/>
      <c r="P896" s="936"/>
      <c r="Q896" s="936"/>
      <c r="R896" s="937"/>
      <c r="S896" s="196">
        <f ca="1">IF($B$885="Лікар загальної практики - сімейний лікар",IF(S889&gt;=Законод!$J$22,'01_Доходи'!S889-('01_Доходи'!S890+'01_Доходи'!S891+'01_Доходи'!S892+'01_Доходи'!S893+'01_Доходи'!S894+'01_Доходи'!S895),0),IF($B$885="Лікар-педіатр",IF(S889&gt;=Законод!$J$18,'01_Доходи'!S889-('01_Доходи'!S890+'01_Доходи'!S891+'01_Доходи'!S892+'01_Доходи'!S893+'01_Доходи'!S894+'01_Доходи'!S895),0),IF($B$885="Лікар-терапевт",IF('01_Доходи'!S889&gt;=Законод!$J$26,S889-Законод!$I$27,0),0)))</f>
        <v>0</v>
      </c>
      <c r="T896" s="931"/>
      <c r="U896" s="935" t="s">
        <v>346</v>
      </c>
      <c r="V896" s="936"/>
      <c r="W896" s="936"/>
      <c r="X896" s="936"/>
      <c r="Y896" s="937"/>
      <c r="Z896" s="196">
        <f ca="1">IF($B$885="Лікар загальної практики - сімейний лікар",IF(Z889&gt;=Законод!$J$22,'01_Доходи'!Z889-('01_Доходи'!Z890+'01_Доходи'!Z891+'01_Доходи'!Z892+'01_Доходи'!Z893+'01_Доходи'!Z894+'01_Доходи'!Z895),0),IF($B$885="Лікар-педіатр",IF(Z889&gt;=Законод!$J$18,'01_Доходи'!Z889-('01_Доходи'!Z890+'01_Доходи'!Z891+'01_Доходи'!Z892+'01_Доходи'!Z893+'01_Доходи'!Z894+'01_Доходи'!Z895),0),IF($B$885="Лікар-терапевт",IF('01_Доходи'!Z889&gt;=Законод!$J$26,Z889-Законод!$I$27,0),0)))</f>
        <v>0</v>
      </c>
      <c r="AA896" s="931"/>
      <c r="AB896" s="935" t="s">
        <v>346</v>
      </c>
      <c r="AC896" s="936"/>
      <c r="AD896" s="936"/>
      <c r="AE896" s="936"/>
      <c r="AF896" s="937"/>
      <c r="AG896" s="196">
        <f ca="1">IF($B$885="Лікар загальної практики - сімейний лікар",IF(AG889&gt;=Законод!$J$22,'01_Доходи'!AG889-('01_Доходи'!AG890+'01_Доходи'!AG891+'01_Доходи'!AG892+'01_Доходи'!AG893+'01_Доходи'!AG894+'01_Доходи'!AG895),0),IF($B$885="Лікар-педіатр",IF(AG889&gt;=Законод!$J$18,'01_Доходи'!AG889-('01_Доходи'!AG890+'01_Доходи'!AG891+'01_Доходи'!AG892+'01_Доходи'!AG893+'01_Доходи'!AG894+'01_Доходи'!AG895),0),IF($B$885="Лікар-терапевт",IF('01_Доходи'!AG889&gt;=Законод!$J$26,AG889-Законод!$I$27,0),0)))</f>
        <v>0</v>
      </c>
      <c r="AH896" s="931"/>
      <c r="AI896" s="215"/>
      <c r="AJ896" s="934"/>
      <c r="AK896" s="928"/>
      <c r="AL896" s="928"/>
      <c r="AM896" s="900"/>
      <c r="AN896" s="216">
        <f ca="1">IF(B885="Лікар загальної практики - сімейний лікар",L896*Законод!$C$9/4*Законод!$J$16,IF(B885="Лікар-педіатр",L896*Законод!$C$9/4*Законод!$J$16,IF(B885="Лікар-терапевт",L896*Законод!$C$9/4*Законод!$J$16,0)))</f>
        <v>0</v>
      </c>
      <c r="AO896" s="216">
        <f ca="1">IF(B885="Лікар загальної практики - сімейний лікар",S896*Законод!$C$9/4*Законод!$J$16,IF(B885="Лікар-педіатр",S896*Законод!$C$9/4*Законод!$J$16,IF(B885="Лікар-терапевт",S896*Законод!$C$9/4*Законод!$J$16,0)))</f>
        <v>0</v>
      </c>
      <c r="AP896" s="216">
        <f ca="1">IF(B885="Лікар загальної практики - сімейний лікар",S896*Законод!$C$9/4*Законод!$J$16,IF(B885="Лікар-педіатр",S896*Законод!$C$9/4*Законод!$J$16,IF(B885="Лікар-терапевт",S896*Законод!$C$9/4*Законод!$J$16,0)))</f>
        <v>0</v>
      </c>
      <c r="AQ896" s="216">
        <f ca="1">IF(B885="Лікар загальної практики - сімейний лікар",AG896*Законод!$C$9/4*Законод!$J$16,IF(B885="Лікар-педіатр",AG896*Законод!$C$9/4*Законод!$J$16,IF(B885="Лікар-терапевт",AG896*Законод!$C$9/4*Законод!$J$16,0)))</f>
        <v>0</v>
      </c>
      <c r="AR896" s="217">
        <f t="shared" si="95"/>
        <v>0</v>
      </c>
    </row>
    <row r="897" spans="1:44" s="247" customFormat="1" ht="23.45" hidden="1" customHeight="1" thickBot="1">
      <c r="A897" s="243"/>
      <c r="B897" s="244"/>
      <c r="C897" s="244"/>
      <c r="D897" s="244"/>
      <c r="E897" s="244"/>
      <c r="F897" s="245"/>
      <c r="G897" s="246"/>
      <c r="H897" s="246"/>
      <c r="L897" s="248"/>
      <c r="S897" s="248"/>
      <c r="Z897" s="248"/>
      <c r="AG897" s="248"/>
      <c r="AM897" s="249"/>
      <c r="AR897" s="250"/>
    </row>
    <row r="898" spans="1:44" s="191" customFormat="1" ht="24.6" hidden="1" customHeight="1">
      <c r="A898" s="194">
        <f>A885+1</f>
        <v>67</v>
      </c>
      <c r="B898" s="892"/>
      <c r="C898" s="895"/>
      <c r="D898" s="911"/>
      <c r="E898" s="908"/>
      <c r="F898" s="234" t="s">
        <v>582</v>
      </c>
      <c r="G898" s="196">
        <f>IF($B$898="Лікар-педіатр",G901*L898,IF($B$898="Лікар-терапевт","х",IF($B$898="Лікар загальної практики - сімейний лікар",G901*L898,0)))</f>
        <v>0</v>
      </c>
      <c r="H898" s="196">
        <f>IF($B$898="Лікар-педіатр",H901*L898,IF($B$898="Лікар-терапевт","х",IF($B$898="Лікар загальної практики - сімейний лікар",H901*L898,0)))</f>
        <v>0</v>
      </c>
      <c r="I898" s="196">
        <f>IF($B$898="Лікар-педіатр","x",IF($B$898="Лікар-терапевт",I901*L898,IF($B$898="Лікар загальної практики - сімейний лікар",I901*L898,0)))</f>
        <v>0</v>
      </c>
      <c r="J898" s="196">
        <f>IF($B$898="Лікар-педіатр","x",IF($B$898="Лікар-терапевт",J901*L898,IF($B$898="Лікар загальної практики - сімейний лікар",J901*L898,0)))</f>
        <v>0</v>
      </c>
      <c r="K898" s="196">
        <f>IF($B$898="Лікар-педіатр","x",IF($B$898="Лікар-терапевт",K901*L898,IF($B$898="Лікар загальної практики - сімейний лікар",K901*L898,0)))</f>
        <v>0</v>
      </c>
      <c r="L898" s="558"/>
      <c r="M898" s="929"/>
      <c r="N898" s="196">
        <f>IF($B$898="Лікар-педіатр",N901*S898,IF($B$898="Лікар-терапевт","х",IF($B$898="Лікар загальної практики - сімейний лікар",N901*S898,0)))</f>
        <v>0</v>
      </c>
      <c r="O898" s="196">
        <f>IF($B$898="Лікар-педіатр",O901*S898,IF($B$898="Лікар-терапевт","х",IF($B$898="Лікар загальної практики - сімейний лікар",O901*S898,0)))</f>
        <v>0</v>
      </c>
      <c r="P898" s="196">
        <f>IF($B$898="Лікар-педіатр","x",IF($B$898="Лікар-терапевт",P901*S898,IF($B$898="Лікар загальної практики - сімейний лікар",P901*S898,0)))</f>
        <v>0</v>
      </c>
      <c r="Q898" s="196">
        <f>IF($B$898="Лікар-педіатр","x",IF($B$898="Лікар-терапевт",Q901*S898,IF($B$898="Лікар загальної практики - сімейний лікар",Q901*S898,0)))</f>
        <v>0</v>
      </c>
      <c r="R898" s="196">
        <f>IF($B$898="Лікар-педіатр","x",IF($B$898="Лікар-терапевт",R901*S898,IF($B$898="Лікар загальної практики - сімейний лікар",R901*S898,0)))</f>
        <v>0</v>
      </c>
      <c r="S898" s="558"/>
      <c r="T898" s="929"/>
      <c r="U898" s="196">
        <f>IF($B$898="Лікар-педіатр",U901*Z898,IF($B$898="Лікар-терапевт","х",IF($B$898="Лікар загальної практики - сімейний лікар",U901*Z898,0)))</f>
        <v>0</v>
      </c>
      <c r="V898" s="196">
        <f>IF($B$898="Лікар-педіатр",V901*Z898,IF($B$898="Лікар-терапевт","х",IF($B$898="Лікар загальної практики - сімейний лікар",V901*Z898,0)))</f>
        <v>0</v>
      </c>
      <c r="W898" s="196">
        <f>IF($B$898="Лікар-педіатр","x",IF($B$898="Лікар-терапевт",W901*Z898,IF($B$898="Лікар загальної практики - сімейний лікар",W901*Z898,0)))</f>
        <v>0</v>
      </c>
      <c r="X898" s="196">
        <f>IF($B$898="Лікар-педіатр","x",IF($B$898="Лікар-терапевт",X901*Z898,IF($B$898="Лікар загальної практики - сімейний лікар",X901*Z898,0)))</f>
        <v>0</v>
      </c>
      <c r="Y898" s="196">
        <f>IF($B$898="Лікар-педіатр","x",IF($B$898="Лікар-терапевт",Y901*Z898,IF($B$898="Лікар загальної практики - сімейний лікар",Y901*Z898,0)))</f>
        <v>0</v>
      </c>
      <c r="Z898" s="558"/>
      <c r="AA898" s="929"/>
      <c r="AB898" s="196">
        <f>IF($B$898="Лікар-педіатр",AB901*AG898,IF($B$898="Лікар-терапевт","х",IF($B$898="Лікар загальної практики - сімейний лікар",AB901*AG898,0)))</f>
        <v>0</v>
      </c>
      <c r="AC898" s="196">
        <f>IF($B$898="Лікар-педіатр",AC901*AG898,IF($B$898="Лікар-терапевт","х",IF($B$898="Лікар загальної практики - сімейний лікар",AC901*AG898,0)))</f>
        <v>0</v>
      </c>
      <c r="AD898" s="196">
        <f>IF($B$898="Лікар-педіатр","x",IF($B$898="Лікар-терапевт",AD901*AG898,IF($B$898="Лікар загальної практики - сімейний лікар",AD901*AG898,0)))</f>
        <v>0</v>
      </c>
      <c r="AE898" s="196">
        <f>IF($B$898="Лікар-педіатр","x",IF($B$898="Лікар-терапевт",AE901*AG898,IF($B$898="Лікар загальної практики - сімейний лікар",AE901*AG898,0)))</f>
        <v>0</v>
      </c>
      <c r="AF898" s="196">
        <f>IF($B$898="Лікар-педіатр","x",IF($B$898="Лікар-терапевт",AF901*AG898,IF($B$898="Лікар загальної практики - сімейний лікар",AF901*AG898,0)))</f>
        <v>0</v>
      </c>
      <c r="AG898" s="558"/>
      <c r="AH898" s="929"/>
      <c r="AI898" s="541">
        <f>A898</f>
        <v>67</v>
      </c>
      <c r="AJ898" s="932">
        <f>B898</f>
        <v>0</v>
      </c>
      <c r="AK898" s="926">
        <f>C898</f>
        <v>0</v>
      </c>
      <c r="AL898" s="926">
        <f>D898</f>
        <v>0</v>
      </c>
      <c r="AM898" s="901" t="s">
        <v>785</v>
      </c>
      <c r="AN898" s="923">
        <f>SUM(AN903:AN909)</f>
        <v>0</v>
      </c>
      <c r="AO898" s="923">
        <f>SUM(AO903:AO909)</f>
        <v>0</v>
      </c>
      <c r="AP898" s="923">
        <f>SUM(AP903:AP909)</f>
        <v>0</v>
      </c>
      <c r="AQ898" s="923">
        <f>SUM(AQ903:AQ909)</f>
        <v>0</v>
      </c>
      <c r="AR898" s="914">
        <f>SUM(AN898:AQ902)</f>
        <v>0</v>
      </c>
    </row>
    <row r="899" spans="1:44" s="50" customFormat="1" ht="28.15" hidden="1" customHeight="1">
      <c r="A899" s="197"/>
      <c r="B899" s="893"/>
      <c r="C899" s="896"/>
      <c r="D899" s="912"/>
      <c r="E899" s="909"/>
      <c r="F899" s="234" t="s">
        <v>583</v>
      </c>
      <c r="G899" s="196">
        <f>IF($B$898="Лікар-педіатр",G901*L899,IF($B$898="Лікар-терапевт","х",IF($B$898="Лікар загальної практики - сімейний лікар",G901*L899,0)))</f>
        <v>0</v>
      </c>
      <c r="H899" s="196">
        <f>IF($B$898="Лікар-педіатр",H901*L899,IF($B$898="Лікар-терапевт","х",IF($B$898="Лікар загальної практики - сімейний лікар",H901*L899,0)))</f>
        <v>0</v>
      </c>
      <c r="I899" s="196">
        <f>IF($B$898="Лікар-педіатр","x",IF($B$898="Лікар-терапевт",I901*L899,IF($B$898="Лікар загальної практики - сімейний лікар",I901*L899,0)))</f>
        <v>0</v>
      </c>
      <c r="J899" s="196">
        <f>IF($B$898="Лікар-педіатр","x",IF($B$898="Лікар-терапевт",J901*L899,IF($B$898="Лікар загальної практики - сімейний лікар",J901*L899,0)))</f>
        <v>0</v>
      </c>
      <c r="K899" s="196">
        <f>IF($B$898="Лікар-педіатр","x",IF($B$898="Лікар-терапевт",K901*L899,IF($B$898="Лікар загальної практики - сімейний лікар",K901*L899,0)))</f>
        <v>0</v>
      </c>
      <c r="L899" s="558"/>
      <c r="M899" s="930"/>
      <c r="N899" s="196">
        <f>IF($B$898="Лікар-педіатр",N901*S899,IF($B$898="Лікар-терапевт","х",IF($B$898="Лікар загальної практики - сімейний лікар",N901*S899,0)))</f>
        <v>0</v>
      </c>
      <c r="O899" s="196">
        <f>IF($B$898="Лікар-педіатр",O901*S899,IF($B$898="Лікар-терапевт","х",IF($B$898="Лікар загальної практики - сімейний лікар",O901*S899,0)))</f>
        <v>0</v>
      </c>
      <c r="P899" s="196">
        <f>IF($B$898="Лікар-педіатр","x",IF($B$898="Лікар-терапевт",P901*S899,IF($B$898="Лікар загальної практики - сімейний лікар",P901*S899,0)))</f>
        <v>0</v>
      </c>
      <c r="Q899" s="196">
        <f>IF($B$898="Лікар-педіатр","x",IF($B$898="Лікар-терапевт",Q901*S899,IF($B$898="Лікар загальної практики - сімейний лікар",Q901*S899,0)))</f>
        <v>0</v>
      </c>
      <c r="R899" s="196">
        <f>IF($B$898="Лікар-педіатр","x",IF($B$898="Лікар-терапевт",R901*S899,IF($B$898="Лікар загальної практики - сімейний лікар",R901*S899,0)))</f>
        <v>0</v>
      </c>
      <c r="S899" s="558"/>
      <c r="T899" s="930"/>
      <c r="U899" s="196">
        <f>IF($B$898="Лікар-педіатр",U901*Z899,IF($B$898="Лікар-терапевт","х",IF($B$898="Лікар загальної практики - сімейний лікар",U901*Z899,0)))</f>
        <v>0</v>
      </c>
      <c r="V899" s="196">
        <f>IF($B$898="Лікар-педіатр",V901*Z899,IF($B$898="Лікар-терапевт","х",IF($B$898="Лікар загальної практики - сімейний лікар",V901*Z899,0)))</f>
        <v>0</v>
      </c>
      <c r="W899" s="196">
        <f>IF($B$898="Лікар-педіатр","x",IF($B$898="Лікар-терапевт",W901*Z899,IF($B$898="Лікар загальної практики - сімейний лікар",W901*Z899,0)))</f>
        <v>0</v>
      </c>
      <c r="X899" s="196">
        <f>IF($B$898="Лікар-педіатр","x",IF($B$898="Лікар-терапевт",X901*Z899,IF($B$898="Лікар загальної практики - сімейний лікар",X901*Z899,0)))</f>
        <v>0</v>
      </c>
      <c r="Y899" s="196">
        <f>IF($B$898="Лікар-педіатр","x",IF($B$898="Лікар-терапевт",Y901*Z899,IF($B$898="Лікар загальної практики - сімейний лікар",Y901*Z899,0)))</f>
        <v>0</v>
      </c>
      <c r="Z899" s="558"/>
      <c r="AA899" s="930"/>
      <c r="AB899" s="196">
        <f>IF($B$898="Лікар-педіатр",AB901*AG899,IF($B$898="Лікар-терапевт","х",IF($B$898="Лікар загальної практики - сімейний лікар",AB901*AG899,0)))</f>
        <v>0</v>
      </c>
      <c r="AC899" s="196">
        <f>IF($B$898="Лікар-педіатр",AC901*AG899,IF($B$898="Лікар-терапевт","х",IF($B$898="Лікар загальної практики - сімейний лікар",AC901*AG899,0)))</f>
        <v>0</v>
      </c>
      <c r="AD899" s="196">
        <f>IF($B$898="Лікар-педіатр","x",IF($B$898="Лікар-терапевт",AD901*AG899,IF($B$898="Лікар загальної практики - сімейний лікар",AD901*AG899,0)))</f>
        <v>0</v>
      </c>
      <c r="AE899" s="196">
        <f>IF($B$898="Лікар-педіатр","x",IF($B$898="Лікар-терапевт",AE901*AG899,IF($B$898="Лікар загальної практики - сімейний лікар",AE901*AG899,0)))</f>
        <v>0</v>
      </c>
      <c r="AF899" s="196">
        <f>IF($B$898="Лікар-педіатр","x",IF($B$898="Лікар-терапевт",AF901*AG899,IF($B$898="Лікар загальної практики - сімейний лікар",AF901*AG899,0)))</f>
        <v>0</v>
      </c>
      <c r="AG899" s="558"/>
      <c r="AH899" s="930"/>
      <c r="AI899" s="198"/>
      <c r="AJ899" s="933"/>
      <c r="AK899" s="927"/>
      <c r="AL899" s="927"/>
      <c r="AM899" s="902"/>
      <c r="AN899" s="924"/>
      <c r="AO899" s="924"/>
      <c r="AP899" s="924"/>
      <c r="AQ899" s="924"/>
      <c r="AR899" s="915"/>
    </row>
    <row r="900" spans="1:44" s="90" customFormat="1" ht="31.15" hidden="1" customHeight="1">
      <c r="A900" s="240"/>
      <c r="B900" s="893"/>
      <c r="C900" s="896"/>
      <c r="D900" s="912"/>
      <c r="E900" s="909"/>
      <c r="F900" s="241" t="s">
        <v>584</v>
      </c>
      <c r="G900" s="199">
        <f>IF(B898="Лікар загальної практики - сімейний лікар"," ",IF(B898="Лікар-педіатр"," ",IF(B898="Лікар-терапевт","х",0)))</f>
        <v>0</v>
      </c>
      <c r="H900" s="199">
        <f>IF(B898="Лікар загальної практики - сімейний лікар"," ",IF(B898="Лікар-педіатр"," ",IF(B898="Лікар-терапевт","х",0)))</f>
        <v>0</v>
      </c>
      <c r="I900" s="199">
        <f>IF(B898="Лікар загальної практики - сімейний лікар"," ",IF(B898="Лікар-педіатр","х",IF(B898="Лікар-терапевт"," ",0)))</f>
        <v>0</v>
      </c>
      <c r="J900" s="199">
        <f>IF(B898="Лікар загальної практики - сімейний лікар"," ",IF(B898="Лікар-педіатр","х",IF(B898="Лікар-терапевт"," ",0)))</f>
        <v>0</v>
      </c>
      <c r="K900" s="199">
        <f>IF(B898="Лікар загальної практики - сімейний лікар"," ",IF(B898="Лікар-педіатр","х",IF(B898="Лікар-терапевт"," ",0)))</f>
        <v>0</v>
      </c>
      <c r="L900" s="200">
        <f>SUM(G900:K900)</f>
        <v>0</v>
      </c>
      <c r="M900" s="930"/>
      <c r="N900" s="199">
        <f>IF(B898="Лікар загальної практики - сімейний лікар"," ",IF(B898="Лікар-педіатр"," ",IF(B898="Лікар-терапевт","х",0)))</f>
        <v>0</v>
      </c>
      <c r="O900" s="199">
        <f>IF(B898="Лікар загальної практики - сімейний лікар"," ",IF(B898="Лікар-педіатр"," ",IF(B898="Лікар-терапевт","х",0)))</f>
        <v>0</v>
      </c>
      <c r="P900" s="199">
        <f>IF(B898="Лікар загальної практики - сімейний лікар"," ",IF(B898="Лікар-педіатр","х",IF(B898="Лікар-терапевт"," ",0)))</f>
        <v>0</v>
      </c>
      <c r="Q900" s="199">
        <f>IF(B898="Лікар загальної практики - сімейний лікар"," ",IF(B898="Лікар-педіатр","х",IF(B898="Лікар-терапевт"," ",0)))</f>
        <v>0</v>
      </c>
      <c r="R900" s="199">
        <f>IF(B898="Лікар загальної практики - сімейний лікар"," ",IF(B898="Лікар-педіатр","х",IF(B898="Лікар-терапевт"," ",0)))</f>
        <v>0</v>
      </c>
      <c r="S900" s="200">
        <f>SUM(N900:R900)</f>
        <v>0</v>
      </c>
      <c r="T900" s="930"/>
      <c r="U900" s="199">
        <f>IF(B898="Лікар загальної практики - сімейний лікар"," ",IF(B898="Лікар-педіатр"," ",IF(B898="Лікар-терапевт","х",0)))</f>
        <v>0</v>
      </c>
      <c r="V900" s="199">
        <f>IF(B898="Лікар загальної практики - сімейний лікар"," ",IF(B898="Лікар-педіатр"," ",IF(B898="Лікар-терапевт","х",0)))</f>
        <v>0</v>
      </c>
      <c r="W900" s="199">
        <f>IF(B898="Лікар загальної практики - сімейний лікар"," ",IF(B898="Лікар-педіатр","х",IF(B898="Лікар-терапевт"," ",0)))</f>
        <v>0</v>
      </c>
      <c r="X900" s="199">
        <f>IF(B898="Лікар загальної практики - сімейний лікар"," ",IF(B898="Лікар-педіатр","х",IF(B898="Лікар-терапевт"," ",0)))</f>
        <v>0</v>
      </c>
      <c r="Y900" s="199">
        <f>IF(B898="Лікар загальної практики - сімейний лікар"," ",IF(B898="Лікар-педіатр","х",IF(B898="Лікар-терапевт"," ",0)))</f>
        <v>0</v>
      </c>
      <c r="Z900" s="200">
        <f>SUM(U900:Y900)</f>
        <v>0</v>
      </c>
      <c r="AA900" s="930"/>
      <c r="AB900" s="199">
        <f>IF(B898="Лікар загальної практики - сімейний лікар"," ",IF(B898="Лікар-педіатр"," ",IF(B898="Лікар-терапевт","х",0)))</f>
        <v>0</v>
      </c>
      <c r="AC900" s="199">
        <f>IF(B898="Лікар загальної практики - сімейний лікар"," ",IF(B898="Лікар-педіатр"," ",IF(B898="Лікар-терапевт","х",0)))</f>
        <v>0</v>
      </c>
      <c r="AD900" s="199">
        <f>IF(B898="Лікар загальної практики - сімейний лікар"," ",IF(B898="Лікар-педіатр","х",IF(B898="Лікар-терапевт"," ",0)))</f>
        <v>0</v>
      </c>
      <c r="AE900" s="199">
        <f>IF(B898="Лікар загальної практики - сімейний лікар"," ",IF(B898="Лікар-педіатр","х",IF(B898="Лікар-терапевт"," ",0)))</f>
        <v>0</v>
      </c>
      <c r="AF900" s="199">
        <f>IF(B898="Лікар загальної практики - сімейний лікар"," ",IF(B898="Лікар-педіатр","х",IF(B898="Лікар-терапевт"," ",0)))</f>
        <v>0</v>
      </c>
      <c r="AG900" s="200">
        <f>SUM(AB900:AF900)</f>
        <v>0</v>
      </c>
      <c r="AH900" s="930"/>
      <c r="AI900" s="242"/>
      <c r="AJ900" s="933"/>
      <c r="AK900" s="927"/>
      <c r="AL900" s="927"/>
      <c r="AM900" s="902"/>
      <c r="AN900" s="924"/>
      <c r="AO900" s="924"/>
      <c r="AP900" s="924"/>
      <c r="AQ900" s="924"/>
      <c r="AR900" s="915"/>
    </row>
    <row r="901" spans="1:44" s="50" customFormat="1" ht="31.9" hidden="1" customHeight="1" thickBot="1">
      <c r="A901" s="197"/>
      <c r="B901" s="893"/>
      <c r="C901" s="896"/>
      <c r="D901" s="912"/>
      <c r="E901" s="909"/>
      <c r="F901" s="236" t="s">
        <v>349</v>
      </c>
      <c r="G901" s="203">
        <f>IF($B$898="Лікар-педіатр",G900/L900,IF($B$898="Лікар-терапевт","х",IF($B$898="Лікар загальної практики - сімейний лікар",G900/L900,0)))</f>
        <v>0</v>
      </c>
      <c r="H901" s="203">
        <f>IF($B$898="Лікар-педіатр",H900/L900,IF($B$898="Лікар-терапевт","х",IF($B$898="Лікар загальної практики - сімейний лікар",H900/L900,0)))</f>
        <v>0</v>
      </c>
      <c r="I901" s="203">
        <f>IF($B$898="Лікар-педіатр","x",IF($B$898="Лікар-терапевт",I900/L900,IF($B$898="Лікар загальної практики - сімейний лікар",I900/L900,0)))</f>
        <v>0</v>
      </c>
      <c r="J901" s="203">
        <f>IF($B$898="Лікар-педіатр","x",IF($B$898="Лікар-терапевт",J900/L900,IF($B$898="Лікар загальної практики - сімейний лікар",J900/L900,0)))</f>
        <v>0</v>
      </c>
      <c r="K901" s="203">
        <f>IF($B$898="Лікар-педіатр","x",IF($B$898="Лікар-терапевт",K900/L900,IF($B$898="Лікар загальної практики - сімейний лікар",K900/L900,0)))</f>
        <v>0</v>
      </c>
      <c r="L901" s="203">
        <f>SUM(G901:K901)</f>
        <v>0</v>
      </c>
      <c r="M901" s="930"/>
      <c r="N901" s="203">
        <f>IF($B$898="Лікар-педіатр",N900/S900,IF($B$898="Лікар-терапевт","х",IF($B$898="Лікар загальної практики - сімейний лікар",N900/S900,0)))</f>
        <v>0</v>
      </c>
      <c r="O901" s="203">
        <f>IF($B$898="Лікар-педіатр",O900/S900,IF($B$898="Лікар-терапевт","х",IF($B$898="Лікар загальної практики - сімейний лікар",O900/S900,0)))</f>
        <v>0</v>
      </c>
      <c r="P901" s="203">
        <f>IF($B$898="Лікар-педіатр","x",IF($B$898="Лікар-терапевт",P900/S900,IF($B$898="Лікар загальної практики - сімейний лікар",P900/S900,0)))</f>
        <v>0</v>
      </c>
      <c r="Q901" s="203">
        <f>IF($B$898="Лікар-педіатр","x",IF($B$898="Лікар-терапевт",Q900/S900,IF($B$898="Лікар загальної практики - сімейний лікар",Q900/S900,0)))</f>
        <v>0</v>
      </c>
      <c r="R901" s="203">
        <f>IF($B$898="Лікар-педіатр","x",IF($B$898="Лікар-терапевт",R900/S900,IF($B$898="Лікар загальної практики - сімейний лікар",R900/S900,0)))</f>
        <v>0</v>
      </c>
      <c r="S901" s="203">
        <f>SUM(N901:R901)</f>
        <v>0</v>
      </c>
      <c r="T901" s="930"/>
      <c r="U901" s="203">
        <f>IF($B$898="Лікар-педіатр",U900/Z900,IF($B$898="Лікар-терапевт","х",IF($B$898="Лікар загальної практики - сімейний лікар",U900/Z900,0)))</f>
        <v>0</v>
      </c>
      <c r="V901" s="203">
        <f>IF($B$898="Лікар-педіатр",V900/Z900,IF($B$898="Лікар-терапевт","х",IF($B$898="Лікар загальної практики - сімейний лікар",V900/Z900,0)))</f>
        <v>0</v>
      </c>
      <c r="W901" s="203">
        <f>IF($B$898="Лікар-педіатр","x",IF($B$898="Лікар-терапевт",W900/Z900,IF($B$898="Лікар загальної практики - сімейний лікар",W900/Z900,0)))</f>
        <v>0</v>
      </c>
      <c r="X901" s="203">
        <f>IF($B$898="Лікар-педіатр","x",IF($B$898="Лікар-терапевт",X900/Z900,IF($B$898="Лікар загальної практики - сімейний лікар",X900/Z900,0)))</f>
        <v>0</v>
      </c>
      <c r="Y901" s="203">
        <f>IF($B$898="Лікар-педіатр","x",IF($B$898="Лікар-терапевт",Y900/Z900,IF($B$898="Лікар загальної практики - сімейний лікар",Y900/Z900,0)))</f>
        <v>0</v>
      </c>
      <c r="Z901" s="203">
        <f>SUM(U901:Y901)</f>
        <v>0</v>
      </c>
      <c r="AA901" s="930"/>
      <c r="AB901" s="203">
        <f>IF($B$898="Лікар-педіатр",AB900/AG900,IF($B$898="Лікар-терапевт","х",IF($B$898="Лікар загальної практики - сімейний лікар",AB900/AG900,0)))</f>
        <v>0</v>
      </c>
      <c r="AC901" s="203">
        <f>IF($B$898="Лікар-педіатр",AC900/AG900,IF($B$898="Лікар-терапевт","х",IF($B$898="Лікар загальної практики - сімейний лікар",AC900/AG900,0)))</f>
        <v>0</v>
      </c>
      <c r="AD901" s="203">
        <f>IF($B$898="Лікар-педіатр","x",IF($B$898="Лікар-терапевт",AD900/AG900,IF($B$898="Лікар загальної практики - сімейний лікар",AD900/AG900,0)))</f>
        <v>0</v>
      </c>
      <c r="AE901" s="203">
        <f>IF($B$898="Лікар-педіатр","x",IF($B$898="Лікар-терапевт",AE900/AG900,IF($B$898="Лікар загальної практики - сімейний лікар",AE900/AG900,0)))</f>
        <v>0</v>
      </c>
      <c r="AF901" s="203">
        <f>IF($B$898="Лікар-педіатр","x",IF($B$898="Лікар-терапевт",AF900/AG900,IF($B$898="Лікар загальної практики - сімейний лікар",AF900/AG900,0)))</f>
        <v>0</v>
      </c>
      <c r="AG901" s="203">
        <f>SUM(AB901:AF901)</f>
        <v>0</v>
      </c>
      <c r="AH901" s="930"/>
      <c r="AI901" s="201"/>
      <c r="AJ901" s="933"/>
      <c r="AK901" s="927"/>
      <c r="AL901" s="927"/>
      <c r="AM901" s="902"/>
      <c r="AN901" s="924"/>
      <c r="AO901" s="924"/>
      <c r="AP901" s="924"/>
      <c r="AQ901" s="924"/>
      <c r="AR901" s="915"/>
    </row>
    <row r="902" spans="1:44" s="50" customFormat="1" ht="45" hidden="1" customHeight="1" thickBot="1">
      <c r="A902" s="197"/>
      <c r="B902" s="893"/>
      <c r="C902" s="896"/>
      <c r="D902" s="912"/>
      <c r="E902" s="909"/>
      <c r="F902" s="204" t="s">
        <v>585</v>
      </c>
      <c r="G902" s="205">
        <f>IF($B$898="Лікар загальної практики - сімейний лікар",AVERAGE(G898:G900),IF($B$898="Лікар-педіатр",AVERAGE(G898:G900),IF($B$898="Лікар-терапевт","х",0)))</f>
        <v>0</v>
      </c>
      <c r="H902" s="205">
        <f>IF($B$898="Лікар загальної практики - сімейний лікар",AVERAGE(H898:H900),IF($B$898="Лікар-педіатр",AVERAGE(H898:H900),IF($B$898="Лікар-терапевт","х",0)))</f>
        <v>0</v>
      </c>
      <c r="I902" s="205">
        <f>IF($B$898="Лікар загальної практики - сімейний лікар",AVERAGE(I898:I900),IF($B$898="Лікар-педіатр","x",IF($B$898="Лікар-терапевт",AVERAGE(I898:I900),0)))</f>
        <v>0</v>
      </c>
      <c r="J902" s="205">
        <f>IF($B$898="Лікар загальної практики - сімейний лікар",AVERAGE(J898:J900),IF($B$898="Лікар-педіатр","x",IF($B$898="Лікар-терапевт",AVERAGE(J898:J900),0)))</f>
        <v>0</v>
      </c>
      <c r="K902" s="205">
        <f>IF($B$898="Лікар загальної практики - сімейний лікар",AVERAGE(K898:K900),IF($B$898="Лікар-педіатр","x",IF($B$898="Лікар-терапевт",AVERAGE(K898:K900),0)))</f>
        <v>0</v>
      </c>
      <c r="L902" s="206">
        <f>SUM(G902:K902)</f>
        <v>0</v>
      </c>
      <c r="M902" s="930"/>
      <c r="N902" s="205">
        <f>IF($B$898="Лікар загальної практики - сімейний лікар",AVERAGE(N898:N900),IF($B$898="Лікар-педіатр",AVERAGE(N898:N900),IF($B$898="Лікар-терапевт","х",0)))</f>
        <v>0</v>
      </c>
      <c r="O902" s="205">
        <f>IF($B$898="Лікар загальної практики - сімейний лікар",AVERAGE(O898:O900),IF($B$898="Лікар-педіатр",AVERAGE(O898:O900),IF($B$898="Лікар-терапевт","х",0)))</f>
        <v>0</v>
      </c>
      <c r="P902" s="205">
        <f>IF($B$898="Лікар загальної практики - сімейний лікар",AVERAGE(P898:P900),IF($B$898="Лікар-педіатр","x",IF($B$898="Лікар-терапевт",AVERAGE(P898:P900),0)))</f>
        <v>0</v>
      </c>
      <c r="Q902" s="205">
        <f>IF($B$898="Лікар загальної практики - сімейний лікар",AVERAGE(Q898:Q900),IF($B$898="Лікар-педіатр","x",IF($B$898="Лікар-терапевт",AVERAGE(Q898:Q900),0)))</f>
        <v>0</v>
      </c>
      <c r="R902" s="205">
        <f>IF($B$898="Лікар загальної практики - сімейний лікар",AVERAGE(R898:R900),IF($B$898="Лікар-педіатр","x",IF($B$898="Лікар-терапевт",AVERAGE(R898:R900),0)))</f>
        <v>0</v>
      </c>
      <c r="S902" s="206">
        <f>SUM(N902:R902)</f>
        <v>0</v>
      </c>
      <c r="T902" s="930"/>
      <c r="U902" s="205">
        <f>IF($B$898="Лікар загальної практики - сімейний лікар",AVERAGE(U898:U900),IF($B$898="Лікар-педіатр",AVERAGE(U898:U900),IF($B$898="Лікар-терапевт","х",0)))</f>
        <v>0</v>
      </c>
      <c r="V902" s="205">
        <f>IF($B$898="Лікар загальної практики - сімейний лікар",AVERAGE(V898:V900),IF($B$898="Лікар-педіатр",AVERAGE(V898:V900),IF($B$898="Лікар-терапевт","х",0)))</f>
        <v>0</v>
      </c>
      <c r="W902" s="205">
        <f>IF($B$898="Лікар загальної практики - сімейний лікар",AVERAGE(W898:W900),IF($B$898="Лікар-педіатр","x",IF($B$898="Лікар-терапевт",AVERAGE(W898:W900),0)))</f>
        <v>0</v>
      </c>
      <c r="X902" s="205">
        <f>IF($B$898="Лікар загальної практики - сімейний лікар",AVERAGE(X898:X900),IF($B$898="Лікар-педіатр","x",IF($B$898="Лікар-терапевт",AVERAGE(X898:X900),0)))</f>
        <v>0</v>
      </c>
      <c r="Y902" s="205">
        <f>IF($B$898="Лікар загальної практики - сімейний лікар",AVERAGE(Y898:Y900),IF($B$898="Лікар-педіатр","x",IF($B$898="Лікар-терапевт",AVERAGE(Y898:Y900),0)))</f>
        <v>0</v>
      </c>
      <c r="Z902" s="206">
        <f>SUM(U902:Y902)</f>
        <v>0</v>
      </c>
      <c r="AA902" s="930"/>
      <c r="AB902" s="205">
        <f>IF($B$898="Лікар загальної практики - сімейний лікар",AVERAGE(AB898:AB900),IF($B$898="Лікар-педіатр",AVERAGE(AB898:AB900),IF($B$898="Лікар-терапевт","х",0)))</f>
        <v>0</v>
      </c>
      <c r="AC902" s="205">
        <f>IF($B$898="Лікар загальної практики - сімейний лікар",AVERAGE(AC898:AC900),IF($B$898="Лікар-педіатр",AVERAGE(AC898:AC900),IF($B$898="Лікар-терапевт","х",0)))</f>
        <v>0</v>
      </c>
      <c r="AD902" s="205">
        <f>IF($B$898="Лікар загальної практики - сімейний лікар",AVERAGE(AD898:AD900),IF($B$898="Лікар-педіатр","x",IF($B$898="Лікар-терапевт",AVERAGE(AD898:AD900),0)))</f>
        <v>0</v>
      </c>
      <c r="AE902" s="205">
        <f>IF($B$898="Лікар загальної практики - сімейний лікар",AVERAGE(AE898:AE900),IF($B$898="Лікар-педіатр","x",IF($B$898="Лікар-терапевт",AVERAGE(AE898:AE900),0)))</f>
        <v>0</v>
      </c>
      <c r="AF902" s="205">
        <f>IF($B$898="Лікар загальної практики - сімейний лікар",AVERAGE(AF898:AF900),IF($B$898="Лікар-педіатр","x",IF($B$898="Лікар-терапевт",AVERAGE(AF898:AF900),0)))</f>
        <v>0</v>
      </c>
      <c r="AG902" s="206">
        <f>SUM(AB902:AF902)</f>
        <v>0</v>
      </c>
      <c r="AH902" s="930"/>
      <c r="AI902" s="201"/>
      <c r="AJ902" s="933"/>
      <c r="AK902" s="927"/>
      <c r="AL902" s="927"/>
      <c r="AM902" s="903"/>
      <c r="AN902" s="925"/>
      <c r="AO902" s="925"/>
      <c r="AP902" s="925"/>
      <c r="AQ902" s="925"/>
      <c r="AR902" s="916"/>
    </row>
    <row r="903" spans="1:44" s="50" customFormat="1" ht="40.5" hidden="1">
      <c r="A903" s="197"/>
      <c r="B903" s="893"/>
      <c r="C903" s="896"/>
      <c r="D903" s="912"/>
      <c r="E903" s="909"/>
      <c r="F903" s="237" t="str">
        <f ca="1">IF(B898="Лікар-педіатр",Законод!$C$17,IF(B898="Лікар загальної практики - сімейний лікар",Законод!$C$21,IF(B898="Лікар-терапевт",Законод!$C$25,"х")))</f>
        <v>х</v>
      </c>
      <c r="G903" s="208">
        <f ca="1">IF($B$898="Лікар загальної практики - сімейний лікар",IF(L902&lt;=Законод!$C$22,G902,Законод!$C$22*'01_Доходи'!G901),IF($B$898="Лікар-педіатр",IF(L902&lt;=Законод!$C$18,G902,Законод!$C$18*'01_Доходи'!G901),IF($B$898="Лікар-терапевт","x",0)))</f>
        <v>0</v>
      </c>
      <c r="H903" s="208">
        <f ca="1">IF($B$898="Лікар загальної практики - сімейний лікар",IF(L902&lt;=Законод!$C$22,H902,Законод!$C$22*'01_Доходи'!H901),IF($B$898="Лікар-педіатр",IF(L902&lt;=Законод!$C$18,H902,Законод!$C$18*'01_Доходи'!H901),IF($B$898="Лікар-терапевт","x",0)))</f>
        <v>0</v>
      </c>
      <c r="I903" s="208">
        <f ca="1">IF($B$898="Лікар загальної практики - сімейний лікар",IF(L902&lt;=Законод!$C$22,I902,Законод!$C$22*'01_Доходи'!I901),IF($B$898="Лікар-педіатр","x",IF($B$898="Лікар-терапевт",IF(L902&lt;=Законод!$C$26,I902,Законод!$C$26*'01_Доходи'!I901),0)))</f>
        <v>0</v>
      </c>
      <c r="J903" s="208">
        <f ca="1">IF($B$898="Лікар загальної практики - сімейний лікар",IF(L902&lt;=Законод!$C$22,J902,Законод!$C$22*'01_Доходи'!J901),IF($B$898="Лікар-педіатр","x",IF($B$898="Лікар-терапевт",IF(L902&lt;=Законод!$C$26,J902,Законод!$C$26*'01_Доходи'!J901),0)))</f>
        <v>0</v>
      </c>
      <c r="K903" s="208">
        <f ca="1">IF($B$898="Лікар загальної практики - сімейний лікар",IF(L902&lt;=Законод!$C$22,K902,Законод!$C$22*'01_Доходи'!K901),IF($B$898="Лікар-педіатр","x",IF($B$898="Лікар-терапевт",IF(L902&lt;=Законод!$C$26,K902,Законод!$C$26*'01_Доходи'!K901),0)))</f>
        <v>0</v>
      </c>
      <c r="L903" s="209">
        <f ca="1">SUM(G903:K903)</f>
        <v>0</v>
      </c>
      <c r="M903" s="930"/>
      <c r="N903" s="208">
        <f ca="1">IF($B$898="Лікар загальної практики - сімейний лікар",IF(S902&lt;=Законод!$C$22,N902,Законод!$C$22*'01_Доходи'!N901),IF($B$898="Лікар-педіатр",IF(S902&lt;=Законод!$C$18,N902,Законод!$C$18*'01_Доходи'!N901),IF($B$898="Лікар-терапевт","x",0)))</f>
        <v>0</v>
      </c>
      <c r="O903" s="208">
        <f ca="1">IF($B$898="Лікар загальної практики - сімейний лікар",IF(S902&lt;=Законод!$C$22,O902,Законод!$C$22*'01_Доходи'!O901),IF($B$898="Лікар-педіатр",IF(S902&lt;=Законод!$C$18,O902,Законод!$C$18*'01_Доходи'!O901),IF($B$898="Лікар-терапевт","x",0)))</f>
        <v>0</v>
      </c>
      <c r="P903" s="208">
        <f ca="1">IF($B$898="Лікар загальної практики - сімейний лікар",IF(S902&lt;=Законод!$C$22,P902,Законод!$C$22*'01_Доходи'!P901),IF($B$898="Лікар-педіатр","x",IF($B$898="Лікар-терапевт",IF(S902&lt;=Законод!$C$26,P902,Законод!$C$26*'01_Доходи'!P901),0)))</f>
        <v>0</v>
      </c>
      <c r="Q903" s="208">
        <f ca="1">IF($B$898="Лікар загальної практики - сімейний лікар",IF(S902&lt;=Законод!$C$22,Q902,Законод!$C$22*'01_Доходи'!Q901),IF($B$898="Лікар-педіатр","x",IF($B$898="Лікар-терапевт",IF(S902&lt;=Законод!$C$26,Q902,Законод!$C$26*'01_Доходи'!Q901),0)))</f>
        <v>0</v>
      </c>
      <c r="R903" s="208">
        <f ca="1">IF($B$898="Лікар загальної практики - сімейний лікар",IF(S902&lt;=Законод!$C$22,R902,Законод!$C$22*'01_Доходи'!R901),IF($B$898="Лікар-педіатр","x",IF($B$898="Лікар-терапевт",IF(S902&lt;=Законод!$C$26,R902,Законод!$C$26*'01_Доходи'!R901),0)))</f>
        <v>0</v>
      </c>
      <c r="S903" s="209">
        <f ca="1">SUM(N903:R903)</f>
        <v>0</v>
      </c>
      <c r="T903" s="930"/>
      <c r="U903" s="208">
        <f ca="1">IF($B$898="Лікар загальної практики - сімейний лікар",IF(Z902&lt;=Законод!$C$22,U902,Законод!$C$22*'01_Доходи'!U901),IF($B$898="Лікар-педіатр",IF(Z902&lt;=Законод!$C$18,U902,Законод!$C$18*'01_Доходи'!U901),IF($B$898="Лікар-терапевт","x",0)))</f>
        <v>0</v>
      </c>
      <c r="V903" s="208">
        <f ca="1">IF($B$898="Лікар загальної практики - сімейний лікар",IF(Z902&lt;=Законод!$C$22,V902,Законод!$C$22*'01_Доходи'!V901),IF($B$898="Лікар-педіатр",IF(Z902&lt;=Законод!$C$18,V902,Законод!$C$18*'01_Доходи'!V901),IF($B$898="Лікар-терапевт","x",0)))</f>
        <v>0</v>
      </c>
      <c r="W903" s="208">
        <f ca="1">IF($B$898="Лікар загальної практики - сімейний лікар",IF(Z902&lt;=Законод!$C$22,W902,Законод!$C$22*'01_Доходи'!W901),IF($B$898="Лікар-педіатр","x",IF($B$898="Лікар-терапевт",IF(Z902&lt;=Законод!$C$26,W902,Законод!$C$26*'01_Доходи'!W901),0)))</f>
        <v>0</v>
      </c>
      <c r="X903" s="208">
        <f ca="1">IF($B$898="Лікар загальної практики - сімейний лікар",IF(Z902&lt;=Законод!$C$22,X902,Законод!$C$22*'01_Доходи'!X901),IF($B$898="Лікар-педіатр","x",IF($B$898="Лікар-терапевт",IF(Z902&lt;=Законод!$C$26,X902,Законод!$C$26*'01_Доходи'!X901),0)))</f>
        <v>0</v>
      </c>
      <c r="Y903" s="208">
        <f ca="1">IF($B$898="Лікар загальної практики - сімейний лікар",IF(Z902&lt;=Законод!$C$22,Y902,Законод!$C$22*'01_Доходи'!Y901),IF($B$898="Лікар-педіатр","x",IF($B$898="Лікар-терапевт",IF(Z902&lt;=Законод!$C$26,Y902,Законод!$C$26*'01_Доходи'!Y901),0)))</f>
        <v>0</v>
      </c>
      <c r="Z903" s="209">
        <f ca="1">SUM(U903:Y903)</f>
        <v>0</v>
      </c>
      <c r="AA903" s="930"/>
      <c r="AB903" s="208">
        <f ca="1">IF($B$898="Лікар загальної практики - сімейний лікар",IF(AG902&lt;=Законод!$C$22,AB902,Законод!$C$22*'01_Доходи'!AB901),IF($B$898="Лікар-педіатр",IF(AG902&lt;=Законод!$C$18,AB902,Законод!$C$18*'01_Доходи'!AB901),IF($B$898="Лікар-терапевт","x",0)))</f>
        <v>0</v>
      </c>
      <c r="AC903" s="208">
        <f ca="1">IF($B$898="Лікар загальної практики - сімейний лікар",IF(AG902&lt;=Законод!$C$22,AC902,Законод!$C$22*'01_Доходи'!AC901),IF($B$898="Лікар-педіатр",IF(AG902&lt;=Законод!$C$18,AC902,Законод!$C$18*'01_Доходи'!AC901),IF($B$898="Лікар-терапевт","x",0)))</f>
        <v>0</v>
      </c>
      <c r="AD903" s="208">
        <f ca="1">IF($B$898="Лікар загальної практики - сімейний лікар",IF(AG902&lt;=Законод!$C$22,AD902,Законод!$C$22*'01_Доходи'!AD901),IF($B$898="Лікар-педіатр","x",IF($B$898="Лікар-терапевт",IF(AG902&lt;=Законод!$C$26,AD902,Законод!$C$26*'01_Доходи'!AD901),0)))</f>
        <v>0</v>
      </c>
      <c r="AE903" s="208">
        <f ca="1">IF($B$898="Лікар загальної практики - сімейний лікар",IF(AG902&lt;=Законод!$C$22,AE902,Законод!$C$22*'01_Доходи'!AE901),IF($B$898="Лікар-педіатр","x",IF($B$898="Лікар-терапевт",IF(AG902&lt;=Законод!$C$26,AE902,Законод!$C$26*'01_Доходи'!AE901),0)))</f>
        <v>0</v>
      </c>
      <c r="AF903" s="208">
        <f ca="1">IF($B$898="Лікар загальної практики - сімейний лікар",IF(AG902&lt;=Законод!$C$22,AF902,Законод!$C$22*'01_Доходи'!AF901),IF($B$898="Лікар-педіатр","x",IF($B$898="Лікар-терапевт",IF(AG902&lt;=Законод!$C$26,AF902,Законод!$C$26*'01_Доходи'!AF901),0)))</f>
        <v>0</v>
      </c>
      <c r="AG903" s="209">
        <f ca="1">SUM(AB903:AF903)</f>
        <v>0</v>
      </c>
      <c r="AH903" s="930"/>
      <c r="AI903" s="201"/>
      <c r="AJ903" s="933"/>
      <c r="AK903" s="927"/>
      <c r="AL903" s="927"/>
      <c r="AM903" s="348" t="s">
        <v>374</v>
      </c>
      <c r="AN903" s="210">
        <f ca="1">IF(B898="Лікар загальної практики - сімейний лікар",G903*Законод!$C$11+'01_Доходи'!H903*Законод!$D$11+'01_Доходи'!I903*Законод!$E$11+'01_Доходи'!J903*Законод!$F$11+'01_Доходи'!K903*Законод!$G$11,IF(B898="Лікар-педіатр",G903*Законод!$C$11+'01_Доходи'!H903*Законод!$D$11,IF(B898="Лікар-терапевт",'01_Доходи'!I903*Законод!$E$11+'01_Доходи'!J903*Законод!$F$11+'01_Доходи'!K903*Законод!$G$11,0)))</f>
        <v>0</v>
      </c>
      <c r="AO903" s="210">
        <f ca="1">IF(B898="Лікар загальної практики - сімейний лікар",N903*Законод!$C$11+'01_Доходи'!O903*Законод!$D$11+'01_Доходи'!P903*Законод!$E$11+'01_Доходи'!Q903*Законод!$F$11+'01_Доходи'!R903*Законод!$G$11,IF(B898="Лікар-педіатр",N903*Законод!$C$11+'01_Доходи'!O903*Законод!$D$11,IF(B898="Лікар-терапевт",'01_Доходи'!P903*Законод!$E$11+'01_Доходи'!Q903*Законод!$F$11+'01_Доходи'!R903*Законод!$G$11,0)))</f>
        <v>0</v>
      </c>
      <c r="AP903" s="210">
        <f ca="1">IF(B898="Лікар загальної практики - сімейний лікар",U903*Законод!$C$11+'01_Доходи'!V903*Законод!$D$11+'01_Доходи'!W903*Законод!$E$11+'01_Доходи'!X903*Законод!$F$11+'01_Доходи'!Y903*Законод!$G$11,IF(B898="Лікар-педіатр",U903*Законод!$C$11+'01_Доходи'!V903*Законод!$D$11,IF(B898="Лікар-терапевт",'01_Доходи'!W903*Законод!$E$11+'01_Доходи'!X903*Законод!$F$11+'01_Доходи'!Y903*Законод!$G$11,0)))</f>
        <v>0</v>
      </c>
      <c r="AQ903" s="210">
        <f ca="1">IF(B898="Лікар загальної практики - сімейний лікар",AB903*Законод!$C$11+'01_Доходи'!AC903*Законод!$D$11+'01_Доходи'!AD903*Законод!$E$11+'01_Доходи'!AE903*Законод!$F$11+'01_Доходи'!AF903*Законод!$G$11,IF(B898="Лікар-педіатр",AB903*Законод!$C$11+'01_Доходи'!AC903*Законод!$D$11,IF(B898="Лікар-терапевт",'01_Доходи'!AD903*Законод!$E$11+'01_Доходи'!AE903*Законод!$F$11+'01_Доходи'!AF903*Законод!$G$11,0)))</f>
        <v>0</v>
      </c>
      <c r="AR903" s="211">
        <f t="shared" ref="AR903:AR909" si="96">SUM(AN903:AQ903)</f>
        <v>0</v>
      </c>
    </row>
    <row r="904" spans="1:44" s="50" customFormat="1" ht="31.9" hidden="1" customHeight="1">
      <c r="A904" s="197"/>
      <c r="B904" s="893"/>
      <c r="C904" s="896"/>
      <c r="D904" s="912"/>
      <c r="E904" s="909"/>
      <c r="F904" s="238" t="str">
        <f ca="1">IF(B898="Лікар-педіатр",Законод!$E$17,IF(B898="Лікар загальної практики - сімейний лікар",Законод!$E$21,IF(B898="Лікар-терапевт",Законод!$E$25,"х")))</f>
        <v>х</v>
      </c>
      <c r="G904" s="889" t="s">
        <v>346</v>
      </c>
      <c r="H904" s="890"/>
      <c r="I904" s="890"/>
      <c r="J904" s="890"/>
      <c r="K904" s="891"/>
      <c r="L904" s="196">
        <f ca="1">IF($B$898="Лікар загальної практики - сімейний лікар",IF(L902&lt;Законод!$C$22,0,(IF(AND(L902&gt;=Законод!$E$22,L902&lt;=Законод!$E$23),L902-Законод!$C$22,IF('01_Доходи'!L902&gt;=Законод!$F$22,Законод!$E$24,0)))),IF($B$898="Лікар-педіатр",IF(L902&lt;Законод!$C$18,0,(IF(AND(L902&gt;=Законод!$E$18,L902&lt;=Законод!$E$19),L902-Законод!$C$18,IF('01_Доходи'!L902&gt;=Законод!$F$18,Законод!$E$20,0)))),IF($B$898="Лікар-терапевт",IF(L902&lt;Законод!$C$26,0,(IF(AND(L902&gt;=Законод!$E$26,L902&lt;=Законод!$E$27),L902-Законод!$C$26,IF('01_Доходи'!L902&gt;=Законод!$F$26,Законод!$E$28,0)))),0)))</f>
        <v>0</v>
      </c>
      <c r="M904" s="930"/>
      <c r="N904" s="889" t="s">
        <v>346</v>
      </c>
      <c r="O904" s="890"/>
      <c r="P904" s="890"/>
      <c r="Q904" s="890"/>
      <c r="R904" s="891"/>
      <c r="S904" s="196">
        <f ca="1">IF($B$898="Лікар загальної практики - сімейний лікар",IF(S902&lt;Законод!$C$22,0,(IF(AND(S902&gt;=Законод!$E$22,S902&lt;=Законод!$E$23),S902-Законод!$C$22,IF('01_Доходи'!S902&gt;=Законод!$F$22,Законод!$E$24,0)))),IF($B$898="Лікар-педіатр",IF(S902&lt;Законод!$C$18,0,(IF(AND(S902&gt;=Законод!$E$18,S902&lt;=Законод!$E$19),S902-Законод!$C$18,IF('01_Доходи'!S902&gt;=Законод!$F$18,Законод!$E$20,0)))),IF($B$898="Лікар-терапевт",IF(S902&lt;Законод!$C$26,0,(IF(AND(S902&gt;=Законод!$E$26,S902&lt;=Законод!$E$27),S902-Законод!$C$26,IF('01_Доходи'!S902&gt;=Законод!$F$26,Законод!$E$28,0)))),0)))</f>
        <v>0</v>
      </c>
      <c r="T904" s="930"/>
      <c r="U904" s="889" t="s">
        <v>346</v>
      </c>
      <c r="V904" s="890"/>
      <c r="W904" s="890"/>
      <c r="X904" s="890"/>
      <c r="Y904" s="891"/>
      <c r="Z904" s="196">
        <f ca="1">IF($B$898="Лікар загальної практики - сімейний лікар",IF(Z902&lt;Законод!$C$22,0,(IF(AND(Z902&gt;=Законод!$E$22,Z902&lt;=Законод!$E$23),Z902-Законод!$C$22,IF('01_Доходи'!Z902&gt;=Законод!$F$22,Законод!$E$24,0)))),IF($B$898="Лікар-педіатр",IF(Z902&lt;Законод!$C$18,0,(IF(AND(Z902&gt;=Законод!$E$18,Z902&lt;=Законод!$E$19),Z902-Законод!$C$18,IF('01_Доходи'!Z902&gt;=Законод!$F$18,Законод!$E$20,0)))),IF($B$898="Лікар-терапевт",IF(Z902&lt;Законод!$C$26,0,(IF(AND(Z902&gt;=Законод!$E$26,Z902&lt;=Законод!$E$27),Z902-Законод!$C$26,IF('01_Доходи'!Z902&gt;=Законод!$F$26,Законод!$E$28,0)))),0)))</f>
        <v>0</v>
      </c>
      <c r="AA904" s="930"/>
      <c r="AB904" s="889" t="s">
        <v>346</v>
      </c>
      <c r="AC904" s="890"/>
      <c r="AD904" s="890"/>
      <c r="AE904" s="890"/>
      <c r="AF904" s="891"/>
      <c r="AG904" s="196">
        <f ca="1">IF($B$898="Лікар загальної практики - сімейний лікар",IF(AG902&lt;Законод!$C$22,0,(IF(AND(AG902&gt;=Законод!$E$22,AG902&lt;=Законод!$E$23),AG902-Законод!$C$22,IF('01_Доходи'!AG902&gt;=Законод!$F$22,Законод!$E$24,0)))),IF($B$898="Лікар-педіатр",IF(AG902&lt;Законод!$C$18,0,(IF(AND(AG902&gt;=Законод!$E$18,AG902&lt;=Законод!$E$19),AG902-Законод!$C$18,IF('01_Доходи'!AG902&gt;=Законод!$F$18,Законод!$E$20,0)))),IF($B$898="Лікар-терапевт",IF(AG902&lt;Законод!$C$26,0,(IF(AND(AG902&gt;=Законод!$E$26,AG902&lt;=Законод!$E$27),AG902-Законод!$C$26,IF('01_Доходи'!AG902&gt;=Законод!$F$26,Законод!$E$28,0)))),0)))</f>
        <v>0</v>
      </c>
      <c r="AH904" s="930"/>
      <c r="AI904" s="201"/>
      <c r="AJ904" s="933"/>
      <c r="AK904" s="927"/>
      <c r="AL904" s="927"/>
      <c r="AM904" s="898" t="s">
        <v>375</v>
      </c>
      <c r="AN904" s="210">
        <f ca="1">IF(B898="Лікар загальної практики - сімейний лікар",L904*Законод!$C$9/4*Законод!$E$16,IF(B898="Лікар-педіатр",L904*Законод!$C$9/4*Законод!$E$16,IF(B898="Лікар-терапевт",L904*Законод!$C$9/4*Законод!$E$16,0)))</f>
        <v>0</v>
      </c>
      <c r="AO904" s="210">
        <f ca="1">IF(B898="Лікар загальної практики - сімейний лікар",S904*Законод!$C$9/4*Законод!$E$16,IF(B898="Лікар-педіатр",S904*Законод!$C$9/4*Законод!$E$16,IF(B898="Лікар-терапевт",S904*Законод!$C$9/4*Законод!$E$16,0)))</f>
        <v>0</v>
      </c>
      <c r="AP904" s="210">
        <f ca="1">IF(B898="Лікар загальної практики - сімейний лікар",Z904*Законод!$C$9/4*Законод!$E$16,IF(B898="Лікар-педіатр",Z904*Законод!$C$9/4*Законод!$E$16,IF(B898="Лікар-терапевт",Z904*Законод!$C$9/4*Законод!$E$16,0)))</f>
        <v>0</v>
      </c>
      <c r="AQ904" s="210">
        <f ca="1">IF(B898="Лікар загальної практики - сімейний лікар",AG904*Законод!$C$9/4*Законод!$E$16,IF(B898="Лікар-педіатр",AG904*Законод!$C$9/4*Законод!$E$16,IF(B898="Лікар-терапевт",AG904*Законод!$C$9/4*Законод!$E$16,0)))</f>
        <v>0</v>
      </c>
      <c r="AR904" s="211">
        <f t="shared" si="96"/>
        <v>0</v>
      </c>
    </row>
    <row r="905" spans="1:44" s="50" customFormat="1" ht="31.9" hidden="1" customHeight="1">
      <c r="A905" s="197"/>
      <c r="B905" s="893"/>
      <c r="C905" s="896"/>
      <c r="D905" s="912"/>
      <c r="E905" s="909"/>
      <c r="F905" s="238" t="str">
        <f ca="1">IF(B898="Лікар-педіатр",Законод!$F$17,IF(B898="Лікар загальної практики - сімейний лікар",Законод!$F$21,IF(B898="Лікар-терапевт",Законод!$F$25,"х")))</f>
        <v>х</v>
      </c>
      <c r="G905" s="889" t="s">
        <v>346</v>
      </c>
      <c r="H905" s="890"/>
      <c r="I905" s="890"/>
      <c r="J905" s="890"/>
      <c r="K905" s="891"/>
      <c r="L905" s="196">
        <f ca="1">IF($B$898="Лікар загальної практики - сімейний лікар",IF(L902&lt;Законод!$C$22,0,(IF(AND(L902&gt;=Законод!$F$22,L902&lt;=Законод!$F$23),L902-Законод!$E$23,IF('01_Доходи'!L902&gt;=Законод!$G$22,Законод!$F$24,0)))),IF($B$898="Лікар-педіатр",IF(L902&lt;Законод!$C$18,0,(IF(AND(L902&gt;=Законод!$F$18,L902&lt;=Законод!$F$19),L902-Законод!$E$19,IF('01_Доходи'!L902&gt;=Законод!$G$18,Законод!$F$20,0)))),IF($B$898="Лікар-терапевт",IF(L902&lt;Законод!$C$26,0,(IF(AND(L902&gt;=Законод!$F$26,L902&lt;=Законод!$F$27),L902-Законод!$E$27,IF('01_Доходи'!L902&gt;=Законод!$G$26,Законод!$F$28,0)))),0)))</f>
        <v>0</v>
      </c>
      <c r="M905" s="930"/>
      <c r="N905" s="889" t="s">
        <v>346</v>
      </c>
      <c r="O905" s="890"/>
      <c r="P905" s="890"/>
      <c r="Q905" s="890"/>
      <c r="R905" s="891"/>
      <c r="S905" s="196">
        <f ca="1">IF($B$898="Лікар загальної практики - сімейний лікар",IF(S902&lt;Законод!$C$22,0,(IF(AND(S902&gt;=Законод!$F$22,S902&lt;=Законод!$F$23),S902-Законод!$E$23,IF('01_Доходи'!S902&gt;=Законод!$G$22,Законод!$F$24,0)))),IF($B$898="Лікар-педіатр",IF(S902&lt;Законод!$C$18,0,(IF(AND(S902&gt;=Законод!$F$18,S902&lt;=Законод!$F$19),S902-Законод!$E$19,IF('01_Доходи'!S902&gt;=Законод!$G$18,Законод!$F$20,0)))),IF($B$898="Лікар-терапевт",IF(S902&lt;Законод!$C$26,0,(IF(AND(S902&gt;=Законод!$F$26,S902&lt;=Законод!$F$27),S902-Законод!$E$27,IF('01_Доходи'!S902&gt;=Законод!$G$26,Законод!$F$28,0)))),0)))</f>
        <v>0</v>
      </c>
      <c r="T905" s="930"/>
      <c r="U905" s="889" t="s">
        <v>346</v>
      </c>
      <c r="V905" s="890"/>
      <c r="W905" s="890"/>
      <c r="X905" s="890"/>
      <c r="Y905" s="891"/>
      <c r="Z905" s="196">
        <f ca="1">IF($B$898="Лікар загальної практики - сімейний лікар",IF(Z902&lt;Законод!$C$22,0,(IF(AND(Z902&gt;=Законод!$F$22,Z902&lt;=Законод!$F$23),Z902-Законод!$E$23,IF('01_Доходи'!Z902&gt;=Законод!$G$22,Законод!$F$24,0)))),IF($B$898="Лікар-педіатр",IF(Z902&lt;Законод!$C$18,0,(IF(AND(Z902&gt;=Законод!$F$18,Z902&lt;=Законод!$F$19),Z902-Законод!$E$19,IF('01_Доходи'!Z902&gt;=Законод!$G$18,Законод!$F$20,0)))),IF($B$898="Лікар-терапевт",IF(Z902&lt;Законод!$C$26,0,(IF(AND(Z902&gt;=Законод!$F$26,Z902&lt;=Законод!$F$27),Z902-Законод!$E$27,IF('01_Доходи'!Z902&gt;=Законод!$G$26,Законод!$F$28,0)))),0)))</f>
        <v>0</v>
      </c>
      <c r="AA905" s="930"/>
      <c r="AB905" s="889" t="s">
        <v>346</v>
      </c>
      <c r="AC905" s="890"/>
      <c r="AD905" s="890"/>
      <c r="AE905" s="890"/>
      <c r="AF905" s="891"/>
      <c r="AG905" s="196">
        <f ca="1">IF($B$898="Лікар загальної практики - сімейний лікар",IF(AG902&lt;Законод!$C$22,0,(IF(AND(AG902&gt;=Законод!$F$22,AG902&lt;=Законод!$F$23),AG902-Законод!$E$23,IF('01_Доходи'!AG902&gt;=Законод!$G$22,Законод!$F$24,0)))),IF($B$898="Лікар-педіатр",IF(AG902&lt;Законод!$C$18,0,(IF(AND(AG902&gt;=Законод!$F$18,AG902&lt;=Законод!$F$19),AG902-Законод!$E$19,IF('01_Доходи'!AG902&gt;=Законод!$G$18,Законод!$F$20,0)))),IF($B$898="Лікар-терапевт",IF(AG902&lt;Законод!$C$26,0,(IF(AND(AG902&gt;=Законод!$F$26,AG902&lt;=Законод!$F$27),AG902-Законод!$E$27,IF('01_Доходи'!AG902&gt;=Законод!$G$26,Законод!$F$28,0)))),0)))</f>
        <v>0</v>
      </c>
      <c r="AH905" s="930"/>
      <c r="AI905" s="201"/>
      <c r="AJ905" s="933"/>
      <c r="AK905" s="927"/>
      <c r="AL905" s="927"/>
      <c r="AM905" s="899"/>
      <c r="AN905" s="210">
        <f ca="1">IF(B898="Лікар загальної практики - сімейний лікар",L905*Законод!$C$9/4*Законод!$F$16,IF(B898="Лікар-педіатр",L905*Законод!$C$9/4*Законод!$F$16,IF(B898="Лікар-терапевт",L905*Законод!$C$9/4*Законод!$F$16,0)))</f>
        <v>0</v>
      </c>
      <c r="AO905" s="210">
        <f ca="1">IF(B898="Лікар загальної практики - сімейний лікар",S905*Законод!$C$9/4*Законод!$F$16,IF(B898="Лікар-педіатр",S905*Законод!$C$9/4*Законод!$F$16,IF(B898="Лікар-терапевт",S905*Законод!$C$9/4*Законод!$F$16,0)))</f>
        <v>0</v>
      </c>
      <c r="AP905" s="210">
        <f ca="1">IF(B898="Лікар загальної практики - сімейний лікар",Z905*Законод!$C$9/4*Законод!$F$16,IF(B898="Лікар-педіатр",Z905*Законод!$C$9/4*Законод!$F$16,IF(B898="Лікар-терапевт",Z905*Законод!$C$9/4*Законод!$F$16,0)))</f>
        <v>0</v>
      </c>
      <c r="AQ905" s="210">
        <f ca="1">IF(B898="Лікар загальної практики - сімейний лікар",AG905*Законод!$C$9/4*Законод!$F$16,IF(B898="Лікар-педіатр",AG905*Законод!$C$9/4*Законод!$F$16,IF(B898="Лікар-терапевт",AG905*Законод!$C$9/4*Законод!$F$16,0)))</f>
        <v>0</v>
      </c>
      <c r="AR905" s="211">
        <f t="shared" si="96"/>
        <v>0</v>
      </c>
    </row>
    <row r="906" spans="1:44" s="50" customFormat="1" ht="31.9" hidden="1" customHeight="1">
      <c r="A906" s="197"/>
      <c r="B906" s="893"/>
      <c r="C906" s="896"/>
      <c r="D906" s="912"/>
      <c r="E906" s="909"/>
      <c r="F906" s="238" t="str">
        <f ca="1">IF(B898="Лікар-педіатр",Законод!$G$17,IF(B898="Лікар загальної практики - сімейний лікар",Законод!$G$21,IF(B898="Лікар-терапевт",Законод!$G$25,"х")))</f>
        <v>х</v>
      </c>
      <c r="G906" s="889" t="s">
        <v>346</v>
      </c>
      <c r="H906" s="890"/>
      <c r="I906" s="890"/>
      <c r="J906" s="890"/>
      <c r="K906" s="891"/>
      <c r="L906" s="196">
        <f ca="1">IF($B$898="Лікар загальної практики - сімейний лікар",IF(L902&lt;Законод!$C$22,0,(IF(AND(L902&gt;=Законод!$G$22,L902&lt;=Законод!$G$23),L902-Законод!$F$23,IF('01_Доходи'!L902&gt;=Законод!$H$22,Законод!$G$24,0)))),IF($B$898="Лікар-педіатр",IF(L902&lt;Законод!$C$18,0,(IF(AND(L902&gt;=Законод!$G$18,L902&lt;=Законод!$G$19),L902-Законод!$F$19,IF('01_Доходи'!L902&gt;=Законод!$H$18,Законод!$G$20,0)))),IF($B$898="Лікар-терапевт",IF(L902&lt;Законод!$C$26,0,(IF(AND(L902&gt;=Законод!$G$26,L902&lt;=Законод!$G$27),L902-Законод!$F$27,IF('01_Доходи'!L902&gt;=Законод!$H$26,Законод!$G$28,0)))),0)))</f>
        <v>0</v>
      </c>
      <c r="M906" s="930"/>
      <c r="N906" s="889" t="s">
        <v>346</v>
      </c>
      <c r="O906" s="890"/>
      <c r="P906" s="890"/>
      <c r="Q906" s="890"/>
      <c r="R906" s="891"/>
      <c r="S906" s="196">
        <f ca="1">IF($B$898="Лікар загальної практики - сімейний лікар",IF(S902&lt;Законод!$C$22,0,(IF(AND(S902&gt;=Законод!$G$22,S902&lt;=Законод!$G$23),S902-Законод!$F$23,IF('01_Доходи'!S902&gt;=Законод!$H$22,Законод!$G$24,0)))),IF($B$898="Лікар-педіатр",IF(S902&lt;Законод!$C$18,0,(IF(AND(S902&gt;=Законод!$G$18,S902&lt;=Законод!$G$19),S902-Законод!$F$19,IF('01_Доходи'!S902&gt;=Законод!$H$18,Законод!$G$20,0)))),IF($B$898="Лікар-терапевт",IF(S902&lt;Законод!$C$26,0,(IF(AND(S902&gt;=Законод!$G$26,S902&lt;=Законод!$G$27),S902-Законод!$F$27,IF('01_Доходи'!S902&gt;=Законод!$H$26,Законод!$G$28,0)))),0)))</f>
        <v>0</v>
      </c>
      <c r="T906" s="930"/>
      <c r="U906" s="889" t="s">
        <v>346</v>
      </c>
      <c r="V906" s="890"/>
      <c r="W906" s="890"/>
      <c r="X906" s="890"/>
      <c r="Y906" s="891"/>
      <c r="Z906" s="196">
        <f ca="1">IF($B$898="Лікар загальної практики - сімейний лікар",IF(Z902&lt;Законод!$C$22,0,(IF(AND(Z902&gt;=Законод!$G$22,Z902&lt;=Законод!$G$23),Z902-Законод!$F$23,IF('01_Доходи'!Z902&gt;=Законод!$H$22,Законод!$G$24,0)))),IF($B$898="Лікар-педіатр",IF(Z902&lt;Законод!$C$18,0,(IF(AND(Z902&gt;=Законод!$G$18,Z902&lt;=Законод!$G$19),Z902-Законод!$F$19,IF('01_Доходи'!Z902&gt;=Законод!$H$18,Законод!$G$20,0)))),IF($B$898="Лікар-терапевт",IF(Z902&lt;Законод!$C$26,0,(IF(AND(Z902&gt;=Законод!$G$26,Z902&lt;=Законод!$G$27),Z902-Законод!$F$27,IF('01_Доходи'!Z902&gt;=Законод!$H$26,Законод!$G$28,0)))),0)))</f>
        <v>0</v>
      </c>
      <c r="AA906" s="930"/>
      <c r="AB906" s="889" t="s">
        <v>346</v>
      </c>
      <c r="AC906" s="890"/>
      <c r="AD906" s="890"/>
      <c r="AE906" s="890"/>
      <c r="AF906" s="891"/>
      <c r="AG906" s="196">
        <f ca="1">IF($B$898="Лікар загальної практики - сімейний лікар",IF(AG902&lt;Законод!$C$22,0,(IF(AND(AG902&gt;=Законод!$G$22,AG902&lt;=Законод!$G$23),AG902-Законод!$F$23,IF('01_Доходи'!AG902&gt;=Законод!$H$22,Законод!$G$24,0)))),IF($B$898="Лікар-педіатр",IF(AG902&lt;Законод!$C$18,0,(IF(AND(AG902&gt;=Законод!$G$18,AG902&lt;=Законод!$G$19),AG902-Законод!$F$19,IF('01_Доходи'!AG902&gt;=Законод!$H$18,Законод!$G$20,0)))),IF($B$898="Лікар-терапевт",IF(AG902&lt;Законод!$C$26,0,(IF(AND(AG902&gt;=Законод!$G$26,AG902&lt;=Законод!$G$27),AG902-Законод!$F$27,IF('01_Доходи'!AG902&gt;=Законод!$H$26,Законод!$G$28,0)))),0)))</f>
        <v>0</v>
      </c>
      <c r="AH906" s="930"/>
      <c r="AI906" s="201"/>
      <c r="AJ906" s="933"/>
      <c r="AK906" s="927"/>
      <c r="AL906" s="927"/>
      <c r="AM906" s="899"/>
      <c r="AN906" s="210">
        <f ca="1">IF(B898="Лікар загальної практики - сімейний лікар",L906*Законод!$C$9/4*Законод!$G$16,IF(B898="Лікар-педіатр",L906*Законод!$C$9/4*Законод!$G$16,IF(B898="Лікар-терапевт",L906*Законод!$C$9/4*Законод!$G$16,0)))</f>
        <v>0</v>
      </c>
      <c r="AO906" s="210">
        <f ca="1">IF(B898="Лікар загальної практики - сімейний лікар",S906*Законод!$C$9/4*Законод!$G$16,IF(B898="Лікар-педіатр",S906*Законод!$C$9/4*Законод!$G$16,IF(B898="Лікар-терапевт",S906*Законод!$C$9/4*Законод!$G$16,0)))</f>
        <v>0</v>
      </c>
      <c r="AP906" s="210">
        <f ca="1">IF(B898="Лікар загальної практики - сімейний лікар",Z906*Законод!$C$9/4*Законод!$G$16,IF(B898="Лікар-педіатр",Z906*Законод!$C$9/4*Законод!$G$16,IF(B898="Лікар-терапевт",Z906*Законод!$C$9/4*Законод!$G$16,0)))</f>
        <v>0</v>
      </c>
      <c r="AQ906" s="210">
        <f ca="1">IF(B898="Лікар загальної практики - сімейний лікар",AG906*Законод!$C$9/4*Законод!$G$16,IF(B898="Лікар-педіатр",AG906*Законод!$C$9/4*Законод!$G$16,IF(B898="Лікар-терапевт",AG906*Законод!$C$9/4*Законод!$G$16,0)))</f>
        <v>0</v>
      </c>
      <c r="AR906" s="211">
        <f t="shared" si="96"/>
        <v>0</v>
      </c>
    </row>
    <row r="907" spans="1:44" s="50" customFormat="1" ht="31.9" hidden="1" customHeight="1">
      <c r="A907" s="197"/>
      <c r="B907" s="893"/>
      <c r="C907" s="896"/>
      <c r="D907" s="912"/>
      <c r="E907" s="909"/>
      <c r="F907" s="238" t="str">
        <f ca="1">IF(B898="Лікар-педіатр",Законод!$H$17,IF(B898="Лікар загальної практики - сімейний лікар",Законод!$H$21,IF(B898="Лікар-терапевт",Законод!$H$25,"х")))</f>
        <v>х</v>
      </c>
      <c r="G907" s="889" t="s">
        <v>346</v>
      </c>
      <c r="H907" s="890"/>
      <c r="I907" s="890"/>
      <c r="J907" s="890"/>
      <c r="K907" s="891"/>
      <c r="L907" s="196">
        <f ca="1">IF($B$898="Лікар загальної практики - сімейний лікар",IF(L902&lt;Законод!$C$22,0,(IF(AND(L902&gt;=Законод!$H$22,L902&lt;=Законод!$H$23),L902-Законод!$G$23,IF('01_Доходи'!L902&gt;=Законод!$I$22,Законод!$H$24,0)))),IF($B$898="Лікар-педіатр",IF(L902&lt;Законод!$C$18,0,(IF(AND(L902&gt;=Законод!$H$18,L902&lt;=Законод!$H$19),L902-Законод!$G$19,IF('01_Доходи'!L902&gt;=Законод!$I$18,Законод!$H$20,0)))),IF($B$898="Лікар-терапевт",IF(L902&lt;Законод!$C$26,0,(IF(AND(L902&gt;=Законод!$H$26,L902&lt;=Законод!$H$27),L902-Законод!$G$27,IF(L902&gt;=Законод!$I$26,Законод!$H$28,0)))),0)))</f>
        <v>0</v>
      </c>
      <c r="M907" s="930"/>
      <c r="N907" s="889" t="s">
        <v>346</v>
      </c>
      <c r="O907" s="890"/>
      <c r="P907" s="890"/>
      <c r="Q907" s="890"/>
      <c r="R907" s="891"/>
      <c r="S907" s="196">
        <f ca="1">IF($B$898="Лікар загальної практики - сімейний лікар",IF(S902&lt;Законод!$C$22,0,(IF(AND(S902&gt;=Законод!$H$22,S902&lt;=Законод!$H$23),S902-Законод!$G$23,IF('01_Доходи'!S902&gt;=Законод!$I$22,Законод!$H$24,0)))),IF($B$898="Лікар-педіатр",IF(S902&lt;Законод!$C$18,0,(IF(AND(S902&gt;=Законод!$H$18,S902&lt;=Законод!$H$19),S902-Законод!$G$19,IF('01_Доходи'!S902&gt;=Законод!$I$18,Законод!$H$20,0)))),IF($B$898="Лікар-терапевт",IF(S902&lt;Законод!$C$26,0,(IF(AND(S902&gt;=Законод!$H$26,S902&lt;=Законод!$H$27),S902-Законод!$G$27,IF(S902&gt;=Законод!$I$26,Законод!$H$28,0)))),0)))</f>
        <v>0</v>
      </c>
      <c r="T907" s="930"/>
      <c r="U907" s="889" t="s">
        <v>346</v>
      </c>
      <c r="V907" s="890"/>
      <c r="W907" s="890"/>
      <c r="X907" s="890"/>
      <c r="Y907" s="891"/>
      <c r="Z907" s="196">
        <f ca="1">IF($B$898="Лікар загальної практики - сімейний лікар",IF(Z902&lt;Законод!$C$22,0,(IF(AND(Z902&gt;=Законод!$H$22,Z902&lt;=Законод!$H$23),Z902-Законод!$G$23,IF('01_Доходи'!Z902&gt;=Законод!$I$22,Законод!$H$24,0)))),IF($B$898="Лікар-педіатр",IF(Z902&lt;Законод!$C$18,0,(IF(AND(Z902&gt;=Законод!$H$18,Z902&lt;=Законод!$H$19),Z902-Законод!$G$19,IF('01_Доходи'!Z902&gt;=Законод!$I$18,Законод!$H$20,0)))),IF($B$898="Лікар-терапевт",IF(Z902&lt;Законод!$C$26,0,(IF(AND(Z902&gt;=Законод!$H$26,Z902&lt;=Законод!$H$27),Z902-Законод!$G$27,IF(Z902&gt;=Законод!$I$26,Законод!$H$28,0)))),0)))</f>
        <v>0</v>
      </c>
      <c r="AA907" s="930"/>
      <c r="AB907" s="889" t="s">
        <v>346</v>
      </c>
      <c r="AC907" s="890"/>
      <c r="AD907" s="890"/>
      <c r="AE907" s="890"/>
      <c r="AF907" s="891"/>
      <c r="AG907" s="196">
        <f ca="1">IF($B$898="Лікар загальної практики - сімейний лікар",IF(AG902&lt;Законод!$C$22,0,(IF(AND(AG902&gt;=Законод!$H$22,AG902&lt;=Законод!$H$23),AG902-Законод!$G$23,IF('01_Доходи'!AG902&gt;=Законод!$I$22,Законод!$H$24,0)))),IF($B$898="Лікар-педіатр",IF(AG902&lt;Законод!$C$18,0,(IF(AND(AG902&gt;=Законод!$H$18,AG902&lt;=Законод!$H$19),AG902-Законод!$G$19,IF('01_Доходи'!AG902&gt;=Законод!$I$18,Законод!$H$20,0)))),IF($B$898="Лікар-терапевт",IF(AG902&lt;Законод!$C$26,0,(IF(AND(AG902&gt;=Законод!$H$26,AG902&lt;=Законод!$H$27),AG902-Законод!$G$27,IF(AG902&gt;=Законод!$I$26,Законод!$H$28,0)))),0)))</f>
        <v>0</v>
      </c>
      <c r="AH907" s="930"/>
      <c r="AI907" s="201"/>
      <c r="AJ907" s="933"/>
      <c r="AK907" s="927"/>
      <c r="AL907" s="927"/>
      <c r="AM907" s="899"/>
      <c r="AN907" s="210">
        <f ca="1">IF(B898="Лікар загальної практики - сімейний лікар",L907*Законод!$C$9/4*Законод!$H$16,IF(B898="Лікар-педіатр",L907*Законод!$C$9/4*Законод!$H$16,IF(B898="Лікар-терапевт",L907*Законод!$C$9/4*Законод!$H$16,0)))</f>
        <v>0</v>
      </c>
      <c r="AO907" s="210">
        <f ca="1">IF(B898="Лікар загальної практики - сімейний лікар",S907*Законод!$C$9/4*Законод!$H$16,IF(B898="Лікар-педіатр",S907*Законод!$C$9/4*Законод!$H$16,IF(B898="Лікар-терапевт",S907*Законод!$C$9/4*Законод!$H$16,0)))</f>
        <v>0</v>
      </c>
      <c r="AP907" s="210">
        <f ca="1">IF(B898="Лікар загальної практики - сімейний лікар",Z907*Законод!$C$9/4*Законод!$H$16,IF(B898="Лікар-педіатр",Z907*Законод!$C$9/4*Законод!$H$16,IF(B898="Лікар-терапевт",Z907*Законод!$C$9/4*Законод!$H$16,0)))</f>
        <v>0</v>
      </c>
      <c r="AQ907" s="210">
        <f ca="1">IF(B898="Лікар загальної практики - сімейний лікар",AG907*Законод!$C$9/4*Законод!$H$16,IF(B898="Лікар-педіатр",AG907*Законод!$C$9/4*Законод!$H$16,IF(B898="Лікар-терапевт",AG907*Законод!$C$9/4*Законод!$H$16,0)))</f>
        <v>0</v>
      </c>
      <c r="AR907" s="211">
        <f t="shared" si="96"/>
        <v>0</v>
      </c>
    </row>
    <row r="908" spans="1:44" s="50" customFormat="1" ht="31.9" hidden="1" customHeight="1">
      <c r="A908" s="197"/>
      <c r="B908" s="893"/>
      <c r="C908" s="896"/>
      <c r="D908" s="912"/>
      <c r="E908" s="909"/>
      <c r="F908" s="238" t="str">
        <f ca="1">IF(B898="Лікар-педіатр",Законод!$I$17,IF(B898="Лікар загальної практики - сімейний лікар",Законод!$I$21,IF(B898="Лікар-терапевт",Законод!$I$25,"х")))</f>
        <v>х</v>
      </c>
      <c r="G908" s="889" t="s">
        <v>346</v>
      </c>
      <c r="H908" s="890"/>
      <c r="I908" s="890"/>
      <c r="J908" s="890"/>
      <c r="K908" s="891"/>
      <c r="L908" s="196">
        <f ca="1">IF($B$898="Лікар загальної практики - сімейний лікар",IF(L902&lt;Законод!$C$22,0,(IF(AND(L902&gt;=Законод!$I$22,L902&lt;=Законод!$I$23),L902-Законод!$H$23,IF('01_Доходи'!L902&gt;=Законод!$I$22,Законод!$I$24,0)))),IF($B$898="Лікар-педіатр",IF(L902&lt;Законод!$C$18,0,(IF(AND(L902&gt;=Законод!$I$18,L902&lt;=Законод!$I$19),L902-Законод!$H$19,IF('01_Доходи'!L902&gt;=Законод!$I$18,Законод!$H$20,0)))),IF($B$898="Лікар-терапевт",IF(L902&lt;Законод!$C$26,0,(IF(AND(L902&gt;=Законод!$I$26,L902&lt;=Законод!$I$27),L902-Законод!$H$27,IF('01_Доходи'!L902&gt;=Законод!$I$26,Законод!$H$28,0)))),0)))</f>
        <v>0</v>
      </c>
      <c r="M908" s="930"/>
      <c r="N908" s="889" t="s">
        <v>346</v>
      </c>
      <c r="O908" s="890"/>
      <c r="P908" s="890"/>
      <c r="Q908" s="890"/>
      <c r="R908" s="891"/>
      <c r="S908" s="196">
        <f ca="1">IF($B$898="Лікар загальної практики - сімейний лікар",IF(S902&lt;Законод!$C$22,0,(IF(AND(S902&gt;=Законод!$I$22,S902&lt;=Законод!$I$23),S902-Законод!$H$23,IF('01_Доходи'!S902&gt;=Законод!$I$22,Законод!$I$24,0)))),IF($B$898="Лікар-педіатр",IF(S902&lt;Законод!$C$18,0,(IF(AND(S902&gt;=Законод!$I$18,S902&lt;=Законод!$I$19),S902-Законод!$H$19,IF('01_Доходи'!S902&gt;=Законод!$I$18,Законод!$H$20,0)))),IF($B$898="Лікар-терапевт",IF(S902&lt;Законод!$C$26,0,(IF(AND(S902&gt;=Законод!$I$26,S902&lt;=Законод!$I$27),S902-Законод!$H$27,IF('01_Доходи'!S902&gt;=Законод!$I$26,Законод!$H$28,0)))),0)))</f>
        <v>0</v>
      </c>
      <c r="T908" s="930"/>
      <c r="U908" s="889" t="s">
        <v>346</v>
      </c>
      <c r="V908" s="890"/>
      <c r="W908" s="890"/>
      <c r="X908" s="890"/>
      <c r="Y908" s="891"/>
      <c r="Z908" s="196">
        <f ca="1">IF($B$898="Лікар загальної практики - сімейний лікар",IF(Z902&lt;Законод!$C$22,0,(IF(AND(Z902&gt;=Законод!$I$22,Z902&lt;=Законод!$I$23),Z902-Законод!$H$23,IF('01_Доходи'!Z902&gt;=Законод!$I$22,Законод!$I$24,0)))),IF($B$898="Лікар-педіатр",IF(Z902&lt;Законод!$C$18,0,(IF(AND(Z902&gt;=Законод!$I$18,Z902&lt;=Законод!$I$19),Z902-Законод!$H$19,IF('01_Доходи'!Z902&gt;=Законод!$I$18,Законод!$H$20,0)))),IF($B$898="Лікар-терапевт",IF(Z902&lt;Законод!$C$26,0,(IF(AND(Z902&gt;=Законод!$I$26,Z902&lt;=Законод!$I$27),Z902-Законод!$H$27,IF('01_Доходи'!Z902&gt;=Законод!$I$26,Законод!$H$28,0)))),0)))</f>
        <v>0</v>
      </c>
      <c r="AA908" s="930"/>
      <c r="AB908" s="889" t="s">
        <v>346</v>
      </c>
      <c r="AC908" s="890"/>
      <c r="AD908" s="890"/>
      <c r="AE908" s="890"/>
      <c r="AF908" s="891"/>
      <c r="AG908" s="196">
        <f ca="1">IF($B$898="Лікар загальної практики - сімейний лікар",IF(AG902&lt;Законод!$C$22,0,(IF(AND(AG902&gt;=Законод!$I$22,AG902&lt;=Законод!$I$23),AG902-Законод!$H$23,IF('01_Доходи'!AG902&gt;=Законод!$I$22,Законод!$I$24,0)))),IF($B$898="Лікар-педіатр",IF(AG902&lt;Законод!$C$18,0,(IF(AND(AG902&gt;=Законод!$I$18,AG902&lt;=Законод!$I$19),AG902-Законод!$H$19,IF('01_Доходи'!AG902&gt;=Законод!$I$18,Законод!$H$20,0)))),IF($B$898="Лікар-терапевт",IF(AG902&lt;Законод!$C$26,0,(IF(AND(AG902&gt;=Законод!$I$26,AG902&lt;=Законод!$I$27),AG902-Законод!$H$27,IF('01_Доходи'!AG902&gt;=Законод!$I$26,Законод!$H$28,0)))),0)))</f>
        <v>0</v>
      </c>
      <c r="AH908" s="930"/>
      <c r="AI908" s="201"/>
      <c r="AJ908" s="933"/>
      <c r="AK908" s="927"/>
      <c r="AL908" s="927"/>
      <c r="AM908" s="899"/>
      <c r="AN908" s="210">
        <f ca="1">IF(B898="Лікар загальної практики - сімейний лікар",L908*Законод!$C$9/4*Законод!$I$16,IF(B898="Лікар-педіатр",L908*Законод!$C$9/4*Законод!$I$16,IF(B898="Лікар-терапевт",L908*Законод!$C$9/4*Законод!$I$16,0)))</f>
        <v>0</v>
      </c>
      <c r="AO908" s="210">
        <f ca="1">IF(B898="Лікар загальної практики - сімейний лікар",S908*Законод!$C$9/4*Законод!$I$16,IF(B898="Лікар-педіатр",S908*Законод!$C$9/4*Законод!$I$16,IF(B898="Лікар-терапевт",S908*Законод!$C$9/4*Законод!$I$16,0)))</f>
        <v>0</v>
      </c>
      <c r="AP908" s="210">
        <f ca="1">IF(B898="Лікар загальної практики - сімейний лікар",Z908*Законод!$C$9/4*Законод!$I$16,IF(B898="Лікар-педіатр",Z908*Законод!$C$9/4*Законод!$I$16,IF(B898="Лікар-терапевт",Z908*Законод!$C$9/4*Законод!$I$16,0)))</f>
        <v>0</v>
      </c>
      <c r="AQ908" s="210">
        <f ca="1">IF(B898="Лікар загальної практики - сімейний лікар",AG908*Законод!$C$9/4*Законод!$I$16,IF(B898="Лікар-педіатр",AG908*Законод!$C$9/4*Законод!$I$16,IF(B898="Лікар-терапевт",AG908*Законод!$C$9/4*Законод!$I$16,0)))</f>
        <v>0</v>
      </c>
      <c r="AR908" s="211">
        <f t="shared" si="96"/>
        <v>0</v>
      </c>
    </row>
    <row r="909" spans="1:44" s="218" customFormat="1" ht="31.9" hidden="1" customHeight="1" thickBot="1">
      <c r="A909" s="213"/>
      <c r="B909" s="894"/>
      <c r="C909" s="897"/>
      <c r="D909" s="913"/>
      <c r="E909" s="910"/>
      <c r="F909" s="239" t="str">
        <f ca="1">IF(B898="Лікар-педіатр",Законод!$J$17,IF(B898="Лікар загальної практики - сімейний лікар",Законод!$J$21,IF(B898="Лікар-терапевт",Законод!$J$25,"х")))</f>
        <v>х</v>
      </c>
      <c r="G909" s="935" t="s">
        <v>346</v>
      </c>
      <c r="H909" s="936"/>
      <c r="I909" s="936"/>
      <c r="J909" s="936"/>
      <c r="K909" s="937"/>
      <c r="L909" s="196">
        <f ca="1">IF($B$898="Лікар загальної практики - сімейний лікар",IF(L902&gt;=Законод!$J$22,'01_Доходи'!L902-('01_Доходи'!L903+'01_Доходи'!L904+'01_Доходи'!L905+'01_Доходи'!L906+'01_Доходи'!L907+'01_Доходи'!L908),0),IF($B$898="Лікар-педіатр",IF(L902&gt;=Законод!$J$18,'01_Доходи'!L902-('01_Доходи'!L903+'01_Доходи'!L904+'01_Доходи'!L905+'01_Доходи'!L906+'01_Доходи'!L907+'01_Доходи'!L908),0),IF($B$898="Лікар-терапевт",IF('01_Доходи'!L902&gt;=Законод!$J$26,L902-Законод!$I$27,0),0)))</f>
        <v>0</v>
      </c>
      <c r="M909" s="931"/>
      <c r="N909" s="935" t="s">
        <v>346</v>
      </c>
      <c r="O909" s="936"/>
      <c r="P909" s="936"/>
      <c r="Q909" s="936"/>
      <c r="R909" s="937"/>
      <c r="S909" s="196">
        <f ca="1">IF($B$898="Лікар загальної практики - сімейний лікар",IF(S902&gt;=Законод!$J$22,'01_Доходи'!S902-('01_Доходи'!S903+'01_Доходи'!S904+'01_Доходи'!S905+'01_Доходи'!S906+'01_Доходи'!S907+'01_Доходи'!S908),0),IF($B$898="Лікар-педіатр",IF(S902&gt;=Законод!$J$18,'01_Доходи'!S902-('01_Доходи'!S903+'01_Доходи'!S904+'01_Доходи'!S905+'01_Доходи'!S906+'01_Доходи'!S907+'01_Доходи'!S908),0),IF($B$898="Лікар-терапевт",IF('01_Доходи'!S902&gt;=Законод!$J$26,S902-Законод!$I$27,0),0)))</f>
        <v>0</v>
      </c>
      <c r="T909" s="931"/>
      <c r="U909" s="935" t="s">
        <v>346</v>
      </c>
      <c r="V909" s="936"/>
      <c r="W909" s="936"/>
      <c r="X909" s="936"/>
      <c r="Y909" s="937"/>
      <c r="Z909" s="196">
        <f ca="1">IF($B$898="Лікар загальної практики - сімейний лікар",IF(Z902&gt;=Законод!$J$22,'01_Доходи'!Z902-('01_Доходи'!Z903+'01_Доходи'!Z904+'01_Доходи'!Z905+'01_Доходи'!Z906+'01_Доходи'!Z907+'01_Доходи'!Z908),0),IF($B$898="Лікар-педіатр",IF(Z902&gt;=Законод!$J$18,'01_Доходи'!Z902-('01_Доходи'!Z903+'01_Доходи'!Z904+'01_Доходи'!Z905+'01_Доходи'!Z906+'01_Доходи'!Z907+'01_Доходи'!Z908),0),IF($B$898="Лікар-терапевт",IF('01_Доходи'!Z902&gt;=Законод!$J$26,Z902-Законод!$I$27,0),0)))</f>
        <v>0</v>
      </c>
      <c r="AA909" s="931"/>
      <c r="AB909" s="935" t="s">
        <v>346</v>
      </c>
      <c r="AC909" s="936"/>
      <c r="AD909" s="936"/>
      <c r="AE909" s="936"/>
      <c r="AF909" s="937"/>
      <c r="AG909" s="196">
        <f ca="1">IF($B$898="Лікар загальної практики - сімейний лікар",IF(AG902&gt;=Законод!$J$22,'01_Доходи'!AG902-('01_Доходи'!AG903+'01_Доходи'!AG904+'01_Доходи'!AG905+'01_Доходи'!AG906+'01_Доходи'!AG907+'01_Доходи'!AG908),0),IF($B$898="Лікар-педіатр",IF(AG902&gt;=Законод!$J$18,'01_Доходи'!AG902-('01_Доходи'!AG903+'01_Доходи'!AG904+'01_Доходи'!AG905+'01_Доходи'!AG906+'01_Доходи'!AG907+'01_Доходи'!AG908),0),IF($B$898="Лікар-терапевт",IF('01_Доходи'!AG902&gt;=Законод!$J$26,AG902-Законод!$I$27,0),0)))</f>
        <v>0</v>
      </c>
      <c r="AH909" s="931"/>
      <c r="AI909" s="215"/>
      <c r="AJ909" s="934"/>
      <c r="AK909" s="928"/>
      <c r="AL909" s="928"/>
      <c r="AM909" s="900"/>
      <c r="AN909" s="216">
        <f ca="1">IF(B898="Лікар загальної практики - сімейний лікар",L909*Законод!$C$9/4*Законод!$J$16,IF(B898="Лікар-педіатр",L909*Законод!$C$9/4*Законод!$J$16,IF(B898="Лікар-терапевт",L909*Законод!$C$9/4*Законод!$J$16,0)))</f>
        <v>0</v>
      </c>
      <c r="AO909" s="216">
        <f ca="1">IF(B898="Лікар загальної практики - сімейний лікар",S909*Законод!$C$9/4*Законод!$J$16,IF(B898="Лікар-педіатр",S909*Законод!$C$9/4*Законод!$J$16,IF(B898="Лікар-терапевт",S909*Законод!$C$9/4*Законод!$J$16,0)))</f>
        <v>0</v>
      </c>
      <c r="AP909" s="216">
        <f ca="1">IF(B898="Лікар загальної практики - сімейний лікар",S909*Законод!$C$9/4*Законод!$J$16,IF(B898="Лікар-педіатр",S909*Законод!$C$9/4*Законод!$J$16,IF(B898="Лікар-терапевт",S909*Законод!$C$9/4*Законод!$J$16,0)))</f>
        <v>0</v>
      </c>
      <c r="AQ909" s="216">
        <f ca="1">IF(B898="Лікар загальної практики - сімейний лікар",AG909*Законод!$C$9/4*Законод!$J$16,IF(B898="Лікар-педіатр",AG909*Законод!$C$9/4*Законод!$J$16,IF(B898="Лікар-терапевт",AG909*Законод!$C$9/4*Законод!$J$16,0)))</f>
        <v>0</v>
      </c>
      <c r="AR909" s="217">
        <f t="shared" si="96"/>
        <v>0</v>
      </c>
    </row>
    <row r="910" spans="1:44" s="247" customFormat="1" ht="23.45" hidden="1" customHeight="1" thickBot="1">
      <c r="A910" s="243"/>
      <c r="B910" s="244"/>
      <c r="C910" s="244"/>
      <c r="D910" s="244"/>
      <c r="E910" s="244"/>
      <c r="F910" s="245"/>
      <c r="G910" s="246"/>
      <c r="H910" s="246"/>
      <c r="L910" s="248"/>
      <c r="S910" s="248"/>
      <c r="Z910" s="248"/>
      <c r="AG910" s="248"/>
      <c r="AM910" s="249"/>
      <c r="AR910" s="250"/>
    </row>
    <row r="911" spans="1:44" s="191" customFormat="1" ht="24.6" hidden="1" customHeight="1">
      <c r="A911" s="194">
        <f>A898+1</f>
        <v>68</v>
      </c>
      <c r="B911" s="892"/>
      <c r="C911" s="895"/>
      <c r="D911" s="911"/>
      <c r="E911" s="908"/>
      <c r="F911" s="234" t="s">
        <v>582</v>
      </c>
      <c r="G911" s="196">
        <f>IF($B$911="Лікар-педіатр",G914*L911,IF($B$911="Лікар-терапевт","х",IF($B$911="Лікар загальної практики - сімейний лікар",G914*L911,0)))</f>
        <v>0</v>
      </c>
      <c r="H911" s="196">
        <f>IF($B$911="Лікар-педіатр",H914*L911,IF($B$911="Лікар-терапевт","х",IF($B$911="Лікар загальної практики - сімейний лікар",H914*L911,0)))</f>
        <v>0</v>
      </c>
      <c r="I911" s="196">
        <f>IF($B$911="Лікар-педіатр","x",IF($B$911="Лікар-терапевт",I914*L911,IF($B$911="Лікар загальної практики - сімейний лікар",I914*L911,0)))</f>
        <v>0</v>
      </c>
      <c r="J911" s="196">
        <f>IF($B$911="Лікар-педіатр","x",IF($B$911="Лікар-терапевт",J914*L911,IF($B$911="Лікар загальної практики - сімейний лікар",J914*L911,0)))</f>
        <v>0</v>
      </c>
      <c r="K911" s="196">
        <f>IF($B$911="Лікар-педіатр","x",IF($B$911="Лікар-терапевт",K914*L911,IF($B$911="Лікар загальної практики - сімейний лікар",K914*L911,0)))</f>
        <v>0</v>
      </c>
      <c r="L911" s="558"/>
      <c r="M911" s="929"/>
      <c r="N911" s="196">
        <f>IF($B$911="Лікар-педіатр",N914*S911,IF($B$911="Лікар-терапевт","х",IF($B$911="Лікар загальної практики - сімейний лікар",N914*S911,0)))</f>
        <v>0</v>
      </c>
      <c r="O911" s="196">
        <f>IF($B$911="Лікар-педіатр",O914*S911,IF($B$911="Лікар-терапевт","х",IF($B$911="Лікар загальної практики - сімейний лікар",O914*S911,0)))</f>
        <v>0</v>
      </c>
      <c r="P911" s="196">
        <f>IF($B$911="Лікар-педіатр","x",IF($B$911="Лікар-терапевт",P914*S911,IF($B$911="Лікар загальної практики - сімейний лікар",P914*S911,0)))</f>
        <v>0</v>
      </c>
      <c r="Q911" s="196">
        <f>IF($B$911="Лікар-педіатр","x",IF($B$911="Лікар-терапевт",Q914*S911,IF($B$911="Лікар загальної практики - сімейний лікар",Q914*S911,0)))</f>
        <v>0</v>
      </c>
      <c r="R911" s="196">
        <f>IF($B$911="Лікар-педіатр","x",IF($B$911="Лікар-терапевт",R914*S911,IF($B$911="Лікар загальної практики - сімейний лікар",R914*S911,0)))</f>
        <v>0</v>
      </c>
      <c r="S911" s="558"/>
      <c r="T911" s="929"/>
      <c r="U911" s="196">
        <f>IF($B$911="Лікар-педіатр",U914*Z911,IF($B$911="Лікар-терапевт","х",IF($B$911="Лікар загальної практики - сімейний лікар",U914*Z911,0)))</f>
        <v>0</v>
      </c>
      <c r="V911" s="196">
        <f>IF($B$911="Лікар-педіатр",V914*Z911,IF($B$911="Лікар-терапевт","х",IF($B$911="Лікар загальної практики - сімейний лікар",V914*Z911,0)))</f>
        <v>0</v>
      </c>
      <c r="W911" s="196">
        <f>IF($B$911="Лікар-педіатр","x",IF($B$911="Лікар-терапевт",W914*Z911,IF($B$911="Лікар загальної практики - сімейний лікар",W914*Z911,0)))</f>
        <v>0</v>
      </c>
      <c r="X911" s="196">
        <f>IF($B$911="Лікар-педіатр","x",IF($B$911="Лікар-терапевт",X914*Z911,IF($B$911="Лікар загальної практики - сімейний лікар",X914*Z911,0)))</f>
        <v>0</v>
      </c>
      <c r="Y911" s="196">
        <f>IF($B$911="Лікар-педіатр","x",IF($B$911="Лікар-терапевт",Y914*Z911,IF($B$911="Лікар загальної практики - сімейний лікар",Y914*Z911,0)))</f>
        <v>0</v>
      </c>
      <c r="Z911" s="558"/>
      <c r="AA911" s="929"/>
      <c r="AB911" s="196">
        <f>IF($B$911="Лікар-педіатр",AB914*AG911,IF($B$911="Лікар-терапевт","х",IF($B$911="Лікар загальної практики - сімейний лікар",AB914*AG911,0)))</f>
        <v>0</v>
      </c>
      <c r="AC911" s="196">
        <f>IF($B$911="Лікар-педіатр",AC914*AG911,IF($B$911="Лікар-терапевт","х",IF($B$911="Лікар загальної практики - сімейний лікар",AC914*AG911,0)))</f>
        <v>0</v>
      </c>
      <c r="AD911" s="196">
        <f>IF($B$911="Лікар-педіатр","x",IF($B$911="Лікар-терапевт",AD914*AG911,IF($B$911="Лікар загальної практики - сімейний лікар",AD914*AG911,0)))</f>
        <v>0</v>
      </c>
      <c r="AE911" s="196">
        <f>IF($B$911="Лікар-педіатр","x",IF($B$911="Лікар-терапевт",AE914*AG911,IF($B$911="Лікар загальної практики - сімейний лікар",AE914*AG911,0)))</f>
        <v>0</v>
      </c>
      <c r="AF911" s="196">
        <f>IF($B$911="Лікар-педіатр","x",IF($B$911="Лікар-терапевт",AF914*AG911,IF($B$911="Лікар загальної практики - сімейний лікар",AF914*AG911,0)))</f>
        <v>0</v>
      </c>
      <c r="AG911" s="558"/>
      <c r="AH911" s="929"/>
      <c r="AI911" s="541">
        <f>A911</f>
        <v>68</v>
      </c>
      <c r="AJ911" s="932">
        <f>B911</f>
        <v>0</v>
      </c>
      <c r="AK911" s="926">
        <f>C911</f>
        <v>0</v>
      </c>
      <c r="AL911" s="926">
        <f>D911</f>
        <v>0</v>
      </c>
      <c r="AM911" s="901" t="s">
        <v>785</v>
      </c>
      <c r="AN911" s="923">
        <f>SUM(AN916:AN922)</f>
        <v>0</v>
      </c>
      <c r="AO911" s="923">
        <f>SUM(AO916:AO922)</f>
        <v>0</v>
      </c>
      <c r="AP911" s="923">
        <f>SUM(AP916:AP922)</f>
        <v>0</v>
      </c>
      <c r="AQ911" s="923">
        <f>SUM(AQ916:AQ922)</f>
        <v>0</v>
      </c>
      <c r="AR911" s="914">
        <f>SUM(AN911:AQ915)</f>
        <v>0</v>
      </c>
    </row>
    <row r="912" spans="1:44" s="50" customFormat="1" ht="28.15" hidden="1" customHeight="1">
      <c r="A912" s="197"/>
      <c r="B912" s="893"/>
      <c r="C912" s="896"/>
      <c r="D912" s="912"/>
      <c r="E912" s="909"/>
      <c r="F912" s="234" t="s">
        <v>583</v>
      </c>
      <c r="G912" s="196">
        <f>IF($B$911="Лікар-педіатр",G914*L912,IF($B$911="Лікар-терапевт","х",IF($B$911="Лікар загальної практики - сімейний лікар",G914*L912,0)))</f>
        <v>0</v>
      </c>
      <c r="H912" s="196">
        <f>IF($B$911="Лікар-педіатр",H914*L912,IF($B$911="Лікар-терапевт","х",IF($B$911="Лікар загальної практики - сімейний лікар",H914*L912,0)))</f>
        <v>0</v>
      </c>
      <c r="I912" s="196">
        <f>IF($B$911="Лікар-педіатр","x",IF($B$911="Лікар-терапевт",I914*L912,IF($B$911="Лікар загальної практики - сімейний лікар",I914*L912,0)))</f>
        <v>0</v>
      </c>
      <c r="J912" s="196">
        <f>IF($B$911="Лікар-педіатр","x",IF($B$911="Лікар-терапевт",J914*L912,IF($B$911="Лікар загальної практики - сімейний лікар",J914*L912,0)))</f>
        <v>0</v>
      </c>
      <c r="K912" s="196">
        <f>IF($B$911="Лікар-педіатр","x",IF($B$911="Лікар-терапевт",K914*L912,IF($B$911="Лікар загальної практики - сімейний лікар",K914*L912,0)))</f>
        <v>0</v>
      </c>
      <c r="L912" s="558"/>
      <c r="M912" s="930"/>
      <c r="N912" s="196">
        <f>IF($B$911="Лікар-педіатр",N914*S912,IF($B$911="Лікар-терапевт","х",IF($B$911="Лікар загальної практики - сімейний лікар",N914*S912,0)))</f>
        <v>0</v>
      </c>
      <c r="O912" s="196">
        <f>IF($B$911="Лікар-педіатр",O914*S912,IF($B$911="Лікар-терапевт","х",IF($B$911="Лікар загальної практики - сімейний лікар",O914*S912,0)))</f>
        <v>0</v>
      </c>
      <c r="P912" s="196">
        <f>IF($B$911="Лікар-педіатр","x",IF($B$911="Лікар-терапевт",P914*S912,IF($B$911="Лікар загальної практики - сімейний лікар",P914*S912,0)))</f>
        <v>0</v>
      </c>
      <c r="Q912" s="196">
        <f>IF($B$911="Лікар-педіатр","x",IF($B$911="Лікар-терапевт",Q914*S912,IF($B$911="Лікар загальної практики - сімейний лікар",Q914*S912,0)))</f>
        <v>0</v>
      </c>
      <c r="R912" s="196">
        <f>IF($B$911="Лікар-педіатр","x",IF($B$911="Лікар-терапевт",R914*S912,IF($B$911="Лікар загальної практики - сімейний лікар",R914*S912,0)))</f>
        <v>0</v>
      </c>
      <c r="S912" s="558"/>
      <c r="T912" s="930"/>
      <c r="U912" s="196">
        <f>IF($B$911="Лікар-педіатр",U914*Z912,IF($B$911="Лікар-терапевт","х",IF($B$911="Лікар загальної практики - сімейний лікар",U914*Z912,0)))</f>
        <v>0</v>
      </c>
      <c r="V912" s="196">
        <f>IF($B$911="Лікар-педіатр",V914*Z912,IF($B$911="Лікар-терапевт","х",IF($B$911="Лікар загальної практики - сімейний лікар",V914*Z912,0)))</f>
        <v>0</v>
      </c>
      <c r="W912" s="196">
        <f>IF($B$911="Лікар-педіатр","x",IF($B$911="Лікар-терапевт",W914*Z912,IF($B$911="Лікар загальної практики - сімейний лікар",W914*Z912,0)))</f>
        <v>0</v>
      </c>
      <c r="X912" s="196">
        <f>IF($B$911="Лікар-педіатр","x",IF($B$911="Лікар-терапевт",X914*Z912,IF($B$911="Лікар загальної практики - сімейний лікар",X914*Z912,0)))</f>
        <v>0</v>
      </c>
      <c r="Y912" s="196">
        <f>IF($B$911="Лікар-педіатр","x",IF($B$911="Лікар-терапевт",Y914*Z912,IF($B$911="Лікар загальної практики - сімейний лікар",Y914*Z912,0)))</f>
        <v>0</v>
      </c>
      <c r="Z912" s="558"/>
      <c r="AA912" s="930"/>
      <c r="AB912" s="196">
        <f>IF($B$911="Лікар-педіатр",AB914*AG912,IF($B$911="Лікар-терапевт","х",IF($B$911="Лікар загальної практики - сімейний лікар",AB914*AG912,0)))</f>
        <v>0</v>
      </c>
      <c r="AC912" s="196">
        <f>IF($B$911="Лікар-педіатр",AC914*AG912,IF($B$911="Лікар-терапевт","х",IF($B$911="Лікар загальної практики - сімейний лікар",AC914*AG912,0)))</f>
        <v>0</v>
      </c>
      <c r="AD912" s="196">
        <f>IF($B$911="Лікар-педіатр","x",IF($B$911="Лікар-терапевт",AD914*AG912,IF($B$911="Лікар загальної практики - сімейний лікар",AD914*AG912,0)))</f>
        <v>0</v>
      </c>
      <c r="AE912" s="196">
        <f>IF($B$911="Лікар-педіатр","x",IF($B$911="Лікар-терапевт",AE914*AG912,IF($B$911="Лікар загальної практики - сімейний лікар",AE914*AG912,0)))</f>
        <v>0</v>
      </c>
      <c r="AF912" s="196">
        <f>IF($B$911="Лікар-педіатр","x",IF($B$911="Лікар-терапевт",AF914*AG912,IF($B$911="Лікар загальної практики - сімейний лікар",AF914*AG912,0)))</f>
        <v>0</v>
      </c>
      <c r="AG912" s="558"/>
      <c r="AH912" s="930"/>
      <c r="AI912" s="198"/>
      <c r="AJ912" s="933"/>
      <c r="AK912" s="927"/>
      <c r="AL912" s="927"/>
      <c r="AM912" s="902"/>
      <c r="AN912" s="924"/>
      <c r="AO912" s="924"/>
      <c r="AP912" s="924"/>
      <c r="AQ912" s="924"/>
      <c r="AR912" s="915"/>
    </row>
    <row r="913" spans="1:44" s="90" customFormat="1" ht="31.15" hidden="1" customHeight="1">
      <c r="A913" s="240"/>
      <c r="B913" s="893"/>
      <c r="C913" s="896"/>
      <c r="D913" s="912"/>
      <c r="E913" s="909"/>
      <c r="F913" s="241" t="s">
        <v>584</v>
      </c>
      <c r="G913" s="199">
        <f>IF(B911="Лікар загальної практики - сімейний лікар"," ",IF(B911="Лікар-педіатр"," ",IF(B911="Лікар-терапевт","х",0)))</f>
        <v>0</v>
      </c>
      <c r="H913" s="199">
        <f>IF(B911="Лікар загальної практики - сімейний лікар"," ",IF(B911="Лікар-педіатр"," ",IF(B911="Лікар-терапевт","х",0)))</f>
        <v>0</v>
      </c>
      <c r="I913" s="199">
        <f>IF(B911="Лікар загальної практики - сімейний лікар"," ",IF(B911="Лікар-педіатр","х",IF(B911="Лікар-терапевт"," ",0)))</f>
        <v>0</v>
      </c>
      <c r="J913" s="199">
        <f>IF(B911="Лікар загальної практики - сімейний лікар"," ",IF(B911="Лікар-педіатр","х",IF(B911="Лікар-терапевт"," ",0)))</f>
        <v>0</v>
      </c>
      <c r="K913" s="199">
        <f>IF(B911="Лікар загальної практики - сімейний лікар"," ",IF(B911="Лікар-педіатр","х",IF(B911="Лікар-терапевт"," ",0)))</f>
        <v>0</v>
      </c>
      <c r="L913" s="200">
        <f>SUM(G913:K913)</f>
        <v>0</v>
      </c>
      <c r="M913" s="930"/>
      <c r="N913" s="199">
        <f>IF(B911="Лікар загальної практики - сімейний лікар"," ",IF(B911="Лікар-педіатр"," ",IF(B911="Лікар-терапевт","х",0)))</f>
        <v>0</v>
      </c>
      <c r="O913" s="199">
        <f>IF(B911="Лікар загальної практики - сімейний лікар"," ",IF(B911="Лікар-педіатр"," ",IF(B911="Лікар-терапевт","х",0)))</f>
        <v>0</v>
      </c>
      <c r="P913" s="199">
        <f>IF(B911="Лікар загальної практики - сімейний лікар"," ",IF(B911="Лікар-педіатр","х",IF(B911="Лікар-терапевт"," ",0)))</f>
        <v>0</v>
      </c>
      <c r="Q913" s="199">
        <f>IF(B911="Лікар загальної практики - сімейний лікар"," ",IF(B911="Лікар-педіатр","х",IF(B911="Лікар-терапевт"," ",0)))</f>
        <v>0</v>
      </c>
      <c r="R913" s="199">
        <f>IF(B911="Лікар загальної практики - сімейний лікар"," ",IF(B911="Лікар-педіатр","х",IF(B911="Лікар-терапевт"," ",0)))</f>
        <v>0</v>
      </c>
      <c r="S913" s="200">
        <f>SUM(N913:R913)</f>
        <v>0</v>
      </c>
      <c r="T913" s="930"/>
      <c r="U913" s="199">
        <f>IF(B911="Лікар загальної практики - сімейний лікар"," ",IF(B911="Лікар-педіатр"," ",IF(B911="Лікар-терапевт","х",0)))</f>
        <v>0</v>
      </c>
      <c r="V913" s="199">
        <f>IF(B911="Лікар загальної практики - сімейний лікар"," ",IF(B911="Лікар-педіатр"," ",IF(B911="Лікар-терапевт","х",0)))</f>
        <v>0</v>
      </c>
      <c r="W913" s="199">
        <f>IF(B911="Лікар загальної практики - сімейний лікар"," ",IF(B911="Лікар-педіатр","х",IF(B911="Лікар-терапевт"," ",0)))</f>
        <v>0</v>
      </c>
      <c r="X913" s="199">
        <f>IF(B911="Лікар загальної практики - сімейний лікар"," ",IF(B911="Лікар-педіатр","х",IF(B911="Лікар-терапевт"," ",0)))</f>
        <v>0</v>
      </c>
      <c r="Y913" s="199">
        <f>IF(B911="Лікар загальної практики - сімейний лікар"," ",IF(B911="Лікар-педіатр","х",IF(B911="Лікар-терапевт"," ",0)))</f>
        <v>0</v>
      </c>
      <c r="Z913" s="200">
        <f>SUM(U913:Y913)</f>
        <v>0</v>
      </c>
      <c r="AA913" s="930"/>
      <c r="AB913" s="199">
        <f>IF(B911="Лікар загальної практики - сімейний лікар"," ",IF(B911="Лікар-педіатр"," ",IF(B911="Лікар-терапевт","х",0)))</f>
        <v>0</v>
      </c>
      <c r="AC913" s="199">
        <f>IF(B911="Лікар загальної практики - сімейний лікар"," ",IF(B911="Лікар-педіатр"," ",IF(B911="Лікар-терапевт","х",0)))</f>
        <v>0</v>
      </c>
      <c r="AD913" s="199">
        <f>IF(B911="Лікар загальної практики - сімейний лікар"," ",IF(B911="Лікар-педіатр","х",IF(B911="Лікар-терапевт"," ",0)))</f>
        <v>0</v>
      </c>
      <c r="AE913" s="199">
        <f>IF(B911="Лікар загальної практики - сімейний лікар"," ",IF(B911="Лікар-педіатр","х",IF(B911="Лікар-терапевт"," ",0)))</f>
        <v>0</v>
      </c>
      <c r="AF913" s="199">
        <f>IF(B911="Лікар загальної практики - сімейний лікар"," ",IF(B911="Лікар-педіатр","х",IF(B911="Лікар-терапевт"," ",0)))</f>
        <v>0</v>
      </c>
      <c r="AG913" s="200">
        <f>SUM(AB913:AF913)</f>
        <v>0</v>
      </c>
      <c r="AH913" s="930"/>
      <c r="AI913" s="242"/>
      <c r="AJ913" s="933"/>
      <c r="AK913" s="927"/>
      <c r="AL913" s="927"/>
      <c r="AM913" s="902"/>
      <c r="AN913" s="924"/>
      <c r="AO913" s="924"/>
      <c r="AP913" s="924"/>
      <c r="AQ913" s="924"/>
      <c r="AR913" s="915"/>
    </row>
    <row r="914" spans="1:44" s="50" customFormat="1" ht="31.9" hidden="1" customHeight="1" thickBot="1">
      <c r="A914" s="197"/>
      <c r="B914" s="893"/>
      <c r="C914" s="896"/>
      <c r="D914" s="912"/>
      <c r="E914" s="909"/>
      <c r="F914" s="236" t="s">
        <v>349</v>
      </c>
      <c r="G914" s="203">
        <f>IF($B$911="Лікар-педіатр",G913/L913,IF($B$911="Лікар-терапевт","х",IF($B$911="Лікар загальної практики - сімейний лікар",G913/L913,0)))</f>
        <v>0</v>
      </c>
      <c r="H914" s="203">
        <f>IF($B$911="Лікар-педіатр",H913/L913,IF($B$911="Лікар-терапевт","х",IF($B$911="Лікар загальної практики - сімейний лікар",H913/L913,0)))</f>
        <v>0</v>
      </c>
      <c r="I914" s="203">
        <f>IF($B$911="Лікар-педіатр","x",IF($B$911="Лікар-терапевт",I913/L913,IF($B$911="Лікар загальної практики - сімейний лікар",I913/L913,0)))</f>
        <v>0</v>
      </c>
      <c r="J914" s="203">
        <f>IF($B$911="Лікар-педіатр","x",IF($B$911="Лікар-терапевт",J913/L913,IF($B$911="Лікар загальної практики - сімейний лікар",J913/L913,0)))</f>
        <v>0</v>
      </c>
      <c r="K914" s="203">
        <f>IF($B$911="Лікар-педіатр","x",IF($B$911="Лікар-терапевт",K913/L913,IF($B$911="Лікар загальної практики - сімейний лікар",K913/L913,0)))</f>
        <v>0</v>
      </c>
      <c r="L914" s="203">
        <f>SUM(G914:K914)</f>
        <v>0</v>
      </c>
      <c r="M914" s="930"/>
      <c r="N914" s="203">
        <f>IF($B$911="Лікар-педіатр",N913/S913,IF($B$911="Лікар-терапевт","х",IF($B$911="Лікар загальної практики - сімейний лікар",N913/S913,0)))</f>
        <v>0</v>
      </c>
      <c r="O914" s="203">
        <f>IF($B$911="Лікар-педіатр",O913/S913,IF($B$911="Лікар-терапевт","х",IF($B$911="Лікар загальної практики - сімейний лікар",O913/S913,0)))</f>
        <v>0</v>
      </c>
      <c r="P914" s="203">
        <f>IF($B$911="Лікар-педіатр","x",IF($B$911="Лікар-терапевт",P913/S913,IF($B$911="Лікар загальної практики - сімейний лікар",P913/S913,0)))</f>
        <v>0</v>
      </c>
      <c r="Q914" s="203">
        <f>IF($B$911="Лікар-педіатр","x",IF($B$911="Лікар-терапевт",Q913/S913,IF($B$911="Лікар загальної практики - сімейний лікар",Q913/S913,0)))</f>
        <v>0</v>
      </c>
      <c r="R914" s="203">
        <f>IF($B$911="Лікар-педіатр","x",IF($B$911="Лікар-терапевт",R913/S913,IF($B$911="Лікар загальної практики - сімейний лікар",R913/S913,0)))</f>
        <v>0</v>
      </c>
      <c r="S914" s="203">
        <f>SUM(N914:R914)</f>
        <v>0</v>
      </c>
      <c r="T914" s="930"/>
      <c r="U914" s="203">
        <f>IF($B$911="Лікар-педіатр",U913/Z913,IF($B$911="Лікар-терапевт","х",IF($B$911="Лікар загальної практики - сімейний лікар",U913/Z913,0)))</f>
        <v>0</v>
      </c>
      <c r="V914" s="203">
        <f>IF($B$911="Лікар-педіатр",V913/Z913,IF($B$911="Лікар-терапевт","х",IF($B$911="Лікар загальної практики - сімейний лікар",V913/Z913,0)))</f>
        <v>0</v>
      </c>
      <c r="W914" s="203">
        <f>IF($B$911="Лікар-педіатр","x",IF($B$911="Лікар-терапевт",W913/Z913,IF($B$911="Лікар загальної практики - сімейний лікар",W913/Z913,0)))</f>
        <v>0</v>
      </c>
      <c r="X914" s="203">
        <f>IF($B$911="Лікар-педіатр","x",IF($B$911="Лікар-терапевт",X913/Z913,IF($B$911="Лікар загальної практики - сімейний лікар",X913/Z913,0)))</f>
        <v>0</v>
      </c>
      <c r="Y914" s="203">
        <f>IF($B$911="Лікар-педіатр","x",IF($B$911="Лікар-терапевт",Y913/Z913,IF($B$911="Лікар загальної практики - сімейний лікар",Y913/Z913,0)))</f>
        <v>0</v>
      </c>
      <c r="Z914" s="203">
        <f>SUM(U914:Y914)</f>
        <v>0</v>
      </c>
      <c r="AA914" s="930"/>
      <c r="AB914" s="203">
        <f>IF($B$911="Лікар-педіатр",AB913/AG913,IF($B$911="Лікар-терапевт","х",IF($B$911="Лікар загальної практики - сімейний лікар",AB913/AG913,0)))</f>
        <v>0</v>
      </c>
      <c r="AC914" s="203">
        <f>IF($B$911="Лікар-педіатр",AC913/AG913,IF($B$911="Лікар-терапевт","х",IF($B$911="Лікар загальної практики - сімейний лікар",AC913/AG913,0)))</f>
        <v>0</v>
      </c>
      <c r="AD914" s="203">
        <f>IF($B$911="Лікар-педіатр","x",IF($B$911="Лікар-терапевт",AD913/AG913,IF($B$911="Лікар загальної практики - сімейний лікар",AD913/AG913,0)))</f>
        <v>0</v>
      </c>
      <c r="AE914" s="203">
        <f>IF($B$911="Лікар-педіатр","x",IF($B$911="Лікар-терапевт",AE913/AG913,IF($B$911="Лікар загальної практики - сімейний лікар",AE913/AG913,0)))</f>
        <v>0</v>
      </c>
      <c r="AF914" s="203">
        <f>IF($B$911="Лікар-педіатр","x",IF($B$911="Лікар-терапевт",AF913/AG913,IF($B$911="Лікар загальної практики - сімейний лікар",AF913/AG913,0)))</f>
        <v>0</v>
      </c>
      <c r="AG914" s="203">
        <f>SUM(AB914:AF914)</f>
        <v>0</v>
      </c>
      <c r="AH914" s="930"/>
      <c r="AI914" s="201"/>
      <c r="AJ914" s="933"/>
      <c r="AK914" s="927"/>
      <c r="AL914" s="927"/>
      <c r="AM914" s="902"/>
      <c r="AN914" s="924"/>
      <c r="AO914" s="924"/>
      <c r="AP914" s="924"/>
      <c r="AQ914" s="924"/>
      <c r="AR914" s="915"/>
    </row>
    <row r="915" spans="1:44" s="50" customFormat="1" ht="45" hidden="1" customHeight="1" thickBot="1">
      <c r="A915" s="197"/>
      <c r="B915" s="893"/>
      <c r="C915" s="896"/>
      <c r="D915" s="912"/>
      <c r="E915" s="909"/>
      <c r="F915" s="204" t="s">
        <v>585</v>
      </c>
      <c r="G915" s="205">
        <f>IF($B$911="Лікар загальної практики - сімейний лікар",AVERAGE(G911:G913),IF($B$911="Лікар-педіатр",AVERAGE(G911:G913),IF($B$911="Лікар-терапевт","х",0)))</f>
        <v>0</v>
      </c>
      <c r="H915" s="205">
        <f>IF($B$911="Лікар загальної практики - сімейний лікар",AVERAGE(H911:H913),IF($B$911="Лікар-педіатр",AVERAGE(H911:H913),IF($B$911="Лікар-терапевт","х",0)))</f>
        <v>0</v>
      </c>
      <c r="I915" s="205">
        <f>IF($B$911="Лікар загальної практики - сімейний лікар",AVERAGE(I911:I913),IF($B$911="Лікар-педіатр","x",IF($B$911="Лікар-терапевт",AVERAGE(I911:I913),0)))</f>
        <v>0</v>
      </c>
      <c r="J915" s="205">
        <f>IF($B$911="Лікар загальної практики - сімейний лікар",AVERAGE(J911:J913),IF($B$911="Лікар-педіатр","x",IF($B$911="Лікар-терапевт",AVERAGE(J911:J913),0)))</f>
        <v>0</v>
      </c>
      <c r="K915" s="205">
        <f>IF($B$911="Лікар загальної практики - сімейний лікар",AVERAGE(K911:K913),IF($B$911="Лікар-педіатр","x",IF($B$911="Лікар-терапевт",AVERAGE(K911:K913),0)))</f>
        <v>0</v>
      </c>
      <c r="L915" s="206">
        <f>SUM(G915:K915)</f>
        <v>0</v>
      </c>
      <c r="M915" s="930"/>
      <c r="N915" s="205">
        <f>IF($B$911="Лікар загальної практики - сімейний лікар",AVERAGE(N911:N913),IF($B$911="Лікар-педіатр",AVERAGE(N911:N913),IF($B$911="Лікар-терапевт","х",0)))</f>
        <v>0</v>
      </c>
      <c r="O915" s="205">
        <f>IF($B$911="Лікар загальної практики - сімейний лікар",AVERAGE(O911:O913),IF($B$911="Лікар-педіатр",AVERAGE(O911:O913),IF($B$911="Лікар-терапевт","х",0)))</f>
        <v>0</v>
      </c>
      <c r="P915" s="205">
        <f>IF($B$911="Лікар загальної практики - сімейний лікар",AVERAGE(P911:P913),IF($B$911="Лікар-педіатр","x",IF($B$911="Лікар-терапевт",AVERAGE(P911:P913),0)))</f>
        <v>0</v>
      </c>
      <c r="Q915" s="205">
        <f>IF($B$911="Лікар загальної практики - сімейний лікар",AVERAGE(Q911:Q913),IF($B$911="Лікар-педіатр","x",IF($B$911="Лікар-терапевт",AVERAGE(Q911:Q913),0)))</f>
        <v>0</v>
      </c>
      <c r="R915" s="205">
        <f>IF($B$911="Лікар загальної практики - сімейний лікар",AVERAGE(R911:R913),IF($B$911="Лікар-педіатр","x",IF($B$911="Лікар-терапевт",AVERAGE(R911:R913),0)))</f>
        <v>0</v>
      </c>
      <c r="S915" s="206">
        <f>SUM(N915:R915)</f>
        <v>0</v>
      </c>
      <c r="T915" s="930"/>
      <c r="U915" s="205">
        <f>IF($B$911="Лікар загальної практики - сімейний лікар",AVERAGE(U911:U913),IF($B$911="Лікар-педіатр",AVERAGE(U911:U913),IF($B$911="Лікар-терапевт","х",0)))</f>
        <v>0</v>
      </c>
      <c r="V915" s="205">
        <f>IF($B$911="Лікар загальної практики - сімейний лікар",AVERAGE(V911:V913),IF($B$911="Лікар-педіатр",AVERAGE(V911:V913),IF($B$911="Лікар-терапевт","х",0)))</f>
        <v>0</v>
      </c>
      <c r="W915" s="205">
        <f>IF($B$911="Лікар загальної практики - сімейний лікар",AVERAGE(W911:W913),IF($B$911="Лікар-педіатр","x",IF($B$911="Лікар-терапевт",AVERAGE(W911:W913),0)))</f>
        <v>0</v>
      </c>
      <c r="X915" s="205">
        <f>IF($B$911="Лікар загальної практики - сімейний лікар",AVERAGE(X911:X913),IF($B$911="Лікар-педіатр","x",IF($B$911="Лікар-терапевт",AVERAGE(X911:X913),0)))</f>
        <v>0</v>
      </c>
      <c r="Y915" s="205">
        <f>IF($B$911="Лікар загальної практики - сімейний лікар",AVERAGE(Y911:Y913),IF($B$911="Лікар-педіатр","x",IF($B$911="Лікар-терапевт",AVERAGE(Y911:Y913),0)))</f>
        <v>0</v>
      </c>
      <c r="Z915" s="206">
        <f>SUM(U915:Y915)</f>
        <v>0</v>
      </c>
      <c r="AA915" s="930"/>
      <c r="AB915" s="205">
        <f>IF($B$911="Лікар загальної практики - сімейний лікар",AVERAGE(AB911:AB913),IF($B$911="Лікар-педіатр",AVERAGE(AB911:AB913),IF($B$911="Лікар-терапевт","х",0)))</f>
        <v>0</v>
      </c>
      <c r="AC915" s="205">
        <f>IF($B$911="Лікар загальної практики - сімейний лікар",AVERAGE(AC911:AC913),IF($B$911="Лікар-педіатр",AVERAGE(AC911:AC913),IF($B$911="Лікар-терапевт","х",0)))</f>
        <v>0</v>
      </c>
      <c r="AD915" s="205">
        <f>IF($B$911="Лікар загальної практики - сімейний лікар",AVERAGE(AD911:AD913),IF($B$911="Лікар-педіатр","x",IF($B$911="Лікар-терапевт",AVERAGE(AD911:AD913),0)))</f>
        <v>0</v>
      </c>
      <c r="AE915" s="205">
        <f>IF($B$911="Лікар загальної практики - сімейний лікар",AVERAGE(AE911:AE913),IF($B$911="Лікар-педіатр","x",IF($B$911="Лікар-терапевт",AVERAGE(AE911:AE913),0)))</f>
        <v>0</v>
      </c>
      <c r="AF915" s="205">
        <f>IF($B$911="Лікар загальної практики - сімейний лікар",AVERAGE(AF911:AF913),IF($B$911="Лікар-педіатр","x",IF($B$911="Лікар-терапевт",AVERAGE(AF911:AF913),0)))</f>
        <v>0</v>
      </c>
      <c r="AG915" s="206">
        <f>SUM(AB915:AF915)</f>
        <v>0</v>
      </c>
      <c r="AH915" s="930"/>
      <c r="AI915" s="201"/>
      <c r="AJ915" s="933"/>
      <c r="AK915" s="927"/>
      <c r="AL915" s="927"/>
      <c r="AM915" s="903"/>
      <c r="AN915" s="925"/>
      <c r="AO915" s="925"/>
      <c r="AP915" s="925"/>
      <c r="AQ915" s="925"/>
      <c r="AR915" s="916"/>
    </row>
    <row r="916" spans="1:44" s="50" customFormat="1" ht="40.5" hidden="1">
      <c r="A916" s="197"/>
      <c r="B916" s="893"/>
      <c r="C916" s="896"/>
      <c r="D916" s="912"/>
      <c r="E916" s="909"/>
      <c r="F916" s="237" t="str">
        <f ca="1">IF(B911="Лікар-педіатр",Законод!$C$17,IF(B911="Лікар загальної практики - сімейний лікар",Законод!$C$21,IF(B911="Лікар-терапевт",Законод!$C$25,"х")))</f>
        <v>х</v>
      </c>
      <c r="G916" s="208">
        <f ca="1">IF($B$911="Лікар загальної практики - сімейний лікар",IF(L915&lt;=Законод!$C$22,G915,Законод!$C$22*'01_Доходи'!G914),IF($B$911="Лікар-педіатр",IF(L915&lt;=Законод!$C$18,G915,Законод!$C$18*'01_Доходи'!G914),IF($B$911="Лікар-терапевт","x",0)))</f>
        <v>0</v>
      </c>
      <c r="H916" s="208">
        <f ca="1">IF($B$911="Лікар загальної практики - сімейний лікар",IF(L915&lt;=Законод!$C$22,H915,Законод!$C$22*'01_Доходи'!H914),IF($B$911="Лікар-педіатр",IF(L915&lt;=Законод!$C$18,H915,Законод!$C$18*'01_Доходи'!H914),IF($B$911="Лікар-терапевт","x",0)))</f>
        <v>0</v>
      </c>
      <c r="I916" s="208">
        <f ca="1">IF($B$911="Лікар загальної практики - сімейний лікар",IF(L915&lt;=Законод!$C$22,I915,Законод!$C$22*'01_Доходи'!I914),IF($B$911="Лікар-педіатр","x",IF($B$911="Лікар-терапевт",IF(L915&lt;=Законод!$C$26,I915,Законод!$C$26*'01_Доходи'!I914),0)))</f>
        <v>0</v>
      </c>
      <c r="J916" s="208">
        <f ca="1">IF($B$911="Лікар загальної практики - сімейний лікар",IF(L915&lt;=Законод!$C$22,J915,Законод!$C$22*'01_Доходи'!J914),IF($B$911="Лікар-педіатр","x",IF($B$911="Лікар-терапевт",IF(L915&lt;=Законод!$C$26,J915,Законод!$C$26*'01_Доходи'!J914),0)))</f>
        <v>0</v>
      </c>
      <c r="K916" s="208">
        <f ca="1">IF($B$911="Лікар загальної практики - сімейний лікар",IF(L915&lt;=Законод!$C$22,K915,Законод!$C$22*'01_Доходи'!K914),IF($B$911="Лікар-педіатр","x",IF($B$911="Лікар-терапевт",IF(L915&lt;=Законод!$C$26,K915,Законод!$C$26*'01_Доходи'!K914),0)))</f>
        <v>0</v>
      </c>
      <c r="L916" s="209">
        <f ca="1">SUM(G916:K916)</f>
        <v>0</v>
      </c>
      <c r="M916" s="930"/>
      <c r="N916" s="208">
        <f ca="1">IF($B$911="Лікар загальної практики - сімейний лікар",IF(S915&lt;=Законод!$C$22,N915,Законод!$C$22*'01_Доходи'!N914),IF($B$911="Лікар-педіатр",IF(S915&lt;=Законод!$C$18,N915,Законод!$C$18*'01_Доходи'!N914),IF($B$911="Лікар-терапевт","x",0)))</f>
        <v>0</v>
      </c>
      <c r="O916" s="208">
        <f ca="1">IF($B$911="Лікар загальної практики - сімейний лікар",IF(S915&lt;=Законод!$C$22,O915,Законод!$C$22*'01_Доходи'!O914),IF($B$911="Лікар-педіатр",IF(S915&lt;=Законод!$C$18,O915,Законод!$C$18*'01_Доходи'!O914),IF($B$911="Лікар-терапевт","x",0)))</f>
        <v>0</v>
      </c>
      <c r="P916" s="208">
        <f ca="1">IF($B$911="Лікар загальної практики - сімейний лікар",IF(S915&lt;=Законод!$C$22,P915,Законод!$C$22*'01_Доходи'!P914),IF($B$911="Лікар-педіатр","x",IF($B$911="Лікар-терапевт",IF(S915&lt;=Законод!$C$26,P915,Законод!$C$26*'01_Доходи'!P914),0)))</f>
        <v>0</v>
      </c>
      <c r="Q916" s="208">
        <f ca="1">IF($B$911="Лікар загальної практики - сімейний лікар",IF(S915&lt;=Законод!$C$22,Q915,Законод!$C$22*'01_Доходи'!Q914),IF($B$911="Лікар-педіатр","x",IF($B$911="Лікар-терапевт",IF(S915&lt;=Законод!$C$26,Q915,Законод!$C$26*'01_Доходи'!Q914),0)))</f>
        <v>0</v>
      </c>
      <c r="R916" s="208">
        <f ca="1">IF($B$911="Лікар загальної практики - сімейний лікар",IF(S915&lt;=Законод!$C$22,R915,Законод!$C$22*'01_Доходи'!R914),IF($B$911="Лікар-педіатр","x",IF($B$911="Лікар-терапевт",IF(S915&lt;=Законод!$C$26,R915,Законод!$C$26*'01_Доходи'!R914),0)))</f>
        <v>0</v>
      </c>
      <c r="S916" s="209">
        <f ca="1">SUM(N916:R916)</f>
        <v>0</v>
      </c>
      <c r="T916" s="930"/>
      <c r="U916" s="208">
        <f ca="1">IF($B$911="Лікар загальної практики - сімейний лікар",IF(Z915&lt;=Законод!$C$22,U915,Законод!$C$22*'01_Доходи'!U914),IF($B$911="Лікар-педіатр",IF(Z915&lt;=Законод!$C$18,U915,Законод!$C$18*'01_Доходи'!U914),IF($B$911="Лікар-терапевт","x",0)))</f>
        <v>0</v>
      </c>
      <c r="V916" s="208">
        <f ca="1">IF($B$911="Лікар загальної практики - сімейний лікар",IF(Z915&lt;=Законод!$C$22,V915,Законод!$C$22*'01_Доходи'!V914),IF($B$911="Лікар-педіатр",IF(Z915&lt;=Законод!$C$18,V915,Законод!$C$18*'01_Доходи'!V914),IF($B$911="Лікар-терапевт","x",0)))</f>
        <v>0</v>
      </c>
      <c r="W916" s="208">
        <f ca="1">IF($B$911="Лікар загальної практики - сімейний лікар",IF(Z915&lt;=Законод!$C$22,W915,Законод!$C$22*'01_Доходи'!W914),IF($B$911="Лікар-педіатр","x",IF($B$911="Лікар-терапевт",IF(Z915&lt;=Законод!$C$26,W915,Законод!$C$26*'01_Доходи'!W914),0)))</f>
        <v>0</v>
      </c>
      <c r="X916" s="208">
        <f ca="1">IF($B$911="Лікар загальної практики - сімейний лікар",IF(Z915&lt;=Законод!$C$22,X915,Законод!$C$22*'01_Доходи'!X914),IF($B$911="Лікар-педіатр","x",IF($B$911="Лікар-терапевт",IF(Z915&lt;=Законод!$C$26,X915,Законод!$C$26*'01_Доходи'!X914),0)))</f>
        <v>0</v>
      </c>
      <c r="Y916" s="208">
        <f ca="1">IF($B$911="Лікар загальної практики - сімейний лікар",IF(Z915&lt;=Законод!$C$22,Y915,Законод!$C$22*'01_Доходи'!Y914),IF($B$911="Лікар-педіатр","x",IF($B$911="Лікар-терапевт",IF(Z915&lt;=Законод!$C$26,Y915,Законод!$C$26*'01_Доходи'!Y914),0)))</f>
        <v>0</v>
      </c>
      <c r="Z916" s="209">
        <f ca="1">SUM(U916:Y916)</f>
        <v>0</v>
      </c>
      <c r="AA916" s="930"/>
      <c r="AB916" s="208">
        <f ca="1">IF($B$911="Лікар загальної практики - сімейний лікар",IF(AG915&lt;=Законод!$C$22,AB915,Законод!$C$22*'01_Доходи'!AB914),IF($B$911="Лікар-педіатр",IF(AG915&lt;=Законод!$C$18,AB915,Законод!$C$18*'01_Доходи'!AB914),IF($B$911="Лікар-терапевт","x",0)))</f>
        <v>0</v>
      </c>
      <c r="AC916" s="208">
        <f ca="1">IF($B$911="Лікар загальної практики - сімейний лікар",IF(AG915&lt;=Законод!$C$22,AC915,Законод!$C$22*'01_Доходи'!AC914),IF($B$911="Лікар-педіатр",IF(AG915&lt;=Законод!$C$18,AC915,Законод!$C$18*'01_Доходи'!AC914),IF($B$911="Лікар-терапевт","x",0)))</f>
        <v>0</v>
      </c>
      <c r="AD916" s="208">
        <f ca="1">IF($B$911="Лікар загальної практики - сімейний лікар",IF(AG915&lt;=Законод!$C$22,AD915,Законод!$C$22*'01_Доходи'!AD914),IF($B$911="Лікар-педіатр","x",IF($B$911="Лікар-терапевт",IF(AG915&lt;=Законод!$C$26,AD915,Законод!$C$26*'01_Доходи'!AD914),0)))</f>
        <v>0</v>
      </c>
      <c r="AE916" s="208">
        <f ca="1">IF($B$911="Лікар загальної практики - сімейний лікар",IF(AG915&lt;=Законод!$C$22,AE915,Законод!$C$22*'01_Доходи'!AE914),IF($B$911="Лікар-педіатр","x",IF($B$911="Лікар-терапевт",IF(AG915&lt;=Законод!$C$26,AE915,Законод!$C$26*'01_Доходи'!AE914),0)))</f>
        <v>0</v>
      </c>
      <c r="AF916" s="208">
        <f ca="1">IF($B$911="Лікар загальної практики - сімейний лікар",IF(AG915&lt;=Законод!$C$22,AF915,Законод!$C$22*'01_Доходи'!AF914),IF($B$911="Лікар-педіатр","x",IF($B$911="Лікар-терапевт",IF(AG915&lt;=Законод!$C$26,AF915,Законод!$C$26*'01_Доходи'!AF914),0)))</f>
        <v>0</v>
      </c>
      <c r="AG916" s="209">
        <f ca="1">SUM(AB916:AF916)</f>
        <v>0</v>
      </c>
      <c r="AH916" s="930"/>
      <c r="AI916" s="201"/>
      <c r="AJ916" s="933"/>
      <c r="AK916" s="927"/>
      <c r="AL916" s="927"/>
      <c r="AM916" s="348" t="s">
        <v>374</v>
      </c>
      <c r="AN916" s="210">
        <f ca="1">IF(B911="Лікар загальної практики - сімейний лікар",G916*Законод!$C$11+'01_Доходи'!H916*Законод!$D$11+'01_Доходи'!I916*Законод!$E$11+'01_Доходи'!J916*Законод!$F$11+'01_Доходи'!K916*Законод!$G$11,IF(B911="Лікар-педіатр",G916*Законод!$C$11+'01_Доходи'!H916*Законод!$D$11,IF(B911="Лікар-терапевт",'01_Доходи'!I916*Законод!$E$11+'01_Доходи'!J916*Законод!$F$11+'01_Доходи'!K916*Законод!$G$11,0)))</f>
        <v>0</v>
      </c>
      <c r="AO916" s="210">
        <f ca="1">IF(B911="Лікар загальної практики - сімейний лікар",N916*Законод!$C$11+'01_Доходи'!O916*Законод!$D$11+'01_Доходи'!P916*Законод!$E$11+'01_Доходи'!Q916*Законод!$F$11+'01_Доходи'!R916*Законод!$G$11,IF(B911="Лікар-педіатр",N916*Законод!$C$11+'01_Доходи'!O916*Законод!$D$11,IF(B911="Лікар-терапевт",'01_Доходи'!P916*Законод!$E$11+'01_Доходи'!Q916*Законод!$F$11+'01_Доходи'!R916*Законод!$G$11,0)))</f>
        <v>0</v>
      </c>
      <c r="AP916" s="210">
        <f ca="1">IF(B911="Лікар загальної практики - сімейний лікар",U916*Законод!$C$11+'01_Доходи'!V916*Законод!$D$11+'01_Доходи'!W916*Законод!$E$11+'01_Доходи'!X916*Законод!$F$11+'01_Доходи'!Y916*Законод!$G$11,IF(B911="Лікар-педіатр",U916*Законод!$C$11+'01_Доходи'!V916*Законод!$D$11,IF(B911="Лікар-терапевт",'01_Доходи'!W916*Законод!$E$11+'01_Доходи'!X916*Законод!$F$11+'01_Доходи'!Y916*Законод!$G$11,0)))</f>
        <v>0</v>
      </c>
      <c r="AQ916" s="210">
        <f ca="1">IF(B911="Лікар загальної практики - сімейний лікар",AB916*Законод!$C$11+'01_Доходи'!AC916*Законод!$D$11+'01_Доходи'!AD916*Законод!$E$11+'01_Доходи'!AE916*Законод!$F$11+'01_Доходи'!AF916*Законод!$G$11,IF(B911="Лікар-педіатр",AB916*Законод!$C$11+'01_Доходи'!AC916*Законод!$D$11,IF(B911="Лікар-терапевт",'01_Доходи'!AD916*Законод!$E$11+'01_Доходи'!AE916*Законод!$F$11+'01_Доходи'!AF916*Законод!$G$11,0)))</f>
        <v>0</v>
      </c>
      <c r="AR916" s="211">
        <f t="shared" ref="AR916:AR922" si="97">SUM(AN916:AQ916)</f>
        <v>0</v>
      </c>
    </row>
    <row r="917" spans="1:44" s="50" customFormat="1" ht="31.9" hidden="1" customHeight="1">
      <c r="A917" s="197"/>
      <c r="B917" s="893"/>
      <c r="C917" s="896"/>
      <c r="D917" s="912"/>
      <c r="E917" s="909"/>
      <c r="F917" s="238" t="str">
        <f ca="1">IF(B911="Лікар-педіатр",Законод!$E$17,IF(B911="Лікар загальної практики - сімейний лікар",Законод!$E$21,IF(B911="Лікар-терапевт",Законод!$E$25,"х")))</f>
        <v>х</v>
      </c>
      <c r="G917" s="889" t="s">
        <v>346</v>
      </c>
      <c r="H917" s="890"/>
      <c r="I917" s="890"/>
      <c r="J917" s="890"/>
      <c r="K917" s="891"/>
      <c r="L917" s="196">
        <f ca="1">IF($B$911="Лікар загальної практики - сімейний лікар",IF(L915&lt;Законод!$C$22,0,(IF(AND(L915&gt;=Законод!$E$22,L915&lt;=Законод!$E$23),L915-Законод!$C$22,IF('01_Доходи'!L915&gt;=Законод!$F$22,Законод!$E$24,0)))),IF($B$911="Лікар-педіатр",IF(L915&lt;Законод!$C$18,0,(IF(AND(L915&gt;=Законод!$E$18,L915&lt;=Законод!$E$19),L915-Законод!$C$18,IF('01_Доходи'!L915&gt;=Законод!$F$18,Законод!$E$20,0)))),IF($B$911="Лікар-терапевт",IF(L915&lt;Законод!$C$26,0,(IF(AND(L915&gt;=Законод!$E$26,L915&lt;=Законод!$E$27),L915-Законод!$C$26,IF('01_Доходи'!L915&gt;=Законод!$F$26,Законод!$E$28,0)))),0)))</f>
        <v>0</v>
      </c>
      <c r="M917" s="930"/>
      <c r="N917" s="889" t="s">
        <v>346</v>
      </c>
      <c r="O917" s="890"/>
      <c r="P917" s="890"/>
      <c r="Q917" s="890"/>
      <c r="R917" s="891"/>
      <c r="S917" s="196">
        <f ca="1">IF($B$911="Лікар загальної практики - сімейний лікар",IF(S915&lt;Законод!$C$22,0,(IF(AND(S915&gt;=Законод!$E$22,S915&lt;=Законод!$E$23),S915-Законод!$C$22,IF('01_Доходи'!S915&gt;=Законод!$F$22,Законод!$E$24,0)))),IF($B$911="Лікар-педіатр",IF(S915&lt;Законод!$C$18,0,(IF(AND(S915&gt;=Законод!$E$18,S915&lt;=Законод!$E$19),S915-Законод!$C$18,IF('01_Доходи'!S915&gt;=Законод!$F$18,Законод!$E$20,0)))),IF($B$911="Лікар-терапевт",IF(S915&lt;Законод!$C$26,0,(IF(AND(S915&gt;=Законод!$E$26,S915&lt;=Законод!$E$27),S915-Законод!$C$26,IF('01_Доходи'!S915&gt;=Законод!$F$26,Законод!$E$28,0)))),0)))</f>
        <v>0</v>
      </c>
      <c r="T917" s="930"/>
      <c r="U917" s="889" t="s">
        <v>346</v>
      </c>
      <c r="V917" s="890"/>
      <c r="W917" s="890"/>
      <c r="X917" s="890"/>
      <c r="Y917" s="891"/>
      <c r="Z917" s="196">
        <f ca="1">IF($B$911="Лікар загальної практики - сімейний лікар",IF(Z915&lt;Законод!$C$22,0,(IF(AND(Z915&gt;=Законод!$E$22,Z915&lt;=Законод!$E$23),Z915-Законод!$C$22,IF('01_Доходи'!Z915&gt;=Законод!$F$22,Законод!$E$24,0)))),IF($B$911="Лікар-педіатр",IF(Z915&lt;Законод!$C$18,0,(IF(AND(Z915&gt;=Законод!$E$18,Z915&lt;=Законод!$E$19),Z915-Законод!$C$18,IF('01_Доходи'!Z915&gt;=Законод!$F$18,Законод!$E$20,0)))),IF($B$911="Лікар-терапевт",IF(Z915&lt;Законод!$C$26,0,(IF(AND(Z915&gt;=Законод!$E$26,Z915&lt;=Законод!$E$27),Z915-Законод!$C$26,IF('01_Доходи'!Z915&gt;=Законод!$F$26,Законод!$E$28,0)))),0)))</f>
        <v>0</v>
      </c>
      <c r="AA917" s="930"/>
      <c r="AB917" s="889" t="s">
        <v>346</v>
      </c>
      <c r="AC917" s="890"/>
      <c r="AD917" s="890"/>
      <c r="AE917" s="890"/>
      <c r="AF917" s="891"/>
      <c r="AG917" s="196">
        <f ca="1">IF($B$911="Лікар загальної практики - сімейний лікар",IF(AG915&lt;Законод!$C$22,0,(IF(AND(AG915&gt;=Законод!$E$22,AG915&lt;=Законод!$E$23),AG915-Законод!$C$22,IF('01_Доходи'!AG915&gt;=Законод!$F$22,Законод!$E$24,0)))),IF($B$911="Лікар-педіатр",IF(AG915&lt;Законод!$C$18,0,(IF(AND(AG915&gt;=Законод!$E$18,AG915&lt;=Законод!$E$19),AG915-Законод!$C$18,IF('01_Доходи'!AG915&gt;=Законод!$F$18,Законод!$E$20,0)))),IF($B$911="Лікар-терапевт",IF(AG915&lt;Законод!$C$26,0,(IF(AND(AG915&gt;=Законод!$E$26,AG915&lt;=Законод!$E$27),AG915-Законод!$C$26,IF('01_Доходи'!AG915&gt;=Законод!$F$26,Законод!$E$28,0)))),0)))</f>
        <v>0</v>
      </c>
      <c r="AH917" s="930"/>
      <c r="AI917" s="201"/>
      <c r="AJ917" s="933"/>
      <c r="AK917" s="927"/>
      <c r="AL917" s="927"/>
      <c r="AM917" s="898" t="s">
        <v>375</v>
      </c>
      <c r="AN917" s="210">
        <f ca="1">IF(B911="Лікар загальної практики - сімейний лікар",L917*Законод!$C$9/4*Законод!$E$16,IF(B911="Лікар-педіатр",L917*Законод!$C$9/4*Законод!$E$16,IF(B911="Лікар-терапевт",L917*Законод!$C$9/4*Законод!$E$16,0)))</f>
        <v>0</v>
      </c>
      <c r="AO917" s="210">
        <f ca="1">IF(B911="Лікар загальної практики - сімейний лікар",S917*Законод!$C$9/4*Законод!$E$16,IF(B911="Лікар-педіатр",S917*Законод!$C$9/4*Законод!$E$16,IF(B911="Лікар-терапевт",S917*Законод!$C$9/4*Законод!$E$16,0)))</f>
        <v>0</v>
      </c>
      <c r="AP917" s="210">
        <f ca="1">IF(B911="Лікар загальної практики - сімейний лікар",Z917*Законод!$C$9/4*Законод!$E$16,IF(B911="Лікар-педіатр",Z917*Законод!$C$9/4*Законод!$E$16,IF(B911="Лікар-терапевт",Z917*Законод!$C$9/4*Законод!$E$16,0)))</f>
        <v>0</v>
      </c>
      <c r="AQ917" s="210">
        <f ca="1">IF(B911="Лікар загальної практики - сімейний лікар",AG917*Законод!$C$9/4*Законод!$E$16,IF(B911="Лікар-педіатр",AG917*Законод!$C$9/4*Законод!$E$16,IF(B911="Лікар-терапевт",AG917*Законод!$C$9/4*Законод!$E$16,0)))</f>
        <v>0</v>
      </c>
      <c r="AR917" s="211">
        <f t="shared" si="97"/>
        <v>0</v>
      </c>
    </row>
    <row r="918" spans="1:44" s="50" customFormat="1" ht="31.9" hidden="1" customHeight="1">
      <c r="A918" s="197"/>
      <c r="B918" s="893"/>
      <c r="C918" s="896"/>
      <c r="D918" s="912"/>
      <c r="E918" s="909"/>
      <c r="F918" s="238" t="str">
        <f ca="1">IF(B911="Лікар-педіатр",Законод!$F$17,IF(B911="Лікар загальної практики - сімейний лікар",Законод!$F$21,IF(B911="Лікар-терапевт",Законод!$F$25,"х")))</f>
        <v>х</v>
      </c>
      <c r="G918" s="889" t="s">
        <v>346</v>
      </c>
      <c r="H918" s="890"/>
      <c r="I918" s="890"/>
      <c r="J918" s="890"/>
      <c r="K918" s="891"/>
      <c r="L918" s="196">
        <f ca="1">IF($B$911="Лікар загальної практики - сімейний лікар",IF(L915&lt;Законод!$C$22,0,(IF(AND(L915&gt;=Законод!$F$22,L915&lt;=Законод!$F$23),L915-Законод!$E$23,IF('01_Доходи'!L915&gt;=Законод!$G$22,Законод!$F$24,0)))),IF($B$911="Лікар-педіатр",IF(L915&lt;Законод!$C$18,0,(IF(AND(L915&gt;=Законод!$F$18,L915&lt;=Законод!$F$19),L915-Законод!$E$19,IF('01_Доходи'!L915&gt;=Законод!$G$18,Законод!$F$20,0)))),IF($B$911="Лікар-терапевт",IF(L915&lt;Законод!$C$26,0,(IF(AND(L915&gt;=Законод!$F$26,L915&lt;=Законод!$F$27),L915-Законод!$E$27,IF('01_Доходи'!L915&gt;=Законод!$G$26,Законод!$F$28,0)))),0)))</f>
        <v>0</v>
      </c>
      <c r="M918" s="930"/>
      <c r="N918" s="889" t="s">
        <v>346</v>
      </c>
      <c r="O918" s="890"/>
      <c r="P918" s="890"/>
      <c r="Q918" s="890"/>
      <c r="R918" s="891"/>
      <c r="S918" s="196">
        <f ca="1">IF($B$911="Лікар загальної практики - сімейний лікар",IF(S915&lt;Законод!$C$22,0,(IF(AND(S915&gt;=Законод!$F$22,S915&lt;=Законод!$F$23),S915-Законод!$E$23,IF('01_Доходи'!S915&gt;=Законод!$G$22,Законод!$F$24,0)))),IF($B$911="Лікар-педіатр",IF(S915&lt;Законод!$C$18,0,(IF(AND(S915&gt;=Законод!$F$18,S915&lt;=Законод!$F$19),S915-Законод!$E$19,IF('01_Доходи'!S915&gt;=Законод!$G$18,Законод!$F$20,0)))),IF($B$911="Лікар-терапевт",IF(S915&lt;Законод!$C$26,0,(IF(AND(S915&gt;=Законод!$F$26,S915&lt;=Законод!$F$27),S915-Законод!$E$27,IF('01_Доходи'!S915&gt;=Законод!$G$26,Законод!$F$28,0)))),0)))</f>
        <v>0</v>
      </c>
      <c r="T918" s="930"/>
      <c r="U918" s="889" t="s">
        <v>346</v>
      </c>
      <c r="V918" s="890"/>
      <c r="W918" s="890"/>
      <c r="X918" s="890"/>
      <c r="Y918" s="891"/>
      <c r="Z918" s="196">
        <f ca="1">IF($B$911="Лікар загальної практики - сімейний лікар",IF(Z915&lt;Законод!$C$22,0,(IF(AND(Z915&gt;=Законод!$F$22,Z915&lt;=Законод!$F$23),Z915-Законод!$E$23,IF('01_Доходи'!Z915&gt;=Законод!$G$22,Законод!$F$24,0)))),IF($B$911="Лікар-педіатр",IF(Z915&lt;Законод!$C$18,0,(IF(AND(Z915&gt;=Законод!$F$18,Z915&lt;=Законод!$F$19),Z915-Законод!$E$19,IF('01_Доходи'!Z915&gt;=Законод!$G$18,Законод!$F$20,0)))),IF($B$911="Лікар-терапевт",IF(Z915&lt;Законод!$C$26,0,(IF(AND(Z915&gt;=Законод!$F$26,Z915&lt;=Законод!$F$27),Z915-Законод!$E$27,IF('01_Доходи'!Z915&gt;=Законод!$G$26,Законод!$F$28,0)))),0)))</f>
        <v>0</v>
      </c>
      <c r="AA918" s="930"/>
      <c r="AB918" s="889" t="s">
        <v>346</v>
      </c>
      <c r="AC918" s="890"/>
      <c r="AD918" s="890"/>
      <c r="AE918" s="890"/>
      <c r="AF918" s="891"/>
      <c r="AG918" s="196">
        <f ca="1">IF($B$911="Лікар загальної практики - сімейний лікар",IF(AG915&lt;Законод!$C$22,0,(IF(AND(AG915&gt;=Законод!$F$22,AG915&lt;=Законод!$F$23),AG915-Законод!$E$23,IF('01_Доходи'!AG915&gt;=Законод!$G$22,Законод!$F$24,0)))),IF($B$911="Лікар-педіатр",IF(AG915&lt;Законод!$C$18,0,(IF(AND(AG915&gt;=Законод!$F$18,AG915&lt;=Законод!$F$19),AG915-Законод!$E$19,IF('01_Доходи'!AG915&gt;=Законод!$G$18,Законод!$F$20,0)))),IF($B$911="Лікар-терапевт",IF(AG915&lt;Законод!$C$26,0,(IF(AND(AG915&gt;=Законод!$F$26,AG915&lt;=Законод!$F$27),AG915-Законод!$E$27,IF('01_Доходи'!AG915&gt;=Законод!$G$26,Законод!$F$28,0)))),0)))</f>
        <v>0</v>
      </c>
      <c r="AH918" s="930"/>
      <c r="AI918" s="201"/>
      <c r="AJ918" s="933"/>
      <c r="AK918" s="927"/>
      <c r="AL918" s="927"/>
      <c r="AM918" s="899"/>
      <c r="AN918" s="210">
        <f ca="1">IF(B911="Лікар загальної практики - сімейний лікар",L918*Законод!$C$9/4*Законод!$F$16,IF(B911="Лікар-педіатр",L918*Законод!$C$9/4*Законод!$F$16,IF(B911="Лікар-терапевт",L918*Законод!$C$9/4*Законод!$F$16,0)))</f>
        <v>0</v>
      </c>
      <c r="AO918" s="210">
        <f ca="1">IF(B911="Лікар загальної практики - сімейний лікар",S918*Законод!$C$9/4*Законод!$F$16,IF(B911="Лікар-педіатр",S918*Законод!$C$9/4*Законод!$F$16,IF(B911="Лікар-терапевт",S918*Законод!$C$9/4*Законод!$F$16,0)))</f>
        <v>0</v>
      </c>
      <c r="AP918" s="210">
        <f ca="1">IF(B911="Лікар загальної практики - сімейний лікар",Z918*Законод!$C$9/4*Законод!$F$16,IF(B911="Лікар-педіатр",Z918*Законод!$C$9/4*Законод!$F$16,IF(B911="Лікар-терапевт",Z918*Законод!$C$9/4*Законод!$F$16,0)))</f>
        <v>0</v>
      </c>
      <c r="AQ918" s="210">
        <f ca="1">IF(B911="Лікар загальної практики - сімейний лікар",AG918*Законод!$C$9/4*Законод!$F$16,IF(B911="Лікар-педіатр",AG918*Законод!$C$9/4*Законод!$F$16,IF(B911="Лікар-терапевт",AG918*Законод!$C$9/4*Законод!$F$16,0)))</f>
        <v>0</v>
      </c>
      <c r="AR918" s="211">
        <f t="shared" si="97"/>
        <v>0</v>
      </c>
    </row>
    <row r="919" spans="1:44" s="50" customFormat="1" ht="31.9" hidden="1" customHeight="1">
      <c r="A919" s="197"/>
      <c r="B919" s="893"/>
      <c r="C919" s="896"/>
      <c r="D919" s="912"/>
      <c r="E919" s="909"/>
      <c r="F919" s="238" t="str">
        <f ca="1">IF(B911="Лікар-педіатр",Законод!$G$17,IF(B911="Лікар загальної практики - сімейний лікар",Законод!$G$21,IF(B911="Лікар-терапевт",Законод!$G$25,"х")))</f>
        <v>х</v>
      </c>
      <c r="G919" s="889" t="s">
        <v>346</v>
      </c>
      <c r="H919" s="890"/>
      <c r="I919" s="890"/>
      <c r="J919" s="890"/>
      <c r="K919" s="891"/>
      <c r="L919" s="196">
        <f ca="1">IF($B$911="Лікар загальної практики - сімейний лікар",IF(L915&lt;Законод!$C$22,0,(IF(AND(L915&gt;=Законод!$G$22,L915&lt;=Законод!$G$23),L915-Законод!$F$23,IF('01_Доходи'!L915&gt;=Законод!$H$22,Законод!$G$24,0)))),IF($B$911="Лікар-педіатр",IF(L915&lt;Законод!$C$18,0,(IF(AND(L915&gt;=Законод!$G$18,L915&lt;=Законод!$G$19),L915-Законод!$F$19,IF('01_Доходи'!L915&gt;=Законод!$H$18,Законод!$G$20,0)))),IF($B$911="Лікар-терапевт",IF(L915&lt;Законод!$C$26,0,(IF(AND(L915&gt;=Законод!$G$26,L915&lt;=Законод!$G$27),L915-Законод!$F$27,IF('01_Доходи'!L915&gt;=Законод!$H$26,Законод!$G$28,0)))),0)))</f>
        <v>0</v>
      </c>
      <c r="M919" s="930"/>
      <c r="N919" s="889" t="s">
        <v>346</v>
      </c>
      <c r="O919" s="890"/>
      <c r="P919" s="890"/>
      <c r="Q919" s="890"/>
      <c r="R919" s="891"/>
      <c r="S919" s="196">
        <f ca="1">IF($B$911="Лікар загальної практики - сімейний лікар",IF(S915&lt;Законод!$C$22,0,(IF(AND(S915&gt;=Законод!$G$22,S915&lt;=Законод!$G$23),S915-Законод!$F$23,IF('01_Доходи'!S915&gt;=Законод!$H$22,Законод!$G$24,0)))),IF($B$911="Лікар-педіатр",IF(S915&lt;Законод!$C$18,0,(IF(AND(S915&gt;=Законод!$G$18,S915&lt;=Законод!$G$19),S915-Законод!$F$19,IF('01_Доходи'!S915&gt;=Законод!$H$18,Законод!$G$20,0)))),IF($B$911="Лікар-терапевт",IF(S915&lt;Законод!$C$26,0,(IF(AND(S915&gt;=Законод!$G$26,S915&lt;=Законод!$G$27),S915-Законод!$F$27,IF('01_Доходи'!S915&gt;=Законод!$H$26,Законод!$G$28,0)))),0)))</f>
        <v>0</v>
      </c>
      <c r="T919" s="930"/>
      <c r="U919" s="889" t="s">
        <v>346</v>
      </c>
      <c r="V919" s="890"/>
      <c r="W919" s="890"/>
      <c r="X919" s="890"/>
      <c r="Y919" s="891"/>
      <c r="Z919" s="196">
        <f ca="1">IF($B$911="Лікар загальної практики - сімейний лікар",IF(Z915&lt;Законод!$C$22,0,(IF(AND(Z915&gt;=Законод!$G$22,Z915&lt;=Законод!$G$23),Z915-Законод!$F$23,IF('01_Доходи'!Z915&gt;=Законод!$H$22,Законод!$G$24,0)))),IF($B$911="Лікар-педіатр",IF(Z915&lt;Законод!$C$18,0,(IF(AND(Z915&gt;=Законод!$G$18,Z915&lt;=Законод!$G$19),Z915-Законод!$F$19,IF('01_Доходи'!Z915&gt;=Законод!$H$18,Законод!$G$20,0)))),IF($B$911="Лікар-терапевт",IF(Z915&lt;Законод!$C$26,0,(IF(AND(Z915&gt;=Законод!$G$26,Z915&lt;=Законод!$G$27),Z915-Законод!$F$27,IF('01_Доходи'!Z915&gt;=Законод!$H$26,Законод!$G$28,0)))),0)))</f>
        <v>0</v>
      </c>
      <c r="AA919" s="930"/>
      <c r="AB919" s="889" t="s">
        <v>346</v>
      </c>
      <c r="AC919" s="890"/>
      <c r="AD919" s="890"/>
      <c r="AE919" s="890"/>
      <c r="AF919" s="891"/>
      <c r="AG919" s="196">
        <f ca="1">IF($B$911="Лікар загальної практики - сімейний лікар",IF(AG915&lt;Законод!$C$22,0,(IF(AND(AG915&gt;=Законод!$G$22,AG915&lt;=Законод!$G$23),AG915-Законод!$F$23,IF('01_Доходи'!AG915&gt;=Законод!$H$22,Законод!$G$24,0)))),IF($B$911="Лікар-педіатр",IF(AG915&lt;Законод!$C$18,0,(IF(AND(AG915&gt;=Законод!$G$18,AG915&lt;=Законод!$G$19),AG915-Законод!$F$19,IF('01_Доходи'!AG915&gt;=Законод!$H$18,Законод!$G$20,0)))),IF($B$911="Лікар-терапевт",IF(AG915&lt;Законод!$C$26,0,(IF(AND(AG915&gt;=Законод!$G$26,AG915&lt;=Законод!$G$27),AG915-Законод!$F$27,IF('01_Доходи'!AG915&gt;=Законод!$H$26,Законод!$G$28,0)))),0)))</f>
        <v>0</v>
      </c>
      <c r="AH919" s="930"/>
      <c r="AI919" s="201"/>
      <c r="AJ919" s="933"/>
      <c r="AK919" s="927"/>
      <c r="AL919" s="927"/>
      <c r="AM919" s="899"/>
      <c r="AN919" s="210">
        <f ca="1">IF(B911="Лікар загальної практики - сімейний лікар",L919*Законод!$C$9/4*Законод!$G$16,IF(B911="Лікар-педіатр",L919*Законод!$C$9/4*Законод!$G$16,IF(B911="Лікар-терапевт",L919*Законод!$C$9/4*Законод!$G$16,0)))</f>
        <v>0</v>
      </c>
      <c r="AO919" s="210">
        <f ca="1">IF(B911="Лікар загальної практики - сімейний лікар",S919*Законод!$C$9/4*Законод!$G$16,IF(B911="Лікар-педіатр",S919*Законод!$C$9/4*Законод!$G$16,IF(B911="Лікар-терапевт",S919*Законод!$C$9/4*Законод!$G$16,0)))</f>
        <v>0</v>
      </c>
      <c r="AP919" s="210">
        <f ca="1">IF(B911="Лікар загальної практики - сімейний лікар",Z919*Законод!$C$9/4*Законод!$G$16,IF(B911="Лікар-педіатр",Z919*Законод!$C$9/4*Законод!$G$16,IF(B911="Лікар-терапевт",Z919*Законод!$C$9/4*Законод!$G$16,0)))</f>
        <v>0</v>
      </c>
      <c r="AQ919" s="210">
        <f ca="1">IF(B911="Лікар загальної практики - сімейний лікар",AG919*Законод!$C$9/4*Законод!$G$16,IF(B911="Лікар-педіатр",AG919*Законод!$C$9/4*Законод!$G$16,IF(B911="Лікар-терапевт",AG919*Законод!$C$9/4*Законод!$G$16,0)))</f>
        <v>0</v>
      </c>
      <c r="AR919" s="211">
        <f t="shared" si="97"/>
        <v>0</v>
      </c>
    </row>
    <row r="920" spans="1:44" s="50" customFormat="1" ht="31.9" hidden="1" customHeight="1">
      <c r="A920" s="197"/>
      <c r="B920" s="893"/>
      <c r="C920" s="896"/>
      <c r="D920" s="912"/>
      <c r="E920" s="909"/>
      <c r="F920" s="238" t="str">
        <f ca="1">IF(B911="Лікар-педіатр",Законод!$H$17,IF(B911="Лікар загальної практики - сімейний лікар",Законод!$H$21,IF(B911="Лікар-терапевт",Законод!$H$25,"х")))</f>
        <v>х</v>
      </c>
      <c r="G920" s="889" t="s">
        <v>346</v>
      </c>
      <c r="H920" s="890"/>
      <c r="I920" s="890"/>
      <c r="J920" s="890"/>
      <c r="K920" s="891"/>
      <c r="L920" s="196">
        <f ca="1">IF($B$911="Лікар загальної практики - сімейний лікар",IF(L915&lt;Законод!$C$22,0,(IF(AND(L915&gt;=Законод!$H$22,L915&lt;=Законод!$H$23),L915-Законод!$G$23,IF('01_Доходи'!L915&gt;=Законод!$I$22,Законод!$H$24,0)))),IF($B$911="Лікар-педіатр",IF(L915&lt;Законод!$C$18,0,(IF(AND(L915&gt;=Законод!$H$18,L915&lt;=Законод!$H$19),L915-Законод!$G$19,IF('01_Доходи'!L915&gt;=Законод!$I$18,Законод!$H$20,0)))),IF($B$911="Лікар-терапевт",IF(L915&lt;Законод!$C$26,0,(IF(AND(L915&gt;=Законод!$H$26,L915&lt;=Законод!$H$27),L915-Законод!$G$27,IF(L915&gt;=Законод!$I$26,Законод!$H$28,0)))),0)))</f>
        <v>0</v>
      </c>
      <c r="M920" s="930"/>
      <c r="N920" s="889" t="s">
        <v>346</v>
      </c>
      <c r="O920" s="890"/>
      <c r="P920" s="890"/>
      <c r="Q920" s="890"/>
      <c r="R920" s="891"/>
      <c r="S920" s="196">
        <f ca="1">IF($B$911="Лікар загальної практики - сімейний лікар",IF(S915&lt;Законод!$C$22,0,(IF(AND(S915&gt;=Законод!$H$22,S915&lt;=Законод!$H$23),S915-Законод!$G$23,IF('01_Доходи'!S915&gt;=Законод!$I$22,Законод!$H$24,0)))),IF($B$911="Лікар-педіатр",IF(S915&lt;Законод!$C$18,0,(IF(AND(S915&gt;=Законод!$H$18,S915&lt;=Законод!$H$19),S915-Законод!$G$19,IF('01_Доходи'!S915&gt;=Законод!$I$18,Законод!$H$20,0)))),IF($B$911="Лікар-терапевт",IF(S915&lt;Законод!$C$26,0,(IF(AND(S915&gt;=Законод!$H$26,S915&lt;=Законод!$H$27),S915-Законод!$G$27,IF(S915&gt;=Законод!$I$26,Законод!$H$28,0)))),0)))</f>
        <v>0</v>
      </c>
      <c r="T920" s="930"/>
      <c r="U920" s="889" t="s">
        <v>346</v>
      </c>
      <c r="V920" s="890"/>
      <c r="W920" s="890"/>
      <c r="X920" s="890"/>
      <c r="Y920" s="891"/>
      <c r="Z920" s="196">
        <f ca="1">IF($B$911="Лікар загальної практики - сімейний лікар",IF(Z915&lt;Законод!$C$22,0,(IF(AND(Z915&gt;=Законод!$H$22,Z915&lt;=Законод!$H$23),Z915-Законод!$G$23,IF('01_Доходи'!Z915&gt;=Законод!$I$22,Законод!$H$24,0)))),IF($B$911="Лікар-педіатр",IF(Z915&lt;Законод!$C$18,0,(IF(AND(Z915&gt;=Законод!$H$18,Z915&lt;=Законод!$H$19),Z915-Законод!$G$19,IF('01_Доходи'!Z915&gt;=Законод!$I$18,Законод!$H$20,0)))),IF($B$911="Лікар-терапевт",IF(Z915&lt;Законод!$C$26,0,(IF(AND(Z915&gt;=Законод!$H$26,Z915&lt;=Законод!$H$27),Z915-Законод!$G$27,IF(Z915&gt;=Законод!$I$26,Законод!$H$28,0)))),0)))</f>
        <v>0</v>
      </c>
      <c r="AA920" s="930"/>
      <c r="AB920" s="889" t="s">
        <v>346</v>
      </c>
      <c r="AC920" s="890"/>
      <c r="AD920" s="890"/>
      <c r="AE920" s="890"/>
      <c r="AF920" s="891"/>
      <c r="AG920" s="196">
        <f ca="1">IF($B$911="Лікар загальної практики - сімейний лікар",IF(AG915&lt;Законод!$C$22,0,(IF(AND(AG915&gt;=Законод!$H$22,AG915&lt;=Законод!$H$23),AG915-Законод!$G$23,IF('01_Доходи'!AG915&gt;=Законод!$I$22,Законод!$H$24,0)))),IF($B$911="Лікар-педіатр",IF(AG915&lt;Законод!$C$18,0,(IF(AND(AG915&gt;=Законод!$H$18,AG915&lt;=Законод!$H$19),AG915-Законод!$G$19,IF('01_Доходи'!AG915&gt;=Законод!$I$18,Законод!$H$20,0)))),IF($B$911="Лікар-терапевт",IF(AG915&lt;Законод!$C$26,0,(IF(AND(AG915&gt;=Законод!$H$26,AG915&lt;=Законод!$H$27),AG915-Законод!$G$27,IF(AG915&gt;=Законод!$I$26,Законод!$H$28,0)))),0)))</f>
        <v>0</v>
      </c>
      <c r="AH920" s="930"/>
      <c r="AI920" s="201"/>
      <c r="AJ920" s="933"/>
      <c r="AK920" s="927"/>
      <c r="AL920" s="927"/>
      <c r="AM920" s="899"/>
      <c r="AN920" s="210">
        <f ca="1">IF(B911="Лікар загальної практики - сімейний лікар",L920*Законод!$C$9/4*Законод!$H$16,IF(B911="Лікар-педіатр",L920*Законод!$C$9/4*Законод!$H$16,IF(B911="Лікар-терапевт",L920*Законод!$C$9/4*Законод!$H$16,0)))</f>
        <v>0</v>
      </c>
      <c r="AO920" s="210">
        <f ca="1">IF(B911="Лікар загальної практики - сімейний лікар",S920*Законод!$C$9/4*Законод!$H$16,IF(B911="Лікар-педіатр",S920*Законод!$C$9/4*Законод!$H$16,IF(B911="Лікар-терапевт",S920*Законод!$C$9/4*Законод!$H$16,0)))</f>
        <v>0</v>
      </c>
      <c r="AP920" s="210">
        <f ca="1">IF(B911="Лікар загальної практики - сімейний лікар",Z920*Законод!$C$9/4*Законод!$H$16,IF(B911="Лікар-педіатр",Z920*Законод!$C$9/4*Законод!$H$16,IF(B911="Лікар-терапевт",Z920*Законод!$C$9/4*Законод!$H$16,0)))</f>
        <v>0</v>
      </c>
      <c r="AQ920" s="210">
        <f ca="1">IF(B911="Лікар загальної практики - сімейний лікар",AG920*Законод!$C$9/4*Законод!$H$16,IF(B911="Лікар-педіатр",AG920*Законод!$C$9/4*Законод!$H$16,IF(B911="Лікар-терапевт",AG920*Законод!$C$9/4*Законод!$H$16,0)))</f>
        <v>0</v>
      </c>
      <c r="AR920" s="211">
        <f t="shared" si="97"/>
        <v>0</v>
      </c>
    </row>
    <row r="921" spans="1:44" s="50" customFormat="1" ht="31.9" hidden="1" customHeight="1">
      <c r="A921" s="197"/>
      <c r="B921" s="893"/>
      <c r="C921" s="896"/>
      <c r="D921" s="912"/>
      <c r="E921" s="909"/>
      <c r="F921" s="238" t="str">
        <f ca="1">IF(B911="Лікар-педіатр",Законод!$I$17,IF(B911="Лікар загальної практики - сімейний лікар",Законод!$I$21,IF(B911="Лікар-терапевт",Законод!$I$25,"х")))</f>
        <v>х</v>
      </c>
      <c r="G921" s="889" t="s">
        <v>346</v>
      </c>
      <c r="H921" s="890"/>
      <c r="I921" s="890"/>
      <c r="J921" s="890"/>
      <c r="K921" s="891"/>
      <c r="L921" s="196">
        <f ca="1">IF($B$911="Лікар загальної практики - сімейний лікар",IF(L915&lt;Законод!$C$22,0,(IF(AND(L915&gt;=Законод!$I$22,L915&lt;=Законод!$I$23),L915-Законод!$H$23,IF('01_Доходи'!L915&gt;=Законод!$I$22,Законод!$I$24,0)))),IF($B$911="Лікар-педіатр",IF(L915&lt;Законод!$C$18,0,(IF(AND(L915&gt;=Законод!$I$18,L915&lt;=Законод!$I$19),L915-Законод!$H$19,IF('01_Доходи'!L915&gt;=Законод!$I$18,Законод!$H$20,0)))),IF($B$911="Лікар-терапевт",IF(L915&lt;Законод!$C$26,0,(IF(AND(L915&gt;=Законод!$I$26,L915&lt;=Законод!$I$27),L915-Законод!$H$27,IF('01_Доходи'!L915&gt;=Законод!$I$26,Законод!$H$28,0)))),0)))</f>
        <v>0</v>
      </c>
      <c r="M921" s="930"/>
      <c r="N921" s="889" t="s">
        <v>346</v>
      </c>
      <c r="O921" s="890"/>
      <c r="P921" s="890"/>
      <c r="Q921" s="890"/>
      <c r="R921" s="891"/>
      <c r="S921" s="196">
        <f ca="1">IF($B$911="Лікар загальної практики - сімейний лікар",IF(S915&lt;Законод!$C$22,0,(IF(AND(S915&gt;=Законод!$I$22,S915&lt;=Законод!$I$23),S915-Законод!$H$23,IF('01_Доходи'!S915&gt;=Законод!$I$22,Законод!$I$24,0)))),IF($B$911="Лікар-педіатр",IF(S915&lt;Законод!$C$18,0,(IF(AND(S915&gt;=Законод!$I$18,S915&lt;=Законод!$I$19),S915-Законод!$H$19,IF('01_Доходи'!S915&gt;=Законод!$I$18,Законод!$H$20,0)))),IF($B$911="Лікар-терапевт",IF(S915&lt;Законод!$C$26,0,(IF(AND(S915&gt;=Законод!$I$26,S915&lt;=Законод!$I$27),S915-Законод!$H$27,IF('01_Доходи'!S915&gt;=Законод!$I$26,Законод!$H$28,0)))),0)))</f>
        <v>0</v>
      </c>
      <c r="T921" s="930"/>
      <c r="U921" s="889" t="s">
        <v>346</v>
      </c>
      <c r="V921" s="890"/>
      <c r="W921" s="890"/>
      <c r="X921" s="890"/>
      <c r="Y921" s="891"/>
      <c r="Z921" s="196">
        <f ca="1">IF($B$911="Лікар загальної практики - сімейний лікар",IF(Z915&lt;Законод!$C$22,0,(IF(AND(Z915&gt;=Законод!$I$22,Z915&lt;=Законод!$I$23),Z915-Законод!$H$23,IF('01_Доходи'!Z915&gt;=Законод!$I$22,Законод!$I$24,0)))),IF($B$911="Лікар-педіатр",IF(Z915&lt;Законод!$C$18,0,(IF(AND(Z915&gt;=Законод!$I$18,Z915&lt;=Законод!$I$19),Z915-Законод!$H$19,IF('01_Доходи'!Z915&gt;=Законод!$I$18,Законод!$H$20,0)))),IF($B$911="Лікар-терапевт",IF(Z915&lt;Законод!$C$26,0,(IF(AND(Z915&gt;=Законод!$I$26,Z915&lt;=Законод!$I$27),Z915-Законод!$H$27,IF('01_Доходи'!Z915&gt;=Законод!$I$26,Законод!$H$28,0)))),0)))</f>
        <v>0</v>
      </c>
      <c r="AA921" s="930"/>
      <c r="AB921" s="889" t="s">
        <v>346</v>
      </c>
      <c r="AC921" s="890"/>
      <c r="AD921" s="890"/>
      <c r="AE921" s="890"/>
      <c r="AF921" s="891"/>
      <c r="AG921" s="196">
        <f ca="1">IF($B$911="Лікар загальної практики - сімейний лікар",IF(AG915&lt;Законод!$C$22,0,(IF(AND(AG915&gt;=Законод!$I$22,AG915&lt;=Законод!$I$23),AG915-Законод!$H$23,IF('01_Доходи'!AG915&gt;=Законод!$I$22,Законод!$I$24,0)))),IF($B$911="Лікар-педіатр",IF(AG915&lt;Законод!$C$18,0,(IF(AND(AG915&gt;=Законод!$I$18,AG915&lt;=Законод!$I$19),AG915-Законод!$H$19,IF('01_Доходи'!AG915&gt;=Законод!$I$18,Законод!$H$20,0)))),IF($B$911="Лікар-терапевт",IF(AG915&lt;Законод!$C$26,0,(IF(AND(AG915&gt;=Законод!$I$26,AG915&lt;=Законод!$I$27),AG915-Законод!$H$27,IF('01_Доходи'!AG915&gt;=Законод!$I$26,Законод!$H$28,0)))),0)))</f>
        <v>0</v>
      </c>
      <c r="AH921" s="930"/>
      <c r="AI921" s="201"/>
      <c r="AJ921" s="933"/>
      <c r="AK921" s="927"/>
      <c r="AL921" s="927"/>
      <c r="AM921" s="899"/>
      <c r="AN921" s="210">
        <f ca="1">IF(B911="Лікар загальної практики - сімейний лікар",L921*Законод!$C$9/4*Законод!$I$16,IF(B911="Лікар-педіатр",L921*Законод!$C$9/4*Законод!$I$16,IF(B911="Лікар-терапевт",L921*Законод!$C$9/4*Законод!$I$16,0)))</f>
        <v>0</v>
      </c>
      <c r="AO921" s="210">
        <f ca="1">IF(B911="Лікар загальної практики - сімейний лікар",S921*Законод!$C$9/4*Законод!$I$16,IF(B911="Лікар-педіатр",S921*Законод!$C$9/4*Законод!$I$16,IF(B911="Лікар-терапевт",S921*Законод!$C$9/4*Законод!$I$16,0)))</f>
        <v>0</v>
      </c>
      <c r="AP921" s="210">
        <f ca="1">IF(B911="Лікар загальної практики - сімейний лікар",Z921*Законод!$C$9/4*Законод!$I$16,IF(B911="Лікар-педіатр",Z921*Законод!$C$9/4*Законод!$I$16,IF(B911="Лікар-терапевт",Z921*Законод!$C$9/4*Законод!$I$16,0)))</f>
        <v>0</v>
      </c>
      <c r="AQ921" s="210">
        <f ca="1">IF(B911="Лікар загальної практики - сімейний лікар",AG921*Законод!$C$9/4*Законод!$I$16,IF(B911="Лікар-педіатр",AG921*Законод!$C$9/4*Законод!$I$16,IF(B911="Лікар-терапевт",AG921*Законод!$C$9/4*Законод!$I$16,0)))</f>
        <v>0</v>
      </c>
      <c r="AR921" s="211">
        <f t="shared" si="97"/>
        <v>0</v>
      </c>
    </row>
    <row r="922" spans="1:44" s="218" customFormat="1" ht="31.9" hidden="1" customHeight="1" thickBot="1">
      <c r="A922" s="213"/>
      <c r="B922" s="894"/>
      <c r="C922" s="897"/>
      <c r="D922" s="913"/>
      <c r="E922" s="910"/>
      <c r="F922" s="239" t="str">
        <f ca="1">IF(B911="Лікар-педіатр",Законод!$J$17,IF(B911="Лікар загальної практики - сімейний лікар",Законод!$J$21,IF(B911="Лікар-терапевт",Законод!$J$25,"х")))</f>
        <v>х</v>
      </c>
      <c r="G922" s="935" t="s">
        <v>346</v>
      </c>
      <c r="H922" s="936"/>
      <c r="I922" s="936"/>
      <c r="J922" s="936"/>
      <c r="K922" s="937"/>
      <c r="L922" s="196">
        <f ca="1">IF($B$911="Лікар загальної практики - сімейний лікар",IF(L915&gt;=Законод!$J$22,'01_Доходи'!L915-('01_Доходи'!L916+'01_Доходи'!L917+'01_Доходи'!L918+'01_Доходи'!L919+'01_Доходи'!L920+'01_Доходи'!L921),0),IF($B$911="Лікар-педіатр",IF(L915&gt;=Законод!$J$18,'01_Доходи'!L915-('01_Доходи'!L916+'01_Доходи'!L917+'01_Доходи'!L918+'01_Доходи'!L919+'01_Доходи'!L920+'01_Доходи'!L921),0),IF($B$911="Лікар-терапевт",IF('01_Доходи'!L915&gt;=Законод!$J$26,L915-Законод!$I$27,0),0)))</f>
        <v>0</v>
      </c>
      <c r="M922" s="931"/>
      <c r="N922" s="935" t="s">
        <v>346</v>
      </c>
      <c r="O922" s="936"/>
      <c r="P922" s="936"/>
      <c r="Q922" s="936"/>
      <c r="R922" s="937"/>
      <c r="S922" s="196">
        <f ca="1">IF($B$911="Лікар загальної практики - сімейний лікар",IF(S915&gt;=Законод!$J$22,'01_Доходи'!S915-('01_Доходи'!S916+'01_Доходи'!S917+'01_Доходи'!S918+'01_Доходи'!S919+'01_Доходи'!S920+'01_Доходи'!S921),0),IF($B$911="Лікар-педіатр",IF(S915&gt;=Законод!$J$18,'01_Доходи'!S915-('01_Доходи'!S916+'01_Доходи'!S917+'01_Доходи'!S918+'01_Доходи'!S919+'01_Доходи'!S920+'01_Доходи'!S921),0),IF($B$911="Лікар-терапевт",IF('01_Доходи'!S915&gt;=Законод!$J$26,S915-Законод!$I$27,0),0)))</f>
        <v>0</v>
      </c>
      <c r="T922" s="931"/>
      <c r="U922" s="935" t="s">
        <v>346</v>
      </c>
      <c r="V922" s="936"/>
      <c r="W922" s="936"/>
      <c r="X922" s="936"/>
      <c r="Y922" s="937"/>
      <c r="Z922" s="196">
        <f ca="1">IF($B$911="Лікар загальної практики - сімейний лікар",IF(Z915&gt;=Законод!$J$22,'01_Доходи'!Z915-('01_Доходи'!Z916+'01_Доходи'!Z917+'01_Доходи'!Z918+'01_Доходи'!Z919+'01_Доходи'!Z920+'01_Доходи'!Z921),0),IF($B$911="Лікар-педіатр",IF(Z915&gt;=Законод!$J$18,'01_Доходи'!Z915-('01_Доходи'!Z916+'01_Доходи'!Z917+'01_Доходи'!Z918+'01_Доходи'!Z919+'01_Доходи'!Z920+'01_Доходи'!Z921),0),IF($B$911="Лікар-терапевт",IF('01_Доходи'!Z915&gt;=Законод!$J$26,Z915-Законод!$I$27,0),0)))</f>
        <v>0</v>
      </c>
      <c r="AA922" s="931"/>
      <c r="AB922" s="935" t="s">
        <v>346</v>
      </c>
      <c r="AC922" s="936"/>
      <c r="AD922" s="936"/>
      <c r="AE922" s="936"/>
      <c r="AF922" s="937"/>
      <c r="AG922" s="196">
        <f ca="1">IF($B$911="Лікар загальної практики - сімейний лікар",IF(AG915&gt;=Законод!$J$22,'01_Доходи'!AG915-('01_Доходи'!AG916+'01_Доходи'!AG917+'01_Доходи'!AG918+'01_Доходи'!AG919+'01_Доходи'!AG920+'01_Доходи'!AG921),0),IF($B$911="Лікар-педіатр",IF(AG915&gt;=Законод!$J$18,'01_Доходи'!AG915-('01_Доходи'!AG916+'01_Доходи'!AG917+'01_Доходи'!AG918+'01_Доходи'!AG919+'01_Доходи'!AG920+'01_Доходи'!AG921),0),IF($B$911="Лікар-терапевт",IF('01_Доходи'!AG915&gt;=Законод!$J$26,AG915-Законод!$I$27,0),0)))</f>
        <v>0</v>
      </c>
      <c r="AH922" s="931"/>
      <c r="AI922" s="215"/>
      <c r="AJ922" s="934"/>
      <c r="AK922" s="928"/>
      <c r="AL922" s="928"/>
      <c r="AM922" s="900"/>
      <c r="AN922" s="216">
        <f ca="1">IF(B911="Лікар загальної практики - сімейний лікар",L922*Законод!$C$9/4*Законод!$J$16,IF(B911="Лікар-педіатр",L922*Законод!$C$9/4*Законод!$J$16,IF(B911="Лікар-терапевт",L922*Законод!$C$9/4*Законод!$J$16,0)))</f>
        <v>0</v>
      </c>
      <c r="AO922" s="216">
        <f ca="1">IF(B911="Лікар загальної практики - сімейний лікар",S922*Законод!$C$9/4*Законод!$J$16,IF(B911="Лікар-педіатр",S922*Законод!$C$9/4*Законод!$J$16,IF(B911="Лікар-терапевт",S922*Законод!$C$9/4*Законод!$J$16,0)))</f>
        <v>0</v>
      </c>
      <c r="AP922" s="216">
        <f ca="1">IF(B911="Лікар загальної практики - сімейний лікар",S922*Законод!$C$9/4*Законод!$J$16,IF(B911="Лікар-педіатр",S922*Законод!$C$9/4*Законод!$J$16,IF(B911="Лікар-терапевт",S922*Законод!$C$9/4*Законод!$J$16,0)))</f>
        <v>0</v>
      </c>
      <c r="AQ922" s="216">
        <f ca="1">IF(B911="Лікар загальної практики - сімейний лікар",AG922*Законод!$C$9/4*Законод!$J$16,IF(B911="Лікар-педіатр",AG922*Законод!$C$9/4*Законод!$J$16,IF(B911="Лікар-терапевт",AG922*Законод!$C$9/4*Законод!$J$16,0)))</f>
        <v>0</v>
      </c>
      <c r="AR922" s="217">
        <f t="shared" si="97"/>
        <v>0</v>
      </c>
    </row>
    <row r="923" spans="1:44" s="247" customFormat="1" ht="23.45" hidden="1" customHeight="1" thickBot="1">
      <c r="A923" s="243"/>
      <c r="B923" s="244"/>
      <c r="C923" s="244"/>
      <c r="D923" s="244"/>
      <c r="E923" s="244"/>
      <c r="F923" s="245"/>
      <c r="G923" s="246"/>
      <c r="H923" s="246"/>
      <c r="L923" s="248"/>
      <c r="S923" s="248"/>
      <c r="Z923" s="248"/>
      <c r="AG923" s="248"/>
      <c r="AM923" s="249"/>
      <c r="AR923" s="250"/>
    </row>
    <row r="924" spans="1:44" s="191" customFormat="1" ht="24.6" hidden="1" customHeight="1">
      <c r="A924" s="194">
        <f>A911+1</f>
        <v>69</v>
      </c>
      <c r="B924" s="892"/>
      <c r="C924" s="895"/>
      <c r="D924" s="911"/>
      <c r="E924" s="908"/>
      <c r="F924" s="234" t="s">
        <v>582</v>
      </c>
      <c r="G924" s="196">
        <f>IF($B$924="Лікар-педіатр",G927*L924,IF($B$924="Лікар-терапевт","х",IF($B$924="Лікар загальної практики - сімейний лікар",G927*L924,0)))</f>
        <v>0</v>
      </c>
      <c r="H924" s="196">
        <f>IF($B$924="Лікар-педіатр",H927*L924,IF($B$924="Лікар-терапевт","х",IF($B$924="Лікар загальної практики - сімейний лікар",H927*L924,0)))</f>
        <v>0</v>
      </c>
      <c r="I924" s="196">
        <f>IF($B$924="Лікар-педіатр","x",IF($B$924="Лікар-терапевт",I927*L924,IF($B$924="Лікар загальної практики - сімейний лікар",I927*L924,0)))</f>
        <v>0</v>
      </c>
      <c r="J924" s="196">
        <f>IF($B$924="Лікар-педіатр","x",IF($B$924="Лікар-терапевт",J927*L924,IF($B$924="Лікар загальної практики - сімейний лікар",J927*L924,0)))</f>
        <v>0</v>
      </c>
      <c r="K924" s="196">
        <f>IF($B$924="Лікар-педіатр","x",IF($B$924="Лікар-терапевт",K927*L924,IF($B$924="Лікар загальної практики - сімейний лікар",K927*L924,0)))</f>
        <v>0</v>
      </c>
      <c r="L924" s="558"/>
      <c r="M924" s="929"/>
      <c r="N924" s="196">
        <f>IF($B$924="Лікар-педіатр",N927*S924,IF($B$924="Лікар-терапевт","х",IF($B$924="Лікар загальної практики - сімейний лікар",N927*S924,0)))</f>
        <v>0</v>
      </c>
      <c r="O924" s="196">
        <f>IF($B$924="Лікар-педіатр",O927*S924,IF($B$924="Лікар-терапевт","х",IF($B$924="Лікар загальної практики - сімейний лікар",O927*S924,0)))</f>
        <v>0</v>
      </c>
      <c r="P924" s="196">
        <f>IF($B$924="Лікар-педіатр","x",IF($B$924="Лікар-терапевт",P927*S924,IF($B$924="Лікар загальної практики - сімейний лікар",P927*S924,0)))</f>
        <v>0</v>
      </c>
      <c r="Q924" s="196">
        <f>IF($B$924="Лікар-педіатр","x",IF($B$924="Лікар-терапевт",Q927*S924,IF($B$924="Лікар загальної практики - сімейний лікар",Q927*S924,0)))</f>
        <v>0</v>
      </c>
      <c r="R924" s="196">
        <f>IF($B$924="Лікар-педіатр","x",IF($B$924="Лікар-терапевт",R927*S924,IF($B$924="Лікар загальної практики - сімейний лікар",R927*S924,0)))</f>
        <v>0</v>
      </c>
      <c r="S924" s="558"/>
      <c r="T924" s="929"/>
      <c r="U924" s="196">
        <f>IF($B$924="Лікар-педіатр",U927*Z924,IF($B$924="Лікар-терапевт","х",IF($B$924="Лікар загальної практики - сімейний лікар",U927*Z924,0)))</f>
        <v>0</v>
      </c>
      <c r="V924" s="196">
        <f>IF($B$924="Лікар-педіатр",V927*Z924,IF($B$924="Лікар-терапевт","х",IF($B$924="Лікар загальної практики - сімейний лікар",V927*Z924,0)))</f>
        <v>0</v>
      </c>
      <c r="W924" s="196">
        <f>IF($B$924="Лікар-педіатр","x",IF($B$924="Лікар-терапевт",W927*Z924,IF($B$924="Лікар загальної практики - сімейний лікар",W927*Z924,0)))</f>
        <v>0</v>
      </c>
      <c r="X924" s="196">
        <f>IF($B$924="Лікар-педіатр","x",IF($B$924="Лікар-терапевт",X927*Z924,IF($B$924="Лікар загальної практики - сімейний лікар",X927*Z924,0)))</f>
        <v>0</v>
      </c>
      <c r="Y924" s="196">
        <f>IF($B$924="Лікар-педіатр","x",IF($B$924="Лікар-терапевт",Y927*Z924,IF($B$924="Лікар загальної практики - сімейний лікар",Y927*Z924,0)))</f>
        <v>0</v>
      </c>
      <c r="Z924" s="558"/>
      <c r="AA924" s="929"/>
      <c r="AB924" s="196">
        <f>IF($B$924="Лікар-педіатр",AB927*AG924,IF($B$924="Лікар-терапевт","х",IF($B$924="Лікар загальної практики - сімейний лікар",AB927*AG924,0)))</f>
        <v>0</v>
      </c>
      <c r="AC924" s="196">
        <f>IF($B$924="Лікар-педіатр",AC927*AG924,IF($B$924="Лікар-терапевт","х",IF($B$924="Лікар загальної практики - сімейний лікар",AC927*AG924,0)))</f>
        <v>0</v>
      </c>
      <c r="AD924" s="196">
        <f>IF($B$924="Лікар-педіатр","x",IF($B$924="Лікар-терапевт",AD927*AG924,IF($B$924="Лікар загальної практики - сімейний лікар",AD927*AG924,0)))</f>
        <v>0</v>
      </c>
      <c r="AE924" s="196">
        <f>IF($B$924="Лікар-педіатр","x",IF($B$924="Лікар-терапевт",AE927*AG924,IF($B$924="Лікар загальної практики - сімейний лікар",AE927*AG924,0)))</f>
        <v>0</v>
      </c>
      <c r="AF924" s="196">
        <f>IF($B$924="Лікар-педіатр","x",IF($B$924="Лікар-терапевт",AF927*AG924,IF($B$924="Лікар загальної практики - сімейний лікар",AF927*AG924,0)))</f>
        <v>0</v>
      </c>
      <c r="AG924" s="558"/>
      <c r="AH924" s="929"/>
      <c r="AI924" s="541">
        <f>A924</f>
        <v>69</v>
      </c>
      <c r="AJ924" s="932">
        <f>B924</f>
        <v>0</v>
      </c>
      <c r="AK924" s="926">
        <f>C924</f>
        <v>0</v>
      </c>
      <c r="AL924" s="926">
        <f>D924</f>
        <v>0</v>
      </c>
      <c r="AM924" s="901" t="s">
        <v>785</v>
      </c>
      <c r="AN924" s="923">
        <f>SUM(AN929:AN935)</f>
        <v>0</v>
      </c>
      <c r="AO924" s="923">
        <f>SUM(AO929:AO935)</f>
        <v>0</v>
      </c>
      <c r="AP924" s="923">
        <f>SUM(AP929:AP935)</f>
        <v>0</v>
      </c>
      <c r="AQ924" s="923">
        <f>SUM(AQ929:AQ935)</f>
        <v>0</v>
      </c>
      <c r="AR924" s="914">
        <f>SUM(AN924:AQ928)</f>
        <v>0</v>
      </c>
    </row>
    <row r="925" spans="1:44" s="50" customFormat="1" ht="28.15" hidden="1" customHeight="1">
      <c r="A925" s="197"/>
      <c r="B925" s="893"/>
      <c r="C925" s="896"/>
      <c r="D925" s="912"/>
      <c r="E925" s="909"/>
      <c r="F925" s="234" t="s">
        <v>583</v>
      </c>
      <c r="G925" s="196">
        <f>IF($B$924="Лікар-педіатр",G927*L925,IF($B$924="Лікар-терапевт","х",IF($B$924="Лікар загальної практики - сімейний лікар",G927*L925,0)))</f>
        <v>0</v>
      </c>
      <c r="H925" s="196">
        <f>IF($B$924="Лікар-педіатр",H927*L925,IF($B$924="Лікар-терапевт","х",IF($B$924="Лікар загальної практики - сімейний лікар",H927*L925,0)))</f>
        <v>0</v>
      </c>
      <c r="I925" s="196">
        <f>IF($B$924="Лікар-педіатр","x",IF($B$924="Лікар-терапевт",I927*L925,IF($B$924="Лікар загальної практики - сімейний лікар",I927*L925,0)))</f>
        <v>0</v>
      </c>
      <c r="J925" s="196">
        <f>IF($B$924="Лікар-педіатр","x",IF($B$924="Лікар-терапевт",J927*L925,IF($B$924="Лікар загальної практики - сімейний лікар",J927*L925,0)))</f>
        <v>0</v>
      </c>
      <c r="K925" s="196">
        <f>IF($B$924="Лікар-педіатр","x",IF($B$924="Лікар-терапевт",K927*L925,IF($B$924="Лікар загальної практики - сімейний лікар",K927*L925,0)))</f>
        <v>0</v>
      </c>
      <c r="L925" s="558"/>
      <c r="M925" s="930"/>
      <c r="N925" s="196">
        <f>IF($B$924="Лікар-педіатр",N927*S925,IF($B$924="Лікар-терапевт","х",IF($B$924="Лікар загальної практики - сімейний лікар",N927*S925,0)))</f>
        <v>0</v>
      </c>
      <c r="O925" s="196">
        <f>IF($B$924="Лікар-педіатр",O927*S925,IF($B$924="Лікар-терапевт","х",IF($B$924="Лікар загальної практики - сімейний лікар",O927*S925,0)))</f>
        <v>0</v>
      </c>
      <c r="P925" s="196">
        <f>IF($B$924="Лікар-педіатр","x",IF($B$924="Лікар-терапевт",P927*S925,IF($B$924="Лікар загальної практики - сімейний лікар",P927*S925,0)))</f>
        <v>0</v>
      </c>
      <c r="Q925" s="196">
        <f>IF($B$924="Лікар-педіатр","x",IF($B$924="Лікар-терапевт",Q927*S925,IF($B$924="Лікар загальної практики - сімейний лікар",Q927*S925,0)))</f>
        <v>0</v>
      </c>
      <c r="R925" s="196">
        <f>IF($B$924="Лікар-педіатр","x",IF($B$924="Лікар-терапевт",R927*S925,IF($B$924="Лікар загальної практики - сімейний лікар",R927*S925,0)))</f>
        <v>0</v>
      </c>
      <c r="S925" s="558"/>
      <c r="T925" s="930"/>
      <c r="U925" s="196">
        <f>IF($B$924="Лікар-педіатр",U927*Z925,IF($B$924="Лікар-терапевт","х",IF($B$924="Лікар загальної практики - сімейний лікар",U927*Z925,0)))</f>
        <v>0</v>
      </c>
      <c r="V925" s="196">
        <f>IF($B$924="Лікар-педіатр",V927*Z925,IF($B$924="Лікар-терапевт","х",IF($B$924="Лікар загальної практики - сімейний лікар",V927*Z925,0)))</f>
        <v>0</v>
      </c>
      <c r="W925" s="196">
        <f>IF($B$924="Лікар-педіатр","x",IF($B$924="Лікар-терапевт",W927*Z925,IF($B$924="Лікар загальної практики - сімейний лікар",W927*Z925,0)))</f>
        <v>0</v>
      </c>
      <c r="X925" s="196">
        <f>IF($B$924="Лікар-педіатр","x",IF($B$924="Лікар-терапевт",X927*Z925,IF($B$924="Лікар загальної практики - сімейний лікар",X927*Z925,0)))</f>
        <v>0</v>
      </c>
      <c r="Y925" s="196">
        <f>IF($B$924="Лікар-педіатр","x",IF($B$924="Лікар-терапевт",Y927*Z925,IF($B$924="Лікар загальної практики - сімейний лікар",Y927*Z925,0)))</f>
        <v>0</v>
      </c>
      <c r="Z925" s="558"/>
      <c r="AA925" s="930"/>
      <c r="AB925" s="196">
        <f>IF($B$924="Лікар-педіатр",AB927*AG925,IF($B$924="Лікар-терапевт","х",IF($B$924="Лікар загальної практики - сімейний лікар",AB927*AG925,0)))</f>
        <v>0</v>
      </c>
      <c r="AC925" s="196">
        <f>IF($B$924="Лікар-педіатр",AC927*AG925,IF($B$924="Лікар-терапевт","х",IF($B$924="Лікар загальної практики - сімейний лікар",AC927*AG925,0)))</f>
        <v>0</v>
      </c>
      <c r="AD925" s="196">
        <f>IF($B$924="Лікар-педіатр","x",IF($B$924="Лікар-терапевт",AD927*AG925,IF($B$924="Лікар загальної практики - сімейний лікар",AD927*AG925,0)))</f>
        <v>0</v>
      </c>
      <c r="AE925" s="196">
        <f>IF($B$924="Лікар-педіатр","x",IF($B$924="Лікар-терапевт",AE927*AG925,IF($B$924="Лікар загальної практики - сімейний лікар",AE927*AG925,0)))</f>
        <v>0</v>
      </c>
      <c r="AF925" s="196">
        <f>IF($B$924="Лікар-педіатр","x",IF($B$924="Лікар-терапевт",AF927*AG925,IF($B$924="Лікар загальної практики - сімейний лікар",AF927*AG925,0)))</f>
        <v>0</v>
      </c>
      <c r="AG925" s="558"/>
      <c r="AH925" s="930"/>
      <c r="AI925" s="198"/>
      <c r="AJ925" s="933"/>
      <c r="AK925" s="927"/>
      <c r="AL925" s="927"/>
      <c r="AM925" s="902"/>
      <c r="AN925" s="924"/>
      <c r="AO925" s="924"/>
      <c r="AP925" s="924"/>
      <c r="AQ925" s="924"/>
      <c r="AR925" s="915"/>
    </row>
    <row r="926" spans="1:44" s="90" customFormat="1" ht="31.15" hidden="1" customHeight="1">
      <c r="A926" s="240"/>
      <c r="B926" s="893"/>
      <c r="C926" s="896"/>
      <c r="D926" s="912"/>
      <c r="E926" s="909"/>
      <c r="F926" s="241" t="s">
        <v>584</v>
      </c>
      <c r="G926" s="199">
        <f>IF(B924="Лікар загальної практики - сімейний лікар"," ",IF(B924="Лікар-педіатр"," ",IF(B924="Лікар-терапевт","х",0)))</f>
        <v>0</v>
      </c>
      <c r="H926" s="199">
        <f>IF(B924="Лікар загальної практики - сімейний лікар"," ",IF(B924="Лікар-педіатр"," ",IF(B924="Лікар-терапевт","х",0)))</f>
        <v>0</v>
      </c>
      <c r="I926" s="199">
        <f>IF(B924="Лікар загальної практики - сімейний лікар"," ",IF(B924="Лікар-педіатр","х",IF(B924="Лікар-терапевт"," ",0)))</f>
        <v>0</v>
      </c>
      <c r="J926" s="199">
        <f>IF(B924="Лікар загальної практики - сімейний лікар"," ",IF(B924="Лікар-педіатр","х",IF(B924="Лікар-терапевт"," ",0)))</f>
        <v>0</v>
      </c>
      <c r="K926" s="199">
        <f>IF(B924="Лікар загальної практики - сімейний лікар"," ",IF(B924="Лікар-педіатр","х",IF(B924="Лікар-терапевт"," ",0)))</f>
        <v>0</v>
      </c>
      <c r="L926" s="200">
        <f>SUM(G926:K926)</f>
        <v>0</v>
      </c>
      <c r="M926" s="930"/>
      <c r="N926" s="199">
        <f>IF(B924="Лікар загальної практики - сімейний лікар"," ",IF(B924="Лікар-педіатр"," ",IF(B924="Лікар-терапевт","х",0)))</f>
        <v>0</v>
      </c>
      <c r="O926" s="199">
        <f>IF(B924="Лікар загальної практики - сімейний лікар"," ",IF(B924="Лікар-педіатр"," ",IF(B924="Лікар-терапевт","х",0)))</f>
        <v>0</v>
      </c>
      <c r="P926" s="199">
        <f>IF(B924="Лікар загальної практики - сімейний лікар"," ",IF(B924="Лікар-педіатр","х",IF(B924="Лікар-терапевт"," ",0)))</f>
        <v>0</v>
      </c>
      <c r="Q926" s="199">
        <f>IF(B924="Лікар загальної практики - сімейний лікар"," ",IF(B924="Лікар-педіатр","х",IF(B924="Лікар-терапевт"," ",0)))</f>
        <v>0</v>
      </c>
      <c r="R926" s="199">
        <f>IF(B924="Лікар загальної практики - сімейний лікар"," ",IF(B924="Лікар-педіатр","х",IF(B924="Лікар-терапевт"," ",0)))</f>
        <v>0</v>
      </c>
      <c r="S926" s="200">
        <f>SUM(N926:R926)</f>
        <v>0</v>
      </c>
      <c r="T926" s="930"/>
      <c r="U926" s="199">
        <f>IF(B924="Лікар загальної практики - сімейний лікар"," ",IF(B924="Лікар-педіатр"," ",IF(B924="Лікар-терапевт","х",0)))</f>
        <v>0</v>
      </c>
      <c r="V926" s="199">
        <f>IF(B924="Лікар загальної практики - сімейний лікар"," ",IF(B924="Лікар-педіатр"," ",IF(B924="Лікар-терапевт","х",0)))</f>
        <v>0</v>
      </c>
      <c r="W926" s="199">
        <f>IF(B924="Лікар загальної практики - сімейний лікар"," ",IF(B924="Лікар-педіатр","х",IF(B924="Лікар-терапевт"," ",0)))</f>
        <v>0</v>
      </c>
      <c r="X926" s="199">
        <f>IF(B924="Лікар загальної практики - сімейний лікар"," ",IF(B924="Лікар-педіатр","х",IF(B924="Лікар-терапевт"," ",0)))</f>
        <v>0</v>
      </c>
      <c r="Y926" s="199">
        <f>IF(B924="Лікар загальної практики - сімейний лікар"," ",IF(B924="Лікар-педіатр","х",IF(B924="Лікар-терапевт"," ",0)))</f>
        <v>0</v>
      </c>
      <c r="Z926" s="200">
        <f>SUM(U926:Y926)</f>
        <v>0</v>
      </c>
      <c r="AA926" s="930"/>
      <c r="AB926" s="199">
        <f>IF(B924="Лікар загальної практики - сімейний лікар"," ",IF(B924="Лікар-педіатр"," ",IF(B924="Лікар-терапевт","х",0)))</f>
        <v>0</v>
      </c>
      <c r="AC926" s="199">
        <f>IF(B924="Лікар загальної практики - сімейний лікар"," ",IF(B924="Лікар-педіатр"," ",IF(B924="Лікар-терапевт","х",0)))</f>
        <v>0</v>
      </c>
      <c r="AD926" s="199">
        <f>IF(B924="Лікар загальної практики - сімейний лікар"," ",IF(B924="Лікар-педіатр","х",IF(B924="Лікар-терапевт"," ",0)))</f>
        <v>0</v>
      </c>
      <c r="AE926" s="199">
        <f>IF(B924="Лікар загальної практики - сімейний лікар"," ",IF(B924="Лікар-педіатр","х",IF(B924="Лікар-терапевт"," ",0)))</f>
        <v>0</v>
      </c>
      <c r="AF926" s="199">
        <f>IF(B924="Лікар загальної практики - сімейний лікар"," ",IF(B924="Лікар-педіатр","х",IF(B924="Лікар-терапевт"," ",0)))</f>
        <v>0</v>
      </c>
      <c r="AG926" s="200">
        <f>SUM(AB926:AF926)</f>
        <v>0</v>
      </c>
      <c r="AH926" s="930"/>
      <c r="AI926" s="242"/>
      <c r="AJ926" s="933"/>
      <c r="AK926" s="927"/>
      <c r="AL926" s="927"/>
      <c r="AM926" s="902"/>
      <c r="AN926" s="924"/>
      <c r="AO926" s="924"/>
      <c r="AP926" s="924"/>
      <c r="AQ926" s="924"/>
      <c r="AR926" s="915"/>
    </row>
    <row r="927" spans="1:44" s="50" customFormat="1" ht="31.9" hidden="1" customHeight="1" thickBot="1">
      <c r="A927" s="197"/>
      <c r="B927" s="893"/>
      <c r="C927" s="896"/>
      <c r="D927" s="912"/>
      <c r="E927" s="909"/>
      <c r="F927" s="236" t="s">
        <v>349</v>
      </c>
      <c r="G927" s="203">
        <f>IF($B$924="Лікар-педіатр",G926/L926,IF($B$924="Лікар-терапевт","х",IF($B$924="Лікар загальної практики - сімейний лікар",G926/L926,0)))</f>
        <v>0</v>
      </c>
      <c r="H927" s="203">
        <f>IF($B$924="Лікар-педіатр",H926/L926,IF($B$924="Лікар-терапевт","х",IF($B$924="Лікар загальної практики - сімейний лікар",H926/L926,0)))</f>
        <v>0</v>
      </c>
      <c r="I927" s="203">
        <f>IF($B$924="Лікар-педіатр","x",IF($B$924="Лікар-терапевт",I926/L926,IF($B$924="Лікар загальної практики - сімейний лікар",I926/L926,0)))</f>
        <v>0</v>
      </c>
      <c r="J927" s="203">
        <f>IF($B$924="Лікар-педіатр","x",IF($B$924="Лікар-терапевт",J926/L926,IF($B$924="Лікар загальної практики - сімейний лікар",J926/L926,0)))</f>
        <v>0</v>
      </c>
      <c r="K927" s="203">
        <f>IF($B$924="Лікар-педіатр","x",IF($B$924="Лікар-терапевт",K926/L926,IF($B$924="Лікар загальної практики - сімейний лікар",K926/L926,0)))</f>
        <v>0</v>
      </c>
      <c r="L927" s="203">
        <f>SUM(G927:K927)</f>
        <v>0</v>
      </c>
      <c r="M927" s="930"/>
      <c r="N927" s="203">
        <f>IF($B$924="Лікар-педіатр",N926/S926,IF($B$924="Лікар-терапевт","х",IF($B$924="Лікар загальної практики - сімейний лікар",N926/S926,0)))</f>
        <v>0</v>
      </c>
      <c r="O927" s="203">
        <f>IF($B$924="Лікар-педіатр",O926/S926,IF($B$924="Лікар-терапевт","х",IF($B$924="Лікар загальної практики - сімейний лікар",O926/S926,0)))</f>
        <v>0</v>
      </c>
      <c r="P927" s="203">
        <f>IF($B$924="Лікар-педіатр","x",IF($B$924="Лікар-терапевт",P926/S926,IF($B$924="Лікар загальної практики - сімейний лікар",P926/S926,0)))</f>
        <v>0</v>
      </c>
      <c r="Q927" s="203">
        <f>IF($B$924="Лікар-педіатр","x",IF($B$924="Лікар-терапевт",Q926/S926,IF($B$924="Лікар загальної практики - сімейний лікар",Q926/S926,0)))</f>
        <v>0</v>
      </c>
      <c r="R927" s="203">
        <f>IF($B$924="Лікар-педіатр","x",IF($B$924="Лікар-терапевт",R926/S926,IF($B$924="Лікар загальної практики - сімейний лікар",R926/S926,0)))</f>
        <v>0</v>
      </c>
      <c r="S927" s="203">
        <f>SUM(N927:R927)</f>
        <v>0</v>
      </c>
      <c r="T927" s="930"/>
      <c r="U927" s="203">
        <f>IF($B$924="Лікар-педіатр",U926/Z926,IF($B$924="Лікар-терапевт","х",IF($B$924="Лікар загальної практики - сімейний лікар",U926/Z926,0)))</f>
        <v>0</v>
      </c>
      <c r="V927" s="203">
        <f>IF($B$924="Лікар-педіатр",V926/Z926,IF($B$924="Лікар-терапевт","х",IF($B$924="Лікар загальної практики - сімейний лікар",V926/Z926,0)))</f>
        <v>0</v>
      </c>
      <c r="W927" s="203">
        <f>IF($B$924="Лікар-педіатр","x",IF($B$924="Лікар-терапевт",W926/Z926,IF($B$924="Лікар загальної практики - сімейний лікар",W926/Z926,0)))</f>
        <v>0</v>
      </c>
      <c r="X927" s="203">
        <f>IF($B$924="Лікар-педіатр","x",IF($B$924="Лікар-терапевт",X926/Z926,IF($B$924="Лікар загальної практики - сімейний лікар",X926/Z926,0)))</f>
        <v>0</v>
      </c>
      <c r="Y927" s="203">
        <f>IF($B$924="Лікар-педіатр","x",IF($B$924="Лікар-терапевт",Y926/Z926,IF($B$924="Лікар загальної практики - сімейний лікар",Y926/Z926,0)))</f>
        <v>0</v>
      </c>
      <c r="Z927" s="203">
        <f>SUM(U927:Y927)</f>
        <v>0</v>
      </c>
      <c r="AA927" s="930"/>
      <c r="AB927" s="203">
        <f>IF($B$924="Лікар-педіатр",AB926/AG926,IF($B$924="Лікар-терапевт","х",IF($B$924="Лікар загальної практики - сімейний лікар",AB926/AG926,0)))</f>
        <v>0</v>
      </c>
      <c r="AC927" s="203">
        <f>IF($B$924="Лікар-педіатр",AC926/AG926,IF($B$924="Лікар-терапевт","х",IF($B$924="Лікар загальної практики - сімейний лікар",AC926/AG926,0)))</f>
        <v>0</v>
      </c>
      <c r="AD927" s="203">
        <f>IF($B$924="Лікар-педіатр","x",IF($B$924="Лікар-терапевт",AD926/AG926,IF($B$924="Лікар загальної практики - сімейний лікар",AD926/AG926,0)))</f>
        <v>0</v>
      </c>
      <c r="AE927" s="203">
        <f>IF($B$924="Лікар-педіатр","x",IF($B$924="Лікар-терапевт",AE926/AG926,IF($B$924="Лікар загальної практики - сімейний лікар",AE926/AG926,0)))</f>
        <v>0</v>
      </c>
      <c r="AF927" s="203">
        <f>IF($B$924="Лікар-педіатр","x",IF($B$924="Лікар-терапевт",AF926/AG926,IF($B$924="Лікар загальної практики - сімейний лікар",AF926/AG926,0)))</f>
        <v>0</v>
      </c>
      <c r="AG927" s="203">
        <f>SUM(AB927:AF927)</f>
        <v>0</v>
      </c>
      <c r="AH927" s="930"/>
      <c r="AI927" s="201"/>
      <c r="AJ927" s="933"/>
      <c r="AK927" s="927"/>
      <c r="AL927" s="927"/>
      <c r="AM927" s="902"/>
      <c r="AN927" s="924"/>
      <c r="AO927" s="924"/>
      <c r="AP927" s="924"/>
      <c r="AQ927" s="924"/>
      <c r="AR927" s="915"/>
    </row>
    <row r="928" spans="1:44" s="50" customFormat="1" ht="45" hidden="1" customHeight="1" thickBot="1">
      <c r="A928" s="197"/>
      <c r="B928" s="893"/>
      <c r="C928" s="896"/>
      <c r="D928" s="912"/>
      <c r="E928" s="909"/>
      <c r="F928" s="204" t="s">
        <v>585</v>
      </c>
      <c r="G928" s="205">
        <f>IF($B$924="Лікар загальної практики - сімейний лікар",AVERAGE(G924:G926),IF($B$924="Лікар-педіатр",AVERAGE(G924:G926),IF($B$924="Лікар-терапевт","х",0)))</f>
        <v>0</v>
      </c>
      <c r="H928" s="205">
        <f>IF($B$924="Лікар загальної практики - сімейний лікар",AVERAGE(H924:H926),IF($B$924="Лікар-педіатр",AVERAGE(H924:H926),IF($B$924="Лікар-терапевт","х",0)))</f>
        <v>0</v>
      </c>
      <c r="I928" s="205">
        <f>IF($B$924="Лікар загальної практики - сімейний лікар",AVERAGE(I924:I926),IF($B$924="Лікар-педіатр","x",IF($B$924="Лікар-терапевт",AVERAGE(I924:I926),0)))</f>
        <v>0</v>
      </c>
      <c r="J928" s="205">
        <f>IF($B$924="Лікар загальної практики - сімейний лікар",AVERAGE(J924:J926),IF($B$924="Лікар-педіатр","x",IF($B$924="Лікар-терапевт",AVERAGE(J924:J926),0)))</f>
        <v>0</v>
      </c>
      <c r="K928" s="205">
        <f>IF($B$924="Лікар загальної практики - сімейний лікар",AVERAGE(K924:K926),IF($B$924="Лікар-педіатр","x",IF($B$924="Лікар-терапевт",AVERAGE(K924:K926),0)))</f>
        <v>0</v>
      </c>
      <c r="L928" s="206">
        <f>SUM(G928:K928)</f>
        <v>0</v>
      </c>
      <c r="M928" s="930"/>
      <c r="N928" s="205">
        <f>IF($B$924="Лікар загальної практики - сімейний лікар",AVERAGE(N924:N926),IF($B$924="Лікар-педіатр",AVERAGE(N924:N926),IF($B$924="Лікар-терапевт","х",0)))</f>
        <v>0</v>
      </c>
      <c r="O928" s="205">
        <f>IF($B$924="Лікар загальної практики - сімейний лікар",AVERAGE(O924:O926),IF($B$924="Лікар-педіатр",AVERAGE(O924:O926),IF($B$924="Лікар-терапевт","х",0)))</f>
        <v>0</v>
      </c>
      <c r="P928" s="205">
        <f>IF($B$924="Лікар загальної практики - сімейний лікар",AVERAGE(P924:P926),IF($B$924="Лікар-педіатр","x",IF($B$924="Лікар-терапевт",AVERAGE(P924:P926),0)))</f>
        <v>0</v>
      </c>
      <c r="Q928" s="205">
        <f>IF($B$924="Лікар загальної практики - сімейний лікар",AVERAGE(Q924:Q926),IF($B$924="Лікар-педіатр","x",IF($B$924="Лікар-терапевт",AVERAGE(Q924:Q926),0)))</f>
        <v>0</v>
      </c>
      <c r="R928" s="205">
        <f>IF($B$924="Лікар загальної практики - сімейний лікар",AVERAGE(R924:R926),IF($B$924="Лікар-педіатр","x",IF($B$924="Лікар-терапевт",AVERAGE(R924:R926),0)))</f>
        <v>0</v>
      </c>
      <c r="S928" s="206">
        <f>SUM(N928:R928)</f>
        <v>0</v>
      </c>
      <c r="T928" s="930"/>
      <c r="U928" s="205">
        <f>IF($B$924="Лікар загальної практики - сімейний лікар",AVERAGE(U924:U926),IF($B$924="Лікар-педіатр",AVERAGE(U924:U926),IF($B$924="Лікар-терапевт","х",0)))</f>
        <v>0</v>
      </c>
      <c r="V928" s="205">
        <f>IF($B$924="Лікар загальної практики - сімейний лікар",AVERAGE(V924:V926),IF($B$924="Лікар-педіатр",AVERAGE(V924:V926),IF($B$924="Лікар-терапевт","х",0)))</f>
        <v>0</v>
      </c>
      <c r="W928" s="205">
        <f>IF($B$924="Лікар загальної практики - сімейний лікар",AVERAGE(W924:W926),IF($B$924="Лікар-педіатр","x",IF($B$924="Лікар-терапевт",AVERAGE(W924:W926),0)))</f>
        <v>0</v>
      </c>
      <c r="X928" s="205">
        <f>IF($B$924="Лікар загальної практики - сімейний лікар",AVERAGE(X924:X926),IF($B$924="Лікар-педіатр","x",IF($B$924="Лікар-терапевт",AVERAGE(X924:X926),0)))</f>
        <v>0</v>
      </c>
      <c r="Y928" s="205">
        <f>IF($B$924="Лікар загальної практики - сімейний лікар",AVERAGE(Y924:Y926),IF($B$924="Лікар-педіатр","x",IF($B$924="Лікар-терапевт",AVERAGE(Y924:Y926),0)))</f>
        <v>0</v>
      </c>
      <c r="Z928" s="206">
        <f>SUM(U928:Y928)</f>
        <v>0</v>
      </c>
      <c r="AA928" s="930"/>
      <c r="AB928" s="205">
        <f>IF($B$924="Лікар загальної практики - сімейний лікар",AVERAGE(AB924:AB926),IF($B$924="Лікар-педіатр",AVERAGE(AB924:AB926),IF($B$924="Лікар-терапевт","х",0)))</f>
        <v>0</v>
      </c>
      <c r="AC928" s="205">
        <f>IF($B$924="Лікар загальної практики - сімейний лікар",AVERAGE(AC924:AC926),IF($B$924="Лікар-педіатр",AVERAGE(AC924:AC926),IF($B$924="Лікар-терапевт","х",0)))</f>
        <v>0</v>
      </c>
      <c r="AD928" s="205">
        <f>IF($B$924="Лікар загальної практики - сімейний лікар",AVERAGE(AD924:AD926),IF($B$924="Лікар-педіатр","x",IF($B$924="Лікар-терапевт",AVERAGE(AD924:AD926),0)))</f>
        <v>0</v>
      </c>
      <c r="AE928" s="205">
        <f>IF($B$924="Лікар загальної практики - сімейний лікар",AVERAGE(AE924:AE926),IF($B$924="Лікар-педіатр","x",IF($B$924="Лікар-терапевт",AVERAGE(AE924:AE926),0)))</f>
        <v>0</v>
      </c>
      <c r="AF928" s="205">
        <f>IF($B$924="Лікар загальної практики - сімейний лікар",AVERAGE(AF924:AF926),IF($B$924="Лікар-педіатр","x",IF($B$924="Лікар-терапевт",AVERAGE(AF924:AF926),0)))</f>
        <v>0</v>
      </c>
      <c r="AG928" s="206">
        <f>SUM(AB928:AF928)</f>
        <v>0</v>
      </c>
      <c r="AH928" s="930"/>
      <c r="AI928" s="201"/>
      <c r="AJ928" s="933"/>
      <c r="AK928" s="927"/>
      <c r="AL928" s="927"/>
      <c r="AM928" s="903"/>
      <c r="AN928" s="925"/>
      <c r="AO928" s="925"/>
      <c r="AP928" s="925"/>
      <c r="AQ928" s="925"/>
      <c r="AR928" s="916"/>
    </row>
    <row r="929" spans="1:44" s="50" customFormat="1" ht="40.5" hidden="1">
      <c r="A929" s="197"/>
      <c r="B929" s="893"/>
      <c r="C929" s="896"/>
      <c r="D929" s="912"/>
      <c r="E929" s="909"/>
      <c r="F929" s="237" t="str">
        <f ca="1">IF(B924="Лікар-педіатр",Законод!$C$17,IF(B924="Лікар загальної практики - сімейний лікар",Законод!$C$21,IF(B924="Лікар-терапевт",Законод!$C$25,"х")))</f>
        <v>х</v>
      </c>
      <c r="G929" s="208">
        <f ca="1">IF($B$924="Лікар загальної практики - сімейний лікар",IF(L928&lt;=Законод!$C$22,G928,Законод!$C$22*'01_Доходи'!G927),IF($B$924="Лікар-педіатр",IF(L928&lt;=Законод!$C$18,G928,Законод!$C$18*'01_Доходи'!G927),IF($B$924="Лікар-терапевт","x",0)))</f>
        <v>0</v>
      </c>
      <c r="H929" s="208">
        <f ca="1">IF($B$924="Лікар загальної практики - сімейний лікар",IF(L928&lt;=Законод!$C$22,H928,Законод!$C$22*'01_Доходи'!H927),IF($B$924="Лікар-педіатр",IF(L928&lt;=Законод!$C$18,H928,Законод!$C$18*'01_Доходи'!H927),IF($B$924="Лікар-терапевт","x",0)))</f>
        <v>0</v>
      </c>
      <c r="I929" s="208">
        <f ca="1">IF($B$924="Лікар загальної практики - сімейний лікар",IF(L928&lt;=Законод!$C$22,I928,Законод!$C$22*'01_Доходи'!I927),IF($B$924="Лікар-педіатр","x",IF($B$924="Лікар-терапевт",IF(L928&lt;=Законод!$C$26,I928,Законод!$C$26*'01_Доходи'!I927),0)))</f>
        <v>0</v>
      </c>
      <c r="J929" s="208">
        <f ca="1">IF($B$924="Лікар загальної практики - сімейний лікар",IF(L928&lt;=Законод!$C$22,J928,Законод!$C$22*'01_Доходи'!J927),IF($B$924="Лікар-педіатр","x",IF($B$924="Лікар-терапевт",IF(L928&lt;=Законод!$C$26,J928,Законод!$C$26*'01_Доходи'!J927),0)))</f>
        <v>0</v>
      </c>
      <c r="K929" s="208">
        <f ca="1">IF($B$924="Лікар загальної практики - сімейний лікар",IF(L928&lt;=Законод!$C$22,K928,Законод!$C$22*'01_Доходи'!K927),IF($B$924="Лікар-педіатр","x",IF($B$924="Лікар-терапевт",IF(L928&lt;=Законод!$C$26,K928,Законод!$C$26*'01_Доходи'!K927),0)))</f>
        <v>0</v>
      </c>
      <c r="L929" s="209">
        <f ca="1">SUM(G929:K929)</f>
        <v>0</v>
      </c>
      <c r="M929" s="930"/>
      <c r="N929" s="208">
        <f ca="1">IF($B$924="Лікар загальної практики - сімейний лікар",IF(S928&lt;=Законод!$C$22,N928,Законод!$C$22*'01_Доходи'!N927),IF($B$924="Лікар-педіатр",IF(S928&lt;=Законод!$C$18,N928,Законод!$C$18*'01_Доходи'!N927),IF($B$924="Лікар-терапевт","x",0)))</f>
        <v>0</v>
      </c>
      <c r="O929" s="208">
        <f ca="1">IF($B$924="Лікар загальної практики - сімейний лікар",IF(S928&lt;=Законод!$C$22,O928,Законод!$C$22*'01_Доходи'!O927),IF($B$924="Лікар-педіатр",IF(S928&lt;=Законод!$C$18,O928,Законод!$C$18*'01_Доходи'!O927),IF($B$924="Лікар-терапевт","x",0)))</f>
        <v>0</v>
      </c>
      <c r="P929" s="208">
        <f ca="1">IF($B$924="Лікар загальної практики - сімейний лікар",IF(S928&lt;=Законод!$C$22,P928,Законод!$C$22*'01_Доходи'!P927),IF($B$924="Лікар-педіатр","x",IF($B$924="Лікар-терапевт",IF(S928&lt;=Законод!$C$26,P928,Законод!$C$26*'01_Доходи'!P927),0)))</f>
        <v>0</v>
      </c>
      <c r="Q929" s="208">
        <f ca="1">IF($B$924="Лікар загальної практики - сімейний лікар",IF(S928&lt;=Законод!$C$22,Q928,Законод!$C$22*'01_Доходи'!Q927),IF($B$924="Лікар-педіатр","x",IF($B$924="Лікар-терапевт",IF(S928&lt;=Законод!$C$26,Q928,Законод!$C$26*'01_Доходи'!Q927),0)))</f>
        <v>0</v>
      </c>
      <c r="R929" s="208">
        <f ca="1">IF($B$924="Лікар загальної практики - сімейний лікар",IF(S928&lt;=Законод!$C$22,R928,Законод!$C$22*'01_Доходи'!R927),IF($B$924="Лікар-педіатр","x",IF($B$924="Лікар-терапевт",IF(S928&lt;=Законод!$C$26,R928,Законод!$C$26*'01_Доходи'!R927),0)))</f>
        <v>0</v>
      </c>
      <c r="S929" s="209">
        <f ca="1">SUM(N929:R929)</f>
        <v>0</v>
      </c>
      <c r="T929" s="930"/>
      <c r="U929" s="208">
        <f ca="1">IF($B$924="Лікар загальної практики - сімейний лікар",IF(Z928&lt;=Законод!$C$22,U928,Законод!$C$22*'01_Доходи'!U927),IF($B$924="Лікар-педіатр",IF(Z928&lt;=Законод!$C$18,U928,Законод!$C$18*'01_Доходи'!U927),IF($B$924="Лікар-терапевт","x",0)))</f>
        <v>0</v>
      </c>
      <c r="V929" s="208">
        <f ca="1">IF($B$924="Лікар загальної практики - сімейний лікар",IF(Z928&lt;=Законод!$C$22,V928,Законод!$C$22*'01_Доходи'!V927),IF($B$924="Лікар-педіатр",IF(Z928&lt;=Законод!$C$18,V928,Законод!$C$18*'01_Доходи'!V927),IF($B$924="Лікар-терапевт","x",0)))</f>
        <v>0</v>
      </c>
      <c r="W929" s="208">
        <f ca="1">IF($B$924="Лікар загальної практики - сімейний лікар",IF(Z928&lt;=Законод!$C$22,W928,Законод!$C$22*'01_Доходи'!W927),IF($B$924="Лікар-педіатр","x",IF($B$924="Лікар-терапевт",IF(Z928&lt;=Законод!$C$26,W928,Законод!$C$26*'01_Доходи'!W927),0)))</f>
        <v>0</v>
      </c>
      <c r="X929" s="208">
        <f ca="1">IF($B$924="Лікар загальної практики - сімейний лікар",IF(Z928&lt;=Законод!$C$22,X928,Законод!$C$22*'01_Доходи'!X927),IF($B$924="Лікар-педіатр","x",IF($B$924="Лікар-терапевт",IF(Z928&lt;=Законод!$C$26,X928,Законод!$C$26*'01_Доходи'!X927),0)))</f>
        <v>0</v>
      </c>
      <c r="Y929" s="208">
        <f ca="1">IF($B$924="Лікар загальної практики - сімейний лікар",IF(Z928&lt;=Законод!$C$22,Y928,Законод!$C$22*'01_Доходи'!Y927),IF($B$924="Лікар-педіатр","x",IF($B$924="Лікар-терапевт",IF(Z928&lt;=Законод!$C$26,Y928,Законод!$C$26*'01_Доходи'!Y927),0)))</f>
        <v>0</v>
      </c>
      <c r="Z929" s="209">
        <f ca="1">SUM(U929:Y929)</f>
        <v>0</v>
      </c>
      <c r="AA929" s="930"/>
      <c r="AB929" s="208">
        <f ca="1">IF($B$924="Лікар загальної практики - сімейний лікар",IF(AG928&lt;=Законод!$C$22,AB928,Законод!$C$22*'01_Доходи'!AB927),IF($B$924="Лікар-педіатр",IF(AG928&lt;=Законод!$C$18,AB928,Законод!$C$18*'01_Доходи'!AB927),IF($B$924="Лікар-терапевт","x",0)))</f>
        <v>0</v>
      </c>
      <c r="AC929" s="208">
        <f ca="1">IF($B$924="Лікар загальної практики - сімейний лікар",IF(AG928&lt;=Законод!$C$22,AC928,Законод!$C$22*'01_Доходи'!AC927),IF($B$924="Лікар-педіатр",IF(AG928&lt;=Законод!$C$18,AC928,Законод!$C$18*'01_Доходи'!AC927),IF($B$924="Лікар-терапевт","x",0)))</f>
        <v>0</v>
      </c>
      <c r="AD929" s="208">
        <f ca="1">IF($B$924="Лікар загальної практики - сімейний лікар",IF(AG928&lt;=Законод!$C$22,AD928,Законод!$C$22*'01_Доходи'!AD927),IF($B$924="Лікар-педіатр","x",IF($B$924="Лікар-терапевт",IF(AG928&lt;=Законод!$C$26,AD928,Законод!$C$26*'01_Доходи'!AD927),0)))</f>
        <v>0</v>
      </c>
      <c r="AE929" s="208">
        <f ca="1">IF($B$924="Лікар загальної практики - сімейний лікар",IF(AG928&lt;=Законод!$C$22,AE928,Законод!$C$22*'01_Доходи'!AE927),IF($B$924="Лікар-педіатр","x",IF($B$924="Лікар-терапевт",IF(AG928&lt;=Законод!$C$26,AE928,Законод!$C$26*'01_Доходи'!AE927),0)))</f>
        <v>0</v>
      </c>
      <c r="AF929" s="208">
        <f ca="1">IF($B$924="Лікар загальної практики - сімейний лікар",IF(AG928&lt;=Законод!$C$22,AF928,Законод!$C$22*'01_Доходи'!AF927),IF($B$924="Лікар-педіатр","x",IF($B$924="Лікар-терапевт",IF(AG928&lt;=Законод!$C$26,AF928,Законод!$C$26*'01_Доходи'!AF927),0)))</f>
        <v>0</v>
      </c>
      <c r="AG929" s="209">
        <f ca="1">SUM(AB929:AF929)</f>
        <v>0</v>
      </c>
      <c r="AH929" s="930"/>
      <c r="AI929" s="201"/>
      <c r="AJ929" s="933"/>
      <c r="AK929" s="927"/>
      <c r="AL929" s="927"/>
      <c r="AM929" s="348" t="s">
        <v>374</v>
      </c>
      <c r="AN929" s="210">
        <f ca="1">IF(B924="Лікар загальної практики - сімейний лікар",G929*Законод!$C$11+'01_Доходи'!H929*Законод!$D$11+'01_Доходи'!I929*Законод!$E$11+'01_Доходи'!J929*Законод!$F$11+'01_Доходи'!K929*Законод!$G$11,IF(B924="Лікар-педіатр",G929*Законод!$C$11+'01_Доходи'!H929*Законод!$D$11,IF(B924="Лікар-терапевт",'01_Доходи'!I929*Законод!$E$11+'01_Доходи'!J929*Законод!$F$11+'01_Доходи'!K929*Законод!$G$11,0)))</f>
        <v>0</v>
      </c>
      <c r="AO929" s="210">
        <f ca="1">IF(B924="Лікар загальної практики - сімейний лікар",N929*Законод!$C$11+'01_Доходи'!O929*Законод!$D$11+'01_Доходи'!P929*Законод!$E$11+'01_Доходи'!Q929*Законод!$F$11+'01_Доходи'!R929*Законод!$G$11,IF(B924="Лікар-педіатр",N929*Законод!$C$11+'01_Доходи'!O929*Законод!$D$11,IF(B924="Лікар-терапевт",'01_Доходи'!P929*Законод!$E$11+'01_Доходи'!Q929*Законод!$F$11+'01_Доходи'!R929*Законод!$G$11,0)))</f>
        <v>0</v>
      </c>
      <c r="AP929" s="210">
        <f ca="1">IF(B924="Лікар загальної практики - сімейний лікар",U929*Законод!$C$11+'01_Доходи'!V929*Законод!$D$11+'01_Доходи'!W929*Законод!$E$11+'01_Доходи'!X929*Законод!$F$11+'01_Доходи'!Y929*Законод!$G$11,IF(B924="Лікар-педіатр",U929*Законод!$C$11+'01_Доходи'!V929*Законод!$D$11,IF(B924="Лікар-терапевт",'01_Доходи'!W929*Законод!$E$11+'01_Доходи'!X929*Законод!$F$11+'01_Доходи'!Y929*Законод!$G$11,0)))</f>
        <v>0</v>
      </c>
      <c r="AQ929" s="210">
        <f ca="1">IF(B924="Лікар загальної практики - сімейний лікар",AB929*Законод!$C$11+'01_Доходи'!AC929*Законод!$D$11+'01_Доходи'!AD929*Законод!$E$11+'01_Доходи'!AE929*Законод!$F$11+'01_Доходи'!AF929*Законод!$G$11,IF(B924="Лікар-педіатр",AB929*Законод!$C$11+'01_Доходи'!AC929*Законод!$D$11,IF(B924="Лікар-терапевт",'01_Доходи'!AD929*Законод!$E$11+'01_Доходи'!AE929*Законод!$F$11+'01_Доходи'!AF929*Законод!$G$11,0)))</f>
        <v>0</v>
      </c>
      <c r="AR929" s="211">
        <f t="shared" ref="AR929:AR935" si="98">SUM(AN929:AQ929)</f>
        <v>0</v>
      </c>
    </row>
    <row r="930" spans="1:44" s="50" customFormat="1" ht="31.9" hidden="1" customHeight="1">
      <c r="A930" s="197"/>
      <c r="B930" s="893"/>
      <c r="C930" s="896"/>
      <c r="D930" s="912"/>
      <c r="E930" s="909"/>
      <c r="F930" s="238" t="str">
        <f ca="1">IF(B924="Лікар-педіатр",Законод!$E$17,IF(B924="Лікар загальної практики - сімейний лікар",Законод!$E$21,IF(B924="Лікар-терапевт",Законод!$E$25,"х")))</f>
        <v>х</v>
      </c>
      <c r="G930" s="889" t="s">
        <v>346</v>
      </c>
      <c r="H930" s="890"/>
      <c r="I930" s="890"/>
      <c r="J930" s="890"/>
      <c r="K930" s="891"/>
      <c r="L930" s="196">
        <f ca="1">IF($B$924="Лікар загальної практики - сімейний лікар",IF(L928&lt;Законод!$C$22,0,(IF(AND(L928&gt;=Законод!$E$22,L928&lt;=Законод!$E$23),L928-Законод!$C$22,IF('01_Доходи'!L928&gt;=Законод!$F$22,Законод!$E$24,0)))),IF($B$924="Лікар-педіатр",IF(L928&lt;Законод!$C$18,0,(IF(AND(L928&gt;=Законод!$E$18,L928&lt;=Законод!$E$19),L928-Законод!$C$18,IF('01_Доходи'!L928&gt;=Законод!$F$18,Законод!$E$20,0)))),IF($B$924="Лікар-терапевт",IF(L928&lt;Законод!$C$26,0,(IF(AND(L928&gt;=Законод!$E$26,L928&lt;=Законод!$E$27),L928-Законод!$C$26,IF('01_Доходи'!L928&gt;=Законод!$F$26,Законод!$E$28,0)))),0)))</f>
        <v>0</v>
      </c>
      <c r="M930" s="930"/>
      <c r="N930" s="889" t="s">
        <v>346</v>
      </c>
      <c r="O930" s="890"/>
      <c r="P930" s="890"/>
      <c r="Q930" s="890"/>
      <c r="R930" s="891"/>
      <c r="S930" s="196">
        <f ca="1">IF($B$924="Лікар загальної практики - сімейний лікар",IF(S928&lt;Законод!$C$22,0,(IF(AND(S928&gt;=Законод!$E$22,S928&lt;=Законод!$E$23),S928-Законод!$C$22,IF('01_Доходи'!S928&gt;=Законод!$F$22,Законод!$E$24,0)))),IF($B$924="Лікар-педіатр",IF(S928&lt;Законод!$C$18,0,(IF(AND(S928&gt;=Законод!$E$18,S928&lt;=Законод!$E$19),S928-Законод!$C$18,IF('01_Доходи'!S928&gt;=Законод!$F$18,Законод!$E$20,0)))),IF($B$924="Лікар-терапевт",IF(S928&lt;Законод!$C$26,0,(IF(AND(S928&gt;=Законод!$E$26,S928&lt;=Законод!$E$27),S928-Законод!$C$26,IF('01_Доходи'!S928&gt;=Законод!$F$26,Законод!$E$28,0)))),0)))</f>
        <v>0</v>
      </c>
      <c r="T930" s="930"/>
      <c r="U930" s="889" t="s">
        <v>346</v>
      </c>
      <c r="V930" s="890"/>
      <c r="W930" s="890"/>
      <c r="X930" s="890"/>
      <c r="Y930" s="891"/>
      <c r="Z930" s="196">
        <f ca="1">IF($B$924="Лікар загальної практики - сімейний лікар",IF(Z928&lt;Законод!$C$22,0,(IF(AND(Z928&gt;=Законод!$E$22,Z928&lt;=Законод!$E$23),Z928-Законод!$C$22,IF('01_Доходи'!Z928&gt;=Законод!$F$22,Законод!$E$24,0)))),IF($B$924="Лікар-педіатр",IF(Z928&lt;Законод!$C$18,0,(IF(AND(Z928&gt;=Законод!$E$18,Z928&lt;=Законод!$E$19),Z928-Законод!$C$18,IF('01_Доходи'!Z928&gt;=Законод!$F$18,Законод!$E$20,0)))),IF($B$924="Лікар-терапевт",IF(Z928&lt;Законод!$C$26,0,(IF(AND(Z928&gt;=Законод!$E$26,Z928&lt;=Законод!$E$27),Z928-Законод!$C$26,IF('01_Доходи'!Z928&gt;=Законод!$F$26,Законод!$E$28,0)))),0)))</f>
        <v>0</v>
      </c>
      <c r="AA930" s="930"/>
      <c r="AB930" s="889" t="s">
        <v>346</v>
      </c>
      <c r="AC930" s="890"/>
      <c r="AD930" s="890"/>
      <c r="AE930" s="890"/>
      <c r="AF930" s="891"/>
      <c r="AG930" s="196">
        <f ca="1">IF($B$924="Лікар загальної практики - сімейний лікар",IF(AG928&lt;Законод!$C$22,0,(IF(AND(AG928&gt;=Законод!$E$22,AG928&lt;=Законод!$E$23),AG928-Законод!$C$22,IF('01_Доходи'!AG928&gt;=Законод!$F$22,Законод!$E$24,0)))),IF($B$924="Лікар-педіатр",IF(AG928&lt;Законод!$C$18,0,(IF(AND(AG928&gt;=Законод!$E$18,AG928&lt;=Законод!$E$19),AG928-Законод!$C$18,IF('01_Доходи'!AG928&gt;=Законод!$F$18,Законод!$E$20,0)))),IF($B$924="Лікар-терапевт",IF(AG928&lt;Законод!$C$26,0,(IF(AND(AG928&gt;=Законод!$E$26,AG928&lt;=Законод!$E$27),AG928-Законод!$C$26,IF('01_Доходи'!AG928&gt;=Законод!$F$26,Законод!$E$28,0)))),0)))</f>
        <v>0</v>
      </c>
      <c r="AH930" s="930"/>
      <c r="AI930" s="201"/>
      <c r="AJ930" s="933"/>
      <c r="AK930" s="927"/>
      <c r="AL930" s="927"/>
      <c r="AM930" s="898" t="s">
        <v>375</v>
      </c>
      <c r="AN930" s="210">
        <f ca="1">IF(B924="Лікар загальної практики - сімейний лікар",L930*Законод!$C$9/4*Законод!$E$16,IF(B924="Лікар-педіатр",L930*Законод!$C$9/4*Законод!$E$16,IF(B924="Лікар-терапевт",L930*Законод!$C$9/4*Законод!$E$16,0)))</f>
        <v>0</v>
      </c>
      <c r="AO930" s="210">
        <f ca="1">IF(B924="Лікар загальної практики - сімейний лікар",S930*Законод!$C$9/4*Законод!$E$16,IF(B924="Лікар-педіатр",S930*Законод!$C$9/4*Законод!$E$16,IF(B924="Лікар-терапевт",S930*Законод!$C$9/4*Законод!$E$16,0)))</f>
        <v>0</v>
      </c>
      <c r="AP930" s="210">
        <f ca="1">IF(B924="Лікар загальної практики - сімейний лікар",Z930*Законод!$C$9/4*Законод!$E$16,IF(B924="Лікар-педіатр",Z930*Законод!$C$9/4*Законод!$E$16,IF(B924="Лікар-терапевт",Z930*Законод!$C$9/4*Законод!$E$16,0)))</f>
        <v>0</v>
      </c>
      <c r="AQ930" s="210">
        <f ca="1">IF(B924="Лікар загальної практики - сімейний лікар",AG930*Законод!$C$9/4*Законод!$E$16,IF(B924="Лікар-педіатр",AG930*Законод!$C$9/4*Законод!$E$16,IF(B924="Лікар-терапевт",AG930*Законод!$C$9/4*Законод!$E$16,0)))</f>
        <v>0</v>
      </c>
      <c r="AR930" s="211">
        <f t="shared" si="98"/>
        <v>0</v>
      </c>
    </row>
    <row r="931" spans="1:44" s="50" customFormat="1" ht="31.9" hidden="1" customHeight="1">
      <c r="A931" s="197"/>
      <c r="B931" s="893"/>
      <c r="C931" s="896"/>
      <c r="D931" s="912"/>
      <c r="E931" s="909"/>
      <c r="F931" s="238" t="str">
        <f ca="1">IF(B924="Лікар-педіатр",Законод!$F$17,IF(B924="Лікар загальної практики - сімейний лікар",Законод!$F$21,IF(B924="Лікар-терапевт",Законод!$F$25,"х")))</f>
        <v>х</v>
      </c>
      <c r="G931" s="889" t="s">
        <v>346</v>
      </c>
      <c r="H931" s="890"/>
      <c r="I931" s="890"/>
      <c r="J931" s="890"/>
      <c r="K931" s="891"/>
      <c r="L931" s="196">
        <f ca="1">IF($B$924="Лікар загальної практики - сімейний лікар",IF(L928&lt;Законод!$C$22,0,(IF(AND(L928&gt;=Законод!$F$22,L928&lt;=Законод!$F$23),L928-Законод!$E$23,IF('01_Доходи'!L928&gt;=Законод!$G$22,Законод!$F$24,0)))),IF($B$924="Лікар-педіатр",IF(L928&lt;Законод!$C$18,0,(IF(AND(L928&gt;=Законод!$F$18,L928&lt;=Законод!$F$19),L928-Законод!$E$19,IF('01_Доходи'!L928&gt;=Законод!$G$18,Законод!$F$20,0)))),IF($B$924="Лікар-терапевт",IF(L928&lt;Законод!$C$26,0,(IF(AND(L928&gt;=Законод!$F$26,L928&lt;=Законод!$F$27),L928-Законод!$E$27,IF('01_Доходи'!L928&gt;=Законод!$G$26,Законод!$F$28,0)))),0)))</f>
        <v>0</v>
      </c>
      <c r="M931" s="930"/>
      <c r="N931" s="889" t="s">
        <v>346</v>
      </c>
      <c r="O931" s="890"/>
      <c r="P931" s="890"/>
      <c r="Q931" s="890"/>
      <c r="R931" s="891"/>
      <c r="S931" s="196">
        <f ca="1">IF($B$924="Лікар загальної практики - сімейний лікар",IF(S928&lt;Законод!$C$22,0,(IF(AND(S928&gt;=Законод!$F$22,S928&lt;=Законод!$F$23),S928-Законод!$E$23,IF('01_Доходи'!S928&gt;=Законод!$G$22,Законод!$F$24,0)))),IF($B$924="Лікар-педіатр",IF(S928&lt;Законод!$C$18,0,(IF(AND(S928&gt;=Законод!$F$18,S928&lt;=Законод!$F$19),S928-Законод!$E$19,IF('01_Доходи'!S928&gt;=Законод!$G$18,Законод!$F$20,0)))),IF($B$924="Лікар-терапевт",IF(S928&lt;Законод!$C$26,0,(IF(AND(S928&gt;=Законод!$F$26,S928&lt;=Законод!$F$27),S928-Законод!$E$27,IF('01_Доходи'!S928&gt;=Законод!$G$26,Законод!$F$28,0)))),0)))</f>
        <v>0</v>
      </c>
      <c r="T931" s="930"/>
      <c r="U931" s="889" t="s">
        <v>346</v>
      </c>
      <c r="V931" s="890"/>
      <c r="W931" s="890"/>
      <c r="X931" s="890"/>
      <c r="Y931" s="891"/>
      <c r="Z931" s="196">
        <f ca="1">IF($B$924="Лікар загальної практики - сімейний лікар",IF(Z928&lt;Законод!$C$22,0,(IF(AND(Z928&gt;=Законод!$F$22,Z928&lt;=Законод!$F$23),Z928-Законод!$E$23,IF('01_Доходи'!Z928&gt;=Законод!$G$22,Законод!$F$24,0)))),IF($B$924="Лікар-педіатр",IF(Z928&lt;Законод!$C$18,0,(IF(AND(Z928&gt;=Законод!$F$18,Z928&lt;=Законод!$F$19),Z928-Законод!$E$19,IF('01_Доходи'!Z928&gt;=Законод!$G$18,Законод!$F$20,0)))),IF($B$924="Лікар-терапевт",IF(Z928&lt;Законод!$C$26,0,(IF(AND(Z928&gt;=Законод!$F$26,Z928&lt;=Законод!$F$27),Z928-Законод!$E$27,IF('01_Доходи'!Z928&gt;=Законод!$G$26,Законод!$F$28,0)))),0)))</f>
        <v>0</v>
      </c>
      <c r="AA931" s="930"/>
      <c r="AB931" s="889" t="s">
        <v>346</v>
      </c>
      <c r="AC931" s="890"/>
      <c r="AD931" s="890"/>
      <c r="AE931" s="890"/>
      <c r="AF931" s="891"/>
      <c r="AG931" s="196">
        <f ca="1">IF($B$924="Лікар загальної практики - сімейний лікар",IF(AG928&lt;Законод!$C$22,0,(IF(AND(AG928&gt;=Законод!$F$22,AG928&lt;=Законод!$F$23),AG928-Законод!$E$23,IF('01_Доходи'!AG928&gt;=Законод!$G$22,Законод!$F$24,0)))),IF($B$924="Лікар-педіатр",IF(AG928&lt;Законод!$C$18,0,(IF(AND(AG928&gt;=Законод!$F$18,AG928&lt;=Законод!$F$19),AG928-Законод!$E$19,IF('01_Доходи'!AG928&gt;=Законод!$G$18,Законод!$F$20,0)))),IF($B$924="Лікар-терапевт",IF(AG928&lt;Законод!$C$26,0,(IF(AND(AG928&gt;=Законод!$F$26,AG928&lt;=Законод!$F$27),AG928-Законод!$E$27,IF('01_Доходи'!AG928&gt;=Законод!$G$26,Законод!$F$28,0)))),0)))</f>
        <v>0</v>
      </c>
      <c r="AH931" s="930"/>
      <c r="AI931" s="201"/>
      <c r="AJ931" s="933"/>
      <c r="AK931" s="927"/>
      <c r="AL931" s="927"/>
      <c r="AM931" s="899"/>
      <c r="AN931" s="210">
        <f ca="1">IF(B924="Лікар загальної практики - сімейний лікар",L931*Законод!$C$9/4*Законод!$F$16,IF(B924="Лікар-педіатр",L931*Законод!$C$9/4*Законод!$F$16,IF(B924="Лікар-терапевт",L931*Законод!$C$9/4*Законод!$F$16,0)))</f>
        <v>0</v>
      </c>
      <c r="AO931" s="210">
        <f ca="1">IF(B924="Лікар загальної практики - сімейний лікар",S931*Законод!$C$9/4*Законод!$F$16,IF(B924="Лікар-педіатр",S931*Законод!$C$9/4*Законод!$F$16,IF(B924="Лікар-терапевт",S931*Законод!$C$9/4*Законод!$F$16,0)))</f>
        <v>0</v>
      </c>
      <c r="AP931" s="210">
        <f ca="1">IF(B924="Лікар загальної практики - сімейний лікар",Z931*Законод!$C$9/4*Законод!$F$16,IF(B924="Лікар-педіатр",Z931*Законод!$C$9/4*Законод!$F$16,IF(B924="Лікар-терапевт",Z931*Законод!$C$9/4*Законод!$F$16,0)))</f>
        <v>0</v>
      </c>
      <c r="AQ931" s="210">
        <f ca="1">IF(B924="Лікар загальної практики - сімейний лікар",AG931*Законод!$C$9/4*Законод!$F$16,IF(B924="Лікар-педіатр",AG931*Законод!$C$9/4*Законод!$F$16,IF(B924="Лікар-терапевт",AG931*Законод!$C$9/4*Законод!$F$16,0)))</f>
        <v>0</v>
      </c>
      <c r="AR931" s="211">
        <f t="shared" si="98"/>
        <v>0</v>
      </c>
    </row>
    <row r="932" spans="1:44" s="50" customFormat="1" ht="31.9" hidden="1" customHeight="1">
      <c r="A932" s="197"/>
      <c r="B932" s="893"/>
      <c r="C932" s="896"/>
      <c r="D932" s="912"/>
      <c r="E932" s="909"/>
      <c r="F932" s="238" t="str">
        <f ca="1">IF(B924="Лікар-педіатр",Законод!$G$17,IF(B924="Лікар загальної практики - сімейний лікар",Законод!$G$21,IF(B924="Лікар-терапевт",Законод!$G$25,"х")))</f>
        <v>х</v>
      </c>
      <c r="G932" s="889" t="s">
        <v>346</v>
      </c>
      <c r="H932" s="890"/>
      <c r="I932" s="890"/>
      <c r="J932" s="890"/>
      <c r="K932" s="891"/>
      <c r="L932" s="196">
        <f ca="1">IF($B$924="Лікар загальної практики - сімейний лікар",IF(L928&lt;Законод!$C$22,0,(IF(AND(L928&gt;=Законод!$G$22,L928&lt;=Законод!$G$23),L928-Законод!$F$23,IF('01_Доходи'!L928&gt;=Законод!$H$22,Законод!$G$24,0)))),IF($B$924="Лікар-педіатр",IF(L928&lt;Законод!$C$18,0,(IF(AND(L928&gt;=Законод!$G$18,L928&lt;=Законод!$G$19),L928-Законод!$F$19,IF('01_Доходи'!L928&gt;=Законод!$H$18,Законод!$G$20,0)))),IF($B$924="Лікар-терапевт",IF(L928&lt;Законод!$C$26,0,(IF(AND(L928&gt;=Законод!$G$26,L928&lt;=Законод!$G$27),L928-Законод!$F$27,IF('01_Доходи'!L928&gt;=Законод!$H$26,Законод!$G$28,0)))),0)))</f>
        <v>0</v>
      </c>
      <c r="M932" s="930"/>
      <c r="N932" s="889" t="s">
        <v>346</v>
      </c>
      <c r="O932" s="890"/>
      <c r="P932" s="890"/>
      <c r="Q932" s="890"/>
      <c r="R932" s="891"/>
      <c r="S932" s="196">
        <f ca="1">IF($B$924="Лікар загальної практики - сімейний лікар",IF(S928&lt;Законод!$C$22,0,(IF(AND(S928&gt;=Законод!$G$22,S928&lt;=Законод!$G$23),S928-Законод!$F$23,IF('01_Доходи'!S928&gt;=Законод!$H$22,Законод!$G$24,0)))),IF($B$924="Лікар-педіатр",IF(S928&lt;Законод!$C$18,0,(IF(AND(S928&gt;=Законод!$G$18,S928&lt;=Законод!$G$19),S928-Законод!$F$19,IF('01_Доходи'!S928&gt;=Законод!$H$18,Законод!$G$20,0)))),IF($B$924="Лікар-терапевт",IF(S928&lt;Законод!$C$26,0,(IF(AND(S928&gt;=Законод!$G$26,S928&lt;=Законод!$G$27),S928-Законод!$F$27,IF('01_Доходи'!S928&gt;=Законод!$H$26,Законод!$G$28,0)))),0)))</f>
        <v>0</v>
      </c>
      <c r="T932" s="930"/>
      <c r="U932" s="889" t="s">
        <v>346</v>
      </c>
      <c r="V932" s="890"/>
      <c r="W932" s="890"/>
      <c r="X932" s="890"/>
      <c r="Y932" s="891"/>
      <c r="Z932" s="196">
        <f ca="1">IF($B$924="Лікар загальної практики - сімейний лікар",IF(Z928&lt;Законод!$C$22,0,(IF(AND(Z928&gt;=Законод!$G$22,Z928&lt;=Законод!$G$23),Z928-Законод!$F$23,IF('01_Доходи'!Z928&gt;=Законод!$H$22,Законод!$G$24,0)))),IF($B$924="Лікар-педіатр",IF(Z928&lt;Законод!$C$18,0,(IF(AND(Z928&gt;=Законод!$G$18,Z928&lt;=Законод!$G$19),Z928-Законод!$F$19,IF('01_Доходи'!Z928&gt;=Законод!$H$18,Законод!$G$20,0)))),IF($B$924="Лікар-терапевт",IF(Z928&lt;Законод!$C$26,0,(IF(AND(Z928&gt;=Законод!$G$26,Z928&lt;=Законод!$G$27),Z928-Законод!$F$27,IF('01_Доходи'!Z928&gt;=Законод!$H$26,Законод!$G$28,0)))),0)))</f>
        <v>0</v>
      </c>
      <c r="AA932" s="930"/>
      <c r="AB932" s="889" t="s">
        <v>346</v>
      </c>
      <c r="AC932" s="890"/>
      <c r="AD932" s="890"/>
      <c r="AE932" s="890"/>
      <c r="AF932" s="891"/>
      <c r="AG932" s="196">
        <f ca="1">IF($B$924="Лікар загальної практики - сімейний лікар",IF(AG928&lt;Законод!$C$22,0,(IF(AND(AG928&gt;=Законод!$G$22,AG928&lt;=Законод!$G$23),AG928-Законод!$F$23,IF('01_Доходи'!AG928&gt;=Законод!$H$22,Законод!$G$24,0)))),IF($B$924="Лікар-педіатр",IF(AG928&lt;Законод!$C$18,0,(IF(AND(AG928&gt;=Законод!$G$18,AG928&lt;=Законод!$G$19),AG928-Законод!$F$19,IF('01_Доходи'!AG928&gt;=Законод!$H$18,Законод!$G$20,0)))),IF($B$924="Лікар-терапевт",IF(AG928&lt;Законод!$C$26,0,(IF(AND(AG928&gt;=Законод!$G$26,AG928&lt;=Законод!$G$27),AG928-Законод!$F$27,IF('01_Доходи'!AG928&gt;=Законод!$H$26,Законод!$G$28,0)))),0)))</f>
        <v>0</v>
      </c>
      <c r="AH932" s="930"/>
      <c r="AI932" s="201"/>
      <c r="AJ932" s="933"/>
      <c r="AK932" s="927"/>
      <c r="AL932" s="927"/>
      <c r="AM932" s="899"/>
      <c r="AN932" s="210">
        <f ca="1">IF(B924="Лікар загальної практики - сімейний лікар",L932*Законод!$C$9/4*Законод!$G$16,IF(B924="Лікар-педіатр",L932*Законод!$C$9/4*Законод!$G$16,IF(B924="Лікар-терапевт",L932*Законод!$C$9/4*Законод!$G$16,0)))</f>
        <v>0</v>
      </c>
      <c r="AO932" s="210">
        <f ca="1">IF(B924="Лікар загальної практики - сімейний лікар",S932*Законод!$C$9/4*Законод!$G$16,IF(B924="Лікар-педіатр",S932*Законод!$C$9/4*Законод!$G$16,IF(B924="Лікар-терапевт",S932*Законод!$C$9/4*Законод!$G$16,0)))</f>
        <v>0</v>
      </c>
      <c r="AP932" s="210">
        <f ca="1">IF(B924="Лікар загальної практики - сімейний лікар",Z932*Законод!$C$9/4*Законод!$G$16,IF(B924="Лікар-педіатр",Z932*Законод!$C$9/4*Законод!$G$16,IF(B924="Лікар-терапевт",Z932*Законод!$C$9/4*Законод!$G$16,0)))</f>
        <v>0</v>
      </c>
      <c r="AQ932" s="210">
        <f ca="1">IF(B924="Лікар загальної практики - сімейний лікар",AG932*Законод!$C$9/4*Законод!$G$16,IF(B924="Лікар-педіатр",AG932*Законод!$C$9/4*Законод!$G$16,IF(B924="Лікар-терапевт",AG932*Законод!$C$9/4*Законод!$G$16,0)))</f>
        <v>0</v>
      </c>
      <c r="AR932" s="211">
        <f t="shared" si="98"/>
        <v>0</v>
      </c>
    </row>
    <row r="933" spans="1:44" s="50" customFormat="1" ht="31.9" hidden="1" customHeight="1">
      <c r="A933" s="197"/>
      <c r="B933" s="893"/>
      <c r="C933" s="896"/>
      <c r="D933" s="912"/>
      <c r="E933" s="909"/>
      <c r="F933" s="238" t="str">
        <f ca="1">IF(B924="Лікар-педіатр",Законод!$H$17,IF(B924="Лікар загальної практики - сімейний лікар",Законод!$H$21,IF(B924="Лікар-терапевт",Законод!$H$25,"х")))</f>
        <v>х</v>
      </c>
      <c r="G933" s="889" t="s">
        <v>346</v>
      </c>
      <c r="H933" s="890"/>
      <c r="I933" s="890"/>
      <c r="J933" s="890"/>
      <c r="K933" s="891"/>
      <c r="L933" s="196">
        <f ca="1">IF($B$924="Лікар загальної практики - сімейний лікар",IF(L928&lt;Законод!$C$22,0,(IF(AND(L928&gt;=Законод!$H$22,L928&lt;=Законод!$H$23),L928-Законод!$G$23,IF('01_Доходи'!L928&gt;=Законод!$I$22,Законод!$H$24,0)))),IF($B$924="Лікар-педіатр",IF(L928&lt;Законод!$C$18,0,(IF(AND(L928&gt;=Законод!$H$18,L928&lt;=Законод!$H$19),L928-Законод!$G$19,IF('01_Доходи'!L928&gt;=Законод!$I$18,Законод!$H$20,0)))),IF($B$924="Лікар-терапевт",IF(L928&lt;Законод!$C$26,0,(IF(AND(L928&gt;=Законод!$H$26,L928&lt;=Законод!$H$27),L928-Законод!$G$27,IF(L928&gt;=Законод!$I$26,Законод!$H$28,0)))),0)))</f>
        <v>0</v>
      </c>
      <c r="M933" s="930"/>
      <c r="N933" s="889" t="s">
        <v>346</v>
      </c>
      <c r="O933" s="890"/>
      <c r="P933" s="890"/>
      <c r="Q933" s="890"/>
      <c r="R933" s="891"/>
      <c r="S933" s="196">
        <f ca="1">IF($B$924="Лікар загальної практики - сімейний лікар",IF(S928&lt;Законод!$C$22,0,(IF(AND(S928&gt;=Законод!$H$22,S928&lt;=Законод!$H$23),S928-Законод!$G$23,IF('01_Доходи'!S928&gt;=Законод!$I$22,Законод!$H$24,0)))),IF($B$924="Лікар-педіатр",IF(S928&lt;Законод!$C$18,0,(IF(AND(S928&gt;=Законод!$H$18,S928&lt;=Законод!$H$19),S928-Законод!$G$19,IF('01_Доходи'!S928&gt;=Законод!$I$18,Законод!$H$20,0)))),IF($B$924="Лікар-терапевт",IF(S928&lt;Законод!$C$26,0,(IF(AND(S928&gt;=Законод!$H$26,S928&lt;=Законод!$H$27),S928-Законод!$G$27,IF(S928&gt;=Законод!$I$26,Законод!$H$28,0)))),0)))</f>
        <v>0</v>
      </c>
      <c r="T933" s="930"/>
      <c r="U933" s="889" t="s">
        <v>346</v>
      </c>
      <c r="V933" s="890"/>
      <c r="W933" s="890"/>
      <c r="X933" s="890"/>
      <c r="Y933" s="891"/>
      <c r="Z933" s="196">
        <f ca="1">IF($B$924="Лікар загальної практики - сімейний лікар",IF(Z928&lt;Законод!$C$22,0,(IF(AND(Z928&gt;=Законод!$H$22,Z928&lt;=Законод!$H$23),Z928-Законод!$G$23,IF('01_Доходи'!Z928&gt;=Законод!$I$22,Законод!$H$24,0)))),IF($B$924="Лікар-педіатр",IF(Z928&lt;Законод!$C$18,0,(IF(AND(Z928&gt;=Законод!$H$18,Z928&lt;=Законод!$H$19),Z928-Законод!$G$19,IF('01_Доходи'!Z928&gt;=Законод!$I$18,Законод!$H$20,0)))),IF($B$924="Лікар-терапевт",IF(Z928&lt;Законод!$C$26,0,(IF(AND(Z928&gt;=Законод!$H$26,Z928&lt;=Законод!$H$27),Z928-Законод!$G$27,IF(Z928&gt;=Законод!$I$26,Законод!$H$28,0)))),0)))</f>
        <v>0</v>
      </c>
      <c r="AA933" s="930"/>
      <c r="AB933" s="889" t="s">
        <v>346</v>
      </c>
      <c r="AC933" s="890"/>
      <c r="AD933" s="890"/>
      <c r="AE933" s="890"/>
      <c r="AF933" s="891"/>
      <c r="AG933" s="196">
        <f ca="1">IF($B$924="Лікар загальної практики - сімейний лікар",IF(AG928&lt;Законод!$C$22,0,(IF(AND(AG928&gt;=Законод!$H$22,AG928&lt;=Законод!$H$23),AG928-Законод!$G$23,IF('01_Доходи'!AG928&gt;=Законод!$I$22,Законод!$H$24,0)))),IF($B$924="Лікар-педіатр",IF(AG928&lt;Законод!$C$18,0,(IF(AND(AG928&gt;=Законод!$H$18,AG928&lt;=Законод!$H$19),AG928-Законод!$G$19,IF('01_Доходи'!AG928&gt;=Законод!$I$18,Законод!$H$20,0)))),IF($B$924="Лікар-терапевт",IF(AG928&lt;Законод!$C$26,0,(IF(AND(AG928&gt;=Законод!$H$26,AG928&lt;=Законод!$H$27),AG928-Законод!$G$27,IF(AG928&gt;=Законод!$I$26,Законод!$H$28,0)))),0)))</f>
        <v>0</v>
      </c>
      <c r="AH933" s="930"/>
      <c r="AI933" s="201"/>
      <c r="AJ933" s="933"/>
      <c r="AK933" s="927"/>
      <c r="AL933" s="927"/>
      <c r="AM933" s="899"/>
      <c r="AN933" s="210">
        <f ca="1">IF(B924="Лікар загальної практики - сімейний лікар",L933*Законод!$C$9/4*Законод!$H$16,IF(B924="Лікар-педіатр",L933*Законод!$C$9/4*Законод!$H$16,IF(B924="Лікар-терапевт",L933*Законод!$C$9/4*Законод!$H$16,0)))</f>
        <v>0</v>
      </c>
      <c r="AO933" s="210">
        <f ca="1">IF(B924="Лікар загальної практики - сімейний лікар",S933*Законод!$C$9/4*Законод!$H$16,IF(B924="Лікар-педіатр",S933*Законод!$C$9/4*Законод!$H$16,IF(B924="Лікар-терапевт",S933*Законод!$C$9/4*Законод!$H$16,0)))</f>
        <v>0</v>
      </c>
      <c r="AP933" s="210">
        <f ca="1">IF(B924="Лікар загальної практики - сімейний лікар",Z933*Законод!$C$9/4*Законод!$H$16,IF(B924="Лікар-педіатр",Z933*Законод!$C$9/4*Законод!$H$16,IF(B924="Лікар-терапевт",Z933*Законод!$C$9/4*Законод!$H$16,0)))</f>
        <v>0</v>
      </c>
      <c r="AQ933" s="210">
        <f ca="1">IF(B924="Лікар загальної практики - сімейний лікар",AG933*Законод!$C$9/4*Законод!$H$16,IF(B924="Лікар-педіатр",AG933*Законод!$C$9/4*Законод!$H$16,IF(B924="Лікар-терапевт",AG933*Законод!$C$9/4*Законод!$H$16,0)))</f>
        <v>0</v>
      </c>
      <c r="AR933" s="211">
        <f t="shared" si="98"/>
        <v>0</v>
      </c>
    </row>
    <row r="934" spans="1:44" s="50" customFormat="1" ht="31.9" hidden="1" customHeight="1">
      <c r="A934" s="197"/>
      <c r="B934" s="893"/>
      <c r="C934" s="896"/>
      <c r="D934" s="912"/>
      <c r="E934" s="909"/>
      <c r="F934" s="238" t="str">
        <f ca="1">IF(B924="Лікар-педіатр",Законод!$I$17,IF(B924="Лікар загальної практики - сімейний лікар",Законод!$I$21,IF(B924="Лікар-терапевт",Законод!$I$25,"х")))</f>
        <v>х</v>
      </c>
      <c r="G934" s="889" t="s">
        <v>346</v>
      </c>
      <c r="H934" s="890"/>
      <c r="I934" s="890"/>
      <c r="J934" s="890"/>
      <c r="K934" s="891"/>
      <c r="L934" s="196">
        <f ca="1">IF($B$924="Лікар загальної практики - сімейний лікар",IF(L928&lt;Законод!$C$22,0,(IF(AND(L928&gt;=Законод!$I$22,L928&lt;=Законод!$I$23),L928-Законод!$H$23,IF('01_Доходи'!L928&gt;=Законод!$I$22,Законод!$I$24,0)))),IF($B$924="Лікар-педіатр",IF(L928&lt;Законод!$C$18,0,(IF(AND(L928&gt;=Законод!$I$18,L928&lt;=Законод!$I$19),L928-Законод!$H$19,IF('01_Доходи'!L928&gt;=Законод!$I$18,Законод!$H$20,0)))),IF($B$924="Лікар-терапевт",IF(L928&lt;Законод!$C$26,0,(IF(AND(L928&gt;=Законод!$I$26,L928&lt;=Законод!$I$27),L928-Законод!$H$27,IF('01_Доходи'!L928&gt;=Законод!$I$26,Законод!$H$28,0)))),0)))</f>
        <v>0</v>
      </c>
      <c r="M934" s="930"/>
      <c r="N934" s="889" t="s">
        <v>346</v>
      </c>
      <c r="O934" s="890"/>
      <c r="P934" s="890"/>
      <c r="Q934" s="890"/>
      <c r="R934" s="891"/>
      <c r="S934" s="196">
        <f ca="1">IF($B$924="Лікар загальної практики - сімейний лікар",IF(S928&lt;Законод!$C$22,0,(IF(AND(S928&gt;=Законод!$I$22,S928&lt;=Законод!$I$23),S928-Законод!$H$23,IF('01_Доходи'!S928&gt;=Законод!$I$22,Законод!$I$24,0)))),IF($B$924="Лікар-педіатр",IF(S928&lt;Законод!$C$18,0,(IF(AND(S928&gt;=Законод!$I$18,S928&lt;=Законод!$I$19),S928-Законод!$H$19,IF('01_Доходи'!S928&gt;=Законод!$I$18,Законод!$H$20,0)))),IF($B$924="Лікар-терапевт",IF(S928&lt;Законод!$C$26,0,(IF(AND(S928&gt;=Законод!$I$26,S928&lt;=Законод!$I$27),S928-Законод!$H$27,IF('01_Доходи'!S928&gt;=Законод!$I$26,Законод!$H$28,0)))),0)))</f>
        <v>0</v>
      </c>
      <c r="T934" s="930"/>
      <c r="U934" s="889" t="s">
        <v>346</v>
      </c>
      <c r="V934" s="890"/>
      <c r="W934" s="890"/>
      <c r="X934" s="890"/>
      <c r="Y934" s="891"/>
      <c r="Z934" s="196">
        <f ca="1">IF($B$924="Лікар загальної практики - сімейний лікар",IF(Z928&lt;Законод!$C$22,0,(IF(AND(Z928&gt;=Законод!$I$22,Z928&lt;=Законод!$I$23),Z928-Законод!$H$23,IF('01_Доходи'!Z928&gt;=Законод!$I$22,Законод!$I$24,0)))),IF($B$924="Лікар-педіатр",IF(Z928&lt;Законод!$C$18,0,(IF(AND(Z928&gt;=Законод!$I$18,Z928&lt;=Законод!$I$19),Z928-Законод!$H$19,IF('01_Доходи'!Z928&gt;=Законод!$I$18,Законод!$H$20,0)))),IF($B$924="Лікар-терапевт",IF(Z928&lt;Законод!$C$26,0,(IF(AND(Z928&gt;=Законод!$I$26,Z928&lt;=Законод!$I$27),Z928-Законод!$H$27,IF('01_Доходи'!Z928&gt;=Законод!$I$26,Законод!$H$28,0)))),0)))</f>
        <v>0</v>
      </c>
      <c r="AA934" s="930"/>
      <c r="AB934" s="889" t="s">
        <v>346</v>
      </c>
      <c r="AC934" s="890"/>
      <c r="AD934" s="890"/>
      <c r="AE934" s="890"/>
      <c r="AF934" s="891"/>
      <c r="AG934" s="196">
        <f ca="1">IF($B$924="Лікар загальної практики - сімейний лікар",IF(AG928&lt;Законод!$C$22,0,(IF(AND(AG928&gt;=Законод!$I$22,AG928&lt;=Законод!$I$23),AG928-Законод!$H$23,IF('01_Доходи'!AG928&gt;=Законод!$I$22,Законод!$I$24,0)))),IF($B$924="Лікар-педіатр",IF(AG928&lt;Законод!$C$18,0,(IF(AND(AG928&gt;=Законод!$I$18,AG928&lt;=Законод!$I$19),AG928-Законод!$H$19,IF('01_Доходи'!AG928&gt;=Законод!$I$18,Законод!$H$20,0)))),IF($B$924="Лікар-терапевт",IF(AG928&lt;Законод!$C$26,0,(IF(AND(AG928&gt;=Законод!$I$26,AG928&lt;=Законод!$I$27),AG928-Законод!$H$27,IF('01_Доходи'!AG928&gt;=Законод!$I$26,Законод!$H$28,0)))),0)))</f>
        <v>0</v>
      </c>
      <c r="AH934" s="930"/>
      <c r="AI934" s="201"/>
      <c r="AJ934" s="933"/>
      <c r="AK934" s="927"/>
      <c r="AL934" s="927"/>
      <c r="AM934" s="899"/>
      <c r="AN934" s="210">
        <f ca="1">IF(B924="Лікар загальної практики - сімейний лікар",L934*Законод!$C$9/4*Законод!$I$16,IF(B924="Лікар-педіатр",L934*Законод!$C$9/4*Законод!$I$16,IF(B924="Лікар-терапевт",L934*Законод!$C$9/4*Законод!$I$16,0)))</f>
        <v>0</v>
      </c>
      <c r="AO934" s="210">
        <f ca="1">IF(B924="Лікар загальної практики - сімейний лікар",S934*Законод!$C$9/4*Законод!$I$16,IF(B924="Лікар-педіатр",S934*Законод!$C$9/4*Законод!$I$16,IF(B924="Лікар-терапевт",S934*Законод!$C$9/4*Законод!$I$16,0)))</f>
        <v>0</v>
      </c>
      <c r="AP934" s="210">
        <f ca="1">IF(B924="Лікар загальної практики - сімейний лікар",Z934*Законод!$C$9/4*Законод!$I$16,IF(B924="Лікар-педіатр",Z934*Законод!$C$9/4*Законод!$I$16,IF(B924="Лікар-терапевт",Z934*Законод!$C$9/4*Законод!$I$16,0)))</f>
        <v>0</v>
      </c>
      <c r="AQ934" s="210">
        <f ca="1">IF(B924="Лікар загальної практики - сімейний лікар",AG934*Законод!$C$9/4*Законод!$I$16,IF(B924="Лікар-педіатр",AG934*Законод!$C$9/4*Законод!$I$16,IF(B924="Лікар-терапевт",AG934*Законод!$C$9/4*Законод!$I$16,0)))</f>
        <v>0</v>
      </c>
      <c r="AR934" s="211">
        <f t="shared" si="98"/>
        <v>0</v>
      </c>
    </row>
    <row r="935" spans="1:44" s="218" customFormat="1" ht="31.9" hidden="1" customHeight="1" thickBot="1">
      <c r="A935" s="213"/>
      <c r="B935" s="894"/>
      <c r="C935" s="897"/>
      <c r="D935" s="913"/>
      <c r="E935" s="910"/>
      <c r="F935" s="239" t="str">
        <f ca="1">IF(B924="Лікар-педіатр",Законод!$J$17,IF(B924="Лікар загальної практики - сімейний лікар",Законод!$J$21,IF(B924="Лікар-терапевт",Законод!$J$25,"х")))</f>
        <v>х</v>
      </c>
      <c r="G935" s="935" t="s">
        <v>346</v>
      </c>
      <c r="H935" s="936"/>
      <c r="I935" s="936"/>
      <c r="J935" s="936"/>
      <c r="K935" s="937"/>
      <c r="L935" s="196">
        <f ca="1">IF($B$924="Лікар загальної практики - сімейний лікар",IF(L928&gt;=Законод!$J$22,'01_Доходи'!L928-('01_Доходи'!L929+'01_Доходи'!L930+'01_Доходи'!L931+'01_Доходи'!L932+'01_Доходи'!L933+'01_Доходи'!L934),0),IF($B$924="Лікар-педіатр",IF(L928&gt;=Законод!$J$18,'01_Доходи'!L928-('01_Доходи'!L929+'01_Доходи'!L930+'01_Доходи'!L931+'01_Доходи'!L932+'01_Доходи'!L933+'01_Доходи'!L934),0),IF($B$924="Лікар-терапевт",IF('01_Доходи'!L928&gt;=Законод!$J$26,L928-Законод!$I$27,0),0)))</f>
        <v>0</v>
      </c>
      <c r="M935" s="931"/>
      <c r="N935" s="935" t="s">
        <v>346</v>
      </c>
      <c r="O935" s="936"/>
      <c r="P935" s="936"/>
      <c r="Q935" s="936"/>
      <c r="R935" s="937"/>
      <c r="S935" s="196">
        <f ca="1">IF($B$924="Лікар загальної практики - сімейний лікар",IF(S928&gt;=Законод!$J$22,'01_Доходи'!S928-('01_Доходи'!S929+'01_Доходи'!S930+'01_Доходи'!S931+'01_Доходи'!S932+'01_Доходи'!S933+'01_Доходи'!S934),0),IF($B$924="Лікар-педіатр",IF(S928&gt;=Законод!$J$18,'01_Доходи'!S928-('01_Доходи'!S929+'01_Доходи'!S930+'01_Доходи'!S931+'01_Доходи'!S932+'01_Доходи'!S933+'01_Доходи'!S934),0),IF($B$924="Лікар-терапевт",IF('01_Доходи'!S928&gt;=Законод!$J$26,S928-Законод!$I$27,0),0)))</f>
        <v>0</v>
      </c>
      <c r="T935" s="931"/>
      <c r="U935" s="935" t="s">
        <v>346</v>
      </c>
      <c r="V935" s="936"/>
      <c r="W935" s="936"/>
      <c r="X935" s="936"/>
      <c r="Y935" s="937"/>
      <c r="Z935" s="196">
        <f ca="1">IF($B$924="Лікар загальної практики - сімейний лікар",IF(Z928&gt;=Законод!$J$22,'01_Доходи'!Z928-('01_Доходи'!Z929+'01_Доходи'!Z930+'01_Доходи'!Z931+'01_Доходи'!Z932+'01_Доходи'!Z933+'01_Доходи'!Z934),0),IF($B$924="Лікар-педіатр",IF(Z928&gt;=Законод!$J$18,'01_Доходи'!Z928-('01_Доходи'!Z929+'01_Доходи'!Z930+'01_Доходи'!Z931+'01_Доходи'!Z932+'01_Доходи'!Z933+'01_Доходи'!Z934),0),IF($B$924="Лікар-терапевт",IF('01_Доходи'!Z928&gt;=Законод!$J$26,Z928-Законод!$I$27,0),0)))</f>
        <v>0</v>
      </c>
      <c r="AA935" s="931"/>
      <c r="AB935" s="935" t="s">
        <v>346</v>
      </c>
      <c r="AC935" s="936"/>
      <c r="AD935" s="936"/>
      <c r="AE935" s="936"/>
      <c r="AF935" s="937"/>
      <c r="AG935" s="196">
        <f ca="1">IF($B$924="Лікар загальної практики - сімейний лікар",IF(AG928&gt;=Законод!$J$22,'01_Доходи'!AG928-('01_Доходи'!AG929+'01_Доходи'!AG930+'01_Доходи'!AG931+'01_Доходи'!AG932+'01_Доходи'!AG933+'01_Доходи'!AG934),0),IF($B$924="Лікар-педіатр",IF(AG928&gt;=Законод!$J$18,'01_Доходи'!AG928-('01_Доходи'!AG929+'01_Доходи'!AG930+'01_Доходи'!AG931+'01_Доходи'!AG932+'01_Доходи'!AG933+'01_Доходи'!AG934),0),IF($B$924="Лікар-терапевт",IF('01_Доходи'!AG928&gt;=Законод!$J$26,AG928-Законод!$I$27,0),0)))</f>
        <v>0</v>
      </c>
      <c r="AH935" s="931"/>
      <c r="AI935" s="215"/>
      <c r="AJ935" s="934"/>
      <c r="AK935" s="928"/>
      <c r="AL935" s="928"/>
      <c r="AM935" s="900"/>
      <c r="AN935" s="216">
        <f ca="1">IF(B924="Лікар загальної практики - сімейний лікар",L935*Законод!$C$9/4*Законод!$J$16,IF(B924="Лікар-педіатр",L935*Законод!$C$9/4*Законод!$J$16,IF(B924="Лікар-терапевт",L935*Законод!$C$9/4*Законод!$J$16,0)))</f>
        <v>0</v>
      </c>
      <c r="AO935" s="216">
        <f ca="1">IF(B924="Лікар загальної практики - сімейний лікар",S935*Законод!$C$9/4*Законод!$J$16,IF(B924="Лікар-педіатр",S935*Законод!$C$9/4*Законод!$J$16,IF(B924="Лікар-терапевт",S935*Законод!$C$9/4*Законод!$J$16,0)))</f>
        <v>0</v>
      </c>
      <c r="AP935" s="216">
        <f ca="1">IF(B924="Лікар загальної практики - сімейний лікар",S935*Законод!$C$9/4*Законод!$J$16,IF(B924="Лікар-педіатр",S935*Законод!$C$9/4*Законод!$J$16,IF(B924="Лікар-терапевт",S935*Законод!$C$9/4*Законод!$J$16,0)))</f>
        <v>0</v>
      </c>
      <c r="AQ935" s="216">
        <f ca="1">IF(B924="Лікар загальної практики - сімейний лікар",AG935*Законод!$C$9/4*Законод!$J$16,IF(B924="Лікар-педіатр",AG935*Законод!$C$9/4*Законод!$J$16,IF(B924="Лікар-терапевт",AG935*Законод!$C$9/4*Законод!$J$16,0)))</f>
        <v>0</v>
      </c>
      <c r="AR935" s="217">
        <f t="shared" si="98"/>
        <v>0</v>
      </c>
    </row>
    <row r="936" spans="1:44" s="247" customFormat="1" ht="23.45" hidden="1" customHeight="1" thickBot="1">
      <c r="A936" s="243"/>
      <c r="B936" s="244"/>
      <c r="C936" s="244"/>
      <c r="D936" s="244"/>
      <c r="E936" s="244"/>
      <c r="F936" s="245"/>
      <c r="G936" s="246"/>
      <c r="H936" s="246"/>
      <c r="L936" s="248"/>
      <c r="S936" s="248"/>
      <c r="Z936" s="248"/>
      <c r="AG936" s="248"/>
      <c r="AM936" s="249"/>
      <c r="AR936" s="250"/>
    </row>
    <row r="937" spans="1:44" s="191" customFormat="1" ht="24.6" hidden="1" customHeight="1">
      <c r="A937" s="194">
        <f>A924+1</f>
        <v>70</v>
      </c>
      <c r="B937" s="892"/>
      <c r="C937" s="895"/>
      <c r="D937" s="911"/>
      <c r="E937" s="908"/>
      <c r="F937" s="234" t="s">
        <v>582</v>
      </c>
      <c r="G937" s="196">
        <f>IF($B$937="Лікар-педіатр",G940*L937,IF($B$937="Лікар-терапевт","х",IF($B$937="Лікар загальної практики - сімейний лікар",G940*L937,0)))</f>
        <v>0</v>
      </c>
      <c r="H937" s="196">
        <f>IF($B$937="Лікар-педіатр",H940*L937,IF($B$937="Лікар-терапевт","х",IF($B$937="Лікар загальної практики - сімейний лікар",H940*L937,0)))</f>
        <v>0</v>
      </c>
      <c r="I937" s="196">
        <f>IF($B$937="Лікар-педіатр","x",IF($B$937="Лікар-терапевт",I940*L937,IF($B$937="Лікар загальної практики - сімейний лікар",I940*L937,0)))</f>
        <v>0</v>
      </c>
      <c r="J937" s="196">
        <f>IF($B$937="Лікар-педіатр","x",IF($B$937="Лікар-терапевт",J940*L937,IF($B$937="Лікар загальної практики - сімейний лікар",J940*L937,0)))</f>
        <v>0</v>
      </c>
      <c r="K937" s="196">
        <f>IF($B$937="Лікар-педіатр","x",IF($B$937="Лікар-терапевт",K940*L937,IF($B$937="Лікар загальної практики - сімейний лікар",K940*L937,0)))</f>
        <v>0</v>
      </c>
      <c r="L937" s="558"/>
      <c r="M937" s="929"/>
      <c r="N937" s="196">
        <f>IF($B$937="Лікар-педіатр",N940*S937,IF($B$937="Лікар-терапевт","х",IF($B$937="Лікар загальної практики - сімейний лікар",N940*S937,0)))</f>
        <v>0</v>
      </c>
      <c r="O937" s="196">
        <f>IF($B$937="Лікар-педіатр",O940*S937,IF($B$937="Лікар-терапевт","х",IF($B$937="Лікар загальної практики - сімейний лікар",O940*S937,0)))</f>
        <v>0</v>
      </c>
      <c r="P937" s="196">
        <f>IF($B$937="Лікар-педіатр","x",IF($B$937="Лікар-терапевт",P940*S937,IF($B$937="Лікар загальної практики - сімейний лікар",P940*S937,0)))</f>
        <v>0</v>
      </c>
      <c r="Q937" s="196">
        <f>IF($B$937="Лікар-педіатр","x",IF($B$937="Лікар-терапевт",Q940*S937,IF($B$937="Лікар загальної практики - сімейний лікар",Q940*S937,0)))</f>
        <v>0</v>
      </c>
      <c r="R937" s="196">
        <f>IF($B$937="Лікар-педіатр","x",IF($B$937="Лікар-терапевт",R940*S937,IF($B$937="Лікар загальної практики - сімейний лікар",R940*S937,0)))</f>
        <v>0</v>
      </c>
      <c r="S937" s="558"/>
      <c r="T937" s="929"/>
      <c r="U937" s="196">
        <f>IF($B$937="Лікар-педіатр",U940*Z937,IF($B$937="Лікар-терапевт","х",IF($B$937="Лікар загальної практики - сімейний лікар",U940*Z937,0)))</f>
        <v>0</v>
      </c>
      <c r="V937" s="196">
        <f>IF($B$937="Лікар-педіатр",V940*Z937,IF($B$937="Лікар-терапевт","х",IF($B$937="Лікар загальної практики - сімейний лікар",V940*Z937,0)))</f>
        <v>0</v>
      </c>
      <c r="W937" s="196">
        <f>IF($B$937="Лікар-педіатр","x",IF($B$937="Лікар-терапевт",W940*Z937,IF($B$937="Лікар загальної практики - сімейний лікар",W940*Z937,0)))</f>
        <v>0</v>
      </c>
      <c r="X937" s="196">
        <f>IF($B$937="Лікар-педіатр","x",IF($B$937="Лікар-терапевт",X940*Z937,IF($B$937="Лікар загальної практики - сімейний лікар",X940*Z937,0)))</f>
        <v>0</v>
      </c>
      <c r="Y937" s="196">
        <f>IF($B$937="Лікар-педіатр","x",IF($B$937="Лікар-терапевт",Y940*Z937,IF($B$937="Лікар загальної практики - сімейний лікар",Y940*Z937,0)))</f>
        <v>0</v>
      </c>
      <c r="Z937" s="558"/>
      <c r="AA937" s="929"/>
      <c r="AB937" s="196">
        <f>IF($B$937="Лікар-педіатр",AB940*AG937,IF($B$937="Лікар-терапевт","х",IF($B$937="Лікар загальної практики - сімейний лікар",AB940*AG937,0)))</f>
        <v>0</v>
      </c>
      <c r="AC937" s="196">
        <f>IF($B$937="Лікар-педіатр",AC940*AG937,IF($B$937="Лікар-терапевт","х",IF($B$937="Лікар загальної практики - сімейний лікар",AC940*AG937,0)))</f>
        <v>0</v>
      </c>
      <c r="AD937" s="196">
        <f>IF($B$937="Лікар-педіатр","x",IF($B$937="Лікар-терапевт",AD940*AG937,IF($B$937="Лікар загальної практики - сімейний лікар",AD940*AG937,0)))</f>
        <v>0</v>
      </c>
      <c r="AE937" s="196">
        <f>IF($B$937="Лікар-педіатр","x",IF($B$937="Лікар-терапевт",AE940*AG937,IF($B$937="Лікар загальної практики - сімейний лікар",AE940*AG937,0)))</f>
        <v>0</v>
      </c>
      <c r="AF937" s="196">
        <f>IF($B$937="Лікар-педіатр","x",IF($B$937="Лікар-терапевт",AF940*AG937,IF($B$937="Лікар загальної практики - сімейний лікар",AF940*AG937,0)))</f>
        <v>0</v>
      </c>
      <c r="AG937" s="558"/>
      <c r="AH937" s="929"/>
      <c r="AI937" s="541">
        <f>A937</f>
        <v>70</v>
      </c>
      <c r="AJ937" s="932">
        <f>B937</f>
        <v>0</v>
      </c>
      <c r="AK937" s="926">
        <f>C937</f>
        <v>0</v>
      </c>
      <c r="AL937" s="926">
        <f>D937</f>
        <v>0</v>
      </c>
      <c r="AM937" s="901" t="s">
        <v>785</v>
      </c>
      <c r="AN937" s="923">
        <f>SUM(AN942:AN948)</f>
        <v>0</v>
      </c>
      <c r="AO937" s="923">
        <f>SUM(AO942:AO948)</f>
        <v>0</v>
      </c>
      <c r="AP937" s="923">
        <f>SUM(AP942:AP948)</f>
        <v>0</v>
      </c>
      <c r="AQ937" s="923">
        <f>SUM(AQ942:AQ948)</f>
        <v>0</v>
      </c>
      <c r="AR937" s="914">
        <f>SUM(AN937:AQ941)</f>
        <v>0</v>
      </c>
    </row>
    <row r="938" spans="1:44" s="50" customFormat="1" ht="28.15" hidden="1" customHeight="1">
      <c r="A938" s="197"/>
      <c r="B938" s="893"/>
      <c r="C938" s="896"/>
      <c r="D938" s="912"/>
      <c r="E938" s="909"/>
      <c r="F938" s="234" t="s">
        <v>583</v>
      </c>
      <c r="G938" s="196">
        <f>IF($B$937="Лікар-педіатр",G940*L938,IF($B$937="Лікар-терапевт","х",IF($B$937="Лікар загальної практики - сімейний лікар",G940*L938,0)))</f>
        <v>0</v>
      </c>
      <c r="H938" s="196">
        <f>IF($B$937="Лікар-педіатр",H940*L938,IF($B$937="Лікар-терапевт","х",IF($B$937="Лікар загальної практики - сімейний лікар",H940*L938,0)))</f>
        <v>0</v>
      </c>
      <c r="I938" s="196">
        <f>IF($B$937="Лікар-педіатр","x",IF($B$937="Лікар-терапевт",I940*L938,IF($B$937="Лікар загальної практики - сімейний лікар",I940*L938,0)))</f>
        <v>0</v>
      </c>
      <c r="J938" s="196">
        <f>IF($B$937="Лікар-педіатр","x",IF($B$937="Лікар-терапевт",J940*L938,IF($B$937="Лікар загальної практики - сімейний лікар",J940*L938,0)))</f>
        <v>0</v>
      </c>
      <c r="K938" s="196">
        <f>IF($B$937="Лікар-педіатр","x",IF($B$937="Лікар-терапевт",K940*L938,IF($B$937="Лікар загальної практики - сімейний лікар",K940*L938,0)))</f>
        <v>0</v>
      </c>
      <c r="L938" s="558"/>
      <c r="M938" s="930"/>
      <c r="N938" s="196">
        <f>IF($B$937="Лікар-педіатр",N940*S938,IF($B$937="Лікар-терапевт","х",IF($B$937="Лікар загальної практики - сімейний лікар",N940*S938,0)))</f>
        <v>0</v>
      </c>
      <c r="O938" s="196">
        <f>IF($B$937="Лікар-педіатр",O940*S938,IF($B$937="Лікар-терапевт","х",IF($B$937="Лікар загальної практики - сімейний лікар",O940*S938,0)))</f>
        <v>0</v>
      </c>
      <c r="P938" s="196">
        <f>IF($B$937="Лікар-педіатр","x",IF($B$937="Лікар-терапевт",P940*S938,IF($B$937="Лікар загальної практики - сімейний лікар",P940*S938,0)))</f>
        <v>0</v>
      </c>
      <c r="Q938" s="196">
        <f>IF($B$937="Лікар-педіатр","x",IF($B$937="Лікар-терапевт",Q940*S938,IF($B$937="Лікар загальної практики - сімейний лікар",Q940*S938,0)))</f>
        <v>0</v>
      </c>
      <c r="R938" s="196">
        <f>IF($B$937="Лікар-педіатр","x",IF($B$937="Лікар-терапевт",R940*S938,IF($B$937="Лікар загальної практики - сімейний лікар",R940*S938,0)))</f>
        <v>0</v>
      </c>
      <c r="S938" s="558"/>
      <c r="T938" s="930"/>
      <c r="U938" s="196">
        <f>IF($B$937="Лікар-педіатр",U940*Z938,IF($B$937="Лікар-терапевт","х",IF($B$937="Лікар загальної практики - сімейний лікар",U940*Z938,0)))</f>
        <v>0</v>
      </c>
      <c r="V938" s="196">
        <f>IF($B$937="Лікар-педіатр",V940*Z938,IF($B$937="Лікар-терапевт","х",IF($B$937="Лікар загальної практики - сімейний лікар",V940*Z938,0)))</f>
        <v>0</v>
      </c>
      <c r="W938" s="196">
        <f>IF($B$937="Лікар-педіатр","x",IF($B$937="Лікар-терапевт",W940*Z938,IF($B$937="Лікар загальної практики - сімейний лікар",W940*Z938,0)))</f>
        <v>0</v>
      </c>
      <c r="X938" s="196">
        <f>IF($B$937="Лікар-педіатр","x",IF($B$937="Лікар-терапевт",X940*Z938,IF($B$937="Лікар загальної практики - сімейний лікар",X940*Z938,0)))</f>
        <v>0</v>
      </c>
      <c r="Y938" s="196">
        <f>IF($B$937="Лікар-педіатр","x",IF($B$937="Лікар-терапевт",Y940*Z938,IF($B$937="Лікар загальної практики - сімейний лікар",Y940*Z938,0)))</f>
        <v>0</v>
      </c>
      <c r="Z938" s="558"/>
      <c r="AA938" s="930"/>
      <c r="AB938" s="196">
        <f>IF($B$937="Лікар-педіатр",AB940*AG938,IF($B$937="Лікар-терапевт","х",IF($B$937="Лікар загальної практики - сімейний лікар",AB940*AG938,0)))</f>
        <v>0</v>
      </c>
      <c r="AC938" s="196">
        <f>IF($B$937="Лікар-педіатр",AC940*AG938,IF($B$937="Лікар-терапевт","х",IF($B$937="Лікар загальної практики - сімейний лікар",AC940*AG938,0)))</f>
        <v>0</v>
      </c>
      <c r="AD938" s="196">
        <f>IF($B$937="Лікар-педіатр","x",IF($B$937="Лікар-терапевт",AD940*AG938,IF($B$937="Лікар загальної практики - сімейний лікар",AD940*AG938,0)))</f>
        <v>0</v>
      </c>
      <c r="AE938" s="196">
        <f>IF($B$937="Лікар-педіатр","x",IF($B$937="Лікар-терапевт",AE940*AG938,IF($B$937="Лікар загальної практики - сімейний лікар",AE940*AG938,0)))</f>
        <v>0</v>
      </c>
      <c r="AF938" s="196">
        <f>IF($B$937="Лікар-педіатр","x",IF($B$937="Лікар-терапевт",AF940*AG938,IF($B$937="Лікар загальної практики - сімейний лікар",AF940*AG938,0)))</f>
        <v>0</v>
      </c>
      <c r="AG938" s="558"/>
      <c r="AH938" s="930"/>
      <c r="AI938" s="198"/>
      <c r="AJ938" s="933"/>
      <c r="AK938" s="927"/>
      <c r="AL938" s="927"/>
      <c r="AM938" s="902"/>
      <c r="AN938" s="924"/>
      <c r="AO938" s="924"/>
      <c r="AP938" s="924"/>
      <c r="AQ938" s="924"/>
      <c r="AR938" s="915"/>
    </row>
    <row r="939" spans="1:44" s="90" customFormat="1" ht="31.15" hidden="1" customHeight="1">
      <c r="A939" s="240"/>
      <c r="B939" s="893"/>
      <c r="C939" s="896"/>
      <c r="D939" s="912"/>
      <c r="E939" s="909"/>
      <c r="F939" s="241" t="s">
        <v>584</v>
      </c>
      <c r="G939" s="199">
        <f>IF(B937="Лікар загальної практики - сімейний лікар"," ",IF(B937="Лікар-педіатр"," ",IF(B937="Лікар-терапевт","х",0)))</f>
        <v>0</v>
      </c>
      <c r="H939" s="199">
        <f>IF(B937="Лікар загальної практики - сімейний лікар"," ",IF(B937="Лікар-педіатр"," ",IF(B937="Лікар-терапевт","х",0)))</f>
        <v>0</v>
      </c>
      <c r="I939" s="199">
        <f>IF(B937="Лікар загальної практики - сімейний лікар"," ",IF(B937="Лікар-педіатр","х",IF(B937="Лікар-терапевт"," ",0)))</f>
        <v>0</v>
      </c>
      <c r="J939" s="199">
        <f>IF(B937="Лікар загальної практики - сімейний лікар"," ",IF(B937="Лікар-педіатр","х",IF(B937="Лікар-терапевт"," ",0)))</f>
        <v>0</v>
      </c>
      <c r="K939" s="199">
        <f>IF(B937="Лікар загальної практики - сімейний лікар"," ",IF(B937="Лікар-педіатр","х",IF(B937="Лікар-терапевт"," ",0)))</f>
        <v>0</v>
      </c>
      <c r="L939" s="200">
        <f>SUM(G939:K939)</f>
        <v>0</v>
      </c>
      <c r="M939" s="930"/>
      <c r="N939" s="199">
        <f>IF(B937="Лікар загальної практики - сімейний лікар"," ",IF(B937="Лікар-педіатр"," ",IF(B937="Лікар-терапевт","х",0)))</f>
        <v>0</v>
      </c>
      <c r="O939" s="199">
        <f>IF(B937="Лікар загальної практики - сімейний лікар"," ",IF(B937="Лікар-педіатр"," ",IF(B937="Лікар-терапевт","х",0)))</f>
        <v>0</v>
      </c>
      <c r="P939" s="199">
        <f>IF(B937="Лікар загальної практики - сімейний лікар"," ",IF(B937="Лікар-педіатр","х",IF(B937="Лікар-терапевт"," ",0)))</f>
        <v>0</v>
      </c>
      <c r="Q939" s="199">
        <f>IF(B937="Лікар загальної практики - сімейний лікар"," ",IF(B937="Лікар-педіатр","х",IF(B937="Лікар-терапевт"," ",0)))</f>
        <v>0</v>
      </c>
      <c r="R939" s="199">
        <f>IF(B937="Лікар загальної практики - сімейний лікар"," ",IF(B937="Лікар-педіатр","х",IF(B937="Лікар-терапевт"," ",0)))</f>
        <v>0</v>
      </c>
      <c r="S939" s="200">
        <f>SUM(N939:R939)</f>
        <v>0</v>
      </c>
      <c r="T939" s="930"/>
      <c r="U939" s="199">
        <f>IF(B937="Лікар загальної практики - сімейний лікар"," ",IF(B937="Лікар-педіатр"," ",IF(B937="Лікар-терапевт","х",0)))</f>
        <v>0</v>
      </c>
      <c r="V939" s="199">
        <f>IF(B937="Лікар загальної практики - сімейний лікар"," ",IF(B937="Лікар-педіатр"," ",IF(B937="Лікар-терапевт","х",0)))</f>
        <v>0</v>
      </c>
      <c r="W939" s="199">
        <f>IF(B937="Лікар загальної практики - сімейний лікар"," ",IF(B937="Лікар-педіатр","х",IF(B937="Лікар-терапевт"," ",0)))</f>
        <v>0</v>
      </c>
      <c r="X939" s="199">
        <f>IF(B937="Лікар загальної практики - сімейний лікар"," ",IF(B937="Лікар-педіатр","х",IF(B937="Лікар-терапевт"," ",0)))</f>
        <v>0</v>
      </c>
      <c r="Y939" s="199">
        <f>IF(B937="Лікар загальної практики - сімейний лікар"," ",IF(B937="Лікар-педіатр","х",IF(B937="Лікар-терапевт"," ",0)))</f>
        <v>0</v>
      </c>
      <c r="Z939" s="200">
        <f>SUM(U939:Y939)</f>
        <v>0</v>
      </c>
      <c r="AA939" s="930"/>
      <c r="AB939" s="199">
        <f>IF(B937="Лікар загальної практики - сімейний лікар"," ",IF(B937="Лікар-педіатр"," ",IF(B937="Лікар-терапевт","х",0)))</f>
        <v>0</v>
      </c>
      <c r="AC939" s="199">
        <f>IF(B937="Лікар загальної практики - сімейний лікар"," ",IF(B937="Лікар-педіатр"," ",IF(B937="Лікар-терапевт","х",0)))</f>
        <v>0</v>
      </c>
      <c r="AD939" s="199">
        <f>IF(B937="Лікар загальної практики - сімейний лікар"," ",IF(B937="Лікар-педіатр","х",IF(B937="Лікар-терапевт"," ",0)))</f>
        <v>0</v>
      </c>
      <c r="AE939" s="199">
        <f>IF(B937="Лікар загальної практики - сімейний лікар"," ",IF(B937="Лікар-педіатр","х",IF(B937="Лікар-терапевт"," ",0)))</f>
        <v>0</v>
      </c>
      <c r="AF939" s="199">
        <f>IF(B937="Лікар загальної практики - сімейний лікар"," ",IF(B937="Лікар-педіатр","х",IF(B937="Лікар-терапевт"," ",0)))</f>
        <v>0</v>
      </c>
      <c r="AG939" s="200">
        <f>SUM(AB939:AF939)</f>
        <v>0</v>
      </c>
      <c r="AH939" s="930"/>
      <c r="AI939" s="242"/>
      <c r="AJ939" s="933"/>
      <c r="AK939" s="927"/>
      <c r="AL939" s="927"/>
      <c r="AM939" s="902"/>
      <c r="AN939" s="924"/>
      <c r="AO939" s="924"/>
      <c r="AP939" s="924"/>
      <c r="AQ939" s="924"/>
      <c r="AR939" s="915"/>
    </row>
    <row r="940" spans="1:44" s="50" customFormat="1" ht="31.9" hidden="1" customHeight="1" thickBot="1">
      <c r="A940" s="197"/>
      <c r="B940" s="893"/>
      <c r="C940" s="896"/>
      <c r="D940" s="912"/>
      <c r="E940" s="909"/>
      <c r="F940" s="236" t="s">
        <v>349</v>
      </c>
      <c r="G940" s="203">
        <f>IF($B$937="Лікар-педіатр",G939/L939,IF($B$937="Лікар-терапевт","х",IF($B$937="Лікар загальної практики - сімейний лікар",G939/L939,0)))</f>
        <v>0</v>
      </c>
      <c r="H940" s="203">
        <f>IF($B$937="Лікар-педіатр",H939/L939,IF($B$937="Лікар-терапевт","х",IF($B$937="Лікар загальної практики - сімейний лікар",H939/L939,0)))</f>
        <v>0</v>
      </c>
      <c r="I940" s="203">
        <f>IF($B$937="Лікар-педіатр","x",IF($B$937="Лікар-терапевт",I939/L939,IF($B$937="Лікар загальної практики - сімейний лікар",I939/L939,0)))</f>
        <v>0</v>
      </c>
      <c r="J940" s="203">
        <f>IF($B$937="Лікар-педіатр","x",IF($B$937="Лікар-терапевт",J939/L939,IF($B$937="Лікар загальної практики - сімейний лікар",J939/L939,0)))</f>
        <v>0</v>
      </c>
      <c r="K940" s="203">
        <f>IF($B$937="Лікар-педіатр","x",IF($B$937="Лікар-терапевт",K939/L939,IF($B$937="Лікар загальної практики - сімейний лікар",K939/L939,0)))</f>
        <v>0</v>
      </c>
      <c r="L940" s="203">
        <f>SUM(G940:K940)</f>
        <v>0</v>
      </c>
      <c r="M940" s="930"/>
      <c r="N940" s="203">
        <f>IF($B$937="Лікар-педіатр",N939/S939,IF($B$937="Лікар-терапевт","х",IF($B$937="Лікар загальної практики - сімейний лікар",N939/S939,0)))</f>
        <v>0</v>
      </c>
      <c r="O940" s="203">
        <f>IF($B$937="Лікар-педіатр",O939/S939,IF($B$937="Лікар-терапевт","х",IF($B$937="Лікар загальної практики - сімейний лікар",O939/S939,0)))</f>
        <v>0</v>
      </c>
      <c r="P940" s="203">
        <f>IF($B$937="Лікар-педіатр","x",IF($B$937="Лікар-терапевт",P939/S939,IF($B$937="Лікар загальної практики - сімейний лікар",P939/S939,0)))</f>
        <v>0</v>
      </c>
      <c r="Q940" s="203">
        <f>IF($B$937="Лікар-педіатр","x",IF($B$937="Лікар-терапевт",Q939/S939,IF($B$937="Лікар загальної практики - сімейний лікар",Q939/S939,0)))</f>
        <v>0</v>
      </c>
      <c r="R940" s="203">
        <f>IF($B$937="Лікар-педіатр","x",IF($B$937="Лікар-терапевт",R939/S939,IF($B$937="Лікар загальної практики - сімейний лікар",R939/S939,0)))</f>
        <v>0</v>
      </c>
      <c r="S940" s="203">
        <f>SUM(N940:R940)</f>
        <v>0</v>
      </c>
      <c r="T940" s="930"/>
      <c r="U940" s="203">
        <f>IF($B$937="Лікар-педіатр",U939/Z939,IF($B$937="Лікар-терапевт","х",IF($B$937="Лікар загальної практики - сімейний лікар",U939/Z939,0)))</f>
        <v>0</v>
      </c>
      <c r="V940" s="203">
        <f>IF($B$937="Лікар-педіатр",V939/Z939,IF($B$937="Лікар-терапевт","х",IF($B$937="Лікар загальної практики - сімейний лікар",V939/Z939,0)))</f>
        <v>0</v>
      </c>
      <c r="W940" s="203">
        <f>IF($B$937="Лікар-педіатр","x",IF($B$937="Лікар-терапевт",W939/Z939,IF($B$937="Лікар загальної практики - сімейний лікар",W939/Z939,0)))</f>
        <v>0</v>
      </c>
      <c r="X940" s="203">
        <f>IF($B$937="Лікар-педіатр","x",IF($B$937="Лікар-терапевт",X939/Z939,IF($B$937="Лікар загальної практики - сімейний лікар",X939/Z939,0)))</f>
        <v>0</v>
      </c>
      <c r="Y940" s="203">
        <f>IF($B$937="Лікар-педіатр","x",IF($B$937="Лікар-терапевт",Y939/Z939,IF($B$937="Лікар загальної практики - сімейний лікар",Y939/Z939,0)))</f>
        <v>0</v>
      </c>
      <c r="Z940" s="203">
        <f>SUM(U940:Y940)</f>
        <v>0</v>
      </c>
      <c r="AA940" s="930"/>
      <c r="AB940" s="203">
        <f>IF($B$937="Лікар-педіатр",AB939/AG939,IF($B$937="Лікар-терапевт","х",IF($B$937="Лікар загальної практики - сімейний лікар",AB939/AG939,0)))</f>
        <v>0</v>
      </c>
      <c r="AC940" s="203">
        <f>IF($B$937="Лікар-педіатр",AC939/AG939,IF($B$937="Лікар-терапевт","х",IF($B$937="Лікар загальної практики - сімейний лікар",AC939/AG939,0)))</f>
        <v>0</v>
      </c>
      <c r="AD940" s="203">
        <f>IF($B$937="Лікар-педіатр","x",IF($B$937="Лікар-терапевт",AD939/AG939,IF($B$937="Лікар загальної практики - сімейний лікар",AD939/AG939,0)))</f>
        <v>0</v>
      </c>
      <c r="AE940" s="203">
        <f>IF($B$937="Лікар-педіатр","x",IF($B$937="Лікар-терапевт",AE939/AG939,IF($B$937="Лікар загальної практики - сімейний лікар",AE939/AG939,0)))</f>
        <v>0</v>
      </c>
      <c r="AF940" s="203">
        <f>IF($B$937="Лікар-педіатр","x",IF($B$937="Лікар-терапевт",AF939/AG939,IF($B$937="Лікар загальної практики - сімейний лікар",AF939/AG939,0)))</f>
        <v>0</v>
      </c>
      <c r="AG940" s="203">
        <f>SUM(AB940:AF940)</f>
        <v>0</v>
      </c>
      <c r="AH940" s="930"/>
      <c r="AI940" s="201"/>
      <c r="AJ940" s="933"/>
      <c r="AK940" s="927"/>
      <c r="AL940" s="927"/>
      <c r="AM940" s="902"/>
      <c r="AN940" s="924"/>
      <c r="AO940" s="924"/>
      <c r="AP940" s="924"/>
      <c r="AQ940" s="924"/>
      <c r="AR940" s="915"/>
    </row>
    <row r="941" spans="1:44" s="50" customFormat="1" ht="45" hidden="1" customHeight="1" thickBot="1">
      <c r="A941" s="197"/>
      <c r="B941" s="893"/>
      <c r="C941" s="896"/>
      <c r="D941" s="912"/>
      <c r="E941" s="909"/>
      <c r="F941" s="204" t="s">
        <v>585</v>
      </c>
      <c r="G941" s="205">
        <f>IF($B$937="Лікар загальної практики - сімейний лікар",AVERAGE(G937:G939),IF($B$937="Лікар-педіатр",AVERAGE(G937:G939),IF($B$937="Лікар-терапевт","х",0)))</f>
        <v>0</v>
      </c>
      <c r="H941" s="205">
        <f>IF($B$937="Лікар загальної практики - сімейний лікар",AVERAGE(H937:H939),IF($B$937="Лікар-педіатр",AVERAGE(H937:H939),IF($B$937="Лікар-терапевт","х",0)))</f>
        <v>0</v>
      </c>
      <c r="I941" s="205">
        <f>IF($B$937="Лікар загальної практики - сімейний лікар",AVERAGE(I937:I939),IF($B$937="Лікар-педіатр","x",IF($B$937="Лікар-терапевт",AVERAGE(I937:I939),0)))</f>
        <v>0</v>
      </c>
      <c r="J941" s="205">
        <f>IF($B$937="Лікар загальної практики - сімейний лікар",AVERAGE(J937:J939),IF($B$937="Лікар-педіатр","x",IF($B$937="Лікар-терапевт",AVERAGE(J937:J939),0)))</f>
        <v>0</v>
      </c>
      <c r="K941" s="205">
        <f>IF($B$937="Лікар загальної практики - сімейний лікар",AVERAGE(K937:K939),IF($B$937="Лікар-педіатр","x",IF($B$937="Лікар-терапевт",AVERAGE(K937:K939),0)))</f>
        <v>0</v>
      </c>
      <c r="L941" s="206">
        <f>SUM(G941:K941)</f>
        <v>0</v>
      </c>
      <c r="M941" s="930"/>
      <c r="N941" s="205">
        <f>IF($B$937="Лікар загальної практики - сімейний лікар",AVERAGE(N937:N939),IF($B$937="Лікар-педіатр",AVERAGE(N937:N939),IF($B$937="Лікар-терапевт","х",0)))</f>
        <v>0</v>
      </c>
      <c r="O941" s="205">
        <f>IF($B$937="Лікар загальної практики - сімейний лікар",AVERAGE(O937:O939),IF($B$937="Лікар-педіатр",AVERAGE(O937:O939),IF($B$937="Лікар-терапевт","х",0)))</f>
        <v>0</v>
      </c>
      <c r="P941" s="205">
        <f>IF($B$937="Лікар загальної практики - сімейний лікар",AVERAGE(P937:P939),IF($B$937="Лікар-педіатр","x",IF($B$937="Лікар-терапевт",AVERAGE(P937:P939),0)))</f>
        <v>0</v>
      </c>
      <c r="Q941" s="205">
        <f>IF($B$937="Лікар загальної практики - сімейний лікар",AVERAGE(Q937:Q939),IF($B$937="Лікар-педіатр","x",IF($B$937="Лікар-терапевт",AVERAGE(Q937:Q939),0)))</f>
        <v>0</v>
      </c>
      <c r="R941" s="205">
        <f>IF($B$937="Лікар загальної практики - сімейний лікар",AVERAGE(R937:R939),IF($B$937="Лікар-педіатр","x",IF($B$937="Лікар-терапевт",AVERAGE(R937:R939),0)))</f>
        <v>0</v>
      </c>
      <c r="S941" s="206">
        <f>SUM(N941:R941)</f>
        <v>0</v>
      </c>
      <c r="T941" s="930"/>
      <c r="U941" s="205">
        <f>IF($B$937="Лікар загальної практики - сімейний лікар",AVERAGE(U937:U939),IF($B$937="Лікар-педіатр",AVERAGE(U937:U939),IF($B$937="Лікар-терапевт","х",0)))</f>
        <v>0</v>
      </c>
      <c r="V941" s="205">
        <f>IF($B$937="Лікар загальної практики - сімейний лікар",AVERAGE(V937:V939),IF($B$937="Лікар-педіатр",AVERAGE(V937:V939),IF($B$937="Лікар-терапевт","х",0)))</f>
        <v>0</v>
      </c>
      <c r="W941" s="205">
        <f>IF($B$937="Лікар загальної практики - сімейний лікар",AVERAGE(W937:W939),IF($B$937="Лікар-педіатр","x",IF($B$937="Лікар-терапевт",AVERAGE(W937:W939),0)))</f>
        <v>0</v>
      </c>
      <c r="X941" s="205">
        <f>IF($B$937="Лікар загальної практики - сімейний лікар",AVERAGE(X937:X939),IF($B$937="Лікар-педіатр","x",IF($B$937="Лікар-терапевт",AVERAGE(X937:X939),0)))</f>
        <v>0</v>
      </c>
      <c r="Y941" s="205">
        <f>IF($B$937="Лікар загальної практики - сімейний лікар",AVERAGE(Y937:Y939),IF($B$937="Лікар-педіатр","x",IF($B$937="Лікар-терапевт",AVERAGE(Y937:Y939),0)))</f>
        <v>0</v>
      </c>
      <c r="Z941" s="206">
        <f>SUM(U941:Y941)</f>
        <v>0</v>
      </c>
      <c r="AA941" s="930"/>
      <c r="AB941" s="205">
        <f>IF($B$937="Лікар загальної практики - сімейний лікар",AVERAGE(AB937:AB939),IF($B$937="Лікар-педіатр",AVERAGE(AB937:AB939),IF($B$937="Лікар-терапевт","х",0)))</f>
        <v>0</v>
      </c>
      <c r="AC941" s="205">
        <f>IF($B$937="Лікар загальної практики - сімейний лікар",AVERAGE(AC937:AC939),IF($B$937="Лікар-педіатр",AVERAGE(AC937:AC939),IF($B$937="Лікар-терапевт","х",0)))</f>
        <v>0</v>
      </c>
      <c r="AD941" s="205">
        <f>IF($B$937="Лікар загальної практики - сімейний лікар",AVERAGE(AD937:AD939),IF($B$937="Лікар-педіатр","x",IF($B$937="Лікар-терапевт",AVERAGE(AD937:AD939),0)))</f>
        <v>0</v>
      </c>
      <c r="AE941" s="205">
        <f>IF($B$937="Лікар загальної практики - сімейний лікар",AVERAGE(AE937:AE939),IF($B$937="Лікар-педіатр","x",IF($B$937="Лікар-терапевт",AVERAGE(AE937:AE939),0)))</f>
        <v>0</v>
      </c>
      <c r="AF941" s="205">
        <f>IF($B$937="Лікар загальної практики - сімейний лікар",AVERAGE(AF937:AF939),IF($B$937="Лікар-педіатр","x",IF($B$937="Лікар-терапевт",AVERAGE(AF937:AF939),0)))</f>
        <v>0</v>
      </c>
      <c r="AG941" s="206">
        <f>SUM(AB941:AF941)</f>
        <v>0</v>
      </c>
      <c r="AH941" s="930"/>
      <c r="AI941" s="201"/>
      <c r="AJ941" s="933"/>
      <c r="AK941" s="927"/>
      <c r="AL941" s="927"/>
      <c r="AM941" s="903"/>
      <c r="AN941" s="925"/>
      <c r="AO941" s="925"/>
      <c r="AP941" s="925"/>
      <c r="AQ941" s="925"/>
      <c r="AR941" s="916"/>
    </row>
    <row r="942" spans="1:44" s="50" customFormat="1" ht="40.5" hidden="1">
      <c r="A942" s="197"/>
      <c r="B942" s="893"/>
      <c r="C942" s="896"/>
      <c r="D942" s="912"/>
      <c r="E942" s="909"/>
      <c r="F942" s="237" t="str">
        <f ca="1">IF(B937="Лікар-педіатр",Законод!$C$17,IF(B937="Лікар загальної практики - сімейний лікар",Законод!$C$21,IF(B937="Лікар-терапевт",Законод!$C$25,"х")))</f>
        <v>х</v>
      </c>
      <c r="G942" s="208">
        <f ca="1">IF($B$937="Лікар загальної практики - сімейний лікар",IF(L941&lt;=Законод!$C$22,G941,Законод!$C$22*'01_Доходи'!G940),IF($B$937="Лікар-педіатр",IF(L941&lt;=Законод!$C$18,G941,Законод!$C$18*'01_Доходи'!G940),IF($B$937="Лікар-терапевт","x",0)))</f>
        <v>0</v>
      </c>
      <c r="H942" s="208">
        <f ca="1">IF($B$937="Лікар загальної практики - сімейний лікар",IF(L941&lt;=Законод!$C$22,H941,Законод!$C$22*'01_Доходи'!H940),IF($B$937="Лікар-педіатр",IF(L941&lt;=Законод!$C$18,H941,Законод!$C$18*'01_Доходи'!H940),IF($B$937="Лікар-терапевт","x",0)))</f>
        <v>0</v>
      </c>
      <c r="I942" s="208">
        <f ca="1">IF($B$937="Лікар загальної практики - сімейний лікар",IF(L941&lt;=Законод!$C$22,I941,Законод!$C$22*'01_Доходи'!I940),IF($B$937="Лікар-педіатр","x",IF($B$937="Лікар-терапевт",IF(L941&lt;=Законод!$C$26,I941,Законод!$C$26*'01_Доходи'!I940),0)))</f>
        <v>0</v>
      </c>
      <c r="J942" s="208">
        <f ca="1">IF($B$937="Лікар загальної практики - сімейний лікар",IF(L941&lt;=Законод!$C$22,J941,Законод!$C$22*'01_Доходи'!J940),IF($B$937="Лікар-педіатр","x",IF($B$937="Лікар-терапевт",IF(L941&lt;=Законод!$C$26,J941,Законод!$C$26*'01_Доходи'!J940),0)))</f>
        <v>0</v>
      </c>
      <c r="K942" s="208">
        <f ca="1">IF($B$937="Лікар загальної практики - сімейний лікар",IF(L941&lt;=Законод!$C$22,K941,Законод!$C$22*'01_Доходи'!K940),IF($B$937="Лікар-педіатр","x",IF($B$937="Лікар-терапевт",IF(L941&lt;=Законод!$C$26,K941,Законод!$C$26*'01_Доходи'!K940),0)))</f>
        <v>0</v>
      </c>
      <c r="L942" s="209">
        <f ca="1">SUM(G942:K942)</f>
        <v>0</v>
      </c>
      <c r="M942" s="930"/>
      <c r="N942" s="208">
        <f ca="1">IF($B$937="Лікар загальної практики - сімейний лікар",IF(S941&lt;=Законод!$C$22,N941,Законод!$C$22*'01_Доходи'!N940),IF($B$937="Лікар-педіатр",IF(S941&lt;=Законод!$C$18,N941,Законод!$C$18*'01_Доходи'!N940),IF($B$937="Лікар-терапевт","x",0)))</f>
        <v>0</v>
      </c>
      <c r="O942" s="208">
        <f ca="1">IF($B$937="Лікар загальної практики - сімейний лікар",IF(S941&lt;=Законод!$C$22,O941,Законод!$C$22*'01_Доходи'!O940),IF($B$937="Лікар-педіатр",IF(S941&lt;=Законод!$C$18,O941,Законод!$C$18*'01_Доходи'!O940),IF($B$937="Лікар-терапевт","x",0)))</f>
        <v>0</v>
      </c>
      <c r="P942" s="208">
        <f ca="1">IF($B$937="Лікар загальної практики - сімейний лікар",IF(S941&lt;=Законод!$C$22,P941,Законод!$C$22*'01_Доходи'!P940),IF($B$937="Лікар-педіатр","x",IF($B$937="Лікар-терапевт",IF(S941&lt;=Законод!$C$26,P941,Законод!$C$26*'01_Доходи'!P940),0)))</f>
        <v>0</v>
      </c>
      <c r="Q942" s="208">
        <f ca="1">IF($B$937="Лікар загальної практики - сімейний лікар",IF(S941&lt;=Законод!$C$22,Q941,Законод!$C$22*'01_Доходи'!Q940),IF($B$937="Лікар-педіатр","x",IF($B$937="Лікар-терапевт",IF(S941&lt;=Законод!$C$26,Q941,Законод!$C$26*'01_Доходи'!Q940),0)))</f>
        <v>0</v>
      </c>
      <c r="R942" s="208">
        <f ca="1">IF($B$937="Лікар загальної практики - сімейний лікар",IF(S941&lt;=Законод!$C$22,R941,Законод!$C$22*'01_Доходи'!R940),IF($B$937="Лікар-педіатр","x",IF($B$937="Лікар-терапевт",IF(S941&lt;=Законод!$C$26,R941,Законод!$C$26*'01_Доходи'!R940),0)))</f>
        <v>0</v>
      </c>
      <c r="S942" s="209">
        <f ca="1">SUM(N942:R942)</f>
        <v>0</v>
      </c>
      <c r="T942" s="930"/>
      <c r="U942" s="208">
        <f ca="1">IF($B$937="Лікар загальної практики - сімейний лікар",IF(Z941&lt;=Законод!$C$22,U941,Законод!$C$22*'01_Доходи'!U940),IF($B$937="Лікар-педіатр",IF(Z941&lt;=Законод!$C$18,U941,Законод!$C$18*'01_Доходи'!U940),IF($B$937="Лікар-терапевт","x",0)))</f>
        <v>0</v>
      </c>
      <c r="V942" s="208">
        <f ca="1">IF($B$937="Лікар загальної практики - сімейний лікар",IF(Z941&lt;=Законод!$C$22,V941,Законод!$C$22*'01_Доходи'!V940),IF($B$937="Лікар-педіатр",IF(Z941&lt;=Законод!$C$18,V941,Законод!$C$18*'01_Доходи'!V940),IF($B$937="Лікар-терапевт","x",0)))</f>
        <v>0</v>
      </c>
      <c r="W942" s="208">
        <f ca="1">IF($B$937="Лікар загальної практики - сімейний лікар",IF(Z941&lt;=Законод!$C$22,W941,Законод!$C$22*'01_Доходи'!W940),IF($B$937="Лікар-педіатр","x",IF($B$937="Лікар-терапевт",IF(Z941&lt;=Законод!$C$26,W941,Законод!$C$26*'01_Доходи'!W940),0)))</f>
        <v>0</v>
      </c>
      <c r="X942" s="208">
        <f ca="1">IF($B$937="Лікар загальної практики - сімейний лікар",IF(Z941&lt;=Законод!$C$22,X941,Законод!$C$22*'01_Доходи'!X940),IF($B$937="Лікар-педіатр","x",IF($B$937="Лікар-терапевт",IF(Z941&lt;=Законод!$C$26,X941,Законод!$C$26*'01_Доходи'!X940),0)))</f>
        <v>0</v>
      </c>
      <c r="Y942" s="208">
        <f ca="1">IF($B$937="Лікар загальної практики - сімейний лікар",IF(Z941&lt;=Законод!$C$22,Y941,Законод!$C$22*'01_Доходи'!Y940),IF($B$937="Лікар-педіатр","x",IF($B$937="Лікар-терапевт",IF(Z941&lt;=Законод!$C$26,Y941,Законод!$C$26*'01_Доходи'!Y940),0)))</f>
        <v>0</v>
      </c>
      <c r="Z942" s="209">
        <f ca="1">SUM(U942:Y942)</f>
        <v>0</v>
      </c>
      <c r="AA942" s="930"/>
      <c r="AB942" s="208">
        <f ca="1">IF($B$937="Лікар загальної практики - сімейний лікар",IF(AG941&lt;=Законод!$C$22,AB941,Законод!$C$22*'01_Доходи'!AB940),IF($B$937="Лікар-педіатр",IF(AG941&lt;=Законод!$C$18,AB941,Законод!$C$18*'01_Доходи'!AB940),IF($B$937="Лікар-терапевт","x",0)))</f>
        <v>0</v>
      </c>
      <c r="AC942" s="208">
        <f ca="1">IF($B$937="Лікар загальної практики - сімейний лікар",IF(AG941&lt;=Законод!$C$22,AC941,Законод!$C$22*'01_Доходи'!AC940),IF($B$937="Лікар-педіатр",IF(AG941&lt;=Законод!$C$18,AC941,Законод!$C$18*'01_Доходи'!AC940),IF($B$937="Лікар-терапевт","x",0)))</f>
        <v>0</v>
      </c>
      <c r="AD942" s="208">
        <f ca="1">IF($B$937="Лікар загальної практики - сімейний лікар",IF(AG941&lt;=Законод!$C$22,AD941,Законод!$C$22*'01_Доходи'!AD940),IF($B$937="Лікар-педіатр","x",IF($B$937="Лікар-терапевт",IF(AG941&lt;=Законод!$C$26,AD941,Законод!$C$26*'01_Доходи'!AD940),0)))</f>
        <v>0</v>
      </c>
      <c r="AE942" s="208">
        <f ca="1">IF($B$937="Лікар загальної практики - сімейний лікар",IF(AG941&lt;=Законод!$C$22,AE941,Законод!$C$22*'01_Доходи'!AE940),IF($B$937="Лікар-педіатр","x",IF($B$937="Лікар-терапевт",IF(AG941&lt;=Законод!$C$26,AE941,Законод!$C$26*'01_Доходи'!AE940),0)))</f>
        <v>0</v>
      </c>
      <c r="AF942" s="208">
        <f ca="1">IF($B$937="Лікар загальної практики - сімейний лікар",IF(AG941&lt;=Законод!$C$22,AF941,Законод!$C$22*'01_Доходи'!AF940),IF($B$937="Лікар-педіатр","x",IF($B$937="Лікар-терапевт",IF(AG941&lt;=Законод!$C$26,AF941,Законод!$C$26*'01_Доходи'!AF940),0)))</f>
        <v>0</v>
      </c>
      <c r="AG942" s="209">
        <f ca="1">SUM(AB942:AF942)</f>
        <v>0</v>
      </c>
      <c r="AH942" s="930"/>
      <c r="AI942" s="201"/>
      <c r="AJ942" s="933"/>
      <c r="AK942" s="927"/>
      <c r="AL942" s="927"/>
      <c r="AM942" s="348" t="s">
        <v>374</v>
      </c>
      <c r="AN942" s="210">
        <f ca="1">IF(B937="Лікар загальної практики - сімейний лікар",G942*Законод!$C$11+'01_Доходи'!H942*Законод!$D$11+'01_Доходи'!I942*Законод!$E$11+'01_Доходи'!J942*Законод!$F$11+'01_Доходи'!K942*Законод!$G$11,IF(B937="Лікар-педіатр",G942*Законод!$C$11+'01_Доходи'!H942*Законод!$D$11,IF(B937="Лікар-терапевт",'01_Доходи'!I942*Законод!$E$11+'01_Доходи'!J942*Законод!$F$11+'01_Доходи'!K942*Законод!$G$11,0)))</f>
        <v>0</v>
      </c>
      <c r="AO942" s="210">
        <f ca="1">IF(B937="Лікар загальної практики - сімейний лікар",N942*Законод!$C$11+'01_Доходи'!O942*Законод!$D$11+'01_Доходи'!P942*Законод!$E$11+'01_Доходи'!Q942*Законод!$F$11+'01_Доходи'!R942*Законод!$G$11,IF(B937="Лікар-педіатр",N942*Законод!$C$11+'01_Доходи'!O942*Законод!$D$11,IF(B937="Лікар-терапевт",'01_Доходи'!P942*Законод!$E$11+'01_Доходи'!Q942*Законод!$F$11+'01_Доходи'!R942*Законод!$G$11,0)))</f>
        <v>0</v>
      </c>
      <c r="AP942" s="210">
        <f ca="1">IF(B937="Лікар загальної практики - сімейний лікар",U942*Законод!$C$11+'01_Доходи'!V942*Законод!$D$11+'01_Доходи'!W942*Законод!$E$11+'01_Доходи'!X942*Законод!$F$11+'01_Доходи'!Y942*Законод!$G$11,IF(B937="Лікар-педіатр",U942*Законод!$C$11+'01_Доходи'!V942*Законод!$D$11,IF(B937="Лікар-терапевт",'01_Доходи'!W942*Законод!$E$11+'01_Доходи'!X942*Законод!$F$11+'01_Доходи'!Y942*Законод!$G$11,0)))</f>
        <v>0</v>
      </c>
      <c r="AQ942" s="210">
        <f ca="1">IF(B937="Лікар загальної практики - сімейний лікар",AB942*Законод!$C$11+'01_Доходи'!AC942*Законод!$D$11+'01_Доходи'!AD942*Законод!$E$11+'01_Доходи'!AE942*Законод!$F$11+'01_Доходи'!AF942*Законод!$G$11,IF(B937="Лікар-педіатр",AB942*Законод!$C$11+'01_Доходи'!AC942*Законод!$D$11,IF(B937="Лікар-терапевт",'01_Доходи'!AD942*Законод!$E$11+'01_Доходи'!AE942*Законод!$F$11+'01_Доходи'!AF942*Законод!$G$11,0)))</f>
        <v>0</v>
      </c>
      <c r="AR942" s="211">
        <f t="shared" ref="AR942:AR948" si="99">SUM(AN942:AQ942)</f>
        <v>0</v>
      </c>
    </row>
    <row r="943" spans="1:44" s="50" customFormat="1" ht="31.9" hidden="1" customHeight="1">
      <c r="A943" s="197"/>
      <c r="B943" s="893"/>
      <c r="C943" s="896"/>
      <c r="D943" s="912"/>
      <c r="E943" s="909"/>
      <c r="F943" s="238" t="str">
        <f ca="1">IF(B937="Лікар-педіатр",Законод!$E$17,IF(B937="Лікар загальної практики - сімейний лікар",Законод!$E$21,IF(B937="Лікар-терапевт",Законод!$E$25,"х")))</f>
        <v>х</v>
      </c>
      <c r="G943" s="889" t="s">
        <v>346</v>
      </c>
      <c r="H943" s="890"/>
      <c r="I943" s="890"/>
      <c r="J943" s="890"/>
      <c r="K943" s="891"/>
      <c r="L943" s="196">
        <f ca="1">IF($B$937="Лікар загальної практики - сімейний лікар",IF(L941&lt;Законод!$C$22,0,(IF(AND(L941&gt;=Законод!$E$22,L941&lt;=Законод!$E$23),L941-Законод!$C$22,IF('01_Доходи'!L941&gt;=Законод!$F$22,Законод!$E$24,0)))),IF($B$937="Лікар-педіатр",IF(L941&lt;Законод!$C$18,0,(IF(AND(L941&gt;=Законод!$E$18,L941&lt;=Законод!$E$19),L941-Законод!$C$18,IF('01_Доходи'!L941&gt;=Законод!$F$18,Законод!$E$20,0)))),IF($B$937="Лікар-терапевт",IF(L941&lt;Законод!$C$26,0,(IF(AND(L941&gt;=Законод!$E$26,L941&lt;=Законод!$E$27),L941-Законод!$C$26,IF('01_Доходи'!L941&gt;=Законод!$F$26,Законод!$E$28,0)))),0)))</f>
        <v>0</v>
      </c>
      <c r="M943" s="930"/>
      <c r="N943" s="889" t="s">
        <v>346</v>
      </c>
      <c r="O943" s="890"/>
      <c r="P943" s="890"/>
      <c r="Q943" s="890"/>
      <c r="R943" s="891"/>
      <c r="S943" s="196">
        <f ca="1">IF($B$937="Лікар загальної практики - сімейний лікар",IF(S941&lt;Законод!$C$22,0,(IF(AND(S941&gt;=Законод!$E$22,S941&lt;=Законод!$E$23),S941-Законод!$C$22,IF('01_Доходи'!S941&gt;=Законод!$F$22,Законод!$E$24,0)))),IF($B$937="Лікар-педіатр",IF(S941&lt;Законод!$C$18,0,(IF(AND(S941&gt;=Законод!$E$18,S941&lt;=Законод!$E$19),S941-Законод!$C$18,IF('01_Доходи'!S941&gt;=Законод!$F$18,Законод!$E$20,0)))),IF($B$937="Лікар-терапевт",IF(S941&lt;Законод!$C$26,0,(IF(AND(S941&gt;=Законод!$E$26,S941&lt;=Законод!$E$27),S941-Законод!$C$26,IF('01_Доходи'!S941&gt;=Законод!$F$26,Законод!$E$28,0)))),0)))</f>
        <v>0</v>
      </c>
      <c r="T943" s="930"/>
      <c r="U943" s="889" t="s">
        <v>346</v>
      </c>
      <c r="V943" s="890"/>
      <c r="W943" s="890"/>
      <c r="X943" s="890"/>
      <c r="Y943" s="891"/>
      <c r="Z943" s="196">
        <f ca="1">IF($B$937="Лікар загальної практики - сімейний лікар",IF(Z941&lt;Законод!$C$22,0,(IF(AND(Z941&gt;=Законод!$E$22,Z941&lt;=Законод!$E$23),Z941-Законод!$C$22,IF('01_Доходи'!Z941&gt;=Законод!$F$22,Законод!$E$24,0)))),IF($B$937="Лікар-педіатр",IF(Z941&lt;Законод!$C$18,0,(IF(AND(Z941&gt;=Законод!$E$18,Z941&lt;=Законод!$E$19),Z941-Законод!$C$18,IF('01_Доходи'!Z941&gt;=Законод!$F$18,Законод!$E$20,0)))),IF($B$937="Лікар-терапевт",IF(Z941&lt;Законод!$C$26,0,(IF(AND(Z941&gt;=Законод!$E$26,Z941&lt;=Законод!$E$27),Z941-Законод!$C$26,IF('01_Доходи'!Z941&gt;=Законод!$F$26,Законод!$E$28,0)))),0)))</f>
        <v>0</v>
      </c>
      <c r="AA943" s="930"/>
      <c r="AB943" s="889" t="s">
        <v>346</v>
      </c>
      <c r="AC943" s="890"/>
      <c r="AD943" s="890"/>
      <c r="AE943" s="890"/>
      <c r="AF943" s="891"/>
      <c r="AG943" s="196">
        <f ca="1">IF($B$937="Лікар загальної практики - сімейний лікар",IF(AG941&lt;Законод!$C$22,0,(IF(AND(AG941&gt;=Законод!$E$22,AG941&lt;=Законод!$E$23),AG941-Законод!$C$22,IF('01_Доходи'!AG941&gt;=Законод!$F$22,Законод!$E$24,0)))),IF($B$937="Лікар-педіатр",IF(AG941&lt;Законод!$C$18,0,(IF(AND(AG941&gt;=Законод!$E$18,AG941&lt;=Законод!$E$19),AG941-Законод!$C$18,IF('01_Доходи'!AG941&gt;=Законод!$F$18,Законод!$E$20,0)))),IF($B$937="Лікар-терапевт",IF(AG941&lt;Законод!$C$26,0,(IF(AND(AG941&gt;=Законод!$E$26,AG941&lt;=Законод!$E$27),AG941-Законод!$C$26,IF('01_Доходи'!AG941&gt;=Законод!$F$26,Законод!$E$28,0)))),0)))</f>
        <v>0</v>
      </c>
      <c r="AH943" s="930"/>
      <c r="AI943" s="201"/>
      <c r="AJ943" s="933"/>
      <c r="AK943" s="927"/>
      <c r="AL943" s="927"/>
      <c r="AM943" s="898" t="s">
        <v>375</v>
      </c>
      <c r="AN943" s="210">
        <f ca="1">IF(B937="Лікар загальної практики - сімейний лікар",L943*Законод!$C$9/4*Законод!$E$16,IF(B937="Лікар-педіатр",L943*Законод!$C$9/4*Законод!$E$16,IF(B937="Лікар-терапевт",L943*Законод!$C$9/4*Законод!$E$16,0)))</f>
        <v>0</v>
      </c>
      <c r="AO943" s="210">
        <f ca="1">IF(B937="Лікар загальної практики - сімейний лікар",S943*Законод!$C$9/4*Законод!$E$16,IF(B937="Лікар-педіатр",S943*Законод!$C$9/4*Законод!$E$16,IF(B937="Лікар-терапевт",S943*Законод!$C$9/4*Законод!$E$16,0)))</f>
        <v>0</v>
      </c>
      <c r="AP943" s="210">
        <f ca="1">IF(B937="Лікар загальної практики - сімейний лікар",Z943*Законод!$C$9/4*Законод!$E$16,IF(B937="Лікар-педіатр",Z943*Законод!$C$9/4*Законод!$E$16,IF(B937="Лікар-терапевт",Z943*Законод!$C$9/4*Законод!$E$16,0)))</f>
        <v>0</v>
      </c>
      <c r="AQ943" s="210">
        <f ca="1">IF(B937="Лікар загальної практики - сімейний лікар",AG943*Законод!$C$9/4*Законод!$E$16,IF(B937="Лікар-педіатр",AG943*Законод!$C$9/4*Законод!$E$16,IF(B937="Лікар-терапевт",AG943*Законод!$C$9/4*Законод!$E$16,0)))</f>
        <v>0</v>
      </c>
      <c r="AR943" s="211">
        <f t="shared" si="99"/>
        <v>0</v>
      </c>
    </row>
    <row r="944" spans="1:44" s="50" customFormat="1" ht="31.9" hidden="1" customHeight="1">
      <c r="A944" s="197"/>
      <c r="B944" s="893"/>
      <c r="C944" s="896"/>
      <c r="D944" s="912"/>
      <c r="E944" s="909"/>
      <c r="F944" s="238" t="str">
        <f ca="1">IF(B937="Лікар-педіатр",Законод!$F$17,IF(B937="Лікар загальної практики - сімейний лікар",Законод!$F$21,IF(B937="Лікар-терапевт",Законод!$F$25,"х")))</f>
        <v>х</v>
      </c>
      <c r="G944" s="889" t="s">
        <v>346</v>
      </c>
      <c r="H944" s="890"/>
      <c r="I944" s="890"/>
      <c r="J944" s="890"/>
      <c r="K944" s="891"/>
      <c r="L944" s="196">
        <f ca="1">IF($B$937="Лікар загальної практики - сімейний лікар",IF(L941&lt;Законод!$C$22,0,(IF(AND(L941&gt;=Законод!$F$22,L941&lt;=Законод!$F$23),L941-Законод!$E$23,IF('01_Доходи'!L941&gt;=Законод!$G$22,Законод!$F$24,0)))),IF($B$937="Лікар-педіатр",IF(L941&lt;Законод!$C$18,0,(IF(AND(L941&gt;=Законод!$F$18,L941&lt;=Законод!$F$19),L941-Законод!$E$19,IF('01_Доходи'!L941&gt;=Законод!$G$18,Законод!$F$20,0)))),IF($B$937="Лікар-терапевт",IF(L941&lt;Законод!$C$26,0,(IF(AND(L941&gt;=Законод!$F$26,L941&lt;=Законод!$F$27),L941-Законод!$E$27,IF('01_Доходи'!L941&gt;=Законод!$G$26,Законод!$F$28,0)))),0)))</f>
        <v>0</v>
      </c>
      <c r="M944" s="930"/>
      <c r="N944" s="889" t="s">
        <v>346</v>
      </c>
      <c r="O944" s="890"/>
      <c r="P944" s="890"/>
      <c r="Q944" s="890"/>
      <c r="R944" s="891"/>
      <c r="S944" s="196">
        <f ca="1">IF($B$937="Лікар загальної практики - сімейний лікар",IF(S941&lt;Законод!$C$22,0,(IF(AND(S941&gt;=Законод!$F$22,S941&lt;=Законод!$F$23),S941-Законод!$E$23,IF('01_Доходи'!S941&gt;=Законод!$G$22,Законод!$F$24,0)))),IF($B$937="Лікар-педіатр",IF(S941&lt;Законод!$C$18,0,(IF(AND(S941&gt;=Законод!$F$18,S941&lt;=Законод!$F$19),S941-Законод!$E$19,IF('01_Доходи'!S941&gt;=Законод!$G$18,Законод!$F$20,0)))),IF($B$937="Лікар-терапевт",IF(S941&lt;Законод!$C$26,0,(IF(AND(S941&gt;=Законод!$F$26,S941&lt;=Законод!$F$27),S941-Законод!$E$27,IF('01_Доходи'!S941&gt;=Законод!$G$26,Законод!$F$28,0)))),0)))</f>
        <v>0</v>
      </c>
      <c r="T944" s="930"/>
      <c r="U944" s="889" t="s">
        <v>346</v>
      </c>
      <c r="V944" s="890"/>
      <c r="W944" s="890"/>
      <c r="X944" s="890"/>
      <c r="Y944" s="891"/>
      <c r="Z944" s="196">
        <f ca="1">IF($B$937="Лікар загальної практики - сімейний лікар",IF(Z941&lt;Законод!$C$22,0,(IF(AND(Z941&gt;=Законод!$F$22,Z941&lt;=Законод!$F$23),Z941-Законод!$E$23,IF('01_Доходи'!Z941&gt;=Законод!$G$22,Законод!$F$24,0)))),IF($B$937="Лікар-педіатр",IF(Z941&lt;Законод!$C$18,0,(IF(AND(Z941&gt;=Законод!$F$18,Z941&lt;=Законод!$F$19),Z941-Законод!$E$19,IF('01_Доходи'!Z941&gt;=Законод!$G$18,Законод!$F$20,0)))),IF($B$937="Лікар-терапевт",IF(Z941&lt;Законод!$C$26,0,(IF(AND(Z941&gt;=Законод!$F$26,Z941&lt;=Законод!$F$27),Z941-Законод!$E$27,IF('01_Доходи'!Z941&gt;=Законод!$G$26,Законод!$F$28,0)))),0)))</f>
        <v>0</v>
      </c>
      <c r="AA944" s="930"/>
      <c r="AB944" s="889" t="s">
        <v>346</v>
      </c>
      <c r="AC944" s="890"/>
      <c r="AD944" s="890"/>
      <c r="AE944" s="890"/>
      <c r="AF944" s="891"/>
      <c r="AG944" s="196">
        <f ca="1">IF($B$937="Лікар загальної практики - сімейний лікар",IF(AG941&lt;Законод!$C$22,0,(IF(AND(AG941&gt;=Законод!$F$22,AG941&lt;=Законод!$F$23),AG941-Законод!$E$23,IF('01_Доходи'!AG941&gt;=Законод!$G$22,Законод!$F$24,0)))),IF($B$937="Лікар-педіатр",IF(AG941&lt;Законод!$C$18,0,(IF(AND(AG941&gt;=Законод!$F$18,AG941&lt;=Законод!$F$19),AG941-Законод!$E$19,IF('01_Доходи'!AG941&gt;=Законод!$G$18,Законод!$F$20,0)))),IF($B$937="Лікар-терапевт",IF(AG941&lt;Законод!$C$26,0,(IF(AND(AG941&gt;=Законод!$F$26,AG941&lt;=Законод!$F$27),AG941-Законод!$E$27,IF('01_Доходи'!AG941&gt;=Законод!$G$26,Законод!$F$28,0)))),0)))</f>
        <v>0</v>
      </c>
      <c r="AH944" s="930"/>
      <c r="AI944" s="201"/>
      <c r="AJ944" s="933"/>
      <c r="AK944" s="927"/>
      <c r="AL944" s="927"/>
      <c r="AM944" s="899"/>
      <c r="AN944" s="210">
        <f ca="1">IF(B937="Лікар загальної практики - сімейний лікар",L944*Законод!$C$9/4*Законод!$F$16,IF(B937="Лікар-педіатр",L944*Законод!$C$9/4*Законод!$F$16,IF(B937="Лікар-терапевт",L944*Законод!$C$9/4*Законод!$F$16,0)))</f>
        <v>0</v>
      </c>
      <c r="AO944" s="210">
        <f ca="1">IF(B937="Лікар загальної практики - сімейний лікар",S944*Законод!$C$9/4*Законод!$F$16,IF(B937="Лікар-педіатр",S944*Законод!$C$9/4*Законод!$F$16,IF(B937="Лікар-терапевт",S944*Законод!$C$9/4*Законод!$F$16,0)))</f>
        <v>0</v>
      </c>
      <c r="AP944" s="210">
        <f ca="1">IF(B937="Лікар загальної практики - сімейний лікар",Z944*Законод!$C$9/4*Законод!$F$16,IF(B937="Лікар-педіатр",Z944*Законод!$C$9/4*Законод!$F$16,IF(B937="Лікар-терапевт",Z944*Законод!$C$9/4*Законод!$F$16,0)))</f>
        <v>0</v>
      </c>
      <c r="AQ944" s="210">
        <f ca="1">IF(B937="Лікар загальної практики - сімейний лікар",AG944*Законод!$C$9/4*Законод!$F$16,IF(B937="Лікар-педіатр",AG944*Законод!$C$9/4*Законод!$F$16,IF(B937="Лікар-терапевт",AG944*Законод!$C$9/4*Законод!$F$16,0)))</f>
        <v>0</v>
      </c>
      <c r="AR944" s="211">
        <f t="shared" si="99"/>
        <v>0</v>
      </c>
    </row>
    <row r="945" spans="1:44" s="50" customFormat="1" ht="31.9" hidden="1" customHeight="1">
      <c r="A945" s="197"/>
      <c r="B945" s="893"/>
      <c r="C945" s="896"/>
      <c r="D945" s="912"/>
      <c r="E945" s="909"/>
      <c r="F945" s="238" t="str">
        <f ca="1">IF(B937="Лікар-педіатр",Законод!$G$17,IF(B937="Лікар загальної практики - сімейний лікар",Законод!$G$21,IF(B937="Лікар-терапевт",Законод!$G$25,"х")))</f>
        <v>х</v>
      </c>
      <c r="G945" s="889" t="s">
        <v>346</v>
      </c>
      <c r="H945" s="890"/>
      <c r="I945" s="890"/>
      <c r="J945" s="890"/>
      <c r="K945" s="891"/>
      <c r="L945" s="196">
        <f ca="1">IF($B$937="Лікар загальної практики - сімейний лікар",IF(L941&lt;Законод!$C$22,0,(IF(AND(L941&gt;=Законод!$G$22,L941&lt;=Законод!$G$23),L941-Законод!$F$23,IF('01_Доходи'!L941&gt;=Законод!$H$22,Законод!$G$24,0)))),IF($B$937="Лікар-педіатр",IF(L941&lt;Законод!$C$18,0,(IF(AND(L941&gt;=Законод!$G$18,L941&lt;=Законод!$G$19),L941-Законод!$F$19,IF('01_Доходи'!L941&gt;=Законод!$H$18,Законод!$G$20,0)))),IF($B$937="Лікар-терапевт",IF(L941&lt;Законод!$C$26,0,(IF(AND(L941&gt;=Законод!$G$26,L941&lt;=Законод!$G$27),L941-Законод!$F$27,IF('01_Доходи'!L941&gt;=Законод!$H$26,Законод!$G$28,0)))),0)))</f>
        <v>0</v>
      </c>
      <c r="M945" s="930"/>
      <c r="N945" s="889" t="s">
        <v>346</v>
      </c>
      <c r="O945" s="890"/>
      <c r="P945" s="890"/>
      <c r="Q945" s="890"/>
      <c r="R945" s="891"/>
      <c r="S945" s="196">
        <f ca="1">IF($B$937="Лікар загальної практики - сімейний лікар",IF(S941&lt;Законод!$C$22,0,(IF(AND(S941&gt;=Законод!$G$22,S941&lt;=Законод!$G$23),S941-Законод!$F$23,IF('01_Доходи'!S941&gt;=Законод!$H$22,Законод!$G$24,0)))),IF($B$937="Лікар-педіатр",IF(S941&lt;Законод!$C$18,0,(IF(AND(S941&gt;=Законод!$G$18,S941&lt;=Законод!$G$19),S941-Законод!$F$19,IF('01_Доходи'!S941&gt;=Законод!$H$18,Законод!$G$20,0)))),IF($B$937="Лікар-терапевт",IF(S941&lt;Законод!$C$26,0,(IF(AND(S941&gt;=Законод!$G$26,S941&lt;=Законод!$G$27),S941-Законод!$F$27,IF('01_Доходи'!S941&gt;=Законод!$H$26,Законод!$G$28,0)))),0)))</f>
        <v>0</v>
      </c>
      <c r="T945" s="930"/>
      <c r="U945" s="889" t="s">
        <v>346</v>
      </c>
      <c r="V945" s="890"/>
      <c r="W945" s="890"/>
      <c r="X945" s="890"/>
      <c r="Y945" s="891"/>
      <c r="Z945" s="196">
        <f ca="1">IF($B$937="Лікар загальної практики - сімейний лікар",IF(Z941&lt;Законод!$C$22,0,(IF(AND(Z941&gt;=Законод!$G$22,Z941&lt;=Законод!$G$23),Z941-Законод!$F$23,IF('01_Доходи'!Z941&gt;=Законод!$H$22,Законод!$G$24,0)))),IF($B$937="Лікар-педіатр",IF(Z941&lt;Законод!$C$18,0,(IF(AND(Z941&gt;=Законод!$G$18,Z941&lt;=Законод!$G$19),Z941-Законод!$F$19,IF('01_Доходи'!Z941&gt;=Законод!$H$18,Законод!$G$20,0)))),IF($B$937="Лікар-терапевт",IF(Z941&lt;Законод!$C$26,0,(IF(AND(Z941&gt;=Законод!$G$26,Z941&lt;=Законод!$G$27),Z941-Законод!$F$27,IF('01_Доходи'!Z941&gt;=Законод!$H$26,Законод!$G$28,0)))),0)))</f>
        <v>0</v>
      </c>
      <c r="AA945" s="930"/>
      <c r="AB945" s="889" t="s">
        <v>346</v>
      </c>
      <c r="AC945" s="890"/>
      <c r="AD945" s="890"/>
      <c r="AE945" s="890"/>
      <c r="AF945" s="891"/>
      <c r="AG945" s="196">
        <f ca="1">IF($B$937="Лікар загальної практики - сімейний лікар",IF(AG941&lt;Законод!$C$22,0,(IF(AND(AG941&gt;=Законод!$G$22,AG941&lt;=Законод!$G$23),AG941-Законод!$F$23,IF('01_Доходи'!AG941&gt;=Законод!$H$22,Законод!$G$24,0)))),IF($B$937="Лікар-педіатр",IF(AG941&lt;Законод!$C$18,0,(IF(AND(AG941&gt;=Законод!$G$18,AG941&lt;=Законод!$G$19),AG941-Законод!$F$19,IF('01_Доходи'!AG941&gt;=Законод!$H$18,Законод!$G$20,0)))),IF($B$937="Лікар-терапевт",IF(AG941&lt;Законод!$C$26,0,(IF(AND(AG941&gt;=Законод!$G$26,AG941&lt;=Законод!$G$27),AG941-Законод!$F$27,IF('01_Доходи'!AG941&gt;=Законод!$H$26,Законод!$G$28,0)))),0)))</f>
        <v>0</v>
      </c>
      <c r="AH945" s="930"/>
      <c r="AI945" s="201"/>
      <c r="AJ945" s="933"/>
      <c r="AK945" s="927"/>
      <c r="AL945" s="927"/>
      <c r="AM945" s="899"/>
      <c r="AN945" s="210">
        <f ca="1">IF(B937="Лікар загальної практики - сімейний лікар",L945*Законод!$C$9/4*Законод!$G$16,IF(B937="Лікар-педіатр",L945*Законод!$C$9/4*Законод!$G$16,IF(B937="Лікар-терапевт",L945*Законод!$C$9/4*Законод!$G$16,0)))</f>
        <v>0</v>
      </c>
      <c r="AO945" s="210">
        <f ca="1">IF(B937="Лікар загальної практики - сімейний лікар",S945*Законод!$C$9/4*Законод!$G$16,IF(B937="Лікар-педіатр",S945*Законод!$C$9/4*Законод!$G$16,IF(B937="Лікар-терапевт",S945*Законод!$C$9/4*Законод!$G$16,0)))</f>
        <v>0</v>
      </c>
      <c r="AP945" s="210">
        <f ca="1">IF(B937="Лікар загальної практики - сімейний лікар",Z945*Законод!$C$9/4*Законод!$G$16,IF(B937="Лікар-педіатр",Z945*Законод!$C$9/4*Законод!$G$16,IF(B937="Лікар-терапевт",Z945*Законод!$C$9/4*Законод!$G$16,0)))</f>
        <v>0</v>
      </c>
      <c r="AQ945" s="210">
        <f ca="1">IF(B937="Лікар загальної практики - сімейний лікар",AG945*Законод!$C$9/4*Законод!$G$16,IF(B937="Лікар-педіатр",AG945*Законод!$C$9/4*Законод!$G$16,IF(B937="Лікар-терапевт",AG945*Законод!$C$9/4*Законод!$G$16,0)))</f>
        <v>0</v>
      </c>
      <c r="AR945" s="211">
        <f t="shared" si="99"/>
        <v>0</v>
      </c>
    </row>
    <row r="946" spans="1:44" s="50" customFormat="1" ht="31.9" hidden="1" customHeight="1">
      <c r="A946" s="197"/>
      <c r="B946" s="893"/>
      <c r="C946" s="896"/>
      <c r="D946" s="912"/>
      <c r="E946" s="909"/>
      <c r="F946" s="238" t="str">
        <f ca="1">IF(B937="Лікар-педіатр",Законод!$H$17,IF(B937="Лікар загальної практики - сімейний лікар",Законод!$H$21,IF(B937="Лікар-терапевт",Законод!$H$25,"х")))</f>
        <v>х</v>
      </c>
      <c r="G946" s="889" t="s">
        <v>346</v>
      </c>
      <c r="H946" s="890"/>
      <c r="I946" s="890"/>
      <c r="J946" s="890"/>
      <c r="K946" s="891"/>
      <c r="L946" s="196">
        <f ca="1">IF($B$937="Лікар загальної практики - сімейний лікар",IF(L941&lt;Законод!$C$22,0,(IF(AND(L941&gt;=Законод!$H$22,L941&lt;=Законод!$H$23),L941-Законод!$G$23,IF('01_Доходи'!L941&gt;=Законод!$I$22,Законод!$H$24,0)))),IF($B$937="Лікар-педіатр",IF(L941&lt;Законод!$C$18,0,(IF(AND(L941&gt;=Законод!$H$18,L941&lt;=Законод!$H$19),L941-Законод!$G$19,IF('01_Доходи'!L941&gt;=Законод!$I$18,Законод!$H$20,0)))),IF($B$937="Лікар-терапевт",IF(L941&lt;Законод!$C$26,0,(IF(AND(L941&gt;=Законод!$H$26,L941&lt;=Законод!$H$27),L941-Законод!$G$27,IF(L941&gt;=Законод!$I$26,Законод!$H$28,0)))),0)))</f>
        <v>0</v>
      </c>
      <c r="M946" s="930"/>
      <c r="N946" s="889" t="s">
        <v>346</v>
      </c>
      <c r="O946" s="890"/>
      <c r="P946" s="890"/>
      <c r="Q946" s="890"/>
      <c r="R946" s="891"/>
      <c r="S946" s="196">
        <f ca="1">IF($B$937="Лікар загальної практики - сімейний лікар",IF(S941&lt;Законод!$C$22,0,(IF(AND(S941&gt;=Законод!$H$22,S941&lt;=Законод!$H$23),S941-Законод!$G$23,IF('01_Доходи'!S941&gt;=Законод!$I$22,Законод!$H$24,0)))),IF($B$937="Лікар-педіатр",IF(S941&lt;Законод!$C$18,0,(IF(AND(S941&gt;=Законод!$H$18,S941&lt;=Законод!$H$19),S941-Законод!$G$19,IF('01_Доходи'!S941&gt;=Законод!$I$18,Законод!$H$20,0)))),IF($B$937="Лікар-терапевт",IF(S941&lt;Законод!$C$26,0,(IF(AND(S941&gt;=Законод!$H$26,S941&lt;=Законод!$H$27),S941-Законод!$G$27,IF(S941&gt;=Законод!$I$26,Законод!$H$28,0)))),0)))</f>
        <v>0</v>
      </c>
      <c r="T946" s="930"/>
      <c r="U946" s="889" t="s">
        <v>346</v>
      </c>
      <c r="V946" s="890"/>
      <c r="W946" s="890"/>
      <c r="X946" s="890"/>
      <c r="Y946" s="891"/>
      <c r="Z946" s="196">
        <f ca="1">IF($B$937="Лікар загальної практики - сімейний лікар",IF(Z941&lt;Законод!$C$22,0,(IF(AND(Z941&gt;=Законод!$H$22,Z941&lt;=Законод!$H$23),Z941-Законод!$G$23,IF('01_Доходи'!Z941&gt;=Законод!$I$22,Законод!$H$24,0)))),IF($B$937="Лікар-педіатр",IF(Z941&lt;Законод!$C$18,0,(IF(AND(Z941&gt;=Законод!$H$18,Z941&lt;=Законод!$H$19),Z941-Законод!$G$19,IF('01_Доходи'!Z941&gt;=Законод!$I$18,Законод!$H$20,0)))),IF($B$937="Лікар-терапевт",IF(Z941&lt;Законод!$C$26,0,(IF(AND(Z941&gt;=Законод!$H$26,Z941&lt;=Законод!$H$27),Z941-Законод!$G$27,IF(Z941&gt;=Законод!$I$26,Законод!$H$28,0)))),0)))</f>
        <v>0</v>
      </c>
      <c r="AA946" s="930"/>
      <c r="AB946" s="889" t="s">
        <v>346</v>
      </c>
      <c r="AC946" s="890"/>
      <c r="AD946" s="890"/>
      <c r="AE946" s="890"/>
      <c r="AF946" s="891"/>
      <c r="AG946" s="196">
        <f ca="1">IF($B$937="Лікар загальної практики - сімейний лікар",IF(AG941&lt;Законод!$C$22,0,(IF(AND(AG941&gt;=Законод!$H$22,AG941&lt;=Законод!$H$23),AG941-Законод!$G$23,IF('01_Доходи'!AG941&gt;=Законод!$I$22,Законод!$H$24,0)))),IF($B$937="Лікар-педіатр",IF(AG941&lt;Законод!$C$18,0,(IF(AND(AG941&gt;=Законод!$H$18,AG941&lt;=Законод!$H$19),AG941-Законод!$G$19,IF('01_Доходи'!AG941&gt;=Законод!$I$18,Законод!$H$20,0)))),IF($B$937="Лікар-терапевт",IF(AG941&lt;Законод!$C$26,0,(IF(AND(AG941&gt;=Законод!$H$26,AG941&lt;=Законод!$H$27),AG941-Законод!$G$27,IF(AG941&gt;=Законод!$I$26,Законод!$H$28,0)))),0)))</f>
        <v>0</v>
      </c>
      <c r="AH946" s="930"/>
      <c r="AI946" s="201"/>
      <c r="AJ946" s="933"/>
      <c r="AK946" s="927"/>
      <c r="AL946" s="927"/>
      <c r="AM946" s="899"/>
      <c r="AN946" s="210">
        <f ca="1">IF(B937="Лікар загальної практики - сімейний лікар",L946*Законод!$C$9/4*Законод!$H$16,IF(B937="Лікар-педіатр",L946*Законод!$C$9/4*Законод!$H$16,IF(B937="Лікар-терапевт",L946*Законод!$C$9/4*Законод!$H$16,0)))</f>
        <v>0</v>
      </c>
      <c r="AO946" s="210">
        <f ca="1">IF(B937="Лікар загальної практики - сімейний лікар",S946*Законод!$C$9/4*Законод!$H$16,IF(B937="Лікар-педіатр",S946*Законод!$C$9/4*Законод!$H$16,IF(B937="Лікар-терапевт",S946*Законод!$C$9/4*Законод!$H$16,0)))</f>
        <v>0</v>
      </c>
      <c r="AP946" s="210">
        <f ca="1">IF(B937="Лікар загальної практики - сімейний лікар",Z946*Законод!$C$9/4*Законод!$H$16,IF(B937="Лікар-педіатр",Z946*Законод!$C$9/4*Законод!$H$16,IF(B937="Лікар-терапевт",Z946*Законод!$C$9/4*Законод!$H$16,0)))</f>
        <v>0</v>
      </c>
      <c r="AQ946" s="210">
        <f ca="1">IF(B937="Лікар загальної практики - сімейний лікар",AG946*Законод!$C$9/4*Законод!$H$16,IF(B937="Лікар-педіатр",AG946*Законод!$C$9/4*Законод!$H$16,IF(B937="Лікар-терапевт",AG946*Законод!$C$9/4*Законод!$H$16,0)))</f>
        <v>0</v>
      </c>
      <c r="AR946" s="211">
        <f t="shared" si="99"/>
        <v>0</v>
      </c>
    </row>
    <row r="947" spans="1:44" s="50" customFormat="1" ht="31.9" hidden="1" customHeight="1">
      <c r="A947" s="197"/>
      <c r="B947" s="893"/>
      <c r="C947" s="896"/>
      <c r="D947" s="912"/>
      <c r="E947" s="909"/>
      <c r="F947" s="238" t="str">
        <f ca="1">IF(B937="Лікар-педіатр",Законод!$I$17,IF(B937="Лікар загальної практики - сімейний лікар",Законод!$I$21,IF(B937="Лікар-терапевт",Законод!$I$25,"х")))</f>
        <v>х</v>
      </c>
      <c r="G947" s="889" t="s">
        <v>346</v>
      </c>
      <c r="H947" s="890"/>
      <c r="I947" s="890"/>
      <c r="J947" s="890"/>
      <c r="K947" s="891"/>
      <c r="L947" s="196">
        <f ca="1">IF($B$937="Лікар загальної практики - сімейний лікар",IF(L941&lt;Законод!$C$22,0,(IF(AND(L941&gt;=Законод!$I$22,L941&lt;=Законод!$I$23),L941-Законод!$H$23,IF('01_Доходи'!L941&gt;=Законод!$I$22,Законод!$I$24,0)))),IF($B$937="Лікар-педіатр",IF(L941&lt;Законод!$C$18,0,(IF(AND(L941&gt;=Законод!$I$18,L941&lt;=Законод!$I$19),L941-Законод!$H$19,IF('01_Доходи'!L941&gt;=Законод!$I$18,Законод!$H$20,0)))),IF($B$937="Лікар-терапевт",IF(L941&lt;Законод!$C$26,0,(IF(AND(L941&gt;=Законод!$I$26,L941&lt;=Законод!$I$27),L941-Законод!$H$27,IF('01_Доходи'!L941&gt;=Законод!$I$26,Законод!$H$28,0)))),0)))</f>
        <v>0</v>
      </c>
      <c r="M947" s="930"/>
      <c r="N947" s="889" t="s">
        <v>346</v>
      </c>
      <c r="O947" s="890"/>
      <c r="P947" s="890"/>
      <c r="Q947" s="890"/>
      <c r="R947" s="891"/>
      <c r="S947" s="196">
        <f ca="1">IF($B$937="Лікар загальної практики - сімейний лікар",IF(S941&lt;Законод!$C$22,0,(IF(AND(S941&gt;=Законод!$I$22,S941&lt;=Законод!$I$23),S941-Законод!$H$23,IF('01_Доходи'!S941&gt;=Законод!$I$22,Законод!$I$24,0)))),IF($B$937="Лікар-педіатр",IF(S941&lt;Законод!$C$18,0,(IF(AND(S941&gt;=Законод!$I$18,S941&lt;=Законод!$I$19),S941-Законод!$H$19,IF('01_Доходи'!S941&gt;=Законод!$I$18,Законод!$H$20,0)))),IF($B$937="Лікар-терапевт",IF(S941&lt;Законод!$C$26,0,(IF(AND(S941&gt;=Законод!$I$26,S941&lt;=Законод!$I$27),S941-Законод!$H$27,IF('01_Доходи'!S941&gt;=Законод!$I$26,Законод!$H$28,0)))),0)))</f>
        <v>0</v>
      </c>
      <c r="T947" s="930"/>
      <c r="U947" s="889" t="s">
        <v>346</v>
      </c>
      <c r="V947" s="890"/>
      <c r="W947" s="890"/>
      <c r="X947" s="890"/>
      <c r="Y947" s="891"/>
      <c r="Z947" s="196">
        <f ca="1">IF($B$937="Лікар загальної практики - сімейний лікар",IF(Z941&lt;Законод!$C$22,0,(IF(AND(Z941&gt;=Законод!$I$22,Z941&lt;=Законод!$I$23),Z941-Законод!$H$23,IF('01_Доходи'!Z941&gt;=Законод!$I$22,Законод!$I$24,0)))),IF($B$937="Лікар-педіатр",IF(Z941&lt;Законод!$C$18,0,(IF(AND(Z941&gt;=Законод!$I$18,Z941&lt;=Законод!$I$19),Z941-Законод!$H$19,IF('01_Доходи'!Z941&gt;=Законод!$I$18,Законод!$H$20,0)))),IF($B$937="Лікар-терапевт",IF(Z941&lt;Законод!$C$26,0,(IF(AND(Z941&gt;=Законод!$I$26,Z941&lt;=Законод!$I$27),Z941-Законод!$H$27,IF('01_Доходи'!Z941&gt;=Законод!$I$26,Законод!$H$28,0)))),0)))</f>
        <v>0</v>
      </c>
      <c r="AA947" s="930"/>
      <c r="AB947" s="889" t="s">
        <v>346</v>
      </c>
      <c r="AC947" s="890"/>
      <c r="AD947" s="890"/>
      <c r="AE947" s="890"/>
      <c r="AF947" s="891"/>
      <c r="AG947" s="196">
        <f ca="1">IF($B$937="Лікар загальної практики - сімейний лікар",IF(AG941&lt;Законод!$C$22,0,(IF(AND(AG941&gt;=Законод!$I$22,AG941&lt;=Законод!$I$23),AG941-Законод!$H$23,IF('01_Доходи'!AG941&gt;=Законод!$I$22,Законод!$I$24,0)))),IF($B$937="Лікар-педіатр",IF(AG941&lt;Законод!$C$18,0,(IF(AND(AG941&gt;=Законод!$I$18,AG941&lt;=Законод!$I$19),AG941-Законод!$H$19,IF('01_Доходи'!AG941&gt;=Законод!$I$18,Законод!$H$20,0)))),IF($B$937="Лікар-терапевт",IF(AG941&lt;Законод!$C$26,0,(IF(AND(AG941&gt;=Законод!$I$26,AG941&lt;=Законод!$I$27),AG941-Законод!$H$27,IF('01_Доходи'!AG941&gt;=Законод!$I$26,Законод!$H$28,0)))),0)))</f>
        <v>0</v>
      </c>
      <c r="AH947" s="930"/>
      <c r="AI947" s="201"/>
      <c r="AJ947" s="933"/>
      <c r="AK947" s="927"/>
      <c r="AL947" s="927"/>
      <c r="AM947" s="899"/>
      <c r="AN947" s="210">
        <f ca="1">IF(B937="Лікар загальної практики - сімейний лікар",L947*Законод!$C$9/4*Законод!$I$16,IF(B937="Лікар-педіатр",L947*Законод!$C$9/4*Законод!$I$16,IF(B937="Лікар-терапевт",L947*Законод!$C$9/4*Законод!$I$16,0)))</f>
        <v>0</v>
      </c>
      <c r="AO947" s="210">
        <f ca="1">IF(B937="Лікар загальної практики - сімейний лікар",S947*Законод!$C$9/4*Законод!$I$16,IF(B937="Лікар-педіатр",S947*Законод!$C$9/4*Законод!$I$16,IF(B937="Лікар-терапевт",S947*Законод!$C$9/4*Законод!$I$16,0)))</f>
        <v>0</v>
      </c>
      <c r="AP947" s="210">
        <f ca="1">IF(B937="Лікар загальної практики - сімейний лікар",Z947*Законод!$C$9/4*Законод!$I$16,IF(B937="Лікар-педіатр",Z947*Законод!$C$9/4*Законод!$I$16,IF(B937="Лікар-терапевт",Z947*Законод!$C$9/4*Законод!$I$16,0)))</f>
        <v>0</v>
      </c>
      <c r="AQ947" s="210">
        <f ca="1">IF(B937="Лікар загальної практики - сімейний лікар",AG947*Законод!$C$9/4*Законод!$I$16,IF(B937="Лікар-педіатр",AG947*Законод!$C$9/4*Законод!$I$16,IF(B937="Лікар-терапевт",AG947*Законод!$C$9/4*Законод!$I$16,0)))</f>
        <v>0</v>
      </c>
      <c r="AR947" s="211">
        <f t="shared" si="99"/>
        <v>0</v>
      </c>
    </row>
    <row r="948" spans="1:44" s="218" customFormat="1" ht="31.9" hidden="1" customHeight="1" thickBot="1">
      <c r="A948" s="213"/>
      <c r="B948" s="894"/>
      <c r="C948" s="897"/>
      <c r="D948" s="913"/>
      <c r="E948" s="910"/>
      <c r="F948" s="239" t="str">
        <f ca="1">IF(B937="Лікар-педіатр",Законод!$J$17,IF(B937="Лікар загальної практики - сімейний лікар",Законод!$J$21,IF(B937="Лікар-терапевт",Законод!$J$25,"х")))</f>
        <v>х</v>
      </c>
      <c r="G948" s="935" t="s">
        <v>346</v>
      </c>
      <c r="H948" s="936"/>
      <c r="I948" s="936"/>
      <c r="J948" s="936"/>
      <c r="K948" s="937"/>
      <c r="L948" s="196">
        <f ca="1">IF($B$937="Лікар загальної практики - сімейний лікар",IF(L941&gt;=Законод!$J$22,'01_Доходи'!L941-('01_Доходи'!L942+'01_Доходи'!L943+'01_Доходи'!L944+'01_Доходи'!L945+'01_Доходи'!L946+'01_Доходи'!L947),0),IF($B$937="Лікар-педіатр",IF(L941&gt;=Законод!$J$18,'01_Доходи'!L941-('01_Доходи'!L942+'01_Доходи'!L943+'01_Доходи'!L944+'01_Доходи'!L945+'01_Доходи'!L946+'01_Доходи'!L947),0),IF($B$937="Лікар-терапевт",IF('01_Доходи'!L941&gt;=Законод!$J$26,L941-Законод!$I$27,0),0)))</f>
        <v>0</v>
      </c>
      <c r="M948" s="931"/>
      <c r="N948" s="935" t="s">
        <v>346</v>
      </c>
      <c r="O948" s="936"/>
      <c r="P948" s="936"/>
      <c r="Q948" s="936"/>
      <c r="R948" s="937"/>
      <c r="S948" s="196">
        <f ca="1">IF($B$937="Лікар загальної практики - сімейний лікар",IF(S941&gt;=Законод!$J$22,'01_Доходи'!S941-('01_Доходи'!S942+'01_Доходи'!S943+'01_Доходи'!S944+'01_Доходи'!S945+'01_Доходи'!S946+'01_Доходи'!S947),0),IF($B$937="Лікар-педіатр",IF(S941&gt;=Законод!$J$18,'01_Доходи'!S941-('01_Доходи'!S942+'01_Доходи'!S943+'01_Доходи'!S944+'01_Доходи'!S945+'01_Доходи'!S946+'01_Доходи'!S947),0),IF($B$937="Лікар-терапевт",IF('01_Доходи'!S941&gt;=Законод!$J$26,S941-Законод!$I$27,0),0)))</f>
        <v>0</v>
      </c>
      <c r="T948" s="931"/>
      <c r="U948" s="935" t="s">
        <v>346</v>
      </c>
      <c r="V948" s="936"/>
      <c r="W948" s="936"/>
      <c r="X948" s="936"/>
      <c r="Y948" s="937"/>
      <c r="Z948" s="196">
        <f ca="1">IF($B$937="Лікар загальної практики - сімейний лікар",IF(Z941&gt;=Законод!$J$22,'01_Доходи'!Z941-('01_Доходи'!Z942+'01_Доходи'!Z943+'01_Доходи'!Z944+'01_Доходи'!Z945+'01_Доходи'!Z946+'01_Доходи'!Z947),0),IF($B$937="Лікар-педіатр",IF(Z941&gt;=Законод!$J$18,'01_Доходи'!Z941-('01_Доходи'!Z942+'01_Доходи'!Z943+'01_Доходи'!Z944+'01_Доходи'!Z945+'01_Доходи'!Z946+'01_Доходи'!Z947),0),IF($B$937="Лікар-терапевт",IF('01_Доходи'!Z941&gt;=Законод!$J$26,Z941-Законод!$I$27,0),0)))</f>
        <v>0</v>
      </c>
      <c r="AA948" s="931"/>
      <c r="AB948" s="935" t="s">
        <v>346</v>
      </c>
      <c r="AC948" s="936"/>
      <c r="AD948" s="936"/>
      <c r="AE948" s="936"/>
      <c r="AF948" s="937"/>
      <c r="AG948" s="196">
        <f ca="1">IF($B$937="Лікар загальної практики - сімейний лікар",IF(AG941&gt;=Законод!$J$22,'01_Доходи'!AG941-('01_Доходи'!AG942+'01_Доходи'!AG943+'01_Доходи'!AG944+'01_Доходи'!AG945+'01_Доходи'!AG946+'01_Доходи'!AG947),0),IF($B$937="Лікар-педіатр",IF(AG941&gt;=Законод!$J$18,'01_Доходи'!AG941-('01_Доходи'!AG942+'01_Доходи'!AG943+'01_Доходи'!AG944+'01_Доходи'!AG945+'01_Доходи'!AG946+'01_Доходи'!AG947),0),IF($B$937="Лікар-терапевт",IF('01_Доходи'!AG941&gt;=Законод!$J$26,AG941-Законод!$I$27,0),0)))</f>
        <v>0</v>
      </c>
      <c r="AH948" s="931"/>
      <c r="AI948" s="215"/>
      <c r="AJ948" s="934"/>
      <c r="AK948" s="928"/>
      <c r="AL948" s="928"/>
      <c r="AM948" s="900"/>
      <c r="AN948" s="216">
        <f ca="1">IF(B937="Лікар загальної практики - сімейний лікар",L948*Законод!$C$9/4*Законод!$J$16,IF(B937="Лікар-педіатр",L948*Законод!$C$9/4*Законод!$J$16,IF(B937="Лікар-терапевт",L948*Законод!$C$9/4*Законод!$J$16,0)))</f>
        <v>0</v>
      </c>
      <c r="AO948" s="216">
        <f ca="1">IF(B937="Лікар загальної практики - сімейний лікар",S948*Законод!$C$9/4*Законод!$J$16,IF(B937="Лікар-педіатр",S948*Законод!$C$9/4*Законод!$J$16,IF(B937="Лікар-терапевт",S948*Законод!$C$9/4*Законод!$J$16,0)))</f>
        <v>0</v>
      </c>
      <c r="AP948" s="216">
        <f ca="1">IF(B937="Лікар загальної практики - сімейний лікар",S948*Законод!$C$9/4*Законод!$J$16,IF(B937="Лікар-педіатр",S948*Законод!$C$9/4*Законод!$J$16,IF(B937="Лікар-терапевт",S948*Законод!$C$9/4*Законод!$J$16,0)))</f>
        <v>0</v>
      </c>
      <c r="AQ948" s="216">
        <f ca="1">IF(B937="Лікар загальної практики - сімейний лікар",AG948*Законод!$C$9/4*Законод!$J$16,IF(B937="Лікар-педіатр",AG948*Законод!$C$9/4*Законод!$J$16,IF(B937="Лікар-терапевт",AG948*Законод!$C$9/4*Законод!$J$16,0)))</f>
        <v>0</v>
      </c>
      <c r="AR948" s="217">
        <f t="shared" si="99"/>
        <v>0</v>
      </c>
    </row>
    <row r="949" spans="1:44" s="247" customFormat="1" ht="23.45" hidden="1" customHeight="1" thickBot="1">
      <c r="A949" s="243"/>
      <c r="B949" s="244"/>
      <c r="C949" s="244"/>
      <c r="D949" s="244"/>
      <c r="E949" s="244"/>
      <c r="F949" s="245"/>
      <c r="G949" s="246"/>
      <c r="H949" s="246"/>
      <c r="L949" s="248"/>
      <c r="S949" s="248"/>
      <c r="Z949" s="248"/>
      <c r="AG949" s="248"/>
      <c r="AM949" s="249"/>
      <c r="AR949" s="250"/>
    </row>
    <row r="950" spans="1:44" s="191" customFormat="1" ht="24.6" hidden="1" customHeight="1">
      <c r="A950" s="194">
        <f>A937+1</f>
        <v>71</v>
      </c>
      <c r="B950" s="892"/>
      <c r="C950" s="895"/>
      <c r="D950" s="911"/>
      <c r="E950" s="908"/>
      <c r="F950" s="234" t="s">
        <v>582</v>
      </c>
      <c r="G950" s="196">
        <f>IF($B$950="Лікар-педіатр",G953*L950,IF($B$950="Лікар-терапевт","х",IF($B$950="Лікар загальної практики - сімейний лікар",G953*L950,0)))</f>
        <v>0</v>
      </c>
      <c r="H950" s="196">
        <f>IF($B$950="Лікар-педіатр",H953*L950,IF($B$950="Лікар-терапевт","х",IF($B$950="Лікар загальної практики - сімейний лікар",H953*L950,0)))</f>
        <v>0</v>
      </c>
      <c r="I950" s="196">
        <f>IF($B$950="Лікар-педіатр","x",IF($B$950="Лікар-терапевт",I953*L950,IF($B$950="Лікар загальної практики - сімейний лікар",I953*L950,0)))</f>
        <v>0</v>
      </c>
      <c r="J950" s="196">
        <f>IF($B$950="Лікар-педіатр","x",IF($B$950="Лікар-терапевт",J953*L950,IF($B$950="Лікар загальної практики - сімейний лікар",J953*L950,0)))</f>
        <v>0</v>
      </c>
      <c r="K950" s="196">
        <f>IF($B$950="Лікар-педіатр","x",IF($B$950="Лікар-терапевт",K953*L950,IF($B$950="Лікар загальної практики - сімейний лікар",K953*L950,0)))</f>
        <v>0</v>
      </c>
      <c r="L950" s="558"/>
      <c r="M950" s="929"/>
      <c r="N950" s="196">
        <f>IF($B$950="Лікар-педіатр",N953*S950,IF($B$950="Лікар-терапевт","х",IF($B$950="Лікар загальної практики - сімейний лікар",N953*S950,0)))</f>
        <v>0</v>
      </c>
      <c r="O950" s="196">
        <f>IF($B$950="Лікар-педіатр",O953*S950,IF($B$950="Лікар-терапевт","х",IF($B$950="Лікар загальної практики - сімейний лікар",O953*S950,0)))</f>
        <v>0</v>
      </c>
      <c r="P950" s="196">
        <f>IF($B$950="Лікар-педіатр","x",IF($B$950="Лікар-терапевт",P953*S950,IF($B$950="Лікар загальної практики - сімейний лікар",P953*S950,0)))</f>
        <v>0</v>
      </c>
      <c r="Q950" s="196">
        <f>IF($B$950="Лікар-педіатр","x",IF($B$950="Лікар-терапевт",Q953*S950,IF($B$950="Лікар загальної практики - сімейний лікар",Q953*S950,0)))</f>
        <v>0</v>
      </c>
      <c r="R950" s="196">
        <f>IF($B$950="Лікар-педіатр","x",IF($B$950="Лікар-терапевт",R953*S950,IF($B$950="Лікар загальної практики - сімейний лікар",R953*S950,0)))</f>
        <v>0</v>
      </c>
      <c r="S950" s="558"/>
      <c r="T950" s="929"/>
      <c r="U950" s="196">
        <f>IF($B$950="Лікар-педіатр",U953*Z950,IF($B$950="Лікар-терапевт","х",IF($B$950="Лікар загальної практики - сімейний лікар",U953*Z950,0)))</f>
        <v>0</v>
      </c>
      <c r="V950" s="196">
        <f>IF($B$950="Лікар-педіатр",V953*Z950,IF($B$950="Лікар-терапевт","х",IF($B$950="Лікар загальної практики - сімейний лікар",V953*Z950,0)))</f>
        <v>0</v>
      </c>
      <c r="W950" s="196">
        <f>IF($B$950="Лікар-педіатр","x",IF($B$950="Лікар-терапевт",W953*Z950,IF($B$950="Лікар загальної практики - сімейний лікар",W953*Z950,0)))</f>
        <v>0</v>
      </c>
      <c r="X950" s="196">
        <f>IF($B$950="Лікар-педіатр","x",IF($B$950="Лікар-терапевт",X953*Z950,IF($B$950="Лікар загальної практики - сімейний лікар",X953*Z950,0)))</f>
        <v>0</v>
      </c>
      <c r="Y950" s="196">
        <f>IF($B$950="Лікар-педіатр","x",IF($B$950="Лікар-терапевт",Y953*Z950,IF($B$950="Лікар загальної практики - сімейний лікар",Y953*Z950,0)))</f>
        <v>0</v>
      </c>
      <c r="Z950" s="558"/>
      <c r="AA950" s="929"/>
      <c r="AB950" s="196">
        <f>IF($B$950="Лікар-педіатр",AB953*AG950,IF($B$950="Лікар-терапевт","х",IF($B$950="Лікар загальної практики - сімейний лікар",AB953*AG950,0)))</f>
        <v>0</v>
      </c>
      <c r="AC950" s="196">
        <f>IF($B$950="Лікар-педіатр",AC953*AG950,IF($B$950="Лікар-терапевт","х",IF($B$950="Лікар загальної практики - сімейний лікар",AC953*AG950,0)))</f>
        <v>0</v>
      </c>
      <c r="AD950" s="196">
        <f>IF($B$950="Лікар-педіатр","x",IF($B$950="Лікар-терапевт",AD953*AG950,IF($B$950="Лікар загальної практики - сімейний лікар",AD953*AG950,0)))</f>
        <v>0</v>
      </c>
      <c r="AE950" s="196">
        <f>IF($B$950="Лікар-педіатр","x",IF($B$950="Лікар-терапевт",AE953*AG950,IF($B$950="Лікар загальної практики - сімейний лікар",AE953*AG950,0)))</f>
        <v>0</v>
      </c>
      <c r="AF950" s="196">
        <f>IF($B$950="Лікар-педіатр","x",IF($B$950="Лікар-терапевт",AF953*AG950,IF($B$950="Лікар загальної практики - сімейний лікар",AF953*AG950,0)))</f>
        <v>0</v>
      </c>
      <c r="AG950" s="558"/>
      <c r="AH950" s="929"/>
      <c r="AI950" s="541">
        <f>A950</f>
        <v>71</v>
      </c>
      <c r="AJ950" s="932">
        <f>B950</f>
        <v>0</v>
      </c>
      <c r="AK950" s="926">
        <f>C950</f>
        <v>0</v>
      </c>
      <c r="AL950" s="926">
        <f>D950</f>
        <v>0</v>
      </c>
      <c r="AM950" s="901" t="s">
        <v>785</v>
      </c>
      <c r="AN950" s="923">
        <f>SUM(AN955:AN961)</f>
        <v>0</v>
      </c>
      <c r="AO950" s="923">
        <f>SUM(AO955:AO961)</f>
        <v>0</v>
      </c>
      <c r="AP950" s="923">
        <f>SUM(AP955:AP961)</f>
        <v>0</v>
      </c>
      <c r="AQ950" s="923">
        <f>SUM(AQ955:AQ961)</f>
        <v>0</v>
      </c>
      <c r="AR950" s="914">
        <f>SUM(AN950:AQ954)</f>
        <v>0</v>
      </c>
    </row>
    <row r="951" spans="1:44" s="50" customFormat="1" ht="28.15" hidden="1" customHeight="1">
      <c r="A951" s="197"/>
      <c r="B951" s="893"/>
      <c r="C951" s="896"/>
      <c r="D951" s="912"/>
      <c r="E951" s="909"/>
      <c r="F951" s="234" t="s">
        <v>583</v>
      </c>
      <c r="G951" s="196">
        <f>IF($B$950="Лікар-педіатр",G953*L951,IF($B$950="Лікар-терапевт","х",IF($B$950="Лікар загальної практики - сімейний лікар",G953*L951,0)))</f>
        <v>0</v>
      </c>
      <c r="H951" s="196">
        <f>IF($B$950="Лікар-педіатр",H953*L951,IF($B$950="Лікар-терапевт","х",IF($B$950="Лікар загальної практики - сімейний лікар",H953*L951,0)))</f>
        <v>0</v>
      </c>
      <c r="I951" s="196">
        <f>IF($B$950="Лікар-педіатр","x",IF($B$950="Лікар-терапевт",I953*L951,IF($B$950="Лікар загальної практики - сімейний лікар",I953*L951,0)))</f>
        <v>0</v>
      </c>
      <c r="J951" s="196">
        <f>IF($B$950="Лікар-педіатр","x",IF($B$950="Лікар-терапевт",J953*L951,IF($B$950="Лікар загальної практики - сімейний лікар",J953*L951,0)))</f>
        <v>0</v>
      </c>
      <c r="K951" s="196">
        <f>IF($B$950="Лікар-педіатр","x",IF($B$950="Лікар-терапевт",K953*L951,IF($B$950="Лікар загальної практики - сімейний лікар",K953*L951,0)))</f>
        <v>0</v>
      </c>
      <c r="L951" s="558"/>
      <c r="M951" s="930"/>
      <c r="N951" s="196">
        <f>IF($B$950="Лікар-педіатр",N953*S951,IF($B$950="Лікар-терапевт","х",IF($B$950="Лікар загальної практики - сімейний лікар",N953*S951,0)))</f>
        <v>0</v>
      </c>
      <c r="O951" s="196">
        <f>IF($B$950="Лікар-педіатр",O953*S951,IF($B$950="Лікар-терапевт","х",IF($B$950="Лікар загальної практики - сімейний лікар",O953*S951,0)))</f>
        <v>0</v>
      </c>
      <c r="P951" s="196">
        <f>IF($B$950="Лікар-педіатр","x",IF($B$950="Лікар-терапевт",P953*S951,IF($B$950="Лікар загальної практики - сімейний лікар",P953*S951,0)))</f>
        <v>0</v>
      </c>
      <c r="Q951" s="196">
        <f>IF($B$950="Лікар-педіатр","x",IF($B$950="Лікар-терапевт",Q953*S951,IF($B$950="Лікар загальної практики - сімейний лікар",Q953*S951,0)))</f>
        <v>0</v>
      </c>
      <c r="R951" s="196">
        <f>IF($B$950="Лікар-педіатр","x",IF($B$950="Лікар-терапевт",R953*S951,IF($B$950="Лікар загальної практики - сімейний лікар",R953*S951,0)))</f>
        <v>0</v>
      </c>
      <c r="S951" s="558"/>
      <c r="T951" s="930"/>
      <c r="U951" s="196">
        <f>IF($B$950="Лікар-педіатр",U953*Z951,IF($B$950="Лікар-терапевт","х",IF($B$950="Лікар загальної практики - сімейний лікар",U953*Z951,0)))</f>
        <v>0</v>
      </c>
      <c r="V951" s="196">
        <f>IF($B$950="Лікар-педіатр",V953*Z951,IF($B$950="Лікар-терапевт","х",IF($B$950="Лікар загальної практики - сімейний лікар",V953*Z951,0)))</f>
        <v>0</v>
      </c>
      <c r="W951" s="196">
        <f>IF($B$950="Лікар-педіатр","x",IF($B$950="Лікар-терапевт",W953*Z951,IF($B$950="Лікар загальної практики - сімейний лікар",W953*Z951,0)))</f>
        <v>0</v>
      </c>
      <c r="X951" s="196">
        <f>IF($B$950="Лікар-педіатр","x",IF($B$950="Лікар-терапевт",X953*Z951,IF($B$950="Лікар загальної практики - сімейний лікар",X953*Z951,0)))</f>
        <v>0</v>
      </c>
      <c r="Y951" s="196">
        <f>IF($B$950="Лікар-педіатр","x",IF($B$950="Лікар-терапевт",Y953*Z951,IF($B$950="Лікар загальної практики - сімейний лікар",Y953*Z951,0)))</f>
        <v>0</v>
      </c>
      <c r="Z951" s="558"/>
      <c r="AA951" s="930"/>
      <c r="AB951" s="196">
        <f>IF($B$950="Лікар-педіатр",AB953*AG951,IF($B$950="Лікар-терапевт","х",IF($B$950="Лікар загальної практики - сімейний лікар",AB953*AG951,0)))</f>
        <v>0</v>
      </c>
      <c r="AC951" s="196">
        <f>IF($B$950="Лікар-педіатр",AC953*AG951,IF($B$950="Лікар-терапевт","х",IF($B$950="Лікар загальної практики - сімейний лікар",AC953*AG951,0)))</f>
        <v>0</v>
      </c>
      <c r="AD951" s="196">
        <f>IF($B$950="Лікар-педіатр","x",IF($B$950="Лікар-терапевт",AD953*AG951,IF($B$950="Лікар загальної практики - сімейний лікар",AD953*AG951,0)))</f>
        <v>0</v>
      </c>
      <c r="AE951" s="196">
        <f>IF($B$950="Лікар-педіатр","x",IF($B$950="Лікар-терапевт",AE953*AG951,IF($B$950="Лікар загальної практики - сімейний лікар",AE953*AG951,0)))</f>
        <v>0</v>
      </c>
      <c r="AF951" s="196">
        <f>IF($B$950="Лікар-педіатр","x",IF($B$950="Лікар-терапевт",AF953*AG951,IF($B$950="Лікар загальної практики - сімейний лікар",AF953*AG951,0)))</f>
        <v>0</v>
      </c>
      <c r="AG951" s="558"/>
      <c r="AH951" s="930"/>
      <c r="AI951" s="198"/>
      <c r="AJ951" s="933"/>
      <c r="AK951" s="927"/>
      <c r="AL951" s="927"/>
      <c r="AM951" s="902"/>
      <c r="AN951" s="924"/>
      <c r="AO951" s="924"/>
      <c r="AP951" s="924"/>
      <c r="AQ951" s="924"/>
      <c r="AR951" s="915"/>
    </row>
    <row r="952" spans="1:44" s="90" customFormat="1" ht="31.15" hidden="1" customHeight="1">
      <c r="A952" s="240"/>
      <c r="B952" s="893"/>
      <c r="C952" s="896"/>
      <c r="D952" s="912"/>
      <c r="E952" s="909"/>
      <c r="F952" s="241" t="s">
        <v>584</v>
      </c>
      <c r="G952" s="199">
        <f>IF(B950="Лікар загальної практики - сімейний лікар"," ",IF(B950="Лікар-педіатр"," ",IF(B950="Лікар-терапевт","х",0)))</f>
        <v>0</v>
      </c>
      <c r="H952" s="199">
        <f>IF(B950="Лікар загальної практики - сімейний лікар"," ",IF(B950="Лікар-педіатр"," ",IF(B950="Лікар-терапевт","х",0)))</f>
        <v>0</v>
      </c>
      <c r="I952" s="199">
        <f>IF(B950="Лікар загальної практики - сімейний лікар"," ",IF(B950="Лікар-педіатр","х",IF(B950="Лікар-терапевт"," ",0)))</f>
        <v>0</v>
      </c>
      <c r="J952" s="199">
        <f>IF(B950="Лікар загальної практики - сімейний лікар"," ",IF(B950="Лікар-педіатр","х",IF(B950="Лікар-терапевт"," ",0)))</f>
        <v>0</v>
      </c>
      <c r="K952" s="199">
        <f>IF(B950="Лікар загальної практики - сімейний лікар"," ",IF(B950="Лікар-педіатр","х",IF(B950="Лікар-терапевт"," ",0)))</f>
        <v>0</v>
      </c>
      <c r="L952" s="200">
        <f>SUM(G952:K952)</f>
        <v>0</v>
      </c>
      <c r="M952" s="930"/>
      <c r="N952" s="199">
        <f>IF(B950="Лікар загальної практики - сімейний лікар"," ",IF(B950="Лікар-педіатр"," ",IF(B950="Лікар-терапевт","х",0)))</f>
        <v>0</v>
      </c>
      <c r="O952" s="199">
        <f>IF(B950="Лікар загальної практики - сімейний лікар"," ",IF(B950="Лікар-педіатр"," ",IF(B950="Лікар-терапевт","х",0)))</f>
        <v>0</v>
      </c>
      <c r="P952" s="199">
        <f>IF(B950="Лікар загальної практики - сімейний лікар"," ",IF(B950="Лікар-педіатр","х",IF(B950="Лікар-терапевт"," ",0)))</f>
        <v>0</v>
      </c>
      <c r="Q952" s="199">
        <f>IF(B950="Лікар загальної практики - сімейний лікар"," ",IF(B950="Лікар-педіатр","х",IF(B950="Лікар-терапевт"," ",0)))</f>
        <v>0</v>
      </c>
      <c r="R952" s="199">
        <f>IF(B950="Лікар загальної практики - сімейний лікар"," ",IF(B950="Лікар-педіатр","х",IF(B950="Лікар-терапевт"," ",0)))</f>
        <v>0</v>
      </c>
      <c r="S952" s="200">
        <f>SUM(N952:R952)</f>
        <v>0</v>
      </c>
      <c r="T952" s="930"/>
      <c r="U952" s="199">
        <f>IF(B950="Лікар загальної практики - сімейний лікар"," ",IF(B950="Лікар-педіатр"," ",IF(B950="Лікар-терапевт","х",0)))</f>
        <v>0</v>
      </c>
      <c r="V952" s="199">
        <f>IF(B950="Лікар загальної практики - сімейний лікар"," ",IF(B950="Лікар-педіатр"," ",IF(B950="Лікар-терапевт","х",0)))</f>
        <v>0</v>
      </c>
      <c r="W952" s="199">
        <f>IF(B950="Лікар загальної практики - сімейний лікар"," ",IF(B950="Лікар-педіатр","х",IF(B950="Лікар-терапевт"," ",0)))</f>
        <v>0</v>
      </c>
      <c r="X952" s="199">
        <f>IF(B950="Лікар загальної практики - сімейний лікар"," ",IF(B950="Лікар-педіатр","х",IF(B950="Лікар-терапевт"," ",0)))</f>
        <v>0</v>
      </c>
      <c r="Y952" s="199">
        <f>IF(B950="Лікар загальної практики - сімейний лікар"," ",IF(B950="Лікар-педіатр","х",IF(B950="Лікар-терапевт"," ",0)))</f>
        <v>0</v>
      </c>
      <c r="Z952" s="200">
        <f>SUM(U952:Y952)</f>
        <v>0</v>
      </c>
      <c r="AA952" s="930"/>
      <c r="AB952" s="199">
        <f>IF(B950="Лікар загальної практики - сімейний лікар"," ",IF(B950="Лікар-педіатр"," ",IF(B950="Лікар-терапевт","х",0)))</f>
        <v>0</v>
      </c>
      <c r="AC952" s="199">
        <f>IF(B950="Лікар загальної практики - сімейний лікар"," ",IF(B950="Лікар-педіатр"," ",IF(B950="Лікар-терапевт","х",0)))</f>
        <v>0</v>
      </c>
      <c r="AD952" s="199">
        <f>IF(B950="Лікар загальної практики - сімейний лікар"," ",IF(B950="Лікар-педіатр","х",IF(B950="Лікар-терапевт"," ",0)))</f>
        <v>0</v>
      </c>
      <c r="AE952" s="199">
        <f>IF(B950="Лікар загальної практики - сімейний лікар"," ",IF(B950="Лікар-педіатр","х",IF(B950="Лікар-терапевт"," ",0)))</f>
        <v>0</v>
      </c>
      <c r="AF952" s="199">
        <f>IF(B950="Лікар загальної практики - сімейний лікар"," ",IF(B950="Лікар-педіатр","х",IF(B950="Лікар-терапевт"," ",0)))</f>
        <v>0</v>
      </c>
      <c r="AG952" s="200">
        <f>SUM(AB952:AF952)</f>
        <v>0</v>
      </c>
      <c r="AH952" s="930"/>
      <c r="AI952" s="242"/>
      <c r="AJ952" s="933"/>
      <c r="AK952" s="927"/>
      <c r="AL952" s="927"/>
      <c r="AM952" s="902"/>
      <c r="AN952" s="924"/>
      <c r="AO952" s="924"/>
      <c r="AP952" s="924"/>
      <c r="AQ952" s="924"/>
      <c r="AR952" s="915"/>
    </row>
    <row r="953" spans="1:44" s="50" customFormat="1" ht="31.9" hidden="1" customHeight="1" thickBot="1">
      <c r="A953" s="197"/>
      <c r="B953" s="893"/>
      <c r="C953" s="896"/>
      <c r="D953" s="912"/>
      <c r="E953" s="909"/>
      <c r="F953" s="236" t="s">
        <v>349</v>
      </c>
      <c r="G953" s="203">
        <f>IF($B$950="Лікар-педіатр",G952/L952,IF($B$950="Лікар-терапевт","х",IF($B$950="Лікар загальної практики - сімейний лікар",G952/L952,0)))</f>
        <v>0</v>
      </c>
      <c r="H953" s="203">
        <f>IF($B$950="Лікар-педіатр",H952/L952,IF($B$950="Лікар-терапевт","х",IF($B$950="Лікар загальної практики - сімейний лікар",H952/L952,0)))</f>
        <v>0</v>
      </c>
      <c r="I953" s="203">
        <f>IF($B$950="Лікар-педіатр","x",IF($B$950="Лікар-терапевт",I952/L952,IF($B$950="Лікар загальної практики - сімейний лікар",I952/L952,0)))</f>
        <v>0</v>
      </c>
      <c r="J953" s="203">
        <f>IF($B$950="Лікар-педіатр","x",IF($B$950="Лікар-терапевт",J952/L952,IF($B$950="Лікар загальної практики - сімейний лікар",J952/L952,0)))</f>
        <v>0</v>
      </c>
      <c r="K953" s="203">
        <f>IF($B$950="Лікар-педіатр","x",IF($B$950="Лікар-терапевт",K952/L952,IF($B$950="Лікар загальної практики - сімейний лікар",K952/L952,0)))</f>
        <v>0</v>
      </c>
      <c r="L953" s="203">
        <f>SUM(G953:K953)</f>
        <v>0</v>
      </c>
      <c r="M953" s="930"/>
      <c r="N953" s="203">
        <f>IF($B$950="Лікар-педіатр",N952/S952,IF($B$950="Лікар-терапевт","х",IF($B$950="Лікар загальної практики - сімейний лікар",N952/S952,0)))</f>
        <v>0</v>
      </c>
      <c r="O953" s="203">
        <f>IF($B$950="Лікар-педіатр",O952/S952,IF($B$950="Лікар-терапевт","х",IF($B$950="Лікар загальної практики - сімейний лікар",O952/S952,0)))</f>
        <v>0</v>
      </c>
      <c r="P953" s="203">
        <f>IF($B$950="Лікар-педіатр","x",IF($B$950="Лікар-терапевт",P952/S952,IF($B$950="Лікар загальної практики - сімейний лікар",P952/S952,0)))</f>
        <v>0</v>
      </c>
      <c r="Q953" s="203">
        <f>IF($B$950="Лікар-педіатр","x",IF($B$950="Лікар-терапевт",Q952/S952,IF($B$950="Лікар загальної практики - сімейний лікар",Q952/S952,0)))</f>
        <v>0</v>
      </c>
      <c r="R953" s="203">
        <f>IF($B$950="Лікар-педіатр","x",IF($B$950="Лікар-терапевт",R952/S952,IF($B$950="Лікар загальної практики - сімейний лікар",R952/S952,0)))</f>
        <v>0</v>
      </c>
      <c r="S953" s="203">
        <f>SUM(N953:R953)</f>
        <v>0</v>
      </c>
      <c r="T953" s="930"/>
      <c r="U953" s="203">
        <f>IF($B$950="Лікар-педіатр",U952/Z952,IF($B$950="Лікар-терапевт","х",IF($B$950="Лікар загальної практики - сімейний лікар",U952/Z952,0)))</f>
        <v>0</v>
      </c>
      <c r="V953" s="203">
        <f>IF($B$950="Лікар-педіатр",V952/Z952,IF($B$950="Лікар-терапевт","х",IF($B$950="Лікар загальної практики - сімейний лікар",V952/Z952,0)))</f>
        <v>0</v>
      </c>
      <c r="W953" s="203">
        <f>IF($B$950="Лікар-педіатр","x",IF($B$950="Лікар-терапевт",W952/Z952,IF($B$950="Лікар загальної практики - сімейний лікар",W952/Z952,0)))</f>
        <v>0</v>
      </c>
      <c r="X953" s="203">
        <f>IF($B$950="Лікар-педіатр","x",IF($B$950="Лікар-терапевт",X952/Z952,IF($B$950="Лікар загальної практики - сімейний лікар",X952/Z952,0)))</f>
        <v>0</v>
      </c>
      <c r="Y953" s="203">
        <f>IF($B$950="Лікар-педіатр","x",IF($B$950="Лікар-терапевт",Y952/Z952,IF($B$950="Лікар загальної практики - сімейний лікар",Y952/Z952,0)))</f>
        <v>0</v>
      </c>
      <c r="Z953" s="203">
        <f>SUM(U953:Y953)</f>
        <v>0</v>
      </c>
      <c r="AA953" s="930"/>
      <c r="AB953" s="203">
        <f>IF($B$950="Лікар-педіатр",AB952/AG952,IF($B$950="Лікар-терапевт","х",IF($B$950="Лікар загальної практики - сімейний лікар",AB952/AG952,0)))</f>
        <v>0</v>
      </c>
      <c r="AC953" s="203">
        <f>IF($B$950="Лікар-педіатр",AC952/AG952,IF($B$950="Лікар-терапевт","х",IF($B$950="Лікар загальної практики - сімейний лікар",AC952/AG952,0)))</f>
        <v>0</v>
      </c>
      <c r="AD953" s="203">
        <f>IF($B$950="Лікар-педіатр","x",IF($B$950="Лікар-терапевт",AD952/AG952,IF($B$950="Лікар загальної практики - сімейний лікар",AD952/AG952,0)))</f>
        <v>0</v>
      </c>
      <c r="AE953" s="203">
        <f>IF($B$950="Лікар-педіатр","x",IF($B$950="Лікар-терапевт",AE952/AG952,IF($B$950="Лікар загальної практики - сімейний лікар",AE952/AG952,0)))</f>
        <v>0</v>
      </c>
      <c r="AF953" s="203">
        <f>IF($B$950="Лікар-педіатр","x",IF($B$950="Лікар-терапевт",AF952/AG952,IF($B$950="Лікар загальної практики - сімейний лікар",AF952/AG952,0)))</f>
        <v>0</v>
      </c>
      <c r="AG953" s="203">
        <f>SUM(AB953:AF953)</f>
        <v>0</v>
      </c>
      <c r="AH953" s="930"/>
      <c r="AI953" s="201"/>
      <c r="AJ953" s="933"/>
      <c r="AK953" s="927"/>
      <c r="AL953" s="927"/>
      <c r="AM953" s="902"/>
      <c r="AN953" s="924"/>
      <c r="AO953" s="924"/>
      <c r="AP953" s="924"/>
      <c r="AQ953" s="924"/>
      <c r="AR953" s="915"/>
    </row>
    <row r="954" spans="1:44" s="50" customFormat="1" ht="45" hidden="1" customHeight="1" thickBot="1">
      <c r="A954" s="197"/>
      <c r="B954" s="893"/>
      <c r="C954" s="896"/>
      <c r="D954" s="912"/>
      <c r="E954" s="909"/>
      <c r="F954" s="204" t="s">
        <v>585</v>
      </c>
      <c r="G954" s="205">
        <f>IF($B$950="Лікар загальної практики - сімейний лікар",AVERAGE(G950:G952),IF($B$950="Лікар-педіатр",AVERAGE(G950:G952),IF($B$950="Лікар-терапевт","х",0)))</f>
        <v>0</v>
      </c>
      <c r="H954" s="205">
        <f>IF($B$950="Лікар загальної практики - сімейний лікар",AVERAGE(H950:H952),IF($B$950="Лікар-педіатр",AVERAGE(H950:H952),IF($B$950="Лікар-терапевт","х",0)))</f>
        <v>0</v>
      </c>
      <c r="I954" s="205">
        <f>IF($B$950="Лікар загальної практики - сімейний лікар",AVERAGE(I950:I952),IF($B$950="Лікар-педіатр","x",IF($B$950="Лікар-терапевт",AVERAGE(I950:I952),0)))</f>
        <v>0</v>
      </c>
      <c r="J954" s="205">
        <f>IF($B$950="Лікар загальної практики - сімейний лікар",AVERAGE(J950:J952),IF($B$950="Лікар-педіатр","x",IF($B$950="Лікар-терапевт",AVERAGE(J950:J952),0)))</f>
        <v>0</v>
      </c>
      <c r="K954" s="205">
        <f>IF($B$950="Лікар загальної практики - сімейний лікар",AVERAGE(K950:K952),IF($B$950="Лікар-педіатр","x",IF($B$950="Лікар-терапевт",AVERAGE(K950:K952),0)))</f>
        <v>0</v>
      </c>
      <c r="L954" s="206">
        <f>SUM(G954:K954)</f>
        <v>0</v>
      </c>
      <c r="M954" s="930"/>
      <c r="N954" s="205">
        <f>IF($B$950="Лікар загальної практики - сімейний лікар",AVERAGE(N950:N952),IF($B$950="Лікар-педіатр",AVERAGE(N950:N952),IF($B$950="Лікар-терапевт","х",0)))</f>
        <v>0</v>
      </c>
      <c r="O954" s="205">
        <f>IF($B$950="Лікар загальної практики - сімейний лікар",AVERAGE(O950:O952),IF($B$950="Лікар-педіатр",AVERAGE(O950:O952),IF($B$950="Лікар-терапевт","х",0)))</f>
        <v>0</v>
      </c>
      <c r="P954" s="205">
        <f>IF($B$950="Лікар загальної практики - сімейний лікар",AVERAGE(P950:P952),IF($B$950="Лікар-педіатр","x",IF($B$950="Лікар-терапевт",AVERAGE(P950:P952),0)))</f>
        <v>0</v>
      </c>
      <c r="Q954" s="205">
        <f>IF($B$950="Лікар загальної практики - сімейний лікар",AVERAGE(Q950:Q952),IF($B$950="Лікар-педіатр","x",IF($B$950="Лікар-терапевт",AVERAGE(Q950:Q952),0)))</f>
        <v>0</v>
      </c>
      <c r="R954" s="205">
        <f>IF($B$950="Лікар загальної практики - сімейний лікар",AVERAGE(R950:R952),IF($B$950="Лікар-педіатр","x",IF($B$950="Лікар-терапевт",AVERAGE(R950:R952),0)))</f>
        <v>0</v>
      </c>
      <c r="S954" s="206">
        <f>SUM(N954:R954)</f>
        <v>0</v>
      </c>
      <c r="T954" s="930"/>
      <c r="U954" s="205">
        <f>IF($B$950="Лікар загальної практики - сімейний лікар",AVERAGE(U950:U952),IF($B$950="Лікар-педіатр",AVERAGE(U950:U952),IF($B$950="Лікар-терапевт","х",0)))</f>
        <v>0</v>
      </c>
      <c r="V954" s="205">
        <f>IF($B$950="Лікар загальної практики - сімейний лікар",AVERAGE(V950:V952),IF($B$950="Лікар-педіатр",AVERAGE(V950:V952),IF($B$950="Лікар-терапевт","х",0)))</f>
        <v>0</v>
      </c>
      <c r="W954" s="205">
        <f>IF($B$950="Лікар загальної практики - сімейний лікар",AVERAGE(W950:W952),IF($B$950="Лікар-педіатр","x",IF($B$950="Лікар-терапевт",AVERAGE(W950:W952),0)))</f>
        <v>0</v>
      </c>
      <c r="X954" s="205">
        <f>IF($B$950="Лікар загальної практики - сімейний лікар",AVERAGE(X950:X952),IF($B$950="Лікар-педіатр","x",IF($B$950="Лікар-терапевт",AVERAGE(X950:X952),0)))</f>
        <v>0</v>
      </c>
      <c r="Y954" s="205">
        <f>IF($B$950="Лікар загальної практики - сімейний лікар",AVERAGE(Y950:Y952),IF($B$950="Лікар-педіатр","x",IF($B$950="Лікар-терапевт",AVERAGE(Y950:Y952),0)))</f>
        <v>0</v>
      </c>
      <c r="Z954" s="206">
        <f>SUM(U954:Y954)</f>
        <v>0</v>
      </c>
      <c r="AA954" s="930"/>
      <c r="AB954" s="205">
        <f>IF($B$950="Лікар загальної практики - сімейний лікар",AVERAGE(AB950:AB952),IF($B$950="Лікар-педіатр",AVERAGE(AB950:AB952),IF($B$950="Лікар-терапевт","х",0)))</f>
        <v>0</v>
      </c>
      <c r="AC954" s="205">
        <f>IF($B$950="Лікар загальної практики - сімейний лікар",AVERAGE(AC950:AC952),IF($B$950="Лікар-педіатр",AVERAGE(AC950:AC952),IF($B$950="Лікар-терапевт","х",0)))</f>
        <v>0</v>
      </c>
      <c r="AD954" s="205">
        <f>IF($B$950="Лікар загальної практики - сімейний лікар",AVERAGE(AD950:AD952),IF($B$950="Лікар-педіатр","x",IF($B$950="Лікар-терапевт",AVERAGE(AD950:AD952),0)))</f>
        <v>0</v>
      </c>
      <c r="AE954" s="205">
        <f>IF($B$950="Лікар загальної практики - сімейний лікар",AVERAGE(AE950:AE952),IF($B$950="Лікар-педіатр","x",IF($B$950="Лікар-терапевт",AVERAGE(AE950:AE952),0)))</f>
        <v>0</v>
      </c>
      <c r="AF954" s="205">
        <f>IF($B$950="Лікар загальної практики - сімейний лікар",AVERAGE(AF950:AF952),IF($B$950="Лікар-педіатр","x",IF($B$950="Лікар-терапевт",AVERAGE(AF950:AF952),0)))</f>
        <v>0</v>
      </c>
      <c r="AG954" s="206">
        <f>SUM(AB954:AF954)</f>
        <v>0</v>
      </c>
      <c r="AH954" s="930"/>
      <c r="AI954" s="201"/>
      <c r="AJ954" s="933"/>
      <c r="AK954" s="927"/>
      <c r="AL954" s="927"/>
      <c r="AM954" s="903"/>
      <c r="AN954" s="925"/>
      <c r="AO954" s="925"/>
      <c r="AP954" s="925"/>
      <c r="AQ954" s="925"/>
      <c r="AR954" s="916"/>
    </row>
    <row r="955" spans="1:44" s="50" customFormat="1" ht="40.5" hidden="1">
      <c r="A955" s="197"/>
      <c r="B955" s="893"/>
      <c r="C955" s="896"/>
      <c r="D955" s="912"/>
      <c r="E955" s="909"/>
      <c r="F955" s="237" t="str">
        <f ca="1">IF(B950="Лікар-педіатр",Законод!$C$17,IF(B950="Лікар загальної практики - сімейний лікар",Законод!$C$21,IF(B950="Лікар-терапевт",Законод!$C$25,"х")))</f>
        <v>х</v>
      </c>
      <c r="G955" s="208">
        <f ca="1">IF($B$950="Лікар загальної практики - сімейний лікар",IF(L954&lt;=Законод!$C$22,G954,Законод!$C$22*'01_Доходи'!G953),IF($B$950="Лікар-педіатр",IF(L954&lt;=Законод!$C$18,G954,Законод!$C$18*'01_Доходи'!G953),IF($B$950="Лікар-терапевт","x",0)))</f>
        <v>0</v>
      </c>
      <c r="H955" s="208">
        <f ca="1">IF($B$950="Лікар загальної практики - сімейний лікар",IF(L954&lt;=Законод!$C$22,H954,Законод!$C$22*'01_Доходи'!H953),IF($B$950="Лікар-педіатр",IF(L954&lt;=Законод!$C$18,H954,Законод!$C$18*'01_Доходи'!H953),IF($B$950="Лікар-терапевт","x",0)))</f>
        <v>0</v>
      </c>
      <c r="I955" s="208">
        <f ca="1">IF($B$950="Лікар загальної практики - сімейний лікар",IF(L954&lt;=Законод!$C$22,I954,Законод!$C$22*'01_Доходи'!I953),IF($B$950="Лікар-педіатр","x",IF($B$950="Лікар-терапевт",IF(L954&lt;=Законод!$C$26,I954,Законод!$C$26*'01_Доходи'!I953),0)))</f>
        <v>0</v>
      </c>
      <c r="J955" s="208">
        <f ca="1">IF($B$950="Лікар загальної практики - сімейний лікар",IF(L954&lt;=Законод!$C$22,J954,Законод!$C$22*'01_Доходи'!J953),IF($B$950="Лікар-педіатр","x",IF($B$950="Лікар-терапевт",IF(L954&lt;=Законод!$C$26,J954,Законод!$C$26*'01_Доходи'!J953),0)))</f>
        <v>0</v>
      </c>
      <c r="K955" s="208">
        <f ca="1">IF($B$950="Лікар загальної практики - сімейний лікар",IF(L954&lt;=Законод!$C$22,K954,Законод!$C$22*'01_Доходи'!K953),IF($B$950="Лікар-педіатр","x",IF($B$950="Лікар-терапевт",IF(L954&lt;=Законод!$C$26,K954,Законод!$C$26*'01_Доходи'!K953),0)))</f>
        <v>0</v>
      </c>
      <c r="L955" s="209">
        <f ca="1">SUM(G955:K955)</f>
        <v>0</v>
      </c>
      <c r="M955" s="930"/>
      <c r="N955" s="208">
        <f ca="1">IF($B$950="Лікар загальної практики - сімейний лікар",IF(S954&lt;=Законод!$C$22,N954,Законод!$C$22*'01_Доходи'!N953),IF($B$950="Лікар-педіатр",IF(S954&lt;=Законод!$C$18,N954,Законод!$C$18*'01_Доходи'!N953),IF($B$950="Лікар-терапевт","x",0)))</f>
        <v>0</v>
      </c>
      <c r="O955" s="208">
        <f ca="1">IF($B$950="Лікар загальної практики - сімейний лікар",IF(S954&lt;=Законод!$C$22,O954,Законод!$C$22*'01_Доходи'!O953),IF($B$950="Лікар-педіатр",IF(S954&lt;=Законод!$C$18,O954,Законод!$C$18*'01_Доходи'!O953),IF($B$950="Лікар-терапевт","x",0)))</f>
        <v>0</v>
      </c>
      <c r="P955" s="208">
        <f ca="1">IF($B$950="Лікар загальної практики - сімейний лікар",IF(S954&lt;=Законод!$C$22,P954,Законод!$C$22*'01_Доходи'!P953),IF($B$950="Лікар-педіатр","x",IF($B$950="Лікар-терапевт",IF(S954&lt;=Законод!$C$26,P954,Законод!$C$26*'01_Доходи'!P953),0)))</f>
        <v>0</v>
      </c>
      <c r="Q955" s="208">
        <f ca="1">IF($B$950="Лікар загальної практики - сімейний лікар",IF(S954&lt;=Законод!$C$22,Q954,Законод!$C$22*'01_Доходи'!Q953),IF($B$950="Лікар-педіатр","x",IF($B$950="Лікар-терапевт",IF(S954&lt;=Законод!$C$26,Q954,Законод!$C$26*'01_Доходи'!Q953),0)))</f>
        <v>0</v>
      </c>
      <c r="R955" s="208">
        <f ca="1">IF($B$950="Лікар загальної практики - сімейний лікар",IF(S954&lt;=Законод!$C$22,R954,Законод!$C$22*'01_Доходи'!R953),IF($B$950="Лікар-педіатр","x",IF($B$950="Лікар-терапевт",IF(S954&lt;=Законод!$C$26,R954,Законод!$C$26*'01_Доходи'!R953),0)))</f>
        <v>0</v>
      </c>
      <c r="S955" s="209">
        <f ca="1">SUM(N955:R955)</f>
        <v>0</v>
      </c>
      <c r="T955" s="930"/>
      <c r="U955" s="208">
        <f ca="1">IF($B$950="Лікар загальної практики - сімейний лікар",IF(Z954&lt;=Законод!$C$22,U954,Законод!$C$22*'01_Доходи'!U953),IF($B$950="Лікар-педіатр",IF(Z954&lt;=Законод!$C$18,U954,Законод!$C$18*'01_Доходи'!U953),IF($B$950="Лікар-терапевт","x",0)))</f>
        <v>0</v>
      </c>
      <c r="V955" s="208">
        <f ca="1">IF($B$950="Лікар загальної практики - сімейний лікар",IF(Z954&lt;=Законод!$C$22,V954,Законод!$C$22*'01_Доходи'!V953),IF($B$950="Лікар-педіатр",IF(Z954&lt;=Законод!$C$18,V954,Законод!$C$18*'01_Доходи'!V953),IF($B$950="Лікар-терапевт","x",0)))</f>
        <v>0</v>
      </c>
      <c r="W955" s="208">
        <f ca="1">IF($B$950="Лікар загальної практики - сімейний лікар",IF(Z954&lt;=Законод!$C$22,W954,Законод!$C$22*'01_Доходи'!W953),IF($B$950="Лікар-педіатр","x",IF($B$950="Лікар-терапевт",IF(Z954&lt;=Законод!$C$26,W954,Законод!$C$26*'01_Доходи'!W953),0)))</f>
        <v>0</v>
      </c>
      <c r="X955" s="208">
        <f ca="1">IF($B$950="Лікар загальної практики - сімейний лікар",IF(Z954&lt;=Законод!$C$22,X954,Законод!$C$22*'01_Доходи'!X953),IF($B$950="Лікар-педіатр","x",IF($B$950="Лікар-терапевт",IF(Z954&lt;=Законод!$C$26,X954,Законод!$C$26*'01_Доходи'!X953),0)))</f>
        <v>0</v>
      </c>
      <c r="Y955" s="208">
        <f ca="1">IF($B$950="Лікар загальної практики - сімейний лікар",IF(Z954&lt;=Законод!$C$22,Y954,Законод!$C$22*'01_Доходи'!Y953),IF($B$950="Лікар-педіатр","x",IF($B$950="Лікар-терапевт",IF(Z954&lt;=Законод!$C$26,Y954,Законод!$C$26*'01_Доходи'!Y953),0)))</f>
        <v>0</v>
      </c>
      <c r="Z955" s="209">
        <f ca="1">SUM(U955:Y955)</f>
        <v>0</v>
      </c>
      <c r="AA955" s="930"/>
      <c r="AB955" s="208">
        <f ca="1">IF($B$950="Лікар загальної практики - сімейний лікар",IF(AG954&lt;=Законод!$C$22,AB954,Законод!$C$22*'01_Доходи'!AB953),IF($B$950="Лікар-педіатр",IF(AG954&lt;=Законод!$C$18,AB954,Законод!$C$18*'01_Доходи'!AB953),IF($B$950="Лікар-терапевт","x",0)))</f>
        <v>0</v>
      </c>
      <c r="AC955" s="208">
        <f ca="1">IF($B$950="Лікар загальної практики - сімейний лікар",IF(AG954&lt;=Законод!$C$22,AC954,Законод!$C$22*'01_Доходи'!AC953),IF($B$950="Лікар-педіатр",IF(AG954&lt;=Законод!$C$18,AC954,Законод!$C$18*'01_Доходи'!AC953),IF($B$950="Лікар-терапевт","x",0)))</f>
        <v>0</v>
      </c>
      <c r="AD955" s="208">
        <f ca="1">IF($B$950="Лікар загальної практики - сімейний лікар",IF(AG954&lt;=Законод!$C$22,AD954,Законод!$C$22*'01_Доходи'!AD953),IF($B$950="Лікар-педіатр","x",IF($B$950="Лікар-терапевт",IF(AG954&lt;=Законод!$C$26,AD954,Законод!$C$26*'01_Доходи'!AD953),0)))</f>
        <v>0</v>
      </c>
      <c r="AE955" s="208">
        <f ca="1">IF($B$950="Лікар загальної практики - сімейний лікар",IF(AG954&lt;=Законод!$C$22,AE954,Законод!$C$22*'01_Доходи'!AE953),IF($B$950="Лікар-педіатр","x",IF($B$950="Лікар-терапевт",IF(AG954&lt;=Законод!$C$26,AE954,Законод!$C$26*'01_Доходи'!AE953),0)))</f>
        <v>0</v>
      </c>
      <c r="AF955" s="208">
        <f ca="1">IF($B$950="Лікар загальної практики - сімейний лікар",IF(AG954&lt;=Законод!$C$22,AF954,Законод!$C$22*'01_Доходи'!AF953),IF($B$950="Лікар-педіатр","x",IF($B$950="Лікар-терапевт",IF(AG954&lt;=Законод!$C$26,AF954,Законод!$C$26*'01_Доходи'!AF953),0)))</f>
        <v>0</v>
      </c>
      <c r="AG955" s="209">
        <f ca="1">SUM(AB955:AF955)</f>
        <v>0</v>
      </c>
      <c r="AH955" s="930"/>
      <c r="AI955" s="201"/>
      <c r="AJ955" s="933"/>
      <c r="AK955" s="927"/>
      <c r="AL955" s="927"/>
      <c r="AM955" s="348" t="s">
        <v>374</v>
      </c>
      <c r="AN955" s="210">
        <f ca="1">IF(B950="Лікар загальної практики - сімейний лікар",G955*Законод!$C$11+'01_Доходи'!H955*Законод!$D$11+'01_Доходи'!I955*Законод!$E$11+'01_Доходи'!J955*Законод!$F$11+'01_Доходи'!K955*Законод!$G$11,IF(B950="Лікар-педіатр",G955*Законод!$C$11+'01_Доходи'!H955*Законод!$D$11,IF(B950="Лікар-терапевт",'01_Доходи'!I955*Законод!$E$11+'01_Доходи'!J955*Законод!$F$11+'01_Доходи'!K955*Законод!$G$11,0)))</f>
        <v>0</v>
      </c>
      <c r="AO955" s="210">
        <f ca="1">IF(B950="Лікар загальної практики - сімейний лікар",N955*Законод!$C$11+'01_Доходи'!O955*Законод!$D$11+'01_Доходи'!P955*Законод!$E$11+'01_Доходи'!Q955*Законод!$F$11+'01_Доходи'!R955*Законод!$G$11,IF(B950="Лікар-педіатр",N955*Законод!$C$11+'01_Доходи'!O955*Законод!$D$11,IF(B950="Лікар-терапевт",'01_Доходи'!P955*Законод!$E$11+'01_Доходи'!Q955*Законод!$F$11+'01_Доходи'!R955*Законод!$G$11,0)))</f>
        <v>0</v>
      </c>
      <c r="AP955" s="210">
        <f ca="1">IF(B950="Лікар загальної практики - сімейний лікар",U955*Законод!$C$11+'01_Доходи'!V955*Законод!$D$11+'01_Доходи'!W955*Законод!$E$11+'01_Доходи'!X955*Законод!$F$11+'01_Доходи'!Y955*Законод!$G$11,IF(B950="Лікар-педіатр",U955*Законод!$C$11+'01_Доходи'!V955*Законод!$D$11,IF(B950="Лікар-терапевт",'01_Доходи'!W955*Законод!$E$11+'01_Доходи'!X955*Законод!$F$11+'01_Доходи'!Y955*Законод!$G$11,0)))</f>
        <v>0</v>
      </c>
      <c r="AQ955" s="210">
        <f ca="1">IF(B950="Лікар загальної практики - сімейний лікар",AB955*Законод!$C$11+'01_Доходи'!AC955*Законод!$D$11+'01_Доходи'!AD955*Законод!$E$11+'01_Доходи'!AE955*Законод!$F$11+'01_Доходи'!AF955*Законод!$G$11,IF(B950="Лікар-педіатр",AB955*Законод!$C$11+'01_Доходи'!AC955*Законод!$D$11,IF(B950="Лікар-терапевт",'01_Доходи'!AD955*Законод!$E$11+'01_Доходи'!AE955*Законод!$F$11+'01_Доходи'!AF955*Законод!$G$11,0)))</f>
        <v>0</v>
      </c>
      <c r="AR955" s="211">
        <f t="shared" ref="AR955:AR961" si="100">SUM(AN955:AQ955)</f>
        <v>0</v>
      </c>
    </row>
    <row r="956" spans="1:44" s="50" customFormat="1" ht="31.9" hidden="1" customHeight="1">
      <c r="A956" s="197"/>
      <c r="B956" s="893"/>
      <c r="C956" s="896"/>
      <c r="D956" s="912"/>
      <c r="E956" s="909"/>
      <c r="F956" s="238" t="str">
        <f ca="1">IF(B950="Лікар-педіатр",Законод!$E$17,IF(B950="Лікар загальної практики - сімейний лікар",Законод!$E$21,IF(B950="Лікар-терапевт",Законод!$E$25,"х")))</f>
        <v>х</v>
      </c>
      <c r="G956" s="889" t="s">
        <v>346</v>
      </c>
      <c r="H956" s="890"/>
      <c r="I956" s="890"/>
      <c r="J956" s="890"/>
      <c r="K956" s="891"/>
      <c r="L956" s="196">
        <f ca="1">IF($B$950="Лікар загальної практики - сімейний лікар",IF(L954&lt;Законод!$C$22,0,(IF(AND(L954&gt;=Законод!$E$22,L954&lt;=Законод!$E$23),L954-Законод!$C$22,IF('01_Доходи'!L954&gt;=Законод!$F$22,Законод!$E$24,0)))),IF($B$950="Лікар-педіатр",IF(L954&lt;Законод!$C$18,0,(IF(AND(L954&gt;=Законод!$E$18,L954&lt;=Законод!$E$19),L954-Законод!$C$18,IF('01_Доходи'!L954&gt;=Законод!$F$18,Законод!$E$20,0)))),IF($B$950="Лікар-терапевт",IF(L954&lt;Законод!$C$26,0,(IF(AND(L954&gt;=Законод!$E$26,L954&lt;=Законод!$E$27),L954-Законод!$C$26,IF('01_Доходи'!L954&gt;=Законод!$F$26,Законод!$E$28,0)))),0)))</f>
        <v>0</v>
      </c>
      <c r="M956" s="930"/>
      <c r="N956" s="889" t="s">
        <v>346</v>
      </c>
      <c r="O956" s="890"/>
      <c r="P956" s="890"/>
      <c r="Q956" s="890"/>
      <c r="R956" s="891"/>
      <c r="S956" s="196">
        <f ca="1">IF($B$950="Лікар загальної практики - сімейний лікар",IF(S954&lt;Законод!$C$22,0,(IF(AND(S954&gt;=Законод!$E$22,S954&lt;=Законод!$E$23),S954-Законод!$C$22,IF('01_Доходи'!S954&gt;=Законод!$F$22,Законод!$E$24,0)))),IF($B$950="Лікар-педіатр",IF(S954&lt;Законод!$C$18,0,(IF(AND(S954&gt;=Законод!$E$18,S954&lt;=Законод!$E$19),S954-Законод!$C$18,IF('01_Доходи'!S954&gt;=Законод!$F$18,Законод!$E$20,0)))),IF($B$950="Лікар-терапевт",IF(S954&lt;Законод!$C$26,0,(IF(AND(S954&gt;=Законод!$E$26,S954&lt;=Законод!$E$27),S954-Законод!$C$26,IF('01_Доходи'!S954&gt;=Законод!$F$26,Законод!$E$28,0)))),0)))</f>
        <v>0</v>
      </c>
      <c r="T956" s="930"/>
      <c r="U956" s="889" t="s">
        <v>346</v>
      </c>
      <c r="V956" s="890"/>
      <c r="W956" s="890"/>
      <c r="X956" s="890"/>
      <c r="Y956" s="891"/>
      <c r="Z956" s="196">
        <f ca="1">IF($B$950="Лікар загальної практики - сімейний лікар",IF(Z954&lt;Законод!$C$22,0,(IF(AND(Z954&gt;=Законод!$E$22,Z954&lt;=Законод!$E$23),Z954-Законод!$C$22,IF('01_Доходи'!Z954&gt;=Законод!$F$22,Законод!$E$24,0)))),IF($B$950="Лікар-педіатр",IF(Z954&lt;Законод!$C$18,0,(IF(AND(Z954&gt;=Законод!$E$18,Z954&lt;=Законод!$E$19),Z954-Законод!$C$18,IF('01_Доходи'!Z954&gt;=Законод!$F$18,Законод!$E$20,0)))),IF($B$950="Лікар-терапевт",IF(Z954&lt;Законод!$C$26,0,(IF(AND(Z954&gt;=Законод!$E$26,Z954&lt;=Законод!$E$27),Z954-Законод!$C$26,IF('01_Доходи'!Z954&gt;=Законод!$F$26,Законод!$E$28,0)))),0)))</f>
        <v>0</v>
      </c>
      <c r="AA956" s="930"/>
      <c r="AB956" s="889" t="s">
        <v>346</v>
      </c>
      <c r="AC956" s="890"/>
      <c r="AD956" s="890"/>
      <c r="AE956" s="890"/>
      <c r="AF956" s="891"/>
      <c r="AG956" s="196">
        <f ca="1">IF($B$950="Лікар загальної практики - сімейний лікар",IF(AG954&lt;Законод!$C$22,0,(IF(AND(AG954&gt;=Законод!$E$22,AG954&lt;=Законод!$E$23),AG954-Законод!$C$22,IF('01_Доходи'!AG954&gt;=Законод!$F$22,Законод!$E$24,0)))),IF($B$950="Лікар-педіатр",IF(AG954&lt;Законод!$C$18,0,(IF(AND(AG954&gt;=Законод!$E$18,AG954&lt;=Законод!$E$19),AG954-Законод!$C$18,IF('01_Доходи'!AG954&gt;=Законод!$F$18,Законод!$E$20,0)))),IF($B$950="Лікар-терапевт",IF(AG954&lt;Законод!$C$26,0,(IF(AND(AG954&gt;=Законод!$E$26,AG954&lt;=Законод!$E$27),AG954-Законод!$C$26,IF('01_Доходи'!AG954&gt;=Законод!$F$26,Законод!$E$28,0)))),0)))</f>
        <v>0</v>
      </c>
      <c r="AH956" s="930"/>
      <c r="AI956" s="201"/>
      <c r="AJ956" s="933"/>
      <c r="AK956" s="927"/>
      <c r="AL956" s="927"/>
      <c r="AM956" s="898" t="s">
        <v>375</v>
      </c>
      <c r="AN956" s="210">
        <f ca="1">IF(B950="Лікар загальної практики - сімейний лікар",L956*Законод!$C$9/4*Законод!$E$16,IF(B950="Лікар-педіатр",L956*Законод!$C$9/4*Законод!$E$16,IF(B950="Лікар-терапевт",L956*Законод!$C$9/4*Законод!$E$16,0)))</f>
        <v>0</v>
      </c>
      <c r="AO956" s="210">
        <f ca="1">IF(B950="Лікар загальної практики - сімейний лікар",S956*Законод!$C$9/4*Законод!$E$16,IF(B950="Лікар-педіатр",S956*Законод!$C$9/4*Законод!$E$16,IF(B950="Лікар-терапевт",S956*Законод!$C$9/4*Законод!$E$16,0)))</f>
        <v>0</v>
      </c>
      <c r="AP956" s="210">
        <f ca="1">IF(B950="Лікар загальної практики - сімейний лікар",Z956*Законод!$C$9/4*Законод!$E$16,IF(B950="Лікар-педіатр",Z956*Законод!$C$9/4*Законод!$E$16,IF(B950="Лікар-терапевт",Z956*Законод!$C$9/4*Законод!$E$16,0)))</f>
        <v>0</v>
      </c>
      <c r="AQ956" s="210">
        <f ca="1">IF(B950="Лікар загальної практики - сімейний лікар",AG956*Законод!$C$9/4*Законод!$E$16,IF(B950="Лікар-педіатр",AG956*Законод!$C$9/4*Законод!$E$16,IF(B950="Лікар-терапевт",AG956*Законод!$C$9/4*Законод!$E$16,0)))</f>
        <v>0</v>
      </c>
      <c r="AR956" s="211">
        <f t="shared" si="100"/>
        <v>0</v>
      </c>
    </row>
    <row r="957" spans="1:44" s="50" customFormat="1" ht="31.9" hidden="1" customHeight="1">
      <c r="A957" s="197"/>
      <c r="B957" s="893"/>
      <c r="C957" s="896"/>
      <c r="D957" s="912"/>
      <c r="E957" s="909"/>
      <c r="F957" s="238" t="str">
        <f ca="1">IF(B950="Лікар-педіатр",Законод!$F$17,IF(B950="Лікар загальної практики - сімейний лікар",Законод!$F$21,IF(B950="Лікар-терапевт",Законод!$F$25,"х")))</f>
        <v>х</v>
      </c>
      <c r="G957" s="889" t="s">
        <v>346</v>
      </c>
      <c r="H957" s="890"/>
      <c r="I957" s="890"/>
      <c r="J957" s="890"/>
      <c r="K957" s="891"/>
      <c r="L957" s="196">
        <f ca="1">IF($B$950="Лікар загальної практики - сімейний лікар",IF(L954&lt;Законод!$C$22,0,(IF(AND(L954&gt;=Законод!$F$22,L954&lt;=Законод!$F$23),L954-Законод!$E$23,IF('01_Доходи'!L954&gt;=Законод!$G$22,Законод!$F$24,0)))),IF($B$950="Лікар-педіатр",IF(L954&lt;Законод!$C$18,0,(IF(AND(L954&gt;=Законод!$F$18,L954&lt;=Законод!$F$19),L954-Законод!$E$19,IF('01_Доходи'!L954&gt;=Законод!$G$18,Законод!$F$20,0)))),IF($B$950="Лікар-терапевт",IF(L954&lt;Законод!$C$26,0,(IF(AND(L954&gt;=Законод!$F$26,L954&lt;=Законод!$F$27),L954-Законод!$E$27,IF('01_Доходи'!L954&gt;=Законод!$G$26,Законод!$F$28,0)))),0)))</f>
        <v>0</v>
      </c>
      <c r="M957" s="930"/>
      <c r="N957" s="889" t="s">
        <v>346</v>
      </c>
      <c r="O957" s="890"/>
      <c r="P957" s="890"/>
      <c r="Q957" s="890"/>
      <c r="R957" s="891"/>
      <c r="S957" s="196">
        <f ca="1">IF($B$950="Лікар загальної практики - сімейний лікар",IF(S954&lt;Законод!$C$22,0,(IF(AND(S954&gt;=Законод!$F$22,S954&lt;=Законод!$F$23),S954-Законод!$E$23,IF('01_Доходи'!S954&gt;=Законод!$G$22,Законод!$F$24,0)))),IF($B$950="Лікар-педіатр",IF(S954&lt;Законод!$C$18,0,(IF(AND(S954&gt;=Законод!$F$18,S954&lt;=Законод!$F$19),S954-Законод!$E$19,IF('01_Доходи'!S954&gt;=Законод!$G$18,Законод!$F$20,0)))),IF($B$950="Лікар-терапевт",IF(S954&lt;Законод!$C$26,0,(IF(AND(S954&gt;=Законод!$F$26,S954&lt;=Законод!$F$27),S954-Законод!$E$27,IF('01_Доходи'!S954&gt;=Законод!$G$26,Законод!$F$28,0)))),0)))</f>
        <v>0</v>
      </c>
      <c r="T957" s="930"/>
      <c r="U957" s="889" t="s">
        <v>346</v>
      </c>
      <c r="V957" s="890"/>
      <c r="W957" s="890"/>
      <c r="X957" s="890"/>
      <c r="Y957" s="891"/>
      <c r="Z957" s="196">
        <f ca="1">IF($B$950="Лікар загальної практики - сімейний лікар",IF(Z954&lt;Законод!$C$22,0,(IF(AND(Z954&gt;=Законод!$F$22,Z954&lt;=Законод!$F$23),Z954-Законод!$E$23,IF('01_Доходи'!Z954&gt;=Законод!$G$22,Законод!$F$24,0)))),IF($B$950="Лікар-педіатр",IF(Z954&lt;Законод!$C$18,0,(IF(AND(Z954&gt;=Законод!$F$18,Z954&lt;=Законод!$F$19),Z954-Законод!$E$19,IF('01_Доходи'!Z954&gt;=Законод!$G$18,Законод!$F$20,0)))),IF($B$950="Лікар-терапевт",IF(Z954&lt;Законод!$C$26,0,(IF(AND(Z954&gt;=Законод!$F$26,Z954&lt;=Законод!$F$27),Z954-Законод!$E$27,IF('01_Доходи'!Z954&gt;=Законод!$G$26,Законод!$F$28,0)))),0)))</f>
        <v>0</v>
      </c>
      <c r="AA957" s="930"/>
      <c r="AB957" s="889" t="s">
        <v>346</v>
      </c>
      <c r="AC957" s="890"/>
      <c r="AD957" s="890"/>
      <c r="AE957" s="890"/>
      <c r="AF957" s="891"/>
      <c r="AG957" s="196">
        <f ca="1">IF($B$950="Лікар загальної практики - сімейний лікар",IF(AG954&lt;Законод!$C$22,0,(IF(AND(AG954&gt;=Законод!$F$22,AG954&lt;=Законод!$F$23),AG954-Законод!$E$23,IF('01_Доходи'!AG954&gt;=Законод!$G$22,Законод!$F$24,0)))),IF($B$950="Лікар-педіатр",IF(AG954&lt;Законод!$C$18,0,(IF(AND(AG954&gt;=Законод!$F$18,AG954&lt;=Законод!$F$19),AG954-Законод!$E$19,IF('01_Доходи'!AG954&gt;=Законод!$G$18,Законод!$F$20,0)))),IF($B$950="Лікар-терапевт",IF(AG954&lt;Законод!$C$26,0,(IF(AND(AG954&gt;=Законод!$F$26,AG954&lt;=Законод!$F$27),AG954-Законод!$E$27,IF('01_Доходи'!AG954&gt;=Законод!$G$26,Законод!$F$28,0)))),0)))</f>
        <v>0</v>
      </c>
      <c r="AH957" s="930"/>
      <c r="AI957" s="201"/>
      <c r="AJ957" s="933"/>
      <c r="AK957" s="927"/>
      <c r="AL957" s="927"/>
      <c r="AM957" s="899"/>
      <c r="AN957" s="210">
        <f ca="1">IF(B950="Лікар загальної практики - сімейний лікар",L957*Законод!$C$9/4*Законод!$F$16,IF(B950="Лікар-педіатр",L957*Законод!$C$9/4*Законод!$F$16,IF(B950="Лікар-терапевт",L957*Законод!$C$9/4*Законод!$F$16,0)))</f>
        <v>0</v>
      </c>
      <c r="AO957" s="210">
        <f ca="1">IF(B950="Лікар загальної практики - сімейний лікар",S957*Законод!$C$9/4*Законод!$F$16,IF(B950="Лікар-педіатр",S957*Законод!$C$9/4*Законод!$F$16,IF(B950="Лікар-терапевт",S957*Законод!$C$9/4*Законод!$F$16,0)))</f>
        <v>0</v>
      </c>
      <c r="AP957" s="210">
        <f ca="1">IF(B950="Лікар загальної практики - сімейний лікар",Z957*Законод!$C$9/4*Законод!$F$16,IF(B950="Лікар-педіатр",Z957*Законод!$C$9/4*Законод!$F$16,IF(B950="Лікар-терапевт",Z957*Законод!$C$9/4*Законод!$F$16,0)))</f>
        <v>0</v>
      </c>
      <c r="AQ957" s="210">
        <f ca="1">IF(B950="Лікар загальної практики - сімейний лікар",AG957*Законод!$C$9/4*Законод!$F$16,IF(B950="Лікар-педіатр",AG957*Законод!$C$9/4*Законод!$F$16,IF(B950="Лікар-терапевт",AG957*Законод!$C$9/4*Законод!$F$16,0)))</f>
        <v>0</v>
      </c>
      <c r="AR957" s="211">
        <f t="shared" si="100"/>
        <v>0</v>
      </c>
    </row>
    <row r="958" spans="1:44" s="50" customFormat="1" ht="31.9" hidden="1" customHeight="1">
      <c r="A958" s="197"/>
      <c r="B958" s="893"/>
      <c r="C958" s="896"/>
      <c r="D958" s="912"/>
      <c r="E958" s="909"/>
      <c r="F958" s="238" t="str">
        <f ca="1">IF(B950="Лікар-педіатр",Законод!$G$17,IF(B950="Лікар загальної практики - сімейний лікар",Законод!$G$21,IF(B950="Лікар-терапевт",Законод!$G$25,"х")))</f>
        <v>х</v>
      </c>
      <c r="G958" s="889" t="s">
        <v>346</v>
      </c>
      <c r="H958" s="890"/>
      <c r="I958" s="890"/>
      <c r="J958" s="890"/>
      <c r="K958" s="891"/>
      <c r="L958" s="196">
        <f ca="1">IF($B$950="Лікар загальної практики - сімейний лікар",IF(L954&lt;Законод!$C$22,0,(IF(AND(L954&gt;=Законод!$G$22,L954&lt;=Законод!$G$23),L954-Законод!$F$23,IF('01_Доходи'!L954&gt;=Законод!$H$22,Законод!$G$24,0)))),IF($B$950="Лікар-педіатр",IF(L954&lt;Законод!$C$18,0,(IF(AND(L954&gt;=Законод!$G$18,L954&lt;=Законод!$G$19),L954-Законод!$F$19,IF('01_Доходи'!L954&gt;=Законод!$H$18,Законод!$G$20,0)))),IF($B$950="Лікар-терапевт",IF(L954&lt;Законод!$C$26,0,(IF(AND(L954&gt;=Законод!$G$26,L954&lt;=Законод!$G$27),L954-Законод!$F$27,IF('01_Доходи'!L954&gt;=Законод!$H$26,Законод!$G$28,0)))),0)))</f>
        <v>0</v>
      </c>
      <c r="M958" s="930"/>
      <c r="N958" s="889" t="s">
        <v>346</v>
      </c>
      <c r="O958" s="890"/>
      <c r="P958" s="890"/>
      <c r="Q958" s="890"/>
      <c r="R958" s="891"/>
      <c r="S958" s="196">
        <f ca="1">IF($B$950="Лікар загальної практики - сімейний лікар",IF(S954&lt;Законод!$C$22,0,(IF(AND(S954&gt;=Законод!$G$22,S954&lt;=Законод!$G$23),S954-Законод!$F$23,IF('01_Доходи'!S954&gt;=Законод!$H$22,Законод!$G$24,0)))),IF($B$950="Лікар-педіатр",IF(S954&lt;Законод!$C$18,0,(IF(AND(S954&gt;=Законод!$G$18,S954&lt;=Законод!$G$19),S954-Законод!$F$19,IF('01_Доходи'!S954&gt;=Законод!$H$18,Законод!$G$20,0)))),IF($B$950="Лікар-терапевт",IF(S954&lt;Законод!$C$26,0,(IF(AND(S954&gt;=Законод!$G$26,S954&lt;=Законод!$G$27),S954-Законод!$F$27,IF('01_Доходи'!S954&gt;=Законод!$H$26,Законод!$G$28,0)))),0)))</f>
        <v>0</v>
      </c>
      <c r="T958" s="930"/>
      <c r="U958" s="889" t="s">
        <v>346</v>
      </c>
      <c r="V958" s="890"/>
      <c r="W958" s="890"/>
      <c r="X958" s="890"/>
      <c r="Y958" s="891"/>
      <c r="Z958" s="196">
        <f ca="1">IF($B$950="Лікар загальної практики - сімейний лікар",IF(Z954&lt;Законод!$C$22,0,(IF(AND(Z954&gt;=Законод!$G$22,Z954&lt;=Законод!$G$23),Z954-Законод!$F$23,IF('01_Доходи'!Z954&gt;=Законод!$H$22,Законод!$G$24,0)))),IF($B$950="Лікар-педіатр",IF(Z954&lt;Законод!$C$18,0,(IF(AND(Z954&gt;=Законод!$G$18,Z954&lt;=Законод!$G$19),Z954-Законод!$F$19,IF('01_Доходи'!Z954&gt;=Законод!$H$18,Законод!$G$20,0)))),IF($B$950="Лікар-терапевт",IF(Z954&lt;Законод!$C$26,0,(IF(AND(Z954&gt;=Законод!$G$26,Z954&lt;=Законод!$G$27),Z954-Законод!$F$27,IF('01_Доходи'!Z954&gt;=Законод!$H$26,Законод!$G$28,0)))),0)))</f>
        <v>0</v>
      </c>
      <c r="AA958" s="930"/>
      <c r="AB958" s="889" t="s">
        <v>346</v>
      </c>
      <c r="AC958" s="890"/>
      <c r="AD958" s="890"/>
      <c r="AE958" s="890"/>
      <c r="AF958" s="891"/>
      <c r="AG958" s="196">
        <f ca="1">IF($B$950="Лікар загальної практики - сімейний лікар",IF(AG954&lt;Законод!$C$22,0,(IF(AND(AG954&gt;=Законод!$G$22,AG954&lt;=Законод!$G$23),AG954-Законод!$F$23,IF('01_Доходи'!AG954&gt;=Законод!$H$22,Законод!$G$24,0)))),IF($B$950="Лікар-педіатр",IF(AG954&lt;Законод!$C$18,0,(IF(AND(AG954&gt;=Законод!$G$18,AG954&lt;=Законод!$G$19),AG954-Законод!$F$19,IF('01_Доходи'!AG954&gt;=Законод!$H$18,Законод!$G$20,0)))),IF($B$950="Лікар-терапевт",IF(AG954&lt;Законод!$C$26,0,(IF(AND(AG954&gt;=Законод!$G$26,AG954&lt;=Законод!$G$27),AG954-Законод!$F$27,IF('01_Доходи'!AG954&gt;=Законод!$H$26,Законод!$G$28,0)))),0)))</f>
        <v>0</v>
      </c>
      <c r="AH958" s="930"/>
      <c r="AI958" s="201"/>
      <c r="AJ958" s="933"/>
      <c r="AK958" s="927"/>
      <c r="AL958" s="927"/>
      <c r="AM958" s="899"/>
      <c r="AN958" s="210">
        <f ca="1">IF(B950="Лікар загальної практики - сімейний лікар",L958*Законод!$C$9/4*Законод!$G$16,IF(B950="Лікар-педіатр",L958*Законод!$C$9/4*Законод!$G$16,IF(B950="Лікар-терапевт",L958*Законод!$C$9/4*Законод!$G$16,0)))</f>
        <v>0</v>
      </c>
      <c r="AO958" s="210">
        <f ca="1">IF(B950="Лікар загальної практики - сімейний лікар",S958*Законод!$C$9/4*Законод!$G$16,IF(B950="Лікар-педіатр",S958*Законод!$C$9/4*Законод!$G$16,IF(B950="Лікар-терапевт",S958*Законод!$C$9/4*Законод!$G$16,0)))</f>
        <v>0</v>
      </c>
      <c r="AP958" s="210">
        <f ca="1">IF(B950="Лікар загальної практики - сімейний лікар",Z958*Законод!$C$9/4*Законод!$G$16,IF(B950="Лікар-педіатр",Z958*Законод!$C$9/4*Законод!$G$16,IF(B950="Лікар-терапевт",Z958*Законод!$C$9/4*Законод!$G$16,0)))</f>
        <v>0</v>
      </c>
      <c r="AQ958" s="210">
        <f ca="1">IF(B950="Лікар загальної практики - сімейний лікар",AG958*Законод!$C$9/4*Законод!$G$16,IF(B950="Лікар-педіатр",AG958*Законод!$C$9/4*Законод!$G$16,IF(B950="Лікар-терапевт",AG958*Законод!$C$9/4*Законод!$G$16,0)))</f>
        <v>0</v>
      </c>
      <c r="AR958" s="211">
        <f t="shared" si="100"/>
        <v>0</v>
      </c>
    </row>
    <row r="959" spans="1:44" s="50" customFormat="1" ht="31.9" hidden="1" customHeight="1">
      <c r="A959" s="197"/>
      <c r="B959" s="893"/>
      <c r="C959" s="896"/>
      <c r="D959" s="912"/>
      <c r="E959" s="909"/>
      <c r="F959" s="238" t="str">
        <f ca="1">IF(B950="Лікар-педіатр",Законод!$H$17,IF(B950="Лікар загальної практики - сімейний лікар",Законод!$H$21,IF(B950="Лікар-терапевт",Законод!$H$25,"х")))</f>
        <v>х</v>
      </c>
      <c r="G959" s="889" t="s">
        <v>346</v>
      </c>
      <c r="H959" s="890"/>
      <c r="I959" s="890"/>
      <c r="J959" s="890"/>
      <c r="K959" s="891"/>
      <c r="L959" s="196">
        <f ca="1">IF($B$950="Лікар загальної практики - сімейний лікар",IF(L954&lt;Законод!$C$22,0,(IF(AND(L954&gt;=Законод!$H$22,L954&lt;=Законод!$H$23),L954-Законод!$G$23,IF('01_Доходи'!L954&gt;=Законод!$I$22,Законод!$H$24,0)))),IF($B$950="Лікар-педіатр",IF(L954&lt;Законод!$C$18,0,(IF(AND(L954&gt;=Законод!$H$18,L954&lt;=Законод!$H$19),L954-Законод!$G$19,IF('01_Доходи'!L954&gt;=Законод!$I$18,Законод!$H$20,0)))),IF($B$950="Лікар-терапевт",IF(L954&lt;Законод!$C$26,0,(IF(AND(L954&gt;=Законод!$H$26,L954&lt;=Законод!$H$27),L954-Законод!$G$27,IF(L954&gt;=Законод!$I$26,Законод!$H$28,0)))),0)))</f>
        <v>0</v>
      </c>
      <c r="M959" s="930"/>
      <c r="N959" s="889" t="s">
        <v>346</v>
      </c>
      <c r="O959" s="890"/>
      <c r="P959" s="890"/>
      <c r="Q959" s="890"/>
      <c r="R959" s="891"/>
      <c r="S959" s="196">
        <f ca="1">IF($B$950="Лікар загальної практики - сімейний лікар",IF(S954&lt;Законод!$C$22,0,(IF(AND(S954&gt;=Законод!$H$22,S954&lt;=Законод!$H$23),S954-Законод!$G$23,IF('01_Доходи'!S954&gt;=Законод!$I$22,Законод!$H$24,0)))),IF($B$950="Лікар-педіатр",IF(S954&lt;Законод!$C$18,0,(IF(AND(S954&gt;=Законод!$H$18,S954&lt;=Законод!$H$19),S954-Законод!$G$19,IF('01_Доходи'!S954&gt;=Законод!$I$18,Законод!$H$20,0)))),IF($B$950="Лікар-терапевт",IF(S954&lt;Законод!$C$26,0,(IF(AND(S954&gt;=Законод!$H$26,S954&lt;=Законод!$H$27),S954-Законод!$G$27,IF(S954&gt;=Законод!$I$26,Законод!$H$28,0)))),0)))</f>
        <v>0</v>
      </c>
      <c r="T959" s="930"/>
      <c r="U959" s="889" t="s">
        <v>346</v>
      </c>
      <c r="V959" s="890"/>
      <c r="W959" s="890"/>
      <c r="X959" s="890"/>
      <c r="Y959" s="891"/>
      <c r="Z959" s="196">
        <f ca="1">IF($B$950="Лікар загальної практики - сімейний лікар",IF(Z954&lt;Законод!$C$22,0,(IF(AND(Z954&gt;=Законод!$H$22,Z954&lt;=Законод!$H$23),Z954-Законод!$G$23,IF('01_Доходи'!Z954&gt;=Законод!$I$22,Законод!$H$24,0)))),IF($B$950="Лікар-педіатр",IF(Z954&lt;Законод!$C$18,0,(IF(AND(Z954&gt;=Законод!$H$18,Z954&lt;=Законод!$H$19),Z954-Законод!$G$19,IF('01_Доходи'!Z954&gt;=Законод!$I$18,Законод!$H$20,0)))),IF($B$950="Лікар-терапевт",IF(Z954&lt;Законод!$C$26,0,(IF(AND(Z954&gt;=Законод!$H$26,Z954&lt;=Законод!$H$27),Z954-Законод!$G$27,IF(Z954&gt;=Законод!$I$26,Законод!$H$28,0)))),0)))</f>
        <v>0</v>
      </c>
      <c r="AA959" s="930"/>
      <c r="AB959" s="889" t="s">
        <v>346</v>
      </c>
      <c r="AC959" s="890"/>
      <c r="AD959" s="890"/>
      <c r="AE959" s="890"/>
      <c r="AF959" s="891"/>
      <c r="AG959" s="196">
        <f ca="1">IF($B$950="Лікар загальної практики - сімейний лікар",IF(AG954&lt;Законод!$C$22,0,(IF(AND(AG954&gt;=Законод!$H$22,AG954&lt;=Законод!$H$23),AG954-Законод!$G$23,IF('01_Доходи'!AG954&gt;=Законод!$I$22,Законод!$H$24,0)))),IF($B$950="Лікар-педіатр",IF(AG954&lt;Законод!$C$18,0,(IF(AND(AG954&gt;=Законод!$H$18,AG954&lt;=Законод!$H$19),AG954-Законод!$G$19,IF('01_Доходи'!AG954&gt;=Законод!$I$18,Законод!$H$20,0)))),IF($B$950="Лікар-терапевт",IF(AG954&lt;Законод!$C$26,0,(IF(AND(AG954&gt;=Законод!$H$26,AG954&lt;=Законод!$H$27),AG954-Законод!$G$27,IF(AG954&gt;=Законод!$I$26,Законод!$H$28,0)))),0)))</f>
        <v>0</v>
      </c>
      <c r="AH959" s="930"/>
      <c r="AI959" s="201"/>
      <c r="AJ959" s="933"/>
      <c r="AK959" s="927"/>
      <c r="AL959" s="927"/>
      <c r="AM959" s="899"/>
      <c r="AN959" s="210">
        <f ca="1">IF(B950="Лікар загальної практики - сімейний лікар",L959*Законод!$C$9/4*Законод!$H$16,IF(B950="Лікар-педіатр",L959*Законод!$C$9/4*Законод!$H$16,IF(B950="Лікар-терапевт",L959*Законод!$C$9/4*Законод!$H$16,0)))</f>
        <v>0</v>
      </c>
      <c r="AO959" s="210">
        <f ca="1">IF(B950="Лікар загальної практики - сімейний лікар",S959*Законод!$C$9/4*Законод!$H$16,IF(B950="Лікар-педіатр",S959*Законод!$C$9/4*Законод!$H$16,IF(B950="Лікар-терапевт",S959*Законод!$C$9/4*Законод!$H$16,0)))</f>
        <v>0</v>
      </c>
      <c r="AP959" s="210">
        <f ca="1">IF(B950="Лікар загальної практики - сімейний лікар",Z959*Законод!$C$9/4*Законод!$H$16,IF(B950="Лікар-педіатр",Z959*Законод!$C$9/4*Законод!$H$16,IF(B950="Лікар-терапевт",Z959*Законод!$C$9/4*Законод!$H$16,0)))</f>
        <v>0</v>
      </c>
      <c r="AQ959" s="210">
        <f ca="1">IF(B950="Лікар загальної практики - сімейний лікар",AG959*Законод!$C$9/4*Законод!$H$16,IF(B950="Лікар-педіатр",AG959*Законод!$C$9/4*Законод!$H$16,IF(B950="Лікар-терапевт",AG959*Законод!$C$9/4*Законод!$H$16,0)))</f>
        <v>0</v>
      </c>
      <c r="AR959" s="211">
        <f t="shared" si="100"/>
        <v>0</v>
      </c>
    </row>
    <row r="960" spans="1:44" s="50" customFormat="1" ht="31.9" hidden="1" customHeight="1">
      <c r="A960" s="197"/>
      <c r="B960" s="893"/>
      <c r="C960" s="896"/>
      <c r="D960" s="912"/>
      <c r="E960" s="909"/>
      <c r="F960" s="238" t="str">
        <f ca="1">IF(B950="Лікар-педіатр",Законод!$I$17,IF(B950="Лікар загальної практики - сімейний лікар",Законод!$I$21,IF(B950="Лікар-терапевт",Законод!$I$25,"х")))</f>
        <v>х</v>
      </c>
      <c r="G960" s="889" t="s">
        <v>346</v>
      </c>
      <c r="H960" s="890"/>
      <c r="I960" s="890"/>
      <c r="J960" s="890"/>
      <c r="K960" s="891"/>
      <c r="L960" s="196">
        <f ca="1">IF($B$950="Лікар загальної практики - сімейний лікар",IF(L954&lt;Законод!$C$22,0,(IF(AND(L954&gt;=Законод!$I$22,L954&lt;=Законод!$I$23),L954-Законод!$H$23,IF('01_Доходи'!L954&gt;=Законод!$I$22,Законод!$I$24,0)))),IF($B$950="Лікар-педіатр",IF(L954&lt;Законод!$C$18,0,(IF(AND(L954&gt;=Законод!$I$18,L954&lt;=Законод!$I$19),L954-Законод!$H$19,IF('01_Доходи'!L954&gt;=Законод!$I$18,Законод!$H$20,0)))),IF($B$950="Лікар-терапевт",IF(L954&lt;Законод!$C$26,0,(IF(AND(L954&gt;=Законод!$I$26,L954&lt;=Законод!$I$27),L954-Законод!$H$27,IF('01_Доходи'!L954&gt;=Законод!$I$26,Законод!$H$28,0)))),0)))</f>
        <v>0</v>
      </c>
      <c r="M960" s="930"/>
      <c r="N960" s="889" t="s">
        <v>346</v>
      </c>
      <c r="O960" s="890"/>
      <c r="P960" s="890"/>
      <c r="Q960" s="890"/>
      <c r="R960" s="891"/>
      <c r="S960" s="196">
        <f ca="1">IF($B$950="Лікар загальної практики - сімейний лікар",IF(S954&lt;Законод!$C$22,0,(IF(AND(S954&gt;=Законод!$I$22,S954&lt;=Законод!$I$23),S954-Законод!$H$23,IF('01_Доходи'!S954&gt;=Законод!$I$22,Законод!$I$24,0)))),IF($B$950="Лікар-педіатр",IF(S954&lt;Законод!$C$18,0,(IF(AND(S954&gt;=Законод!$I$18,S954&lt;=Законод!$I$19),S954-Законод!$H$19,IF('01_Доходи'!S954&gt;=Законод!$I$18,Законод!$H$20,0)))),IF($B$950="Лікар-терапевт",IF(S954&lt;Законод!$C$26,0,(IF(AND(S954&gt;=Законод!$I$26,S954&lt;=Законод!$I$27),S954-Законод!$H$27,IF('01_Доходи'!S954&gt;=Законод!$I$26,Законод!$H$28,0)))),0)))</f>
        <v>0</v>
      </c>
      <c r="T960" s="930"/>
      <c r="U960" s="889" t="s">
        <v>346</v>
      </c>
      <c r="V960" s="890"/>
      <c r="W960" s="890"/>
      <c r="X960" s="890"/>
      <c r="Y960" s="891"/>
      <c r="Z960" s="196">
        <f ca="1">IF($B$950="Лікар загальної практики - сімейний лікар",IF(Z954&lt;Законод!$C$22,0,(IF(AND(Z954&gt;=Законод!$I$22,Z954&lt;=Законод!$I$23),Z954-Законод!$H$23,IF('01_Доходи'!Z954&gt;=Законод!$I$22,Законод!$I$24,0)))),IF($B$950="Лікар-педіатр",IF(Z954&lt;Законод!$C$18,0,(IF(AND(Z954&gt;=Законод!$I$18,Z954&lt;=Законод!$I$19),Z954-Законод!$H$19,IF('01_Доходи'!Z954&gt;=Законод!$I$18,Законод!$H$20,0)))),IF($B$950="Лікар-терапевт",IF(Z954&lt;Законод!$C$26,0,(IF(AND(Z954&gt;=Законод!$I$26,Z954&lt;=Законод!$I$27),Z954-Законод!$H$27,IF('01_Доходи'!Z954&gt;=Законод!$I$26,Законод!$H$28,0)))),0)))</f>
        <v>0</v>
      </c>
      <c r="AA960" s="930"/>
      <c r="AB960" s="889" t="s">
        <v>346</v>
      </c>
      <c r="AC960" s="890"/>
      <c r="AD960" s="890"/>
      <c r="AE960" s="890"/>
      <c r="AF960" s="891"/>
      <c r="AG960" s="196">
        <f ca="1">IF($B$950="Лікар загальної практики - сімейний лікар",IF(AG954&lt;Законод!$C$22,0,(IF(AND(AG954&gt;=Законод!$I$22,AG954&lt;=Законод!$I$23),AG954-Законод!$H$23,IF('01_Доходи'!AG954&gt;=Законод!$I$22,Законод!$I$24,0)))),IF($B$950="Лікар-педіатр",IF(AG954&lt;Законод!$C$18,0,(IF(AND(AG954&gt;=Законод!$I$18,AG954&lt;=Законод!$I$19),AG954-Законод!$H$19,IF('01_Доходи'!AG954&gt;=Законод!$I$18,Законод!$H$20,0)))),IF($B$950="Лікар-терапевт",IF(AG954&lt;Законод!$C$26,0,(IF(AND(AG954&gt;=Законод!$I$26,AG954&lt;=Законод!$I$27),AG954-Законод!$H$27,IF('01_Доходи'!AG954&gt;=Законод!$I$26,Законод!$H$28,0)))),0)))</f>
        <v>0</v>
      </c>
      <c r="AH960" s="930"/>
      <c r="AI960" s="201"/>
      <c r="AJ960" s="933"/>
      <c r="AK960" s="927"/>
      <c r="AL960" s="927"/>
      <c r="AM960" s="899"/>
      <c r="AN960" s="210">
        <f ca="1">IF(B950="Лікар загальної практики - сімейний лікар",L960*Законод!$C$9/4*Законод!$I$16,IF(B950="Лікар-педіатр",L960*Законод!$C$9/4*Законод!$I$16,IF(B950="Лікар-терапевт",L960*Законод!$C$9/4*Законод!$I$16,0)))</f>
        <v>0</v>
      </c>
      <c r="AO960" s="210">
        <f ca="1">IF(B950="Лікар загальної практики - сімейний лікар",S960*Законод!$C$9/4*Законод!$I$16,IF(B950="Лікар-педіатр",S960*Законод!$C$9/4*Законод!$I$16,IF(B950="Лікар-терапевт",S960*Законод!$C$9/4*Законод!$I$16,0)))</f>
        <v>0</v>
      </c>
      <c r="AP960" s="210">
        <f ca="1">IF(B950="Лікар загальної практики - сімейний лікар",Z960*Законод!$C$9/4*Законод!$I$16,IF(B950="Лікар-педіатр",Z960*Законод!$C$9/4*Законод!$I$16,IF(B950="Лікар-терапевт",Z960*Законод!$C$9/4*Законод!$I$16,0)))</f>
        <v>0</v>
      </c>
      <c r="AQ960" s="210">
        <f ca="1">IF(B950="Лікар загальної практики - сімейний лікар",AG960*Законод!$C$9/4*Законод!$I$16,IF(B950="Лікар-педіатр",AG960*Законод!$C$9/4*Законод!$I$16,IF(B950="Лікар-терапевт",AG960*Законод!$C$9/4*Законод!$I$16,0)))</f>
        <v>0</v>
      </c>
      <c r="AR960" s="211">
        <f t="shared" si="100"/>
        <v>0</v>
      </c>
    </row>
    <row r="961" spans="1:44" s="218" customFormat="1" ht="31.9" hidden="1" customHeight="1" thickBot="1">
      <c r="A961" s="213"/>
      <c r="B961" s="894"/>
      <c r="C961" s="897"/>
      <c r="D961" s="913"/>
      <c r="E961" s="910"/>
      <c r="F961" s="239" t="str">
        <f ca="1">IF(B950="Лікар-педіатр",Законод!$J$17,IF(B950="Лікар загальної практики - сімейний лікар",Законод!$J$21,IF(B950="Лікар-терапевт",Законод!$J$25,"х")))</f>
        <v>х</v>
      </c>
      <c r="G961" s="935" t="s">
        <v>346</v>
      </c>
      <c r="H961" s="936"/>
      <c r="I961" s="936"/>
      <c r="J961" s="936"/>
      <c r="K961" s="937"/>
      <c r="L961" s="196">
        <f ca="1">IF($B$950="Лікар загальної практики - сімейний лікар",IF(L954&gt;=Законод!$J$22,'01_Доходи'!L954-('01_Доходи'!L955+'01_Доходи'!L956+'01_Доходи'!L957+'01_Доходи'!L958+'01_Доходи'!L959+'01_Доходи'!L960),0),IF($B$950="Лікар-педіатр",IF(L954&gt;=Законод!$J$18,'01_Доходи'!L954-('01_Доходи'!L955+'01_Доходи'!L956+'01_Доходи'!L957+'01_Доходи'!L958+'01_Доходи'!L959+'01_Доходи'!L960),0),IF($B$950="Лікар-терапевт",IF('01_Доходи'!L954&gt;=Законод!$J$26,L954-Законод!$I$27,0),0)))</f>
        <v>0</v>
      </c>
      <c r="M961" s="931"/>
      <c r="N961" s="935" t="s">
        <v>346</v>
      </c>
      <c r="O961" s="936"/>
      <c r="P961" s="936"/>
      <c r="Q961" s="936"/>
      <c r="R961" s="937"/>
      <c r="S961" s="196">
        <f ca="1">IF($B$950="Лікар загальної практики - сімейний лікар",IF(S954&gt;=Законод!$J$22,'01_Доходи'!S954-('01_Доходи'!S955+'01_Доходи'!S956+'01_Доходи'!S957+'01_Доходи'!S958+'01_Доходи'!S959+'01_Доходи'!S960),0),IF($B$950="Лікар-педіатр",IF(S954&gt;=Законод!$J$18,'01_Доходи'!S954-('01_Доходи'!S955+'01_Доходи'!S956+'01_Доходи'!S957+'01_Доходи'!S958+'01_Доходи'!S959+'01_Доходи'!S960),0),IF($B$950="Лікар-терапевт",IF('01_Доходи'!S954&gt;=Законод!$J$26,S954-Законод!$I$27,0),0)))</f>
        <v>0</v>
      </c>
      <c r="T961" s="931"/>
      <c r="U961" s="935" t="s">
        <v>346</v>
      </c>
      <c r="V961" s="936"/>
      <c r="W961" s="936"/>
      <c r="X961" s="936"/>
      <c r="Y961" s="937"/>
      <c r="Z961" s="196">
        <f ca="1">IF($B$950="Лікар загальної практики - сімейний лікар",IF(Z954&gt;=Законод!$J$22,'01_Доходи'!Z954-('01_Доходи'!Z955+'01_Доходи'!Z956+'01_Доходи'!Z957+'01_Доходи'!Z958+'01_Доходи'!Z959+'01_Доходи'!Z960),0),IF($B$950="Лікар-педіатр",IF(Z954&gt;=Законод!$J$18,'01_Доходи'!Z954-('01_Доходи'!Z955+'01_Доходи'!Z956+'01_Доходи'!Z957+'01_Доходи'!Z958+'01_Доходи'!Z959+'01_Доходи'!Z960),0),IF($B$950="Лікар-терапевт",IF('01_Доходи'!Z954&gt;=Законод!$J$26,Z954-Законод!$I$27,0),0)))</f>
        <v>0</v>
      </c>
      <c r="AA961" s="931"/>
      <c r="AB961" s="935" t="s">
        <v>346</v>
      </c>
      <c r="AC961" s="936"/>
      <c r="AD961" s="936"/>
      <c r="AE961" s="936"/>
      <c r="AF961" s="937"/>
      <c r="AG961" s="196">
        <f ca="1">IF($B$950="Лікар загальної практики - сімейний лікар",IF(AG954&gt;=Законод!$J$22,'01_Доходи'!AG954-('01_Доходи'!AG955+'01_Доходи'!AG956+'01_Доходи'!AG957+'01_Доходи'!AG958+'01_Доходи'!AG959+'01_Доходи'!AG960),0),IF($B$950="Лікар-педіатр",IF(AG954&gt;=Законод!$J$18,'01_Доходи'!AG954-('01_Доходи'!AG955+'01_Доходи'!AG956+'01_Доходи'!AG957+'01_Доходи'!AG958+'01_Доходи'!AG959+'01_Доходи'!AG960),0),IF($B$950="Лікар-терапевт",IF('01_Доходи'!AG954&gt;=Законод!$J$26,AG954-Законод!$I$27,0),0)))</f>
        <v>0</v>
      </c>
      <c r="AH961" s="931"/>
      <c r="AI961" s="215"/>
      <c r="AJ961" s="934"/>
      <c r="AK961" s="928"/>
      <c r="AL961" s="928"/>
      <c r="AM961" s="900"/>
      <c r="AN961" s="216">
        <f ca="1">IF(B950="Лікар загальної практики - сімейний лікар",L961*Законод!$C$9/4*Законод!$J$16,IF(B950="Лікар-педіатр",L961*Законод!$C$9/4*Законод!$J$16,IF(B950="Лікар-терапевт",L961*Законод!$C$9/4*Законод!$J$16,0)))</f>
        <v>0</v>
      </c>
      <c r="AO961" s="216">
        <f ca="1">IF(B950="Лікар загальної практики - сімейний лікар",S961*Законод!$C$9/4*Законод!$J$16,IF(B950="Лікар-педіатр",S961*Законод!$C$9/4*Законод!$J$16,IF(B950="Лікар-терапевт",S961*Законод!$C$9/4*Законод!$J$16,0)))</f>
        <v>0</v>
      </c>
      <c r="AP961" s="216">
        <f ca="1">IF(B950="Лікар загальної практики - сімейний лікар",S961*Законод!$C$9/4*Законод!$J$16,IF(B950="Лікар-педіатр",S961*Законод!$C$9/4*Законод!$J$16,IF(B950="Лікар-терапевт",S961*Законод!$C$9/4*Законод!$J$16,0)))</f>
        <v>0</v>
      </c>
      <c r="AQ961" s="216">
        <f ca="1">IF(B950="Лікар загальної практики - сімейний лікар",AG961*Законод!$C$9/4*Законод!$J$16,IF(B950="Лікар-педіатр",AG961*Законод!$C$9/4*Законод!$J$16,IF(B950="Лікар-терапевт",AG961*Законод!$C$9/4*Законод!$J$16,0)))</f>
        <v>0</v>
      </c>
      <c r="AR961" s="217">
        <f t="shared" si="100"/>
        <v>0</v>
      </c>
    </row>
    <row r="962" spans="1:44" s="247" customFormat="1" ht="23.45" hidden="1" customHeight="1" thickBot="1">
      <c r="A962" s="243"/>
      <c r="B962" s="244"/>
      <c r="C962" s="244"/>
      <c r="D962" s="244"/>
      <c r="E962" s="244"/>
      <c r="F962" s="245"/>
      <c r="G962" s="246"/>
      <c r="H962" s="246"/>
      <c r="L962" s="248"/>
      <c r="S962" s="248"/>
      <c r="Z962" s="248"/>
      <c r="AG962" s="248"/>
      <c r="AM962" s="249"/>
      <c r="AR962" s="250"/>
    </row>
    <row r="963" spans="1:44" s="191" customFormat="1" ht="24.6" hidden="1" customHeight="1">
      <c r="A963" s="194">
        <f>A950+1</f>
        <v>72</v>
      </c>
      <c r="B963" s="892"/>
      <c r="C963" s="895"/>
      <c r="D963" s="911"/>
      <c r="E963" s="908"/>
      <c r="F963" s="234" t="s">
        <v>582</v>
      </c>
      <c r="G963" s="196">
        <f>IF($B$963="Лікар-педіатр",G966*L963,IF($B$963="Лікар-терапевт","х",IF($B$963="Лікар загальної практики - сімейний лікар",G966*L963,0)))</f>
        <v>0</v>
      </c>
      <c r="H963" s="196">
        <f>IF($B$963="Лікар-педіатр",H966*L963,IF($B$963="Лікар-терапевт","х",IF($B$963="Лікар загальної практики - сімейний лікар",H966*L963,0)))</f>
        <v>0</v>
      </c>
      <c r="I963" s="196">
        <f>IF($B$963="Лікар-педіатр","x",IF($B$963="Лікар-терапевт",I966*L963,IF($B$963="Лікар загальної практики - сімейний лікар",I966*L963,0)))</f>
        <v>0</v>
      </c>
      <c r="J963" s="196">
        <f>IF($B$963="Лікар-педіатр","x",IF($B$963="Лікар-терапевт",J966*L963,IF($B$963="Лікар загальної практики - сімейний лікар",J966*L963,0)))</f>
        <v>0</v>
      </c>
      <c r="K963" s="196">
        <f>IF($B$963="Лікар-педіатр","x",IF($B$963="Лікар-терапевт",K966*L963,IF($B$963="Лікар загальної практики - сімейний лікар",K966*L963,0)))</f>
        <v>0</v>
      </c>
      <c r="L963" s="558"/>
      <c r="M963" s="929"/>
      <c r="N963" s="196">
        <f>IF($B$963="Лікар-педіатр",N966*S963,IF($B$963="Лікар-терапевт","х",IF($B$963="Лікар загальної практики - сімейний лікар",N966*S963,0)))</f>
        <v>0</v>
      </c>
      <c r="O963" s="196">
        <f>IF($B$963="Лікар-педіатр",O966*S963,IF($B$963="Лікар-терапевт","х",IF($B$963="Лікар загальної практики - сімейний лікар",O966*S963,0)))</f>
        <v>0</v>
      </c>
      <c r="P963" s="196">
        <f>IF($B$963="Лікар-педіатр","x",IF($B$963="Лікар-терапевт",P966*S963,IF($B$963="Лікар загальної практики - сімейний лікар",P966*S963,0)))</f>
        <v>0</v>
      </c>
      <c r="Q963" s="196">
        <f>IF($B$963="Лікар-педіатр","x",IF($B$963="Лікар-терапевт",Q966*S963,IF($B$963="Лікар загальної практики - сімейний лікар",Q966*S963,0)))</f>
        <v>0</v>
      </c>
      <c r="R963" s="196">
        <f>IF($B$963="Лікар-педіатр","x",IF($B$963="Лікар-терапевт",R966*S963,IF($B$963="Лікар загальної практики - сімейний лікар",R966*S963,0)))</f>
        <v>0</v>
      </c>
      <c r="S963" s="558"/>
      <c r="T963" s="929"/>
      <c r="U963" s="196">
        <f>IF($B$963="Лікар-педіатр",U966*Z963,IF($B$963="Лікар-терапевт","х",IF($B$963="Лікар загальної практики - сімейний лікар",U966*Z963,0)))</f>
        <v>0</v>
      </c>
      <c r="V963" s="196">
        <f>IF($B$963="Лікар-педіатр",V966*Z963,IF($B$963="Лікар-терапевт","х",IF($B$963="Лікар загальної практики - сімейний лікар",V966*Z963,0)))</f>
        <v>0</v>
      </c>
      <c r="W963" s="196">
        <f>IF($B$963="Лікар-педіатр","x",IF($B$963="Лікар-терапевт",W966*Z963,IF($B$963="Лікар загальної практики - сімейний лікар",W966*Z963,0)))</f>
        <v>0</v>
      </c>
      <c r="X963" s="196">
        <f>IF($B$963="Лікар-педіатр","x",IF($B$963="Лікар-терапевт",X966*Z963,IF($B$963="Лікар загальної практики - сімейний лікар",X966*Z963,0)))</f>
        <v>0</v>
      </c>
      <c r="Y963" s="196">
        <f>IF($B$963="Лікар-педіатр","x",IF($B$963="Лікар-терапевт",Y966*Z963,IF($B$963="Лікар загальної практики - сімейний лікар",Y966*Z963,0)))</f>
        <v>0</v>
      </c>
      <c r="Z963" s="558"/>
      <c r="AA963" s="929"/>
      <c r="AB963" s="196">
        <f>IF($B$963="Лікар-педіатр",AB966*AG963,IF($B$963="Лікар-терапевт","х",IF($B$963="Лікар загальної практики - сімейний лікар",AB966*AG963,0)))</f>
        <v>0</v>
      </c>
      <c r="AC963" s="196">
        <f>IF($B$963="Лікар-педіатр",AC966*AG963,IF($B$963="Лікар-терапевт","х",IF($B$963="Лікар загальної практики - сімейний лікар",AC966*AG963,0)))</f>
        <v>0</v>
      </c>
      <c r="AD963" s="196">
        <f>IF($B$963="Лікар-педіатр","x",IF($B$963="Лікар-терапевт",AD966*AG963,IF($B$963="Лікар загальної практики - сімейний лікар",AD966*AG963,0)))</f>
        <v>0</v>
      </c>
      <c r="AE963" s="196">
        <f>IF($B$963="Лікар-педіатр","x",IF($B$963="Лікар-терапевт",AE966*AG963,IF($B$963="Лікар загальної практики - сімейний лікар",AE966*AG963,0)))</f>
        <v>0</v>
      </c>
      <c r="AF963" s="196">
        <f>IF($B$963="Лікар-педіатр","x",IF($B$963="Лікар-терапевт",AF966*AG963,IF($B$963="Лікар загальної практики - сімейний лікар",AF966*AG963,0)))</f>
        <v>0</v>
      </c>
      <c r="AG963" s="558"/>
      <c r="AH963" s="929"/>
      <c r="AI963" s="541">
        <f>A963</f>
        <v>72</v>
      </c>
      <c r="AJ963" s="932">
        <f>B963</f>
        <v>0</v>
      </c>
      <c r="AK963" s="926">
        <f>C963</f>
        <v>0</v>
      </c>
      <c r="AL963" s="926">
        <f>D963</f>
        <v>0</v>
      </c>
      <c r="AM963" s="901" t="s">
        <v>785</v>
      </c>
      <c r="AN963" s="923">
        <f>SUM(AN968:AN974)</f>
        <v>0</v>
      </c>
      <c r="AO963" s="923">
        <f>SUM(AO968:AO974)</f>
        <v>0</v>
      </c>
      <c r="AP963" s="923">
        <f>SUM(AP968:AP974)</f>
        <v>0</v>
      </c>
      <c r="AQ963" s="923">
        <f>SUM(AQ968:AQ974)</f>
        <v>0</v>
      </c>
      <c r="AR963" s="914">
        <f>SUM(AN963:AQ967)</f>
        <v>0</v>
      </c>
    </row>
    <row r="964" spans="1:44" s="50" customFormat="1" ht="28.15" hidden="1" customHeight="1">
      <c r="A964" s="197"/>
      <c r="B964" s="893"/>
      <c r="C964" s="896"/>
      <c r="D964" s="912"/>
      <c r="E964" s="909"/>
      <c r="F964" s="234" t="s">
        <v>583</v>
      </c>
      <c r="G964" s="196">
        <f>IF($B$963="Лікар-педіатр",G966*L964,IF($B$963="Лікар-терапевт","х",IF($B$963="Лікар загальної практики - сімейний лікар",G966*L964,0)))</f>
        <v>0</v>
      </c>
      <c r="H964" s="196">
        <f>IF($B$963="Лікар-педіатр",H966*L964,IF($B$963="Лікар-терапевт","х",IF($B$963="Лікар загальної практики - сімейний лікар",H966*L964,0)))</f>
        <v>0</v>
      </c>
      <c r="I964" s="196">
        <f>IF($B$963="Лікар-педіатр","x",IF($B$963="Лікар-терапевт",I966*L964,IF($B$963="Лікар загальної практики - сімейний лікар",I966*L964,0)))</f>
        <v>0</v>
      </c>
      <c r="J964" s="196">
        <f>IF($B$963="Лікар-педіатр","x",IF($B$963="Лікар-терапевт",J966*L964,IF($B$963="Лікар загальної практики - сімейний лікар",J966*L964,0)))</f>
        <v>0</v>
      </c>
      <c r="K964" s="196">
        <f>IF($B$963="Лікар-педіатр","x",IF($B$963="Лікар-терапевт",K966*L964,IF($B$963="Лікар загальної практики - сімейний лікар",K966*L964,0)))</f>
        <v>0</v>
      </c>
      <c r="L964" s="558"/>
      <c r="M964" s="930"/>
      <c r="N964" s="196">
        <f>IF($B$963="Лікар-педіатр",N966*S964,IF($B$963="Лікар-терапевт","х",IF($B$963="Лікар загальної практики - сімейний лікар",N966*S964,0)))</f>
        <v>0</v>
      </c>
      <c r="O964" s="196">
        <f>IF($B$963="Лікар-педіатр",O966*S964,IF($B$963="Лікар-терапевт","х",IF($B$963="Лікар загальної практики - сімейний лікар",O966*S964,0)))</f>
        <v>0</v>
      </c>
      <c r="P964" s="196">
        <f>IF($B$963="Лікар-педіатр","x",IF($B$963="Лікар-терапевт",P966*S964,IF($B$963="Лікар загальної практики - сімейний лікар",P966*S964,0)))</f>
        <v>0</v>
      </c>
      <c r="Q964" s="196">
        <f>IF($B$963="Лікар-педіатр","x",IF($B$963="Лікар-терапевт",Q966*S964,IF($B$963="Лікар загальної практики - сімейний лікар",Q966*S964,0)))</f>
        <v>0</v>
      </c>
      <c r="R964" s="196">
        <f>IF($B$963="Лікар-педіатр","x",IF($B$963="Лікар-терапевт",R966*S964,IF($B$963="Лікар загальної практики - сімейний лікар",R966*S964,0)))</f>
        <v>0</v>
      </c>
      <c r="S964" s="558"/>
      <c r="T964" s="930"/>
      <c r="U964" s="196">
        <f>IF($B$963="Лікар-педіатр",U966*Z964,IF($B$963="Лікар-терапевт","х",IF($B$963="Лікар загальної практики - сімейний лікар",U966*Z964,0)))</f>
        <v>0</v>
      </c>
      <c r="V964" s="196">
        <f>IF($B$963="Лікар-педіатр",V966*Z964,IF($B$963="Лікар-терапевт","х",IF($B$963="Лікар загальної практики - сімейний лікар",V966*Z964,0)))</f>
        <v>0</v>
      </c>
      <c r="W964" s="196">
        <f>IF($B$963="Лікар-педіатр","x",IF($B$963="Лікар-терапевт",W966*Z964,IF($B$963="Лікар загальної практики - сімейний лікар",W966*Z964,0)))</f>
        <v>0</v>
      </c>
      <c r="X964" s="196">
        <f>IF($B$963="Лікар-педіатр","x",IF($B$963="Лікар-терапевт",X966*Z964,IF($B$963="Лікар загальної практики - сімейний лікар",X966*Z964,0)))</f>
        <v>0</v>
      </c>
      <c r="Y964" s="196">
        <f>IF($B$963="Лікар-педіатр","x",IF($B$963="Лікар-терапевт",Y966*Z964,IF($B$963="Лікар загальної практики - сімейний лікар",Y966*Z964,0)))</f>
        <v>0</v>
      </c>
      <c r="Z964" s="558"/>
      <c r="AA964" s="930"/>
      <c r="AB964" s="196">
        <f>IF($B$963="Лікар-педіатр",AB966*AG964,IF($B$963="Лікар-терапевт","х",IF($B$963="Лікар загальної практики - сімейний лікар",AB966*AG964,0)))</f>
        <v>0</v>
      </c>
      <c r="AC964" s="196">
        <f>IF($B$963="Лікар-педіатр",AC966*AG964,IF($B$963="Лікар-терапевт","х",IF($B$963="Лікар загальної практики - сімейний лікар",AC966*AG964,0)))</f>
        <v>0</v>
      </c>
      <c r="AD964" s="196">
        <f>IF($B$963="Лікар-педіатр","x",IF($B$963="Лікар-терапевт",AD966*AG964,IF($B$963="Лікар загальної практики - сімейний лікар",AD966*AG964,0)))</f>
        <v>0</v>
      </c>
      <c r="AE964" s="196">
        <f>IF($B$963="Лікар-педіатр","x",IF($B$963="Лікар-терапевт",AE966*AG964,IF($B$963="Лікар загальної практики - сімейний лікар",AE966*AG964,0)))</f>
        <v>0</v>
      </c>
      <c r="AF964" s="196">
        <f>IF($B$963="Лікар-педіатр","x",IF($B$963="Лікар-терапевт",AF966*AG964,IF($B$963="Лікар загальної практики - сімейний лікар",AF966*AG964,0)))</f>
        <v>0</v>
      </c>
      <c r="AG964" s="558"/>
      <c r="AH964" s="930"/>
      <c r="AI964" s="198"/>
      <c r="AJ964" s="933"/>
      <c r="AK964" s="927"/>
      <c r="AL964" s="927"/>
      <c r="AM964" s="902"/>
      <c r="AN964" s="924"/>
      <c r="AO964" s="924"/>
      <c r="AP964" s="924"/>
      <c r="AQ964" s="924"/>
      <c r="AR964" s="915"/>
    </row>
    <row r="965" spans="1:44" s="90" customFormat="1" ht="31.15" hidden="1" customHeight="1">
      <c r="A965" s="240"/>
      <c r="B965" s="893"/>
      <c r="C965" s="896"/>
      <c r="D965" s="912"/>
      <c r="E965" s="909"/>
      <c r="F965" s="241" t="s">
        <v>584</v>
      </c>
      <c r="G965" s="199">
        <f>IF(B963="Лікар загальної практики - сімейний лікар"," ",IF(B963="Лікар-педіатр"," ",IF(B963="Лікар-терапевт","х",0)))</f>
        <v>0</v>
      </c>
      <c r="H965" s="199">
        <f>IF(B963="Лікар загальної практики - сімейний лікар"," ",IF(B963="Лікар-педіатр"," ",IF(B963="Лікар-терапевт","х",0)))</f>
        <v>0</v>
      </c>
      <c r="I965" s="199">
        <f>IF(B963="Лікар загальної практики - сімейний лікар"," ",IF(B963="Лікар-педіатр","х",IF(B963="Лікар-терапевт"," ",0)))</f>
        <v>0</v>
      </c>
      <c r="J965" s="199">
        <f>IF(B963="Лікар загальної практики - сімейний лікар"," ",IF(B963="Лікар-педіатр","х",IF(B963="Лікар-терапевт"," ",0)))</f>
        <v>0</v>
      </c>
      <c r="K965" s="199">
        <f>IF(B963="Лікар загальної практики - сімейний лікар"," ",IF(B963="Лікар-педіатр","х",IF(B963="Лікар-терапевт"," ",0)))</f>
        <v>0</v>
      </c>
      <c r="L965" s="200">
        <f>SUM(G965:K965)</f>
        <v>0</v>
      </c>
      <c r="M965" s="930"/>
      <c r="N965" s="199">
        <f>IF(B963="Лікар загальної практики - сімейний лікар"," ",IF(B963="Лікар-педіатр"," ",IF(B963="Лікар-терапевт","х",0)))</f>
        <v>0</v>
      </c>
      <c r="O965" s="199">
        <f>IF(B963="Лікар загальної практики - сімейний лікар"," ",IF(B963="Лікар-педіатр"," ",IF(B963="Лікар-терапевт","х",0)))</f>
        <v>0</v>
      </c>
      <c r="P965" s="199">
        <f>IF(B963="Лікар загальної практики - сімейний лікар"," ",IF(B963="Лікар-педіатр","х",IF(B963="Лікар-терапевт"," ",0)))</f>
        <v>0</v>
      </c>
      <c r="Q965" s="199">
        <f>IF(B963="Лікар загальної практики - сімейний лікар"," ",IF(B963="Лікар-педіатр","х",IF(B963="Лікар-терапевт"," ",0)))</f>
        <v>0</v>
      </c>
      <c r="R965" s="199">
        <f>IF(B963="Лікар загальної практики - сімейний лікар"," ",IF(B963="Лікар-педіатр","х",IF(B963="Лікар-терапевт"," ",0)))</f>
        <v>0</v>
      </c>
      <c r="S965" s="200">
        <f>SUM(N965:R965)</f>
        <v>0</v>
      </c>
      <c r="T965" s="930"/>
      <c r="U965" s="199">
        <f>IF(B963="Лікар загальної практики - сімейний лікар"," ",IF(B963="Лікар-педіатр"," ",IF(B963="Лікар-терапевт","х",0)))</f>
        <v>0</v>
      </c>
      <c r="V965" s="199">
        <f>IF(B963="Лікар загальної практики - сімейний лікар"," ",IF(B963="Лікар-педіатр"," ",IF(B963="Лікар-терапевт","х",0)))</f>
        <v>0</v>
      </c>
      <c r="W965" s="199">
        <f>IF(B963="Лікар загальної практики - сімейний лікар"," ",IF(B963="Лікар-педіатр","х",IF(B963="Лікар-терапевт"," ",0)))</f>
        <v>0</v>
      </c>
      <c r="X965" s="199">
        <f>IF(B963="Лікар загальної практики - сімейний лікар"," ",IF(B963="Лікар-педіатр","х",IF(B963="Лікар-терапевт"," ",0)))</f>
        <v>0</v>
      </c>
      <c r="Y965" s="199">
        <f>IF(B963="Лікар загальної практики - сімейний лікар"," ",IF(B963="Лікар-педіатр","х",IF(B963="Лікар-терапевт"," ",0)))</f>
        <v>0</v>
      </c>
      <c r="Z965" s="200">
        <f>SUM(U965:Y965)</f>
        <v>0</v>
      </c>
      <c r="AA965" s="930"/>
      <c r="AB965" s="199">
        <f>IF(B963="Лікар загальної практики - сімейний лікар"," ",IF(B963="Лікар-педіатр"," ",IF(B963="Лікар-терапевт","х",0)))</f>
        <v>0</v>
      </c>
      <c r="AC965" s="199">
        <f>IF(B963="Лікар загальної практики - сімейний лікар"," ",IF(B963="Лікар-педіатр"," ",IF(B963="Лікар-терапевт","х",0)))</f>
        <v>0</v>
      </c>
      <c r="AD965" s="199">
        <f>IF(B963="Лікар загальної практики - сімейний лікар"," ",IF(B963="Лікар-педіатр","х",IF(B963="Лікар-терапевт"," ",0)))</f>
        <v>0</v>
      </c>
      <c r="AE965" s="199">
        <f>IF(B963="Лікар загальної практики - сімейний лікар"," ",IF(B963="Лікар-педіатр","х",IF(B963="Лікар-терапевт"," ",0)))</f>
        <v>0</v>
      </c>
      <c r="AF965" s="199">
        <f>IF(B963="Лікар загальної практики - сімейний лікар"," ",IF(B963="Лікар-педіатр","х",IF(B963="Лікар-терапевт"," ",0)))</f>
        <v>0</v>
      </c>
      <c r="AG965" s="200">
        <f>SUM(AB965:AF965)</f>
        <v>0</v>
      </c>
      <c r="AH965" s="930"/>
      <c r="AI965" s="242"/>
      <c r="AJ965" s="933"/>
      <c r="AK965" s="927"/>
      <c r="AL965" s="927"/>
      <c r="AM965" s="902"/>
      <c r="AN965" s="924"/>
      <c r="AO965" s="924"/>
      <c r="AP965" s="924"/>
      <c r="AQ965" s="924"/>
      <c r="AR965" s="915"/>
    </row>
    <row r="966" spans="1:44" s="50" customFormat="1" ht="31.9" hidden="1" customHeight="1" thickBot="1">
      <c r="A966" s="197"/>
      <c r="B966" s="893"/>
      <c r="C966" s="896"/>
      <c r="D966" s="912"/>
      <c r="E966" s="909"/>
      <c r="F966" s="236" t="s">
        <v>349</v>
      </c>
      <c r="G966" s="203">
        <f>IF($B$963="Лікар-педіатр",G965/L965,IF($B$963="Лікар-терапевт","х",IF($B$963="Лікар загальної практики - сімейний лікар",G965/L965,0)))</f>
        <v>0</v>
      </c>
      <c r="H966" s="203">
        <f>IF($B$963="Лікар-педіатр",H965/L965,IF($B$963="Лікар-терапевт","х",IF($B$963="Лікар загальної практики - сімейний лікар",H965/L965,0)))</f>
        <v>0</v>
      </c>
      <c r="I966" s="203">
        <f>IF($B$963="Лікар-педіатр","x",IF($B$963="Лікар-терапевт",I965/L965,IF($B$963="Лікар загальної практики - сімейний лікар",I965/L965,0)))</f>
        <v>0</v>
      </c>
      <c r="J966" s="203">
        <f>IF($B$963="Лікар-педіатр","x",IF($B$963="Лікар-терапевт",J965/L965,IF($B$963="Лікар загальної практики - сімейний лікар",J965/L965,0)))</f>
        <v>0</v>
      </c>
      <c r="K966" s="203">
        <f>IF($B$963="Лікар-педіатр","x",IF($B$963="Лікар-терапевт",K965/L965,IF($B$963="Лікар загальної практики - сімейний лікар",K965/L965,0)))</f>
        <v>0</v>
      </c>
      <c r="L966" s="203">
        <f>SUM(G966:K966)</f>
        <v>0</v>
      </c>
      <c r="M966" s="930"/>
      <c r="N966" s="203">
        <f>IF($B$963="Лікар-педіатр",N965/S965,IF($B$963="Лікар-терапевт","х",IF($B$963="Лікар загальної практики - сімейний лікар",N965/S965,0)))</f>
        <v>0</v>
      </c>
      <c r="O966" s="203">
        <f>IF($B$963="Лікар-педіатр",O965/S965,IF($B$963="Лікар-терапевт","х",IF($B$963="Лікар загальної практики - сімейний лікар",O965/S965,0)))</f>
        <v>0</v>
      </c>
      <c r="P966" s="203">
        <f>IF($B$963="Лікар-педіатр","x",IF($B$963="Лікар-терапевт",P965/S965,IF($B$963="Лікар загальної практики - сімейний лікар",P965/S965,0)))</f>
        <v>0</v>
      </c>
      <c r="Q966" s="203">
        <f>IF($B$963="Лікар-педіатр","x",IF($B$963="Лікар-терапевт",Q965/S965,IF($B$963="Лікар загальної практики - сімейний лікар",Q965/S965,0)))</f>
        <v>0</v>
      </c>
      <c r="R966" s="203">
        <f>IF($B$963="Лікар-педіатр","x",IF($B$963="Лікар-терапевт",R965/S965,IF($B$963="Лікар загальної практики - сімейний лікар",R965/S965,0)))</f>
        <v>0</v>
      </c>
      <c r="S966" s="203">
        <f>SUM(N966:R966)</f>
        <v>0</v>
      </c>
      <c r="T966" s="930"/>
      <c r="U966" s="203">
        <f>IF($B$963="Лікар-педіатр",U965/Z965,IF($B$963="Лікар-терапевт","х",IF($B$963="Лікар загальної практики - сімейний лікар",U965/Z965,0)))</f>
        <v>0</v>
      </c>
      <c r="V966" s="203">
        <f>IF($B$963="Лікар-педіатр",V965/Z965,IF($B$963="Лікар-терапевт","х",IF($B$963="Лікар загальної практики - сімейний лікар",V965/Z965,0)))</f>
        <v>0</v>
      </c>
      <c r="W966" s="203">
        <f>IF($B$963="Лікар-педіатр","x",IF($B$963="Лікар-терапевт",W965/Z965,IF($B$963="Лікар загальної практики - сімейний лікар",W965/Z965,0)))</f>
        <v>0</v>
      </c>
      <c r="X966" s="203">
        <f>IF($B$963="Лікар-педіатр","x",IF($B$963="Лікар-терапевт",X965/Z965,IF($B$963="Лікар загальної практики - сімейний лікар",X965/Z965,0)))</f>
        <v>0</v>
      </c>
      <c r="Y966" s="203">
        <f>IF($B$963="Лікар-педіатр","x",IF($B$963="Лікар-терапевт",Y965/Z965,IF($B$963="Лікар загальної практики - сімейний лікар",Y965/Z965,0)))</f>
        <v>0</v>
      </c>
      <c r="Z966" s="203">
        <f>SUM(U966:Y966)</f>
        <v>0</v>
      </c>
      <c r="AA966" s="930"/>
      <c r="AB966" s="203">
        <f>IF($B$963="Лікар-педіатр",AB965/AG965,IF($B$963="Лікар-терапевт","х",IF($B$963="Лікар загальної практики - сімейний лікар",AB965/AG965,0)))</f>
        <v>0</v>
      </c>
      <c r="AC966" s="203">
        <f>IF($B$963="Лікар-педіатр",AC965/AG965,IF($B$963="Лікар-терапевт","х",IF($B$963="Лікар загальної практики - сімейний лікар",AC965/AG965,0)))</f>
        <v>0</v>
      </c>
      <c r="AD966" s="203">
        <f>IF($B$963="Лікар-педіатр","x",IF($B$963="Лікар-терапевт",AD965/AG965,IF($B$963="Лікар загальної практики - сімейний лікар",AD965/AG965,0)))</f>
        <v>0</v>
      </c>
      <c r="AE966" s="203">
        <f>IF($B$963="Лікар-педіатр","x",IF($B$963="Лікар-терапевт",AE965/AG965,IF($B$963="Лікар загальної практики - сімейний лікар",AE965/AG965,0)))</f>
        <v>0</v>
      </c>
      <c r="AF966" s="203">
        <f>IF($B$963="Лікар-педіатр","x",IF($B$963="Лікар-терапевт",AF965/AG965,IF($B$963="Лікар загальної практики - сімейний лікар",AF965/AG965,0)))</f>
        <v>0</v>
      </c>
      <c r="AG966" s="203">
        <f>SUM(AB966:AF966)</f>
        <v>0</v>
      </c>
      <c r="AH966" s="930"/>
      <c r="AI966" s="201"/>
      <c r="AJ966" s="933"/>
      <c r="AK966" s="927"/>
      <c r="AL966" s="927"/>
      <c r="AM966" s="902"/>
      <c r="AN966" s="924"/>
      <c r="AO966" s="924"/>
      <c r="AP966" s="924"/>
      <c r="AQ966" s="924"/>
      <c r="AR966" s="915"/>
    </row>
    <row r="967" spans="1:44" s="50" customFormat="1" ht="45" hidden="1" customHeight="1" thickBot="1">
      <c r="A967" s="197"/>
      <c r="B967" s="893"/>
      <c r="C967" s="896"/>
      <c r="D967" s="912"/>
      <c r="E967" s="909"/>
      <c r="F967" s="204" t="s">
        <v>585</v>
      </c>
      <c r="G967" s="205">
        <f>IF($B$963="Лікар загальної практики - сімейний лікар",AVERAGE(G963:G965),IF($B$963="Лікар-педіатр",AVERAGE(G963:G965),IF($B$963="Лікар-терапевт","х",0)))</f>
        <v>0</v>
      </c>
      <c r="H967" s="205">
        <f>IF($B$963="Лікар загальної практики - сімейний лікар",AVERAGE(H963:H965),IF($B$963="Лікар-педіатр",AVERAGE(H963:H965),IF($B$963="Лікар-терапевт","х",0)))</f>
        <v>0</v>
      </c>
      <c r="I967" s="205">
        <f>IF($B$963="Лікар загальної практики - сімейний лікар",AVERAGE(I963:I965),IF($B$963="Лікар-педіатр","x",IF($B$963="Лікар-терапевт",AVERAGE(I963:I965),0)))</f>
        <v>0</v>
      </c>
      <c r="J967" s="205">
        <f>IF($B$963="Лікар загальної практики - сімейний лікар",AVERAGE(J963:J965),IF($B$963="Лікар-педіатр","x",IF($B$963="Лікар-терапевт",AVERAGE(J963:J965),0)))</f>
        <v>0</v>
      </c>
      <c r="K967" s="205">
        <f>IF($B$963="Лікар загальної практики - сімейний лікар",AVERAGE(K963:K965),IF($B$963="Лікар-педіатр","x",IF($B$963="Лікар-терапевт",AVERAGE(K963:K965),0)))</f>
        <v>0</v>
      </c>
      <c r="L967" s="206">
        <f>SUM(G967:K967)</f>
        <v>0</v>
      </c>
      <c r="M967" s="930"/>
      <c r="N967" s="205">
        <f>IF($B$963="Лікар загальної практики - сімейний лікар",AVERAGE(N963:N965),IF($B$963="Лікар-педіатр",AVERAGE(N963:N965),IF($B$963="Лікар-терапевт","х",0)))</f>
        <v>0</v>
      </c>
      <c r="O967" s="205">
        <f>IF($B$963="Лікар загальної практики - сімейний лікар",AVERAGE(O963:O965),IF($B$963="Лікар-педіатр",AVERAGE(O963:O965),IF($B$963="Лікар-терапевт","х",0)))</f>
        <v>0</v>
      </c>
      <c r="P967" s="205">
        <f>IF($B$963="Лікар загальної практики - сімейний лікар",AVERAGE(P963:P965),IF($B$963="Лікар-педіатр","x",IF($B$963="Лікар-терапевт",AVERAGE(P963:P965),0)))</f>
        <v>0</v>
      </c>
      <c r="Q967" s="205">
        <f>IF($B$963="Лікар загальної практики - сімейний лікар",AVERAGE(Q963:Q965),IF($B$963="Лікар-педіатр","x",IF($B$963="Лікар-терапевт",AVERAGE(Q963:Q965),0)))</f>
        <v>0</v>
      </c>
      <c r="R967" s="205">
        <f>IF($B$963="Лікар загальної практики - сімейний лікар",AVERAGE(R963:R965),IF($B$963="Лікар-педіатр","x",IF($B$963="Лікар-терапевт",AVERAGE(R963:R965),0)))</f>
        <v>0</v>
      </c>
      <c r="S967" s="206">
        <f>SUM(N967:R967)</f>
        <v>0</v>
      </c>
      <c r="T967" s="930"/>
      <c r="U967" s="205">
        <f>IF($B$963="Лікар загальної практики - сімейний лікар",AVERAGE(U963:U965),IF($B$963="Лікар-педіатр",AVERAGE(U963:U965),IF($B$963="Лікар-терапевт","х",0)))</f>
        <v>0</v>
      </c>
      <c r="V967" s="205">
        <f>IF($B$963="Лікар загальної практики - сімейний лікар",AVERAGE(V963:V965),IF($B$963="Лікар-педіатр",AVERAGE(V963:V965),IF($B$963="Лікар-терапевт","х",0)))</f>
        <v>0</v>
      </c>
      <c r="W967" s="205">
        <f>IF($B$963="Лікар загальної практики - сімейний лікар",AVERAGE(W963:W965),IF($B$963="Лікар-педіатр","x",IF($B$963="Лікар-терапевт",AVERAGE(W963:W965),0)))</f>
        <v>0</v>
      </c>
      <c r="X967" s="205">
        <f>IF($B$963="Лікар загальної практики - сімейний лікар",AVERAGE(X963:X965),IF($B$963="Лікар-педіатр","x",IF($B$963="Лікар-терапевт",AVERAGE(X963:X965),0)))</f>
        <v>0</v>
      </c>
      <c r="Y967" s="205">
        <f>IF($B$963="Лікар загальної практики - сімейний лікар",AVERAGE(Y963:Y965),IF($B$963="Лікар-педіатр","x",IF($B$963="Лікар-терапевт",AVERAGE(Y963:Y965),0)))</f>
        <v>0</v>
      </c>
      <c r="Z967" s="206">
        <f>SUM(U967:Y967)</f>
        <v>0</v>
      </c>
      <c r="AA967" s="930"/>
      <c r="AB967" s="205">
        <f>IF($B$963="Лікар загальної практики - сімейний лікар",AVERAGE(AB963:AB965),IF($B$963="Лікар-педіатр",AVERAGE(AB963:AB965),IF($B$963="Лікар-терапевт","х",0)))</f>
        <v>0</v>
      </c>
      <c r="AC967" s="205">
        <f>IF($B$963="Лікар загальної практики - сімейний лікар",AVERAGE(AC963:AC965),IF($B$963="Лікар-педіатр",AVERAGE(AC963:AC965),IF($B$963="Лікар-терапевт","х",0)))</f>
        <v>0</v>
      </c>
      <c r="AD967" s="205">
        <f>IF($B$963="Лікар загальної практики - сімейний лікар",AVERAGE(AD963:AD965),IF($B$963="Лікар-педіатр","x",IF($B$963="Лікар-терапевт",AVERAGE(AD963:AD965),0)))</f>
        <v>0</v>
      </c>
      <c r="AE967" s="205">
        <f>IF($B$963="Лікар загальної практики - сімейний лікар",AVERAGE(AE963:AE965),IF($B$963="Лікар-педіатр","x",IF($B$963="Лікар-терапевт",AVERAGE(AE963:AE965),0)))</f>
        <v>0</v>
      </c>
      <c r="AF967" s="205">
        <f>IF($B$963="Лікар загальної практики - сімейний лікар",AVERAGE(AF963:AF965),IF($B$963="Лікар-педіатр","x",IF($B$963="Лікар-терапевт",AVERAGE(AF963:AF965),0)))</f>
        <v>0</v>
      </c>
      <c r="AG967" s="206">
        <f>SUM(AB967:AF967)</f>
        <v>0</v>
      </c>
      <c r="AH967" s="930"/>
      <c r="AI967" s="201"/>
      <c r="AJ967" s="933"/>
      <c r="AK967" s="927"/>
      <c r="AL967" s="927"/>
      <c r="AM967" s="903"/>
      <c r="AN967" s="925"/>
      <c r="AO967" s="925"/>
      <c r="AP967" s="925"/>
      <c r="AQ967" s="925"/>
      <c r="AR967" s="916"/>
    </row>
    <row r="968" spans="1:44" s="50" customFormat="1" ht="40.5" hidden="1">
      <c r="A968" s="197"/>
      <c r="B968" s="893"/>
      <c r="C968" s="896"/>
      <c r="D968" s="912"/>
      <c r="E968" s="909"/>
      <c r="F968" s="237" t="str">
        <f ca="1">IF(B963="Лікар-педіатр",Законод!$C$17,IF(B963="Лікар загальної практики - сімейний лікар",Законод!$C$21,IF(B963="Лікар-терапевт",Законод!$C$25,"х")))</f>
        <v>х</v>
      </c>
      <c r="G968" s="208">
        <f ca="1">IF($B$963="Лікар загальної практики - сімейний лікар",IF(L967&lt;=Законод!$C$22,G967,Законод!$C$22*'01_Доходи'!G966),IF($B$963="Лікар-педіатр",IF(L967&lt;=Законод!$C$18,G967,Законод!$C$18*'01_Доходи'!G966),IF($B$963="Лікар-терапевт","x",0)))</f>
        <v>0</v>
      </c>
      <c r="H968" s="208">
        <f ca="1">IF($B$963="Лікар загальної практики - сімейний лікар",IF(L967&lt;=Законод!$C$22,H967,Законод!$C$22*'01_Доходи'!H966),IF($B$963="Лікар-педіатр",IF(L967&lt;=Законод!$C$18,H967,Законод!$C$18*'01_Доходи'!H966),IF($B$963="Лікар-терапевт","x",0)))</f>
        <v>0</v>
      </c>
      <c r="I968" s="208">
        <f ca="1">IF($B$963="Лікар загальної практики - сімейний лікар",IF(L967&lt;=Законод!$C$22,I967,Законод!$C$22*'01_Доходи'!I966),IF($B$963="Лікар-педіатр","x",IF($B$963="Лікар-терапевт",IF(L967&lt;=Законод!$C$26,I967,Законод!$C$26*'01_Доходи'!I966),0)))</f>
        <v>0</v>
      </c>
      <c r="J968" s="208">
        <f ca="1">IF($B$963="Лікар загальної практики - сімейний лікар",IF(L967&lt;=Законод!$C$22,J967,Законод!$C$22*'01_Доходи'!J966),IF($B$963="Лікар-педіатр","x",IF($B$963="Лікар-терапевт",IF(L967&lt;=Законод!$C$26,J967,Законод!$C$26*'01_Доходи'!J966),0)))</f>
        <v>0</v>
      </c>
      <c r="K968" s="208">
        <f ca="1">IF($B$963="Лікар загальної практики - сімейний лікар",IF(L967&lt;=Законод!$C$22,K967,Законод!$C$22*'01_Доходи'!K966),IF($B$963="Лікар-педіатр","x",IF($B$963="Лікар-терапевт",IF(L967&lt;=Законод!$C$26,K967,Законод!$C$26*'01_Доходи'!K966),0)))</f>
        <v>0</v>
      </c>
      <c r="L968" s="209">
        <f ca="1">SUM(G968:K968)</f>
        <v>0</v>
      </c>
      <c r="M968" s="930"/>
      <c r="N968" s="208">
        <f ca="1">IF($B$963="Лікар загальної практики - сімейний лікар",IF(S967&lt;=Законод!$C$22,N967,Законод!$C$22*'01_Доходи'!N966),IF($B$963="Лікар-педіатр",IF(S967&lt;=Законод!$C$18,N967,Законод!$C$18*'01_Доходи'!N966),IF($B$963="Лікар-терапевт","x",0)))</f>
        <v>0</v>
      </c>
      <c r="O968" s="208">
        <f ca="1">IF($B$963="Лікар загальної практики - сімейний лікар",IF(S967&lt;=Законод!$C$22,O967,Законод!$C$22*'01_Доходи'!O966),IF($B$963="Лікар-педіатр",IF(S967&lt;=Законод!$C$18,O967,Законод!$C$18*'01_Доходи'!O966),IF($B$963="Лікар-терапевт","x",0)))</f>
        <v>0</v>
      </c>
      <c r="P968" s="208">
        <f ca="1">IF($B$963="Лікар загальної практики - сімейний лікар",IF(S967&lt;=Законод!$C$22,P967,Законод!$C$22*'01_Доходи'!P966),IF($B$963="Лікар-педіатр","x",IF($B$963="Лікар-терапевт",IF(S967&lt;=Законод!$C$26,P967,Законод!$C$26*'01_Доходи'!P966),0)))</f>
        <v>0</v>
      </c>
      <c r="Q968" s="208">
        <f ca="1">IF($B$963="Лікар загальної практики - сімейний лікар",IF(S967&lt;=Законод!$C$22,Q967,Законод!$C$22*'01_Доходи'!Q966),IF($B$963="Лікар-педіатр","x",IF($B$963="Лікар-терапевт",IF(S967&lt;=Законод!$C$26,Q967,Законод!$C$26*'01_Доходи'!Q966),0)))</f>
        <v>0</v>
      </c>
      <c r="R968" s="208">
        <f ca="1">IF($B$963="Лікар загальної практики - сімейний лікар",IF(S967&lt;=Законод!$C$22,R967,Законод!$C$22*'01_Доходи'!R966),IF($B$963="Лікар-педіатр","x",IF($B$963="Лікар-терапевт",IF(S967&lt;=Законод!$C$26,R967,Законод!$C$26*'01_Доходи'!R966),0)))</f>
        <v>0</v>
      </c>
      <c r="S968" s="209">
        <f ca="1">SUM(N968:R968)</f>
        <v>0</v>
      </c>
      <c r="T968" s="930"/>
      <c r="U968" s="208">
        <f ca="1">IF($B$963="Лікар загальної практики - сімейний лікар",IF(Z967&lt;=Законод!$C$22,U967,Законод!$C$22*'01_Доходи'!U966),IF($B$963="Лікар-педіатр",IF(Z967&lt;=Законод!$C$18,U967,Законод!$C$18*'01_Доходи'!U966),IF($B$963="Лікар-терапевт","x",0)))</f>
        <v>0</v>
      </c>
      <c r="V968" s="208">
        <f ca="1">IF($B$963="Лікар загальної практики - сімейний лікар",IF(Z967&lt;=Законод!$C$22,V967,Законод!$C$22*'01_Доходи'!V966),IF($B$963="Лікар-педіатр",IF(Z967&lt;=Законод!$C$18,V967,Законод!$C$18*'01_Доходи'!V966),IF($B$963="Лікар-терапевт","x",0)))</f>
        <v>0</v>
      </c>
      <c r="W968" s="208">
        <f ca="1">IF($B$963="Лікар загальної практики - сімейний лікар",IF(Z967&lt;=Законод!$C$22,W967,Законод!$C$22*'01_Доходи'!W966),IF($B$963="Лікар-педіатр","x",IF($B$963="Лікар-терапевт",IF(Z967&lt;=Законод!$C$26,W967,Законод!$C$26*'01_Доходи'!W966),0)))</f>
        <v>0</v>
      </c>
      <c r="X968" s="208">
        <f ca="1">IF($B$963="Лікар загальної практики - сімейний лікар",IF(Z967&lt;=Законод!$C$22,X967,Законод!$C$22*'01_Доходи'!X966),IF($B$963="Лікар-педіатр","x",IF($B$963="Лікар-терапевт",IF(Z967&lt;=Законод!$C$26,X967,Законод!$C$26*'01_Доходи'!X966),0)))</f>
        <v>0</v>
      </c>
      <c r="Y968" s="208">
        <f ca="1">IF($B$963="Лікар загальної практики - сімейний лікар",IF(Z967&lt;=Законод!$C$22,Y967,Законод!$C$22*'01_Доходи'!Y966),IF($B$963="Лікар-педіатр","x",IF($B$963="Лікар-терапевт",IF(Z967&lt;=Законод!$C$26,Y967,Законод!$C$26*'01_Доходи'!Y966),0)))</f>
        <v>0</v>
      </c>
      <c r="Z968" s="209">
        <f ca="1">SUM(U968:Y968)</f>
        <v>0</v>
      </c>
      <c r="AA968" s="930"/>
      <c r="AB968" s="208">
        <f ca="1">IF($B$963="Лікар загальної практики - сімейний лікар",IF(AG967&lt;=Законод!$C$22,AB967,Законод!$C$22*'01_Доходи'!AB966),IF($B$963="Лікар-педіатр",IF(AG967&lt;=Законод!$C$18,AB967,Законод!$C$18*'01_Доходи'!AB966),IF($B$963="Лікар-терапевт","x",0)))</f>
        <v>0</v>
      </c>
      <c r="AC968" s="208">
        <f ca="1">IF($B$963="Лікар загальної практики - сімейний лікар",IF(AG967&lt;=Законод!$C$22,AC967,Законод!$C$22*'01_Доходи'!AC966),IF($B$963="Лікар-педіатр",IF(AG967&lt;=Законод!$C$18,AC967,Законод!$C$18*'01_Доходи'!AC966),IF($B$963="Лікар-терапевт","x",0)))</f>
        <v>0</v>
      </c>
      <c r="AD968" s="208">
        <f ca="1">IF($B$963="Лікар загальної практики - сімейний лікар",IF(AG967&lt;=Законод!$C$22,AD967,Законод!$C$22*'01_Доходи'!AD966),IF($B$963="Лікар-педіатр","x",IF($B$963="Лікар-терапевт",IF(AG967&lt;=Законод!$C$26,AD967,Законод!$C$26*'01_Доходи'!AD966),0)))</f>
        <v>0</v>
      </c>
      <c r="AE968" s="208">
        <f ca="1">IF($B$963="Лікар загальної практики - сімейний лікар",IF(AG967&lt;=Законод!$C$22,AE967,Законод!$C$22*'01_Доходи'!AE966),IF($B$963="Лікар-педіатр","x",IF($B$963="Лікар-терапевт",IF(AG967&lt;=Законод!$C$26,AE967,Законод!$C$26*'01_Доходи'!AE966),0)))</f>
        <v>0</v>
      </c>
      <c r="AF968" s="208">
        <f ca="1">IF($B$963="Лікар загальної практики - сімейний лікар",IF(AG967&lt;=Законод!$C$22,AF967,Законод!$C$22*'01_Доходи'!AF966),IF($B$963="Лікар-педіатр","x",IF($B$963="Лікар-терапевт",IF(AG967&lt;=Законод!$C$26,AF967,Законод!$C$26*'01_Доходи'!AF966),0)))</f>
        <v>0</v>
      </c>
      <c r="AG968" s="209">
        <f ca="1">SUM(AB968:AF968)</f>
        <v>0</v>
      </c>
      <c r="AH968" s="930"/>
      <c r="AI968" s="201"/>
      <c r="AJ968" s="933"/>
      <c r="AK968" s="927"/>
      <c r="AL968" s="927"/>
      <c r="AM968" s="348" t="s">
        <v>374</v>
      </c>
      <c r="AN968" s="210">
        <f ca="1">IF(B963="Лікар загальної практики - сімейний лікар",G968*Законод!$C$11+'01_Доходи'!H968*Законод!$D$11+'01_Доходи'!I968*Законод!$E$11+'01_Доходи'!J968*Законод!$F$11+'01_Доходи'!K968*Законод!$G$11,IF(B963="Лікар-педіатр",G968*Законод!$C$11+'01_Доходи'!H968*Законод!$D$11,IF(B963="Лікар-терапевт",'01_Доходи'!I968*Законод!$E$11+'01_Доходи'!J968*Законод!$F$11+'01_Доходи'!K968*Законод!$G$11,0)))</f>
        <v>0</v>
      </c>
      <c r="AO968" s="210">
        <f ca="1">IF(B963="Лікар загальної практики - сімейний лікар",N968*Законод!$C$11+'01_Доходи'!O968*Законод!$D$11+'01_Доходи'!P968*Законод!$E$11+'01_Доходи'!Q968*Законод!$F$11+'01_Доходи'!R968*Законод!$G$11,IF(B963="Лікар-педіатр",N968*Законод!$C$11+'01_Доходи'!O968*Законод!$D$11,IF(B963="Лікар-терапевт",'01_Доходи'!P968*Законод!$E$11+'01_Доходи'!Q968*Законод!$F$11+'01_Доходи'!R968*Законод!$G$11,0)))</f>
        <v>0</v>
      </c>
      <c r="AP968" s="210">
        <f ca="1">IF(B963="Лікар загальної практики - сімейний лікар",U968*Законод!$C$11+'01_Доходи'!V968*Законод!$D$11+'01_Доходи'!W968*Законод!$E$11+'01_Доходи'!X968*Законод!$F$11+'01_Доходи'!Y968*Законод!$G$11,IF(B963="Лікар-педіатр",U968*Законод!$C$11+'01_Доходи'!V968*Законод!$D$11,IF(B963="Лікар-терапевт",'01_Доходи'!W968*Законод!$E$11+'01_Доходи'!X968*Законод!$F$11+'01_Доходи'!Y968*Законод!$G$11,0)))</f>
        <v>0</v>
      </c>
      <c r="AQ968" s="210">
        <f ca="1">IF(B963="Лікар загальної практики - сімейний лікар",AB968*Законод!$C$11+'01_Доходи'!AC968*Законод!$D$11+'01_Доходи'!AD968*Законод!$E$11+'01_Доходи'!AE968*Законод!$F$11+'01_Доходи'!AF968*Законод!$G$11,IF(B963="Лікар-педіатр",AB968*Законод!$C$11+'01_Доходи'!AC968*Законод!$D$11,IF(B963="Лікар-терапевт",'01_Доходи'!AD968*Законод!$E$11+'01_Доходи'!AE968*Законод!$F$11+'01_Доходи'!AF968*Законод!$G$11,0)))</f>
        <v>0</v>
      </c>
      <c r="AR968" s="211">
        <f t="shared" ref="AR968:AR974" si="101">SUM(AN968:AQ968)</f>
        <v>0</v>
      </c>
    </row>
    <row r="969" spans="1:44" s="50" customFormat="1" ht="31.9" hidden="1" customHeight="1">
      <c r="A969" s="197"/>
      <c r="B969" s="893"/>
      <c r="C969" s="896"/>
      <c r="D969" s="912"/>
      <c r="E969" s="909"/>
      <c r="F969" s="238" t="str">
        <f ca="1">IF(B963="Лікар-педіатр",Законод!$E$17,IF(B963="Лікар загальної практики - сімейний лікар",Законод!$E$21,IF(B963="Лікар-терапевт",Законод!$E$25,"х")))</f>
        <v>х</v>
      </c>
      <c r="G969" s="889" t="s">
        <v>346</v>
      </c>
      <c r="H969" s="890"/>
      <c r="I969" s="890"/>
      <c r="J969" s="890"/>
      <c r="K969" s="891"/>
      <c r="L969" s="196">
        <f ca="1">IF($B$963="Лікар загальної практики - сімейний лікар",IF(L967&lt;Законод!$C$22,0,(IF(AND(L967&gt;=Законод!$E$22,L967&lt;=Законод!$E$23),L967-Законод!$C$22,IF('01_Доходи'!L967&gt;=Законод!$F$22,Законод!$E$24,0)))),IF($B$963="Лікар-педіатр",IF(L967&lt;Законод!$C$18,0,(IF(AND(L967&gt;=Законод!$E$18,L967&lt;=Законод!$E$19),L967-Законод!$C$18,IF('01_Доходи'!L967&gt;=Законод!$F$18,Законод!$E$20,0)))),IF($B$963="Лікар-терапевт",IF(L967&lt;Законод!$C$26,0,(IF(AND(L967&gt;=Законод!$E$26,L967&lt;=Законод!$E$27),L967-Законод!$C$26,IF('01_Доходи'!L967&gt;=Законод!$F$26,Законод!$E$28,0)))),0)))</f>
        <v>0</v>
      </c>
      <c r="M969" s="930"/>
      <c r="N969" s="889" t="s">
        <v>346</v>
      </c>
      <c r="O969" s="890"/>
      <c r="P969" s="890"/>
      <c r="Q969" s="890"/>
      <c r="R969" s="891"/>
      <c r="S969" s="196">
        <f ca="1">IF($B$963="Лікар загальної практики - сімейний лікар",IF(S967&lt;Законод!$C$22,0,(IF(AND(S967&gt;=Законод!$E$22,S967&lt;=Законод!$E$23),S967-Законод!$C$22,IF('01_Доходи'!S967&gt;=Законод!$F$22,Законод!$E$24,0)))),IF($B$963="Лікар-педіатр",IF(S967&lt;Законод!$C$18,0,(IF(AND(S967&gt;=Законод!$E$18,S967&lt;=Законод!$E$19),S967-Законод!$C$18,IF('01_Доходи'!S967&gt;=Законод!$F$18,Законод!$E$20,0)))),IF($B$963="Лікар-терапевт",IF(S967&lt;Законод!$C$26,0,(IF(AND(S967&gt;=Законод!$E$26,S967&lt;=Законод!$E$27),S967-Законод!$C$26,IF('01_Доходи'!S967&gt;=Законод!$F$26,Законод!$E$28,0)))),0)))</f>
        <v>0</v>
      </c>
      <c r="T969" s="930"/>
      <c r="U969" s="889" t="s">
        <v>346</v>
      </c>
      <c r="V969" s="890"/>
      <c r="W969" s="890"/>
      <c r="X969" s="890"/>
      <c r="Y969" s="891"/>
      <c r="Z969" s="196">
        <f ca="1">IF($B$963="Лікар загальної практики - сімейний лікар",IF(Z967&lt;Законод!$C$22,0,(IF(AND(Z967&gt;=Законод!$E$22,Z967&lt;=Законод!$E$23),Z967-Законод!$C$22,IF('01_Доходи'!Z967&gt;=Законод!$F$22,Законод!$E$24,0)))),IF($B$963="Лікар-педіатр",IF(Z967&lt;Законод!$C$18,0,(IF(AND(Z967&gt;=Законод!$E$18,Z967&lt;=Законод!$E$19),Z967-Законод!$C$18,IF('01_Доходи'!Z967&gt;=Законод!$F$18,Законод!$E$20,0)))),IF($B$963="Лікар-терапевт",IF(Z967&lt;Законод!$C$26,0,(IF(AND(Z967&gt;=Законод!$E$26,Z967&lt;=Законод!$E$27),Z967-Законод!$C$26,IF('01_Доходи'!Z967&gt;=Законод!$F$26,Законод!$E$28,0)))),0)))</f>
        <v>0</v>
      </c>
      <c r="AA969" s="930"/>
      <c r="AB969" s="889" t="s">
        <v>346</v>
      </c>
      <c r="AC969" s="890"/>
      <c r="AD969" s="890"/>
      <c r="AE969" s="890"/>
      <c r="AF969" s="891"/>
      <c r="AG969" s="196">
        <f ca="1">IF($B$963="Лікар загальної практики - сімейний лікар",IF(AG967&lt;Законод!$C$22,0,(IF(AND(AG967&gt;=Законод!$E$22,AG967&lt;=Законод!$E$23),AG967-Законод!$C$22,IF('01_Доходи'!AG967&gt;=Законод!$F$22,Законод!$E$24,0)))),IF($B$963="Лікар-педіатр",IF(AG967&lt;Законод!$C$18,0,(IF(AND(AG967&gt;=Законод!$E$18,AG967&lt;=Законод!$E$19),AG967-Законод!$C$18,IF('01_Доходи'!AG967&gt;=Законод!$F$18,Законод!$E$20,0)))),IF($B$963="Лікар-терапевт",IF(AG967&lt;Законод!$C$26,0,(IF(AND(AG967&gt;=Законод!$E$26,AG967&lt;=Законод!$E$27),AG967-Законод!$C$26,IF('01_Доходи'!AG967&gt;=Законод!$F$26,Законод!$E$28,0)))),0)))</f>
        <v>0</v>
      </c>
      <c r="AH969" s="930"/>
      <c r="AI969" s="201"/>
      <c r="AJ969" s="933"/>
      <c r="AK969" s="927"/>
      <c r="AL969" s="927"/>
      <c r="AM969" s="898" t="s">
        <v>375</v>
      </c>
      <c r="AN969" s="210">
        <f ca="1">IF(B963="Лікар загальної практики - сімейний лікар",L969*Законод!$C$9/4*Законод!$E$16,IF(B963="Лікар-педіатр",L969*Законод!$C$9/4*Законод!$E$16,IF(B963="Лікар-терапевт",L969*Законод!$C$9/4*Законод!$E$16,0)))</f>
        <v>0</v>
      </c>
      <c r="AO969" s="210">
        <f ca="1">IF(B963="Лікар загальної практики - сімейний лікар",S969*Законод!$C$9/4*Законод!$E$16,IF(B963="Лікар-педіатр",S969*Законод!$C$9/4*Законод!$E$16,IF(B963="Лікар-терапевт",S969*Законод!$C$9/4*Законод!$E$16,0)))</f>
        <v>0</v>
      </c>
      <c r="AP969" s="210">
        <f ca="1">IF(B963="Лікар загальної практики - сімейний лікар",Z969*Законод!$C$9/4*Законод!$E$16,IF(B963="Лікар-педіатр",Z969*Законод!$C$9/4*Законод!$E$16,IF(B963="Лікар-терапевт",Z969*Законод!$C$9/4*Законод!$E$16,0)))</f>
        <v>0</v>
      </c>
      <c r="AQ969" s="210">
        <f ca="1">IF(B963="Лікар загальної практики - сімейний лікар",AG969*Законод!$C$9/4*Законод!$E$16,IF(B963="Лікар-педіатр",AG969*Законод!$C$9/4*Законод!$E$16,IF(B963="Лікар-терапевт",AG969*Законод!$C$9/4*Законод!$E$16,0)))</f>
        <v>0</v>
      </c>
      <c r="AR969" s="211">
        <f t="shared" si="101"/>
        <v>0</v>
      </c>
    </row>
    <row r="970" spans="1:44" s="50" customFormat="1" ht="31.9" hidden="1" customHeight="1">
      <c r="A970" s="197"/>
      <c r="B970" s="893"/>
      <c r="C970" s="896"/>
      <c r="D970" s="912"/>
      <c r="E970" s="909"/>
      <c r="F970" s="238" t="str">
        <f ca="1">IF(B963="Лікар-педіатр",Законод!$F$17,IF(B963="Лікар загальної практики - сімейний лікар",Законод!$F$21,IF(B963="Лікар-терапевт",Законод!$F$25,"х")))</f>
        <v>х</v>
      </c>
      <c r="G970" s="889" t="s">
        <v>346</v>
      </c>
      <c r="H970" s="890"/>
      <c r="I970" s="890"/>
      <c r="J970" s="890"/>
      <c r="K970" s="891"/>
      <c r="L970" s="196">
        <f ca="1">IF($B$963="Лікар загальної практики - сімейний лікар",IF(L967&lt;Законод!$C$22,0,(IF(AND(L967&gt;=Законод!$F$22,L967&lt;=Законод!$F$23),L967-Законод!$E$23,IF('01_Доходи'!L967&gt;=Законод!$G$22,Законод!$F$24,0)))),IF($B$963="Лікар-педіатр",IF(L967&lt;Законод!$C$18,0,(IF(AND(L967&gt;=Законод!$F$18,L967&lt;=Законод!$F$19),L967-Законод!$E$19,IF('01_Доходи'!L967&gt;=Законод!$G$18,Законод!$F$20,0)))),IF($B$963="Лікар-терапевт",IF(L967&lt;Законод!$C$26,0,(IF(AND(L967&gt;=Законод!$F$26,L967&lt;=Законод!$F$27),L967-Законод!$E$27,IF('01_Доходи'!L967&gt;=Законод!$G$26,Законод!$F$28,0)))),0)))</f>
        <v>0</v>
      </c>
      <c r="M970" s="930"/>
      <c r="N970" s="889" t="s">
        <v>346</v>
      </c>
      <c r="O970" s="890"/>
      <c r="P970" s="890"/>
      <c r="Q970" s="890"/>
      <c r="R970" s="891"/>
      <c r="S970" s="196">
        <f ca="1">IF($B$963="Лікар загальної практики - сімейний лікар",IF(S967&lt;Законод!$C$22,0,(IF(AND(S967&gt;=Законод!$F$22,S967&lt;=Законод!$F$23),S967-Законод!$E$23,IF('01_Доходи'!S967&gt;=Законод!$G$22,Законод!$F$24,0)))),IF($B$963="Лікар-педіатр",IF(S967&lt;Законод!$C$18,0,(IF(AND(S967&gt;=Законод!$F$18,S967&lt;=Законод!$F$19),S967-Законод!$E$19,IF('01_Доходи'!S967&gt;=Законод!$G$18,Законод!$F$20,0)))),IF($B$963="Лікар-терапевт",IF(S967&lt;Законод!$C$26,0,(IF(AND(S967&gt;=Законод!$F$26,S967&lt;=Законод!$F$27),S967-Законод!$E$27,IF('01_Доходи'!S967&gt;=Законод!$G$26,Законод!$F$28,0)))),0)))</f>
        <v>0</v>
      </c>
      <c r="T970" s="930"/>
      <c r="U970" s="889" t="s">
        <v>346</v>
      </c>
      <c r="V970" s="890"/>
      <c r="W970" s="890"/>
      <c r="X970" s="890"/>
      <c r="Y970" s="891"/>
      <c r="Z970" s="196">
        <f ca="1">IF($B$963="Лікар загальної практики - сімейний лікар",IF(Z967&lt;Законод!$C$22,0,(IF(AND(Z967&gt;=Законод!$F$22,Z967&lt;=Законод!$F$23),Z967-Законод!$E$23,IF('01_Доходи'!Z967&gt;=Законод!$G$22,Законод!$F$24,0)))),IF($B$963="Лікар-педіатр",IF(Z967&lt;Законод!$C$18,0,(IF(AND(Z967&gt;=Законод!$F$18,Z967&lt;=Законод!$F$19),Z967-Законод!$E$19,IF('01_Доходи'!Z967&gt;=Законод!$G$18,Законод!$F$20,0)))),IF($B$963="Лікар-терапевт",IF(Z967&lt;Законод!$C$26,0,(IF(AND(Z967&gt;=Законод!$F$26,Z967&lt;=Законод!$F$27),Z967-Законод!$E$27,IF('01_Доходи'!Z967&gt;=Законод!$G$26,Законод!$F$28,0)))),0)))</f>
        <v>0</v>
      </c>
      <c r="AA970" s="930"/>
      <c r="AB970" s="889" t="s">
        <v>346</v>
      </c>
      <c r="AC970" s="890"/>
      <c r="AD970" s="890"/>
      <c r="AE970" s="890"/>
      <c r="AF970" s="891"/>
      <c r="AG970" s="196">
        <f ca="1">IF($B$963="Лікар загальної практики - сімейний лікар",IF(AG967&lt;Законод!$C$22,0,(IF(AND(AG967&gt;=Законод!$F$22,AG967&lt;=Законод!$F$23),AG967-Законод!$E$23,IF('01_Доходи'!AG967&gt;=Законод!$G$22,Законод!$F$24,0)))),IF($B$963="Лікар-педіатр",IF(AG967&lt;Законод!$C$18,0,(IF(AND(AG967&gt;=Законод!$F$18,AG967&lt;=Законод!$F$19),AG967-Законод!$E$19,IF('01_Доходи'!AG967&gt;=Законод!$G$18,Законод!$F$20,0)))),IF($B$963="Лікар-терапевт",IF(AG967&lt;Законод!$C$26,0,(IF(AND(AG967&gt;=Законод!$F$26,AG967&lt;=Законод!$F$27),AG967-Законод!$E$27,IF('01_Доходи'!AG967&gt;=Законод!$G$26,Законод!$F$28,0)))),0)))</f>
        <v>0</v>
      </c>
      <c r="AH970" s="930"/>
      <c r="AI970" s="201"/>
      <c r="AJ970" s="933"/>
      <c r="AK970" s="927"/>
      <c r="AL970" s="927"/>
      <c r="AM970" s="899"/>
      <c r="AN970" s="210">
        <f ca="1">IF(B963="Лікар загальної практики - сімейний лікар",L970*Законод!$C$9/4*Законод!$F$16,IF(B963="Лікар-педіатр",L970*Законод!$C$9/4*Законод!$F$16,IF(B963="Лікар-терапевт",L970*Законод!$C$9/4*Законод!$F$16,0)))</f>
        <v>0</v>
      </c>
      <c r="AO970" s="210">
        <f ca="1">IF(B963="Лікар загальної практики - сімейний лікар",S970*Законод!$C$9/4*Законод!$F$16,IF(B963="Лікар-педіатр",S970*Законод!$C$9/4*Законод!$F$16,IF(B963="Лікар-терапевт",S970*Законод!$C$9/4*Законод!$F$16,0)))</f>
        <v>0</v>
      </c>
      <c r="AP970" s="210">
        <f ca="1">IF(B963="Лікар загальної практики - сімейний лікар",Z970*Законод!$C$9/4*Законод!$F$16,IF(B963="Лікар-педіатр",Z970*Законод!$C$9/4*Законод!$F$16,IF(B963="Лікар-терапевт",Z970*Законод!$C$9/4*Законод!$F$16,0)))</f>
        <v>0</v>
      </c>
      <c r="AQ970" s="210">
        <f ca="1">IF(B963="Лікар загальної практики - сімейний лікар",AG970*Законод!$C$9/4*Законод!$F$16,IF(B963="Лікар-педіатр",AG970*Законод!$C$9/4*Законод!$F$16,IF(B963="Лікар-терапевт",AG970*Законод!$C$9/4*Законод!$F$16,0)))</f>
        <v>0</v>
      </c>
      <c r="AR970" s="211">
        <f t="shared" si="101"/>
        <v>0</v>
      </c>
    </row>
    <row r="971" spans="1:44" s="50" customFormat="1" ht="31.9" hidden="1" customHeight="1">
      <c r="A971" s="197"/>
      <c r="B971" s="893"/>
      <c r="C971" s="896"/>
      <c r="D971" s="912"/>
      <c r="E971" s="909"/>
      <c r="F971" s="238" t="str">
        <f ca="1">IF(B963="Лікар-педіатр",Законод!$G$17,IF(B963="Лікар загальної практики - сімейний лікар",Законод!$G$21,IF(B963="Лікар-терапевт",Законод!$G$25,"х")))</f>
        <v>х</v>
      </c>
      <c r="G971" s="889" t="s">
        <v>346</v>
      </c>
      <c r="H971" s="890"/>
      <c r="I971" s="890"/>
      <c r="J971" s="890"/>
      <c r="K971" s="891"/>
      <c r="L971" s="196">
        <f ca="1">IF($B$963="Лікар загальної практики - сімейний лікар",IF(L967&lt;Законод!$C$22,0,(IF(AND(L967&gt;=Законод!$G$22,L967&lt;=Законод!$G$23),L967-Законод!$F$23,IF('01_Доходи'!L967&gt;=Законод!$H$22,Законод!$G$24,0)))),IF($B$963="Лікар-педіатр",IF(L967&lt;Законод!$C$18,0,(IF(AND(L967&gt;=Законод!$G$18,L967&lt;=Законод!$G$19),L967-Законод!$F$19,IF('01_Доходи'!L967&gt;=Законод!$H$18,Законод!$G$20,0)))),IF($B$963="Лікар-терапевт",IF(L967&lt;Законод!$C$26,0,(IF(AND(L967&gt;=Законод!$G$26,L967&lt;=Законод!$G$27),L967-Законод!$F$27,IF('01_Доходи'!L967&gt;=Законод!$H$26,Законод!$G$28,0)))),0)))</f>
        <v>0</v>
      </c>
      <c r="M971" s="930"/>
      <c r="N971" s="889" t="s">
        <v>346</v>
      </c>
      <c r="O971" s="890"/>
      <c r="P971" s="890"/>
      <c r="Q971" s="890"/>
      <c r="R971" s="891"/>
      <c r="S971" s="196">
        <f ca="1">IF($B$963="Лікар загальної практики - сімейний лікар",IF(S967&lt;Законод!$C$22,0,(IF(AND(S967&gt;=Законод!$G$22,S967&lt;=Законод!$G$23),S967-Законод!$F$23,IF('01_Доходи'!S967&gt;=Законод!$H$22,Законод!$G$24,0)))),IF($B$963="Лікар-педіатр",IF(S967&lt;Законод!$C$18,0,(IF(AND(S967&gt;=Законод!$G$18,S967&lt;=Законод!$G$19),S967-Законод!$F$19,IF('01_Доходи'!S967&gt;=Законод!$H$18,Законод!$G$20,0)))),IF($B$963="Лікар-терапевт",IF(S967&lt;Законод!$C$26,0,(IF(AND(S967&gt;=Законод!$G$26,S967&lt;=Законод!$G$27),S967-Законод!$F$27,IF('01_Доходи'!S967&gt;=Законод!$H$26,Законод!$G$28,0)))),0)))</f>
        <v>0</v>
      </c>
      <c r="T971" s="930"/>
      <c r="U971" s="889" t="s">
        <v>346</v>
      </c>
      <c r="V971" s="890"/>
      <c r="W971" s="890"/>
      <c r="X971" s="890"/>
      <c r="Y971" s="891"/>
      <c r="Z971" s="196">
        <f ca="1">IF($B$963="Лікар загальної практики - сімейний лікар",IF(Z967&lt;Законод!$C$22,0,(IF(AND(Z967&gt;=Законод!$G$22,Z967&lt;=Законод!$G$23),Z967-Законод!$F$23,IF('01_Доходи'!Z967&gt;=Законод!$H$22,Законод!$G$24,0)))),IF($B$963="Лікар-педіатр",IF(Z967&lt;Законод!$C$18,0,(IF(AND(Z967&gt;=Законод!$G$18,Z967&lt;=Законод!$G$19),Z967-Законод!$F$19,IF('01_Доходи'!Z967&gt;=Законод!$H$18,Законод!$G$20,0)))),IF($B$963="Лікар-терапевт",IF(Z967&lt;Законод!$C$26,0,(IF(AND(Z967&gt;=Законод!$G$26,Z967&lt;=Законод!$G$27),Z967-Законод!$F$27,IF('01_Доходи'!Z967&gt;=Законод!$H$26,Законод!$G$28,0)))),0)))</f>
        <v>0</v>
      </c>
      <c r="AA971" s="930"/>
      <c r="AB971" s="889" t="s">
        <v>346</v>
      </c>
      <c r="AC971" s="890"/>
      <c r="AD971" s="890"/>
      <c r="AE971" s="890"/>
      <c r="AF971" s="891"/>
      <c r="AG971" s="196">
        <f ca="1">IF($B$963="Лікар загальної практики - сімейний лікар",IF(AG967&lt;Законод!$C$22,0,(IF(AND(AG967&gt;=Законод!$G$22,AG967&lt;=Законод!$G$23),AG967-Законод!$F$23,IF('01_Доходи'!AG967&gt;=Законод!$H$22,Законод!$G$24,0)))),IF($B$963="Лікар-педіатр",IF(AG967&lt;Законод!$C$18,0,(IF(AND(AG967&gt;=Законод!$G$18,AG967&lt;=Законод!$G$19),AG967-Законод!$F$19,IF('01_Доходи'!AG967&gt;=Законод!$H$18,Законод!$G$20,0)))),IF($B$963="Лікар-терапевт",IF(AG967&lt;Законод!$C$26,0,(IF(AND(AG967&gt;=Законод!$G$26,AG967&lt;=Законод!$G$27),AG967-Законод!$F$27,IF('01_Доходи'!AG967&gt;=Законод!$H$26,Законод!$G$28,0)))),0)))</f>
        <v>0</v>
      </c>
      <c r="AH971" s="930"/>
      <c r="AI971" s="201"/>
      <c r="AJ971" s="933"/>
      <c r="AK971" s="927"/>
      <c r="AL971" s="927"/>
      <c r="AM971" s="899"/>
      <c r="AN971" s="210">
        <f ca="1">IF(B963="Лікар загальної практики - сімейний лікар",L971*Законод!$C$9/4*Законод!$G$16,IF(B963="Лікар-педіатр",L971*Законод!$C$9/4*Законод!$G$16,IF(B963="Лікар-терапевт",L971*Законод!$C$9/4*Законод!$G$16,0)))</f>
        <v>0</v>
      </c>
      <c r="AO971" s="210">
        <f ca="1">IF(B963="Лікар загальної практики - сімейний лікар",S971*Законод!$C$9/4*Законод!$G$16,IF(B963="Лікар-педіатр",S971*Законод!$C$9/4*Законод!$G$16,IF(B963="Лікар-терапевт",S971*Законод!$C$9/4*Законод!$G$16,0)))</f>
        <v>0</v>
      </c>
      <c r="AP971" s="210">
        <f ca="1">IF(B963="Лікар загальної практики - сімейний лікар",Z971*Законод!$C$9/4*Законод!$G$16,IF(B963="Лікар-педіатр",Z971*Законод!$C$9/4*Законод!$G$16,IF(B963="Лікар-терапевт",Z971*Законод!$C$9/4*Законод!$G$16,0)))</f>
        <v>0</v>
      </c>
      <c r="AQ971" s="210">
        <f ca="1">IF(B963="Лікар загальної практики - сімейний лікар",AG971*Законод!$C$9/4*Законод!$G$16,IF(B963="Лікар-педіатр",AG971*Законод!$C$9/4*Законод!$G$16,IF(B963="Лікар-терапевт",AG971*Законод!$C$9/4*Законод!$G$16,0)))</f>
        <v>0</v>
      </c>
      <c r="AR971" s="211">
        <f t="shared" si="101"/>
        <v>0</v>
      </c>
    </row>
    <row r="972" spans="1:44" s="50" customFormat="1" ht="31.9" hidden="1" customHeight="1">
      <c r="A972" s="197"/>
      <c r="B972" s="893"/>
      <c r="C972" s="896"/>
      <c r="D972" s="912"/>
      <c r="E972" s="909"/>
      <c r="F972" s="238" t="str">
        <f ca="1">IF(B963="Лікар-педіатр",Законод!$H$17,IF(B963="Лікар загальної практики - сімейний лікар",Законод!$H$21,IF(B963="Лікар-терапевт",Законод!$H$25,"х")))</f>
        <v>х</v>
      </c>
      <c r="G972" s="889" t="s">
        <v>346</v>
      </c>
      <c r="H972" s="890"/>
      <c r="I972" s="890"/>
      <c r="J972" s="890"/>
      <c r="K972" s="891"/>
      <c r="L972" s="196">
        <f ca="1">IF($B$963="Лікар загальної практики - сімейний лікар",IF(L967&lt;Законод!$C$22,0,(IF(AND(L967&gt;=Законод!$H$22,L967&lt;=Законод!$H$23),L967-Законод!$G$23,IF('01_Доходи'!L967&gt;=Законод!$I$22,Законод!$H$24,0)))),IF($B$963="Лікар-педіатр",IF(L967&lt;Законод!$C$18,0,(IF(AND(L967&gt;=Законод!$H$18,L967&lt;=Законод!$H$19),L967-Законод!$G$19,IF('01_Доходи'!L967&gt;=Законод!$I$18,Законод!$H$20,0)))),IF($B$963="Лікар-терапевт",IF(L967&lt;Законод!$C$26,0,(IF(AND(L967&gt;=Законод!$H$26,L967&lt;=Законод!$H$27),L967-Законод!$G$27,IF(L967&gt;=Законод!$I$26,Законод!$H$28,0)))),0)))</f>
        <v>0</v>
      </c>
      <c r="M972" s="930"/>
      <c r="N972" s="889" t="s">
        <v>346</v>
      </c>
      <c r="O972" s="890"/>
      <c r="P972" s="890"/>
      <c r="Q972" s="890"/>
      <c r="R972" s="891"/>
      <c r="S972" s="196">
        <f ca="1">IF($B$963="Лікар загальної практики - сімейний лікар",IF(S967&lt;Законод!$C$22,0,(IF(AND(S967&gt;=Законод!$H$22,S967&lt;=Законод!$H$23),S967-Законод!$G$23,IF('01_Доходи'!S967&gt;=Законод!$I$22,Законод!$H$24,0)))),IF($B$963="Лікар-педіатр",IF(S967&lt;Законод!$C$18,0,(IF(AND(S967&gt;=Законод!$H$18,S967&lt;=Законод!$H$19),S967-Законод!$G$19,IF('01_Доходи'!S967&gt;=Законод!$I$18,Законод!$H$20,0)))),IF($B$963="Лікар-терапевт",IF(S967&lt;Законод!$C$26,0,(IF(AND(S967&gt;=Законод!$H$26,S967&lt;=Законод!$H$27),S967-Законод!$G$27,IF(S967&gt;=Законод!$I$26,Законод!$H$28,0)))),0)))</f>
        <v>0</v>
      </c>
      <c r="T972" s="930"/>
      <c r="U972" s="889" t="s">
        <v>346</v>
      </c>
      <c r="V972" s="890"/>
      <c r="W972" s="890"/>
      <c r="X972" s="890"/>
      <c r="Y972" s="891"/>
      <c r="Z972" s="196">
        <f ca="1">IF($B$963="Лікар загальної практики - сімейний лікар",IF(Z967&lt;Законод!$C$22,0,(IF(AND(Z967&gt;=Законод!$H$22,Z967&lt;=Законод!$H$23),Z967-Законод!$G$23,IF('01_Доходи'!Z967&gt;=Законод!$I$22,Законод!$H$24,0)))),IF($B$963="Лікар-педіатр",IF(Z967&lt;Законод!$C$18,0,(IF(AND(Z967&gt;=Законод!$H$18,Z967&lt;=Законод!$H$19),Z967-Законод!$G$19,IF('01_Доходи'!Z967&gt;=Законод!$I$18,Законод!$H$20,0)))),IF($B$963="Лікар-терапевт",IF(Z967&lt;Законод!$C$26,0,(IF(AND(Z967&gt;=Законод!$H$26,Z967&lt;=Законод!$H$27),Z967-Законод!$G$27,IF(Z967&gt;=Законод!$I$26,Законод!$H$28,0)))),0)))</f>
        <v>0</v>
      </c>
      <c r="AA972" s="930"/>
      <c r="AB972" s="889" t="s">
        <v>346</v>
      </c>
      <c r="AC972" s="890"/>
      <c r="AD972" s="890"/>
      <c r="AE972" s="890"/>
      <c r="AF972" s="891"/>
      <c r="AG972" s="196">
        <f ca="1">IF($B$963="Лікар загальної практики - сімейний лікар",IF(AG967&lt;Законод!$C$22,0,(IF(AND(AG967&gt;=Законод!$H$22,AG967&lt;=Законод!$H$23),AG967-Законод!$G$23,IF('01_Доходи'!AG967&gt;=Законод!$I$22,Законод!$H$24,0)))),IF($B$963="Лікар-педіатр",IF(AG967&lt;Законод!$C$18,0,(IF(AND(AG967&gt;=Законод!$H$18,AG967&lt;=Законод!$H$19),AG967-Законод!$G$19,IF('01_Доходи'!AG967&gt;=Законод!$I$18,Законод!$H$20,0)))),IF($B$963="Лікар-терапевт",IF(AG967&lt;Законод!$C$26,0,(IF(AND(AG967&gt;=Законод!$H$26,AG967&lt;=Законод!$H$27),AG967-Законод!$G$27,IF(AG967&gt;=Законод!$I$26,Законод!$H$28,0)))),0)))</f>
        <v>0</v>
      </c>
      <c r="AH972" s="930"/>
      <c r="AI972" s="201"/>
      <c r="AJ972" s="933"/>
      <c r="AK972" s="927"/>
      <c r="AL972" s="927"/>
      <c r="AM972" s="899"/>
      <c r="AN972" s="210">
        <f ca="1">IF(B963="Лікар загальної практики - сімейний лікар",L972*Законод!$C$9/4*Законод!$H$16,IF(B963="Лікар-педіатр",L972*Законод!$C$9/4*Законод!$H$16,IF(B963="Лікар-терапевт",L972*Законод!$C$9/4*Законод!$H$16,0)))</f>
        <v>0</v>
      </c>
      <c r="AO972" s="210">
        <f ca="1">IF(B963="Лікар загальної практики - сімейний лікар",S972*Законод!$C$9/4*Законод!$H$16,IF(B963="Лікар-педіатр",S972*Законод!$C$9/4*Законод!$H$16,IF(B963="Лікар-терапевт",S972*Законод!$C$9/4*Законод!$H$16,0)))</f>
        <v>0</v>
      </c>
      <c r="AP972" s="210">
        <f ca="1">IF(B963="Лікар загальної практики - сімейний лікар",Z972*Законод!$C$9/4*Законод!$H$16,IF(B963="Лікар-педіатр",Z972*Законод!$C$9/4*Законод!$H$16,IF(B963="Лікар-терапевт",Z972*Законод!$C$9/4*Законод!$H$16,0)))</f>
        <v>0</v>
      </c>
      <c r="AQ972" s="210">
        <f ca="1">IF(B963="Лікар загальної практики - сімейний лікар",AG972*Законод!$C$9/4*Законод!$H$16,IF(B963="Лікар-педіатр",AG972*Законод!$C$9/4*Законод!$H$16,IF(B963="Лікар-терапевт",AG972*Законод!$C$9/4*Законод!$H$16,0)))</f>
        <v>0</v>
      </c>
      <c r="AR972" s="211">
        <f t="shared" si="101"/>
        <v>0</v>
      </c>
    </row>
    <row r="973" spans="1:44" s="50" customFormat="1" ht="31.9" hidden="1" customHeight="1">
      <c r="A973" s="197"/>
      <c r="B973" s="893"/>
      <c r="C973" s="896"/>
      <c r="D973" s="912"/>
      <c r="E973" s="909"/>
      <c r="F973" s="238" t="str">
        <f ca="1">IF(B963="Лікар-педіатр",Законод!$I$17,IF(B963="Лікар загальної практики - сімейний лікар",Законод!$I$21,IF(B963="Лікар-терапевт",Законод!$I$25,"х")))</f>
        <v>х</v>
      </c>
      <c r="G973" s="889" t="s">
        <v>346</v>
      </c>
      <c r="H973" s="890"/>
      <c r="I973" s="890"/>
      <c r="J973" s="890"/>
      <c r="K973" s="891"/>
      <c r="L973" s="196">
        <f ca="1">IF($B$963="Лікар загальної практики - сімейний лікар",IF(L967&lt;Законод!$C$22,0,(IF(AND(L967&gt;=Законод!$I$22,L967&lt;=Законод!$I$23),L967-Законод!$H$23,IF('01_Доходи'!L967&gt;=Законод!$I$22,Законод!$I$24,0)))),IF($B$963="Лікар-педіатр",IF(L967&lt;Законод!$C$18,0,(IF(AND(L967&gt;=Законод!$I$18,L967&lt;=Законод!$I$19),L967-Законод!$H$19,IF('01_Доходи'!L967&gt;=Законод!$I$18,Законод!$H$20,0)))),IF($B$963="Лікар-терапевт",IF(L967&lt;Законод!$C$26,0,(IF(AND(L967&gt;=Законод!$I$26,L967&lt;=Законод!$I$27),L967-Законод!$H$27,IF('01_Доходи'!L967&gt;=Законод!$I$26,Законод!$H$28,0)))),0)))</f>
        <v>0</v>
      </c>
      <c r="M973" s="930"/>
      <c r="N973" s="889" t="s">
        <v>346</v>
      </c>
      <c r="O973" s="890"/>
      <c r="P973" s="890"/>
      <c r="Q973" s="890"/>
      <c r="R973" s="891"/>
      <c r="S973" s="196">
        <f ca="1">IF($B$963="Лікар загальної практики - сімейний лікар",IF(S967&lt;Законод!$C$22,0,(IF(AND(S967&gt;=Законод!$I$22,S967&lt;=Законод!$I$23),S967-Законод!$H$23,IF('01_Доходи'!S967&gt;=Законод!$I$22,Законод!$I$24,0)))),IF($B$963="Лікар-педіатр",IF(S967&lt;Законод!$C$18,0,(IF(AND(S967&gt;=Законод!$I$18,S967&lt;=Законод!$I$19),S967-Законод!$H$19,IF('01_Доходи'!S967&gt;=Законод!$I$18,Законод!$H$20,0)))),IF($B$963="Лікар-терапевт",IF(S967&lt;Законод!$C$26,0,(IF(AND(S967&gt;=Законод!$I$26,S967&lt;=Законод!$I$27),S967-Законод!$H$27,IF('01_Доходи'!S967&gt;=Законод!$I$26,Законод!$H$28,0)))),0)))</f>
        <v>0</v>
      </c>
      <c r="T973" s="930"/>
      <c r="U973" s="889" t="s">
        <v>346</v>
      </c>
      <c r="V973" s="890"/>
      <c r="W973" s="890"/>
      <c r="X973" s="890"/>
      <c r="Y973" s="891"/>
      <c r="Z973" s="196">
        <f ca="1">IF($B$963="Лікар загальної практики - сімейний лікар",IF(Z967&lt;Законод!$C$22,0,(IF(AND(Z967&gt;=Законод!$I$22,Z967&lt;=Законод!$I$23),Z967-Законод!$H$23,IF('01_Доходи'!Z967&gt;=Законод!$I$22,Законод!$I$24,0)))),IF($B$963="Лікар-педіатр",IF(Z967&lt;Законод!$C$18,0,(IF(AND(Z967&gt;=Законод!$I$18,Z967&lt;=Законод!$I$19),Z967-Законод!$H$19,IF('01_Доходи'!Z967&gt;=Законод!$I$18,Законод!$H$20,0)))),IF($B$963="Лікар-терапевт",IF(Z967&lt;Законод!$C$26,0,(IF(AND(Z967&gt;=Законод!$I$26,Z967&lt;=Законод!$I$27),Z967-Законод!$H$27,IF('01_Доходи'!Z967&gt;=Законод!$I$26,Законод!$H$28,0)))),0)))</f>
        <v>0</v>
      </c>
      <c r="AA973" s="930"/>
      <c r="AB973" s="889" t="s">
        <v>346</v>
      </c>
      <c r="AC973" s="890"/>
      <c r="AD973" s="890"/>
      <c r="AE973" s="890"/>
      <c r="AF973" s="891"/>
      <c r="AG973" s="196">
        <f ca="1">IF($B$963="Лікар загальної практики - сімейний лікар",IF(AG967&lt;Законод!$C$22,0,(IF(AND(AG967&gt;=Законод!$I$22,AG967&lt;=Законод!$I$23),AG967-Законод!$H$23,IF('01_Доходи'!AG967&gt;=Законод!$I$22,Законод!$I$24,0)))),IF($B$963="Лікар-педіатр",IF(AG967&lt;Законод!$C$18,0,(IF(AND(AG967&gt;=Законод!$I$18,AG967&lt;=Законод!$I$19),AG967-Законод!$H$19,IF('01_Доходи'!AG967&gt;=Законод!$I$18,Законод!$H$20,0)))),IF($B$963="Лікар-терапевт",IF(AG967&lt;Законод!$C$26,0,(IF(AND(AG967&gt;=Законод!$I$26,AG967&lt;=Законод!$I$27),AG967-Законод!$H$27,IF('01_Доходи'!AG967&gt;=Законод!$I$26,Законод!$H$28,0)))),0)))</f>
        <v>0</v>
      </c>
      <c r="AH973" s="930"/>
      <c r="AI973" s="201"/>
      <c r="AJ973" s="933"/>
      <c r="AK973" s="927"/>
      <c r="AL973" s="927"/>
      <c r="AM973" s="899"/>
      <c r="AN973" s="210">
        <f ca="1">IF(B963="Лікар загальної практики - сімейний лікар",L973*Законод!$C$9/4*Законод!$I$16,IF(B963="Лікар-педіатр",L973*Законод!$C$9/4*Законод!$I$16,IF(B963="Лікар-терапевт",L973*Законод!$C$9/4*Законод!$I$16,0)))</f>
        <v>0</v>
      </c>
      <c r="AO973" s="210">
        <f ca="1">IF(B963="Лікар загальної практики - сімейний лікар",S973*Законод!$C$9/4*Законод!$I$16,IF(B963="Лікар-педіатр",S973*Законод!$C$9/4*Законод!$I$16,IF(B963="Лікар-терапевт",S973*Законод!$C$9/4*Законод!$I$16,0)))</f>
        <v>0</v>
      </c>
      <c r="AP973" s="210">
        <f ca="1">IF(B963="Лікар загальної практики - сімейний лікар",Z973*Законод!$C$9/4*Законод!$I$16,IF(B963="Лікар-педіатр",Z973*Законод!$C$9/4*Законод!$I$16,IF(B963="Лікар-терапевт",Z973*Законод!$C$9/4*Законод!$I$16,0)))</f>
        <v>0</v>
      </c>
      <c r="AQ973" s="210">
        <f ca="1">IF(B963="Лікар загальної практики - сімейний лікар",AG973*Законод!$C$9/4*Законод!$I$16,IF(B963="Лікар-педіатр",AG973*Законод!$C$9/4*Законод!$I$16,IF(B963="Лікар-терапевт",AG973*Законод!$C$9/4*Законод!$I$16,0)))</f>
        <v>0</v>
      </c>
      <c r="AR973" s="211">
        <f t="shared" si="101"/>
        <v>0</v>
      </c>
    </row>
    <row r="974" spans="1:44" s="218" customFormat="1" ht="31.9" hidden="1" customHeight="1" thickBot="1">
      <c r="A974" s="213"/>
      <c r="B974" s="894"/>
      <c r="C974" s="897"/>
      <c r="D974" s="913"/>
      <c r="E974" s="910"/>
      <c r="F974" s="239" t="str">
        <f ca="1">IF(B963="Лікар-педіатр",Законод!$J$17,IF(B963="Лікар загальної практики - сімейний лікар",Законод!$J$21,IF(B963="Лікар-терапевт",Законод!$J$25,"х")))</f>
        <v>х</v>
      </c>
      <c r="G974" s="935" t="s">
        <v>346</v>
      </c>
      <c r="H974" s="936"/>
      <c r="I974" s="936"/>
      <c r="J974" s="936"/>
      <c r="K974" s="937"/>
      <c r="L974" s="196">
        <f ca="1">IF($B$963="Лікар загальної практики - сімейний лікар",IF(L967&gt;=Законод!$J$22,'01_Доходи'!L967-('01_Доходи'!L968+'01_Доходи'!L969+'01_Доходи'!L970+'01_Доходи'!L971+'01_Доходи'!L972+'01_Доходи'!L973),0),IF($B$963="Лікар-педіатр",IF(L967&gt;=Законод!$J$18,'01_Доходи'!L967-('01_Доходи'!L968+'01_Доходи'!L969+'01_Доходи'!L970+'01_Доходи'!L971+'01_Доходи'!L972+'01_Доходи'!L973),0),IF($B$963="Лікар-терапевт",IF('01_Доходи'!L967&gt;=Законод!$J$26,L967-Законод!$I$27,0),0)))</f>
        <v>0</v>
      </c>
      <c r="M974" s="931"/>
      <c r="N974" s="935" t="s">
        <v>346</v>
      </c>
      <c r="O974" s="936"/>
      <c r="P974" s="936"/>
      <c r="Q974" s="936"/>
      <c r="R974" s="937"/>
      <c r="S974" s="196">
        <f ca="1">IF($B$963="Лікар загальної практики - сімейний лікар",IF(S967&gt;=Законод!$J$22,'01_Доходи'!S967-('01_Доходи'!S968+'01_Доходи'!S969+'01_Доходи'!S970+'01_Доходи'!S971+'01_Доходи'!S972+'01_Доходи'!S973),0),IF($B$963="Лікар-педіатр",IF(S967&gt;=Законод!$J$18,'01_Доходи'!S967-('01_Доходи'!S968+'01_Доходи'!S969+'01_Доходи'!S970+'01_Доходи'!S971+'01_Доходи'!S972+'01_Доходи'!S973),0),IF($B$963="Лікар-терапевт",IF('01_Доходи'!S967&gt;=Законод!$J$26,S967-Законод!$I$27,0),0)))</f>
        <v>0</v>
      </c>
      <c r="T974" s="931"/>
      <c r="U974" s="935" t="s">
        <v>346</v>
      </c>
      <c r="V974" s="936"/>
      <c r="W974" s="936"/>
      <c r="X974" s="936"/>
      <c r="Y974" s="937"/>
      <c r="Z974" s="196">
        <f ca="1">IF($B$963="Лікар загальної практики - сімейний лікар",IF(Z967&gt;=Законод!$J$22,'01_Доходи'!Z967-('01_Доходи'!Z968+'01_Доходи'!Z969+'01_Доходи'!Z970+'01_Доходи'!Z971+'01_Доходи'!Z972+'01_Доходи'!Z973),0),IF($B$963="Лікар-педіатр",IF(Z967&gt;=Законод!$J$18,'01_Доходи'!Z967-('01_Доходи'!Z968+'01_Доходи'!Z969+'01_Доходи'!Z970+'01_Доходи'!Z971+'01_Доходи'!Z972+'01_Доходи'!Z973),0),IF($B$963="Лікар-терапевт",IF('01_Доходи'!Z967&gt;=Законод!$J$26,Z967-Законод!$I$27,0),0)))</f>
        <v>0</v>
      </c>
      <c r="AA974" s="931"/>
      <c r="AB974" s="935" t="s">
        <v>346</v>
      </c>
      <c r="AC974" s="936"/>
      <c r="AD974" s="936"/>
      <c r="AE974" s="936"/>
      <c r="AF974" s="937"/>
      <c r="AG974" s="196">
        <f ca="1">IF($B$963="Лікар загальної практики - сімейний лікар",IF(AG967&gt;=Законод!$J$22,'01_Доходи'!AG967-('01_Доходи'!AG968+'01_Доходи'!AG969+'01_Доходи'!AG970+'01_Доходи'!AG971+'01_Доходи'!AG972+'01_Доходи'!AG973),0),IF($B$963="Лікар-педіатр",IF(AG967&gt;=Законод!$J$18,'01_Доходи'!AG967-('01_Доходи'!AG968+'01_Доходи'!AG969+'01_Доходи'!AG970+'01_Доходи'!AG971+'01_Доходи'!AG972+'01_Доходи'!AG973),0),IF($B$963="Лікар-терапевт",IF('01_Доходи'!AG967&gt;=Законод!$J$26,AG967-Законод!$I$27,0),0)))</f>
        <v>0</v>
      </c>
      <c r="AH974" s="931"/>
      <c r="AI974" s="215"/>
      <c r="AJ974" s="934"/>
      <c r="AK974" s="928"/>
      <c r="AL974" s="928"/>
      <c r="AM974" s="900"/>
      <c r="AN974" s="216">
        <f ca="1">IF(B963="Лікар загальної практики - сімейний лікар",L974*Законод!$C$9/4*Законод!$J$16,IF(B963="Лікар-педіатр",L974*Законод!$C$9/4*Законод!$J$16,IF(B963="Лікар-терапевт",L974*Законод!$C$9/4*Законод!$J$16,0)))</f>
        <v>0</v>
      </c>
      <c r="AO974" s="216">
        <f ca="1">IF(B963="Лікар загальної практики - сімейний лікар",S974*Законод!$C$9/4*Законод!$J$16,IF(B963="Лікар-педіатр",S974*Законод!$C$9/4*Законод!$J$16,IF(B963="Лікар-терапевт",S974*Законод!$C$9/4*Законод!$J$16,0)))</f>
        <v>0</v>
      </c>
      <c r="AP974" s="216">
        <f ca="1">IF(B963="Лікар загальної практики - сімейний лікар",S974*Законод!$C$9/4*Законод!$J$16,IF(B963="Лікар-педіатр",S974*Законод!$C$9/4*Законод!$J$16,IF(B963="Лікар-терапевт",S974*Законод!$C$9/4*Законод!$J$16,0)))</f>
        <v>0</v>
      </c>
      <c r="AQ974" s="216">
        <f ca="1">IF(B963="Лікар загальної практики - сімейний лікар",AG974*Законод!$C$9/4*Законод!$J$16,IF(B963="Лікар-педіатр",AG974*Законод!$C$9/4*Законод!$J$16,IF(B963="Лікар-терапевт",AG974*Законод!$C$9/4*Законод!$J$16,0)))</f>
        <v>0</v>
      </c>
      <c r="AR974" s="217">
        <f t="shared" si="101"/>
        <v>0</v>
      </c>
    </row>
    <row r="975" spans="1:44" s="247" customFormat="1" ht="23.45" hidden="1" customHeight="1" thickBot="1">
      <c r="A975" s="243"/>
      <c r="B975" s="244"/>
      <c r="C975" s="244"/>
      <c r="D975" s="244"/>
      <c r="E975" s="244"/>
      <c r="F975" s="245"/>
      <c r="G975" s="246"/>
      <c r="H975" s="246"/>
      <c r="L975" s="248"/>
      <c r="S975" s="248"/>
      <c r="Z975" s="248"/>
      <c r="AG975" s="248"/>
      <c r="AM975" s="249"/>
      <c r="AR975" s="250"/>
    </row>
    <row r="976" spans="1:44" s="191" customFormat="1" ht="24.6" hidden="1" customHeight="1">
      <c r="A976" s="194">
        <f>A963+1</f>
        <v>73</v>
      </c>
      <c r="B976" s="892"/>
      <c r="C976" s="895"/>
      <c r="D976" s="911"/>
      <c r="E976" s="908"/>
      <c r="F976" s="234" t="s">
        <v>582</v>
      </c>
      <c r="G976" s="196">
        <f>IF($B$976="Лікар-педіатр",G979*L976,IF($B$976="Лікар-терапевт","х",IF($B$976="Лікар загальної практики - сімейний лікар",G979*L976,0)))</f>
        <v>0</v>
      </c>
      <c r="H976" s="196">
        <f>IF($B$976="Лікар-педіатр",H979*L976,IF($B$976="Лікар-терапевт","х",IF($B$976="Лікар загальної практики - сімейний лікар",H979*L976,0)))</f>
        <v>0</v>
      </c>
      <c r="I976" s="196">
        <f>IF($B$976="Лікар-педіатр","x",IF($B$976="Лікар-терапевт",I979*L976,IF($B$976="Лікар загальної практики - сімейний лікар",I979*L976,0)))</f>
        <v>0</v>
      </c>
      <c r="J976" s="196">
        <f>IF($B$976="Лікар-педіатр","x",IF($B$976="Лікар-терапевт",J979*L976,IF($B$976="Лікар загальної практики - сімейний лікар",J979*L976,0)))</f>
        <v>0</v>
      </c>
      <c r="K976" s="196">
        <f>IF($B$976="Лікар-педіатр","x",IF($B$976="Лікар-терапевт",K979*L976,IF($B$976="Лікар загальної практики - сімейний лікар",K979*L976,0)))</f>
        <v>0</v>
      </c>
      <c r="L976" s="558"/>
      <c r="M976" s="929"/>
      <c r="N976" s="196">
        <f>IF($B$976="Лікар-педіатр",N979*S976,IF($B$976="Лікар-терапевт","х",IF($B$976="Лікар загальної практики - сімейний лікар",N979*S976,0)))</f>
        <v>0</v>
      </c>
      <c r="O976" s="196">
        <f>IF($B$976="Лікар-педіатр",O979*S976,IF($B$976="Лікар-терапевт","х",IF($B$976="Лікар загальної практики - сімейний лікар",O979*S976,0)))</f>
        <v>0</v>
      </c>
      <c r="P976" s="196">
        <f>IF($B$976="Лікар-педіатр","x",IF($B$976="Лікар-терапевт",P979*S976,IF($B$976="Лікар загальної практики - сімейний лікар",P979*S976,0)))</f>
        <v>0</v>
      </c>
      <c r="Q976" s="196">
        <f>IF($B$976="Лікар-педіатр","x",IF($B$976="Лікар-терапевт",Q979*S976,IF($B$976="Лікар загальної практики - сімейний лікар",Q979*S976,0)))</f>
        <v>0</v>
      </c>
      <c r="R976" s="196">
        <f>IF($B$976="Лікар-педіатр","x",IF($B$976="Лікар-терапевт",R979*S976,IF($B$976="Лікар загальної практики - сімейний лікар",R979*S976,0)))</f>
        <v>0</v>
      </c>
      <c r="S976" s="558"/>
      <c r="T976" s="929"/>
      <c r="U976" s="196">
        <f>IF($B$976="Лікар-педіатр",U979*Z976,IF($B$976="Лікар-терапевт","х",IF($B$976="Лікар загальної практики - сімейний лікар",U979*Z976,0)))</f>
        <v>0</v>
      </c>
      <c r="V976" s="196">
        <f>IF($B$976="Лікар-педіатр",V979*Z976,IF($B$976="Лікар-терапевт","х",IF($B$976="Лікар загальної практики - сімейний лікар",V979*Z976,0)))</f>
        <v>0</v>
      </c>
      <c r="W976" s="196">
        <f>IF($B$976="Лікар-педіатр","x",IF($B$976="Лікар-терапевт",W979*Z976,IF($B$976="Лікар загальної практики - сімейний лікар",W979*Z976,0)))</f>
        <v>0</v>
      </c>
      <c r="X976" s="196">
        <f>IF($B$976="Лікар-педіатр","x",IF($B$976="Лікар-терапевт",X979*Z976,IF($B$976="Лікар загальної практики - сімейний лікар",X979*Z976,0)))</f>
        <v>0</v>
      </c>
      <c r="Y976" s="196">
        <f>IF($B$976="Лікар-педіатр","x",IF($B$976="Лікар-терапевт",Y979*Z976,IF($B$976="Лікар загальної практики - сімейний лікар",Y979*Z976,0)))</f>
        <v>0</v>
      </c>
      <c r="Z976" s="558"/>
      <c r="AA976" s="929"/>
      <c r="AB976" s="196">
        <f>IF($B$976="Лікар-педіатр",AB979*AG976,IF($B$976="Лікар-терапевт","х",IF($B$976="Лікар загальної практики - сімейний лікар",AB979*AG976,0)))</f>
        <v>0</v>
      </c>
      <c r="AC976" s="196">
        <f>IF($B$976="Лікар-педіатр",AC979*AG976,IF($B$976="Лікар-терапевт","х",IF($B$976="Лікар загальної практики - сімейний лікар",AC979*AG976,0)))</f>
        <v>0</v>
      </c>
      <c r="AD976" s="196">
        <f>IF($B$976="Лікар-педіатр","x",IF($B$976="Лікар-терапевт",AD979*AG976,IF($B$976="Лікар загальної практики - сімейний лікар",AD979*AG976,0)))</f>
        <v>0</v>
      </c>
      <c r="AE976" s="196">
        <f>IF($B$976="Лікар-педіатр","x",IF($B$976="Лікар-терапевт",AE979*AG976,IF($B$976="Лікар загальної практики - сімейний лікар",AE979*AG976,0)))</f>
        <v>0</v>
      </c>
      <c r="AF976" s="196">
        <f>IF($B$976="Лікар-педіатр","x",IF($B$976="Лікар-терапевт",AF979*AG976,IF($B$976="Лікар загальної практики - сімейний лікар",AF979*AG976,0)))</f>
        <v>0</v>
      </c>
      <c r="AG976" s="558"/>
      <c r="AH976" s="929"/>
      <c r="AI976" s="541">
        <f>A976</f>
        <v>73</v>
      </c>
      <c r="AJ976" s="932">
        <f>B976</f>
        <v>0</v>
      </c>
      <c r="AK976" s="926">
        <f>C976</f>
        <v>0</v>
      </c>
      <c r="AL976" s="926">
        <f>D976</f>
        <v>0</v>
      </c>
      <c r="AM976" s="901" t="s">
        <v>785</v>
      </c>
      <c r="AN976" s="923">
        <f>SUM(AN981:AN987)</f>
        <v>0</v>
      </c>
      <c r="AO976" s="923">
        <f>SUM(AO981:AO987)</f>
        <v>0</v>
      </c>
      <c r="AP976" s="923">
        <f>SUM(AP981:AP987)</f>
        <v>0</v>
      </c>
      <c r="AQ976" s="923">
        <f>SUM(AQ981:AQ987)</f>
        <v>0</v>
      </c>
      <c r="AR976" s="914">
        <f>SUM(AN976:AQ980)</f>
        <v>0</v>
      </c>
    </row>
    <row r="977" spans="1:44" s="50" customFormat="1" ht="28.15" hidden="1" customHeight="1">
      <c r="A977" s="197"/>
      <c r="B977" s="893"/>
      <c r="C977" s="896"/>
      <c r="D977" s="912"/>
      <c r="E977" s="909"/>
      <c r="F977" s="234" t="s">
        <v>583</v>
      </c>
      <c r="G977" s="196">
        <f>IF($B$976="Лікар-педіатр",G979*L977,IF($B$976="Лікар-терапевт","х",IF($B$976="Лікар загальної практики - сімейний лікар",G979*L977,0)))</f>
        <v>0</v>
      </c>
      <c r="H977" s="196">
        <f>IF($B$976="Лікар-педіатр",H979*L977,IF($B$976="Лікар-терапевт","х",IF($B$976="Лікар загальної практики - сімейний лікар",H979*L977,0)))</f>
        <v>0</v>
      </c>
      <c r="I977" s="196">
        <f>IF($B$976="Лікар-педіатр","x",IF($B$976="Лікар-терапевт",I979*L977,IF($B$976="Лікар загальної практики - сімейний лікар",I979*L977,0)))</f>
        <v>0</v>
      </c>
      <c r="J977" s="196">
        <f>IF($B$976="Лікар-педіатр","x",IF($B$976="Лікар-терапевт",J979*L977,IF($B$976="Лікар загальної практики - сімейний лікар",J979*L977,0)))</f>
        <v>0</v>
      </c>
      <c r="K977" s="196">
        <f>IF($B$976="Лікар-педіатр","x",IF($B$976="Лікар-терапевт",K979*L977,IF($B$976="Лікар загальної практики - сімейний лікар",K979*L977,0)))</f>
        <v>0</v>
      </c>
      <c r="L977" s="558"/>
      <c r="M977" s="930"/>
      <c r="N977" s="196">
        <f>IF($B$976="Лікар-педіатр",N979*S977,IF($B$976="Лікар-терапевт","х",IF($B$976="Лікар загальної практики - сімейний лікар",N979*S977,0)))</f>
        <v>0</v>
      </c>
      <c r="O977" s="196">
        <f>IF($B$976="Лікар-педіатр",O979*S977,IF($B$976="Лікар-терапевт","х",IF($B$976="Лікар загальної практики - сімейний лікар",O979*S977,0)))</f>
        <v>0</v>
      </c>
      <c r="P977" s="196">
        <f>IF($B$976="Лікар-педіатр","x",IF($B$976="Лікар-терапевт",P979*S977,IF($B$976="Лікар загальної практики - сімейний лікар",P979*S977,0)))</f>
        <v>0</v>
      </c>
      <c r="Q977" s="196">
        <f>IF($B$976="Лікар-педіатр","x",IF($B$976="Лікар-терапевт",Q979*S977,IF($B$976="Лікар загальної практики - сімейний лікар",Q979*S977,0)))</f>
        <v>0</v>
      </c>
      <c r="R977" s="196">
        <f>IF($B$976="Лікар-педіатр","x",IF($B$976="Лікар-терапевт",R979*S977,IF($B$976="Лікар загальної практики - сімейний лікар",R979*S977,0)))</f>
        <v>0</v>
      </c>
      <c r="S977" s="558"/>
      <c r="T977" s="930"/>
      <c r="U977" s="196">
        <f>IF($B$976="Лікар-педіатр",U979*Z977,IF($B$976="Лікар-терапевт","х",IF($B$976="Лікар загальної практики - сімейний лікар",U979*Z977,0)))</f>
        <v>0</v>
      </c>
      <c r="V977" s="196">
        <f>IF($B$976="Лікар-педіатр",V979*Z977,IF($B$976="Лікар-терапевт","х",IF($B$976="Лікар загальної практики - сімейний лікар",V979*Z977,0)))</f>
        <v>0</v>
      </c>
      <c r="W977" s="196">
        <f>IF($B$976="Лікар-педіатр","x",IF($B$976="Лікар-терапевт",W979*Z977,IF($B$976="Лікар загальної практики - сімейний лікар",W979*Z977,0)))</f>
        <v>0</v>
      </c>
      <c r="X977" s="196">
        <f>IF($B$976="Лікар-педіатр","x",IF($B$976="Лікар-терапевт",X979*Z977,IF($B$976="Лікар загальної практики - сімейний лікар",X979*Z977,0)))</f>
        <v>0</v>
      </c>
      <c r="Y977" s="196">
        <f>IF($B$976="Лікар-педіатр","x",IF($B$976="Лікар-терапевт",Y979*Z977,IF($B$976="Лікар загальної практики - сімейний лікар",Y979*Z977,0)))</f>
        <v>0</v>
      </c>
      <c r="Z977" s="558"/>
      <c r="AA977" s="930"/>
      <c r="AB977" s="196">
        <f>IF($B$976="Лікар-педіатр",AB979*AG977,IF($B$976="Лікар-терапевт","х",IF($B$976="Лікар загальної практики - сімейний лікар",AB979*AG977,0)))</f>
        <v>0</v>
      </c>
      <c r="AC977" s="196">
        <f>IF($B$976="Лікар-педіатр",AC979*AG977,IF($B$976="Лікар-терапевт","х",IF($B$976="Лікар загальної практики - сімейний лікар",AC979*AG977,0)))</f>
        <v>0</v>
      </c>
      <c r="AD977" s="196">
        <f>IF($B$976="Лікар-педіатр","x",IF($B$976="Лікар-терапевт",AD979*AG977,IF($B$976="Лікар загальної практики - сімейний лікар",AD979*AG977,0)))</f>
        <v>0</v>
      </c>
      <c r="AE977" s="196">
        <f>IF($B$976="Лікар-педіатр","x",IF($B$976="Лікар-терапевт",AE979*AG977,IF($B$976="Лікар загальної практики - сімейний лікар",AE979*AG977,0)))</f>
        <v>0</v>
      </c>
      <c r="AF977" s="196">
        <f>IF($B$976="Лікар-педіатр","x",IF($B$976="Лікар-терапевт",AF979*AG977,IF($B$976="Лікар загальної практики - сімейний лікар",AF979*AG977,0)))</f>
        <v>0</v>
      </c>
      <c r="AG977" s="558"/>
      <c r="AH977" s="930"/>
      <c r="AI977" s="198"/>
      <c r="AJ977" s="933"/>
      <c r="AK977" s="927"/>
      <c r="AL977" s="927"/>
      <c r="AM977" s="902"/>
      <c r="AN977" s="924"/>
      <c r="AO977" s="924"/>
      <c r="AP977" s="924"/>
      <c r="AQ977" s="924"/>
      <c r="AR977" s="915"/>
    </row>
    <row r="978" spans="1:44" s="90" customFormat="1" ht="31.15" hidden="1" customHeight="1">
      <c r="A978" s="240"/>
      <c r="B978" s="893"/>
      <c r="C978" s="896"/>
      <c r="D978" s="912"/>
      <c r="E978" s="909"/>
      <c r="F978" s="241" t="s">
        <v>584</v>
      </c>
      <c r="G978" s="199">
        <f>IF(B976="Лікар загальної практики - сімейний лікар"," ",IF(B976="Лікар-педіатр"," ",IF(B976="Лікар-терапевт","х",0)))</f>
        <v>0</v>
      </c>
      <c r="H978" s="199">
        <f>IF(B976="Лікар загальної практики - сімейний лікар"," ",IF(B976="Лікар-педіатр"," ",IF(B976="Лікар-терапевт","х",0)))</f>
        <v>0</v>
      </c>
      <c r="I978" s="199">
        <f>IF(B976="Лікар загальної практики - сімейний лікар"," ",IF(B976="Лікар-педіатр","х",IF(B976="Лікар-терапевт"," ",0)))</f>
        <v>0</v>
      </c>
      <c r="J978" s="199">
        <f>IF(B976="Лікар загальної практики - сімейний лікар"," ",IF(B976="Лікар-педіатр","х",IF(B976="Лікар-терапевт"," ",0)))</f>
        <v>0</v>
      </c>
      <c r="K978" s="199">
        <f>IF(B976="Лікар загальної практики - сімейний лікар"," ",IF(B976="Лікар-педіатр","х",IF(B976="Лікар-терапевт"," ",0)))</f>
        <v>0</v>
      </c>
      <c r="L978" s="200">
        <f>SUM(G978:K978)</f>
        <v>0</v>
      </c>
      <c r="M978" s="930"/>
      <c r="N978" s="199">
        <f>IF(B976="Лікар загальної практики - сімейний лікар"," ",IF(B976="Лікар-педіатр"," ",IF(B976="Лікар-терапевт","х",0)))</f>
        <v>0</v>
      </c>
      <c r="O978" s="199">
        <f>IF(B976="Лікар загальної практики - сімейний лікар"," ",IF(B976="Лікар-педіатр"," ",IF(B976="Лікар-терапевт","х",0)))</f>
        <v>0</v>
      </c>
      <c r="P978" s="199">
        <f>IF(B976="Лікар загальної практики - сімейний лікар"," ",IF(B976="Лікар-педіатр","х",IF(B976="Лікар-терапевт"," ",0)))</f>
        <v>0</v>
      </c>
      <c r="Q978" s="199">
        <f>IF(B976="Лікар загальної практики - сімейний лікар"," ",IF(B976="Лікар-педіатр","х",IF(B976="Лікар-терапевт"," ",0)))</f>
        <v>0</v>
      </c>
      <c r="R978" s="199">
        <f>IF(B976="Лікар загальної практики - сімейний лікар"," ",IF(B976="Лікар-педіатр","х",IF(B976="Лікар-терапевт"," ",0)))</f>
        <v>0</v>
      </c>
      <c r="S978" s="200">
        <f>SUM(N978:R978)</f>
        <v>0</v>
      </c>
      <c r="T978" s="930"/>
      <c r="U978" s="199">
        <f>IF(B976="Лікар загальної практики - сімейний лікар"," ",IF(B976="Лікар-педіатр"," ",IF(B976="Лікар-терапевт","х",0)))</f>
        <v>0</v>
      </c>
      <c r="V978" s="199">
        <f>IF(B976="Лікар загальної практики - сімейний лікар"," ",IF(B976="Лікар-педіатр"," ",IF(B976="Лікар-терапевт","х",0)))</f>
        <v>0</v>
      </c>
      <c r="W978" s="199">
        <f>IF(B976="Лікар загальної практики - сімейний лікар"," ",IF(B976="Лікар-педіатр","х",IF(B976="Лікар-терапевт"," ",0)))</f>
        <v>0</v>
      </c>
      <c r="X978" s="199">
        <f>IF(B976="Лікар загальної практики - сімейний лікар"," ",IF(B976="Лікар-педіатр","х",IF(B976="Лікар-терапевт"," ",0)))</f>
        <v>0</v>
      </c>
      <c r="Y978" s="199">
        <f>IF(B976="Лікар загальної практики - сімейний лікар"," ",IF(B976="Лікар-педіатр","х",IF(B976="Лікар-терапевт"," ",0)))</f>
        <v>0</v>
      </c>
      <c r="Z978" s="200">
        <f>SUM(U978:Y978)</f>
        <v>0</v>
      </c>
      <c r="AA978" s="930"/>
      <c r="AB978" s="199">
        <f>IF(B976="Лікар загальної практики - сімейний лікар"," ",IF(B976="Лікар-педіатр"," ",IF(B976="Лікар-терапевт","х",0)))</f>
        <v>0</v>
      </c>
      <c r="AC978" s="199">
        <f>IF(B976="Лікар загальної практики - сімейний лікар"," ",IF(B976="Лікар-педіатр"," ",IF(B976="Лікар-терапевт","х",0)))</f>
        <v>0</v>
      </c>
      <c r="AD978" s="199">
        <f>IF(B976="Лікар загальної практики - сімейний лікар"," ",IF(B976="Лікар-педіатр","х",IF(B976="Лікар-терапевт"," ",0)))</f>
        <v>0</v>
      </c>
      <c r="AE978" s="199">
        <f>IF(B976="Лікар загальної практики - сімейний лікар"," ",IF(B976="Лікар-педіатр","х",IF(B976="Лікар-терапевт"," ",0)))</f>
        <v>0</v>
      </c>
      <c r="AF978" s="199">
        <f>IF(B976="Лікар загальної практики - сімейний лікар"," ",IF(B976="Лікар-педіатр","х",IF(B976="Лікар-терапевт"," ",0)))</f>
        <v>0</v>
      </c>
      <c r="AG978" s="200">
        <f>SUM(AB978:AF978)</f>
        <v>0</v>
      </c>
      <c r="AH978" s="930"/>
      <c r="AI978" s="242"/>
      <c r="AJ978" s="933"/>
      <c r="AK978" s="927"/>
      <c r="AL978" s="927"/>
      <c r="AM978" s="902"/>
      <c r="AN978" s="924"/>
      <c r="AO978" s="924"/>
      <c r="AP978" s="924"/>
      <c r="AQ978" s="924"/>
      <c r="AR978" s="915"/>
    </row>
    <row r="979" spans="1:44" s="50" customFormat="1" ht="31.9" hidden="1" customHeight="1" thickBot="1">
      <c r="A979" s="197"/>
      <c r="B979" s="893"/>
      <c r="C979" s="896"/>
      <c r="D979" s="912"/>
      <c r="E979" s="909"/>
      <c r="F979" s="236" t="s">
        <v>349</v>
      </c>
      <c r="G979" s="203">
        <f>IF($B$976="Лікар-педіатр",G978/L978,IF($B$976="Лікар-терапевт","х",IF($B$976="Лікар загальної практики - сімейний лікар",G978/L978,0)))</f>
        <v>0</v>
      </c>
      <c r="H979" s="203">
        <f>IF($B$976="Лікар-педіатр",H978/L978,IF($B$976="Лікар-терапевт","х",IF($B$976="Лікар загальної практики - сімейний лікар",H978/L978,0)))</f>
        <v>0</v>
      </c>
      <c r="I979" s="203">
        <f>IF($B$976="Лікар-педіатр","x",IF($B$976="Лікар-терапевт",I978/L978,IF($B$976="Лікар загальної практики - сімейний лікар",I978/L978,0)))</f>
        <v>0</v>
      </c>
      <c r="J979" s="203">
        <f>IF($B$976="Лікар-педіатр","x",IF($B$976="Лікар-терапевт",J978/L978,IF($B$976="Лікар загальної практики - сімейний лікар",J978/L978,0)))</f>
        <v>0</v>
      </c>
      <c r="K979" s="203">
        <f>IF($B$976="Лікар-педіатр","x",IF($B$976="Лікар-терапевт",K978/L978,IF($B$976="Лікар загальної практики - сімейний лікар",K978/L978,0)))</f>
        <v>0</v>
      </c>
      <c r="L979" s="203">
        <f>SUM(G979:K979)</f>
        <v>0</v>
      </c>
      <c r="M979" s="930"/>
      <c r="N979" s="203">
        <f>IF($B$976="Лікар-педіатр",N978/S978,IF($B$976="Лікар-терапевт","х",IF($B$976="Лікар загальної практики - сімейний лікар",N978/S978,0)))</f>
        <v>0</v>
      </c>
      <c r="O979" s="203">
        <f>IF($B$976="Лікар-педіатр",O978/S978,IF($B$976="Лікар-терапевт","х",IF($B$976="Лікар загальної практики - сімейний лікар",O978/S978,0)))</f>
        <v>0</v>
      </c>
      <c r="P979" s="203">
        <f>IF($B$976="Лікар-педіатр","x",IF($B$976="Лікар-терапевт",P978/S978,IF($B$976="Лікар загальної практики - сімейний лікар",P978/S978,0)))</f>
        <v>0</v>
      </c>
      <c r="Q979" s="203">
        <f>IF($B$976="Лікар-педіатр","x",IF($B$976="Лікар-терапевт",Q978/S978,IF($B$976="Лікар загальної практики - сімейний лікар",Q978/S978,0)))</f>
        <v>0</v>
      </c>
      <c r="R979" s="203">
        <f>IF($B$976="Лікар-педіатр","x",IF($B$976="Лікар-терапевт",R978/S978,IF($B$976="Лікар загальної практики - сімейний лікар",R978/S978,0)))</f>
        <v>0</v>
      </c>
      <c r="S979" s="203">
        <f>SUM(N979:R979)</f>
        <v>0</v>
      </c>
      <c r="T979" s="930"/>
      <c r="U979" s="203">
        <f>IF($B$976="Лікар-педіатр",U978/Z978,IF($B$976="Лікар-терапевт","х",IF($B$976="Лікар загальної практики - сімейний лікар",U978/Z978,0)))</f>
        <v>0</v>
      </c>
      <c r="V979" s="203">
        <f>IF($B$976="Лікар-педіатр",V978/Z978,IF($B$976="Лікар-терапевт","х",IF($B$976="Лікар загальної практики - сімейний лікар",V978/Z978,0)))</f>
        <v>0</v>
      </c>
      <c r="W979" s="203">
        <f>IF($B$976="Лікар-педіатр","x",IF($B$976="Лікар-терапевт",W978/Z978,IF($B$976="Лікар загальної практики - сімейний лікар",W978/Z978,0)))</f>
        <v>0</v>
      </c>
      <c r="X979" s="203">
        <f>IF($B$976="Лікар-педіатр","x",IF($B$976="Лікар-терапевт",X978/Z978,IF($B$976="Лікар загальної практики - сімейний лікар",X978/Z978,0)))</f>
        <v>0</v>
      </c>
      <c r="Y979" s="203">
        <f>IF($B$976="Лікар-педіатр","x",IF($B$976="Лікар-терапевт",Y978/Z978,IF($B$976="Лікар загальної практики - сімейний лікар",Y978/Z978,0)))</f>
        <v>0</v>
      </c>
      <c r="Z979" s="203">
        <f>SUM(U979:Y979)</f>
        <v>0</v>
      </c>
      <c r="AA979" s="930"/>
      <c r="AB979" s="203">
        <f>IF($B$976="Лікар-педіатр",AB978/AG978,IF($B$976="Лікар-терапевт","х",IF($B$976="Лікар загальної практики - сімейний лікар",AB978/AG978,0)))</f>
        <v>0</v>
      </c>
      <c r="AC979" s="203">
        <f>IF($B$976="Лікар-педіатр",AC978/AG978,IF($B$976="Лікар-терапевт","х",IF($B$976="Лікар загальної практики - сімейний лікар",AC978/AG978,0)))</f>
        <v>0</v>
      </c>
      <c r="AD979" s="203">
        <f>IF($B$976="Лікар-педіатр","x",IF($B$976="Лікар-терапевт",AD978/AG978,IF($B$976="Лікар загальної практики - сімейний лікар",AD978/AG978,0)))</f>
        <v>0</v>
      </c>
      <c r="AE979" s="203">
        <f>IF($B$976="Лікар-педіатр","x",IF($B$976="Лікар-терапевт",AE978/AG978,IF($B$976="Лікар загальної практики - сімейний лікар",AE978/AG978,0)))</f>
        <v>0</v>
      </c>
      <c r="AF979" s="203">
        <f>IF($B$976="Лікар-педіатр","x",IF($B$976="Лікар-терапевт",AF978/AG978,IF($B$976="Лікар загальної практики - сімейний лікар",AF978/AG978,0)))</f>
        <v>0</v>
      </c>
      <c r="AG979" s="203">
        <f>SUM(AB979:AF979)</f>
        <v>0</v>
      </c>
      <c r="AH979" s="930"/>
      <c r="AI979" s="201"/>
      <c r="AJ979" s="933"/>
      <c r="AK979" s="927"/>
      <c r="AL979" s="927"/>
      <c r="AM979" s="902"/>
      <c r="AN979" s="924"/>
      <c r="AO979" s="924"/>
      <c r="AP979" s="924"/>
      <c r="AQ979" s="924"/>
      <c r="AR979" s="915"/>
    </row>
    <row r="980" spans="1:44" s="50" customFormat="1" ht="45" hidden="1" customHeight="1" thickBot="1">
      <c r="A980" s="197"/>
      <c r="B980" s="893"/>
      <c r="C980" s="896"/>
      <c r="D980" s="912"/>
      <c r="E980" s="909"/>
      <c r="F980" s="204" t="s">
        <v>585</v>
      </c>
      <c r="G980" s="205">
        <f>IF($B$976="Лікар загальної практики - сімейний лікар",AVERAGE(G976:G978),IF($B$976="Лікар-педіатр",AVERAGE(G976:G978),IF($B$976="Лікар-терапевт","х",0)))</f>
        <v>0</v>
      </c>
      <c r="H980" s="205">
        <f>IF($B$976="Лікар загальної практики - сімейний лікар",AVERAGE(H976:H978),IF($B$976="Лікар-педіатр",AVERAGE(H976:H978),IF($B$976="Лікар-терапевт","х",0)))</f>
        <v>0</v>
      </c>
      <c r="I980" s="205">
        <f>IF($B$976="Лікар загальної практики - сімейний лікар",AVERAGE(I976:I978),IF($B$976="Лікар-педіатр","x",IF($B$976="Лікар-терапевт",AVERAGE(I976:I978),0)))</f>
        <v>0</v>
      </c>
      <c r="J980" s="205">
        <f>IF($B$976="Лікар загальної практики - сімейний лікар",AVERAGE(J976:J978),IF($B$976="Лікар-педіатр","x",IF($B$976="Лікар-терапевт",AVERAGE(J976:J978),0)))</f>
        <v>0</v>
      </c>
      <c r="K980" s="205">
        <f>IF($B$976="Лікар загальної практики - сімейний лікар",AVERAGE(K976:K978),IF($B$976="Лікар-педіатр","x",IF($B$976="Лікар-терапевт",AVERAGE(K976:K978),0)))</f>
        <v>0</v>
      </c>
      <c r="L980" s="206">
        <f>SUM(G980:K980)</f>
        <v>0</v>
      </c>
      <c r="M980" s="930"/>
      <c r="N980" s="205">
        <f>IF($B$976="Лікар загальної практики - сімейний лікар",AVERAGE(N976:N978),IF($B$976="Лікар-педіатр",AVERAGE(N976:N978),IF($B$976="Лікар-терапевт","х",0)))</f>
        <v>0</v>
      </c>
      <c r="O980" s="205">
        <f>IF($B$976="Лікар загальної практики - сімейний лікар",AVERAGE(O976:O978),IF($B$976="Лікар-педіатр",AVERAGE(O976:O978),IF($B$976="Лікар-терапевт","х",0)))</f>
        <v>0</v>
      </c>
      <c r="P980" s="205">
        <f>IF($B$976="Лікар загальної практики - сімейний лікар",AVERAGE(P976:P978),IF($B$976="Лікар-педіатр","x",IF($B$976="Лікар-терапевт",AVERAGE(P976:P978),0)))</f>
        <v>0</v>
      </c>
      <c r="Q980" s="205">
        <f>IF($B$976="Лікар загальної практики - сімейний лікар",AVERAGE(Q976:Q978),IF($B$976="Лікар-педіатр","x",IF($B$976="Лікар-терапевт",AVERAGE(Q976:Q978),0)))</f>
        <v>0</v>
      </c>
      <c r="R980" s="205">
        <f>IF($B$976="Лікар загальної практики - сімейний лікар",AVERAGE(R976:R978),IF($B$976="Лікар-педіатр","x",IF($B$976="Лікар-терапевт",AVERAGE(R976:R978),0)))</f>
        <v>0</v>
      </c>
      <c r="S980" s="206">
        <f>SUM(N980:R980)</f>
        <v>0</v>
      </c>
      <c r="T980" s="930"/>
      <c r="U980" s="205">
        <f>IF($B$976="Лікар загальної практики - сімейний лікар",AVERAGE(U976:U978),IF($B$976="Лікар-педіатр",AVERAGE(U976:U978),IF($B$976="Лікар-терапевт","х",0)))</f>
        <v>0</v>
      </c>
      <c r="V980" s="205">
        <f>IF($B$976="Лікар загальної практики - сімейний лікар",AVERAGE(V976:V978),IF($B$976="Лікар-педіатр",AVERAGE(V976:V978),IF($B$976="Лікар-терапевт","х",0)))</f>
        <v>0</v>
      </c>
      <c r="W980" s="205">
        <f>IF($B$976="Лікар загальної практики - сімейний лікар",AVERAGE(W976:W978),IF($B$976="Лікар-педіатр","x",IF($B$976="Лікар-терапевт",AVERAGE(W976:W978),0)))</f>
        <v>0</v>
      </c>
      <c r="X980" s="205">
        <f>IF($B$976="Лікар загальної практики - сімейний лікар",AVERAGE(X976:X978),IF($B$976="Лікар-педіатр","x",IF($B$976="Лікар-терапевт",AVERAGE(X976:X978),0)))</f>
        <v>0</v>
      </c>
      <c r="Y980" s="205">
        <f>IF($B$976="Лікар загальної практики - сімейний лікар",AVERAGE(Y976:Y978),IF($B$976="Лікар-педіатр","x",IF($B$976="Лікар-терапевт",AVERAGE(Y976:Y978),0)))</f>
        <v>0</v>
      </c>
      <c r="Z980" s="206">
        <f>SUM(U980:Y980)</f>
        <v>0</v>
      </c>
      <c r="AA980" s="930"/>
      <c r="AB980" s="205">
        <f>IF($B$976="Лікар загальної практики - сімейний лікар",AVERAGE(AB976:AB978),IF($B$976="Лікар-педіатр",AVERAGE(AB976:AB978),IF($B$976="Лікар-терапевт","х",0)))</f>
        <v>0</v>
      </c>
      <c r="AC980" s="205">
        <f>IF($B$976="Лікар загальної практики - сімейний лікар",AVERAGE(AC976:AC978),IF($B$976="Лікар-педіатр",AVERAGE(AC976:AC978),IF($B$976="Лікар-терапевт","х",0)))</f>
        <v>0</v>
      </c>
      <c r="AD980" s="205">
        <f>IF($B$976="Лікар загальної практики - сімейний лікар",AVERAGE(AD976:AD978),IF($B$976="Лікар-педіатр","x",IF($B$976="Лікар-терапевт",AVERAGE(AD976:AD978),0)))</f>
        <v>0</v>
      </c>
      <c r="AE980" s="205">
        <f>IF($B$976="Лікар загальної практики - сімейний лікар",AVERAGE(AE976:AE978),IF($B$976="Лікар-педіатр","x",IF($B$976="Лікар-терапевт",AVERAGE(AE976:AE978),0)))</f>
        <v>0</v>
      </c>
      <c r="AF980" s="205">
        <f>IF($B$976="Лікар загальної практики - сімейний лікар",AVERAGE(AF976:AF978),IF($B$976="Лікар-педіатр","x",IF($B$976="Лікар-терапевт",AVERAGE(AF976:AF978),0)))</f>
        <v>0</v>
      </c>
      <c r="AG980" s="206">
        <f>SUM(AB980:AF980)</f>
        <v>0</v>
      </c>
      <c r="AH980" s="930"/>
      <c r="AI980" s="201"/>
      <c r="AJ980" s="933"/>
      <c r="AK980" s="927"/>
      <c r="AL980" s="927"/>
      <c r="AM980" s="903"/>
      <c r="AN980" s="925"/>
      <c r="AO980" s="925"/>
      <c r="AP980" s="925"/>
      <c r="AQ980" s="925"/>
      <c r="AR980" s="916"/>
    </row>
    <row r="981" spans="1:44" s="50" customFormat="1" ht="40.5" hidden="1">
      <c r="A981" s="197"/>
      <c r="B981" s="893"/>
      <c r="C981" s="896"/>
      <c r="D981" s="912"/>
      <c r="E981" s="909"/>
      <c r="F981" s="237" t="str">
        <f ca="1">IF(B976="Лікар-педіатр",Законод!$C$17,IF(B976="Лікар загальної практики - сімейний лікар",Законод!$C$21,IF(B976="Лікар-терапевт",Законод!$C$25,"х")))</f>
        <v>х</v>
      </c>
      <c r="G981" s="208">
        <f ca="1">IF($B$976="Лікар загальної практики - сімейний лікар",IF(L980&lt;=Законод!$C$22,G980,Законод!$C$22*'01_Доходи'!G979),IF($B$976="Лікар-педіатр",IF(L980&lt;=Законод!$C$18,G980,Законод!$C$18*'01_Доходи'!G979),IF($B$976="Лікар-терапевт","x",0)))</f>
        <v>0</v>
      </c>
      <c r="H981" s="208">
        <f ca="1">IF($B$976="Лікар загальної практики - сімейний лікар",IF(L980&lt;=Законод!$C$22,H980,Законод!$C$22*'01_Доходи'!H979),IF($B$976="Лікар-педіатр",IF(L980&lt;=Законод!$C$18,H980,Законод!$C$18*'01_Доходи'!H979),IF($B$976="Лікар-терапевт","x",0)))</f>
        <v>0</v>
      </c>
      <c r="I981" s="208">
        <f ca="1">IF($B$976="Лікар загальної практики - сімейний лікар",IF(L980&lt;=Законод!$C$22,I980,Законод!$C$22*'01_Доходи'!I979),IF($B$976="Лікар-педіатр","x",IF($B$976="Лікар-терапевт",IF(L980&lt;=Законод!$C$26,I980,Законод!$C$26*'01_Доходи'!I979),0)))</f>
        <v>0</v>
      </c>
      <c r="J981" s="208">
        <f ca="1">IF($B$976="Лікар загальної практики - сімейний лікар",IF(L980&lt;=Законод!$C$22,J980,Законод!$C$22*'01_Доходи'!J979),IF($B$976="Лікар-педіатр","x",IF($B$976="Лікар-терапевт",IF(L980&lt;=Законод!$C$26,J980,Законод!$C$26*'01_Доходи'!J979),0)))</f>
        <v>0</v>
      </c>
      <c r="K981" s="208">
        <f ca="1">IF($B$976="Лікар загальної практики - сімейний лікар",IF(L980&lt;=Законод!$C$22,K980,Законод!$C$22*'01_Доходи'!K979),IF($B$976="Лікар-педіатр","x",IF($B$976="Лікар-терапевт",IF(L980&lt;=Законод!$C$26,K980,Законод!$C$26*'01_Доходи'!K979),0)))</f>
        <v>0</v>
      </c>
      <c r="L981" s="209">
        <f ca="1">SUM(G981:K981)</f>
        <v>0</v>
      </c>
      <c r="M981" s="930"/>
      <c r="N981" s="208">
        <f ca="1">IF($B$976="Лікар загальної практики - сімейний лікар",IF(S980&lt;=Законод!$C$22,N980,Законод!$C$22*'01_Доходи'!N979),IF($B$976="Лікар-педіатр",IF(S980&lt;=Законод!$C$18,N980,Законод!$C$18*'01_Доходи'!N979),IF($B$976="Лікар-терапевт","x",0)))</f>
        <v>0</v>
      </c>
      <c r="O981" s="208">
        <f ca="1">IF($B$976="Лікар загальної практики - сімейний лікар",IF(S980&lt;=Законод!$C$22,O980,Законод!$C$22*'01_Доходи'!O979),IF($B$976="Лікар-педіатр",IF(S980&lt;=Законод!$C$18,O980,Законод!$C$18*'01_Доходи'!O979),IF($B$976="Лікар-терапевт","x",0)))</f>
        <v>0</v>
      </c>
      <c r="P981" s="208">
        <f ca="1">IF($B$976="Лікар загальної практики - сімейний лікар",IF(S980&lt;=Законод!$C$22,P980,Законод!$C$22*'01_Доходи'!P979),IF($B$976="Лікар-педіатр","x",IF($B$976="Лікар-терапевт",IF(S980&lt;=Законод!$C$26,P980,Законод!$C$26*'01_Доходи'!P979),0)))</f>
        <v>0</v>
      </c>
      <c r="Q981" s="208">
        <f ca="1">IF($B$976="Лікар загальної практики - сімейний лікар",IF(S980&lt;=Законод!$C$22,Q980,Законод!$C$22*'01_Доходи'!Q979),IF($B$976="Лікар-педіатр","x",IF($B$976="Лікар-терапевт",IF(S980&lt;=Законод!$C$26,Q980,Законод!$C$26*'01_Доходи'!Q979),0)))</f>
        <v>0</v>
      </c>
      <c r="R981" s="208">
        <f ca="1">IF($B$976="Лікар загальної практики - сімейний лікар",IF(S980&lt;=Законод!$C$22,R980,Законод!$C$22*'01_Доходи'!R979),IF($B$976="Лікар-педіатр","x",IF($B$976="Лікар-терапевт",IF(S980&lt;=Законод!$C$26,R980,Законод!$C$26*'01_Доходи'!R979),0)))</f>
        <v>0</v>
      </c>
      <c r="S981" s="209">
        <f ca="1">SUM(N981:R981)</f>
        <v>0</v>
      </c>
      <c r="T981" s="930"/>
      <c r="U981" s="208">
        <f ca="1">IF($B$976="Лікар загальної практики - сімейний лікар",IF(Z980&lt;=Законод!$C$22,U980,Законод!$C$22*'01_Доходи'!U979),IF($B$976="Лікар-педіатр",IF(Z980&lt;=Законод!$C$18,U980,Законод!$C$18*'01_Доходи'!U979),IF($B$976="Лікар-терапевт","x",0)))</f>
        <v>0</v>
      </c>
      <c r="V981" s="208">
        <f ca="1">IF($B$976="Лікар загальної практики - сімейний лікар",IF(Z980&lt;=Законод!$C$22,V980,Законод!$C$22*'01_Доходи'!V979),IF($B$976="Лікар-педіатр",IF(Z980&lt;=Законод!$C$18,V980,Законод!$C$18*'01_Доходи'!V979),IF($B$976="Лікар-терапевт","x",0)))</f>
        <v>0</v>
      </c>
      <c r="W981" s="208">
        <f ca="1">IF($B$976="Лікар загальної практики - сімейний лікар",IF(Z980&lt;=Законод!$C$22,W980,Законод!$C$22*'01_Доходи'!W979),IF($B$976="Лікар-педіатр","x",IF($B$976="Лікар-терапевт",IF(Z980&lt;=Законод!$C$26,W980,Законод!$C$26*'01_Доходи'!W979),0)))</f>
        <v>0</v>
      </c>
      <c r="X981" s="208">
        <f ca="1">IF($B$976="Лікар загальної практики - сімейний лікар",IF(Z980&lt;=Законод!$C$22,X980,Законод!$C$22*'01_Доходи'!X979),IF($B$976="Лікар-педіатр","x",IF($B$976="Лікар-терапевт",IF(Z980&lt;=Законод!$C$26,X980,Законод!$C$26*'01_Доходи'!X979),0)))</f>
        <v>0</v>
      </c>
      <c r="Y981" s="208">
        <f ca="1">IF($B$976="Лікар загальної практики - сімейний лікар",IF(Z980&lt;=Законод!$C$22,Y980,Законод!$C$22*'01_Доходи'!Y979),IF($B$976="Лікар-педіатр","x",IF($B$976="Лікар-терапевт",IF(Z980&lt;=Законод!$C$26,Y980,Законод!$C$26*'01_Доходи'!Y979),0)))</f>
        <v>0</v>
      </c>
      <c r="Z981" s="209">
        <f ca="1">SUM(U981:Y981)</f>
        <v>0</v>
      </c>
      <c r="AA981" s="930"/>
      <c r="AB981" s="208">
        <f ca="1">IF($B$976="Лікар загальної практики - сімейний лікар",IF(AG980&lt;=Законод!$C$22,AB980,Законод!$C$22*'01_Доходи'!AB979),IF($B$976="Лікар-педіатр",IF(AG980&lt;=Законод!$C$18,AB980,Законод!$C$18*'01_Доходи'!AB979),IF($B$976="Лікар-терапевт","x",0)))</f>
        <v>0</v>
      </c>
      <c r="AC981" s="208">
        <f ca="1">IF($B$976="Лікар загальної практики - сімейний лікар",IF(AG980&lt;=Законод!$C$22,AC980,Законод!$C$22*'01_Доходи'!AC979),IF($B$976="Лікар-педіатр",IF(AG980&lt;=Законод!$C$18,AC980,Законод!$C$18*'01_Доходи'!AC979),IF($B$976="Лікар-терапевт","x",0)))</f>
        <v>0</v>
      </c>
      <c r="AD981" s="208">
        <f ca="1">IF($B$976="Лікар загальної практики - сімейний лікар",IF(AG980&lt;=Законод!$C$22,AD980,Законод!$C$22*'01_Доходи'!AD979),IF($B$976="Лікар-педіатр","x",IF($B$976="Лікар-терапевт",IF(AG980&lt;=Законод!$C$26,AD980,Законод!$C$26*'01_Доходи'!AD979),0)))</f>
        <v>0</v>
      </c>
      <c r="AE981" s="208">
        <f ca="1">IF($B$976="Лікар загальної практики - сімейний лікар",IF(AG980&lt;=Законод!$C$22,AE980,Законод!$C$22*'01_Доходи'!AE979),IF($B$976="Лікар-педіатр","x",IF($B$976="Лікар-терапевт",IF(AG980&lt;=Законод!$C$26,AE980,Законод!$C$26*'01_Доходи'!AE979),0)))</f>
        <v>0</v>
      </c>
      <c r="AF981" s="208">
        <f ca="1">IF($B$976="Лікар загальної практики - сімейний лікар",IF(AG980&lt;=Законод!$C$22,AF980,Законод!$C$22*'01_Доходи'!AF979),IF($B$976="Лікар-педіатр","x",IF($B$976="Лікар-терапевт",IF(AG980&lt;=Законод!$C$26,AF980,Законод!$C$26*'01_Доходи'!AF979),0)))</f>
        <v>0</v>
      </c>
      <c r="AG981" s="209">
        <f ca="1">SUM(AB981:AF981)</f>
        <v>0</v>
      </c>
      <c r="AH981" s="930"/>
      <c r="AI981" s="201"/>
      <c r="AJ981" s="933"/>
      <c r="AK981" s="927"/>
      <c r="AL981" s="927"/>
      <c r="AM981" s="348" t="s">
        <v>374</v>
      </c>
      <c r="AN981" s="210">
        <f ca="1">IF(B976="Лікар загальної практики - сімейний лікар",G981*Законод!$C$11+'01_Доходи'!H981*Законод!$D$11+'01_Доходи'!I981*Законод!$E$11+'01_Доходи'!J981*Законод!$F$11+'01_Доходи'!K981*Законод!$G$11,IF(B976="Лікар-педіатр",G981*Законод!$C$11+'01_Доходи'!H981*Законод!$D$11,IF(B976="Лікар-терапевт",'01_Доходи'!I981*Законод!$E$11+'01_Доходи'!J981*Законод!$F$11+'01_Доходи'!K981*Законод!$G$11,0)))</f>
        <v>0</v>
      </c>
      <c r="AO981" s="210">
        <f ca="1">IF(B976="Лікар загальної практики - сімейний лікар",N981*Законод!$C$11+'01_Доходи'!O981*Законод!$D$11+'01_Доходи'!P981*Законод!$E$11+'01_Доходи'!Q981*Законод!$F$11+'01_Доходи'!R981*Законод!$G$11,IF(B976="Лікар-педіатр",N981*Законод!$C$11+'01_Доходи'!O981*Законод!$D$11,IF(B976="Лікар-терапевт",'01_Доходи'!P981*Законод!$E$11+'01_Доходи'!Q981*Законод!$F$11+'01_Доходи'!R981*Законод!$G$11,0)))</f>
        <v>0</v>
      </c>
      <c r="AP981" s="210">
        <f ca="1">IF(B976="Лікар загальної практики - сімейний лікар",U981*Законод!$C$11+'01_Доходи'!V981*Законод!$D$11+'01_Доходи'!W981*Законод!$E$11+'01_Доходи'!X981*Законод!$F$11+'01_Доходи'!Y981*Законод!$G$11,IF(B976="Лікар-педіатр",U981*Законод!$C$11+'01_Доходи'!V981*Законод!$D$11,IF(B976="Лікар-терапевт",'01_Доходи'!W981*Законод!$E$11+'01_Доходи'!X981*Законод!$F$11+'01_Доходи'!Y981*Законод!$G$11,0)))</f>
        <v>0</v>
      </c>
      <c r="AQ981" s="210">
        <f ca="1">IF(B976="Лікар загальної практики - сімейний лікар",AB981*Законод!$C$11+'01_Доходи'!AC981*Законод!$D$11+'01_Доходи'!AD981*Законод!$E$11+'01_Доходи'!AE981*Законод!$F$11+'01_Доходи'!AF981*Законод!$G$11,IF(B976="Лікар-педіатр",AB981*Законод!$C$11+'01_Доходи'!AC981*Законод!$D$11,IF(B976="Лікар-терапевт",'01_Доходи'!AD981*Законод!$E$11+'01_Доходи'!AE981*Законод!$F$11+'01_Доходи'!AF981*Законод!$G$11,0)))</f>
        <v>0</v>
      </c>
      <c r="AR981" s="211">
        <f t="shared" ref="AR981:AR987" si="102">SUM(AN981:AQ981)</f>
        <v>0</v>
      </c>
    </row>
    <row r="982" spans="1:44" s="50" customFormat="1" ht="31.9" hidden="1" customHeight="1">
      <c r="A982" s="197"/>
      <c r="B982" s="893"/>
      <c r="C982" s="896"/>
      <c r="D982" s="912"/>
      <c r="E982" s="909"/>
      <c r="F982" s="238" t="str">
        <f ca="1">IF(B976="Лікар-педіатр",Законод!$E$17,IF(B976="Лікар загальної практики - сімейний лікар",Законод!$E$21,IF(B976="Лікар-терапевт",Законод!$E$25,"х")))</f>
        <v>х</v>
      </c>
      <c r="G982" s="889" t="s">
        <v>346</v>
      </c>
      <c r="H982" s="890"/>
      <c r="I982" s="890"/>
      <c r="J982" s="890"/>
      <c r="K982" s="891"/>
      <c r="L982" s="196">
        <f ca="1">IF($B$976="Лікар загальної практики - сімейний лікар",IF(L980&lt;Законод!$C$22,0,(IF(AND(L980&gt;=Законод!$E$22,L980&lt;=Законод!$E$23),L980-Законод!$C$22,IF('01_Доходи'!L980&gt;=Законод!$F$22,Законод!$E$24,0)))),IF($B$976="Лікар-педіатр",IF(L980&lt;Законод!$C$18,0,(IF(AND(L980&gt;=Законод!$E$18,L980&lt;=Законод!$E$19),L980-Законод!$C$18,IF('01_Доходи'!L980&gt;=Законод!$F$18,Законод!$E$20,0)))),IF($B$976="Лікар-терапевт",IF(L980&lt;Законод!$C$26,0,(IF(AND(L980&gt;=Законод!$E$26,L980&lt;=Законод!$E$27),L980-Законод!$C$26,IF('01_Доходи'!L980&gt;=Законод!$F$26,Законод!$E$28,0)))),0)))</f>
        <v>0</v>
      </c>
      <c r="M982" s="930"/>
      <c r="N982" s="889" t="s">
        <v>346</v>
      </c>
      <c r="O982" s="890"/>
      <c r="P982" s="890"/>
      <c r="Q982" s="890"/>
      <c r="R982" s="891"/>
      <c r="S982" s="196">
        <f ca="1">IF($B$976="Лікар загальної практики - сімейний лікар",IF(S980&lt;Законод!$C$22,0,(IF(AND(S980&gt;=Законод!$E$22,S980&lt;=Законод!$E$23),S980-Законод!$C$22,IF('01_Доходи'!S980&gt;=Законод!$F$22,Законод!$E$24,0)))),IF($B$976="Лікар-педіатр",IF(S980&lt;Законод!$C$18,0,(IF(AND(S980&gt;=Законод!$E$18,S980&lt;=Законод!$E$19),S980-Законод!$C$18,IF('01_Доходи'!S980&gt;=Законод!$F$18,Законод!$E$20,0)))),IF($B$976="Лікар-терапевт",IF(S980&lt;Законод!$C$26,0,(IF(AND(S980&gt;=Законод!$E$26,S980&lt;=Законод!$E$27),S980-Законод!$C$26,IF('01_Доходи'!S980&gt;=Законод!$F$26,Законод!$E$28,0)))),0)))</f>
        <v>0</v>
      </c>
      <c r="T982" s="930"/>
      <c r="U982" s="889" t="s">
        <v>346</v>
      </c>
      <c r="V982" s="890"/>
      <c r="W982" s="890"/>
      <c r="X982" s="890"/>
      <c r="Y982" s="891"/>
      <c r="Z982" s="196">
        <f ca="1">IF($B$976="Лікар загальної практики - сімейний лікар",IF(Z980&lt;Законод!$C$22,0,(IF(AND(Z980&gt;=Законод!$E$22,Z980&lt;=Законод!$E$23),Z980-Законод!$C$22,IF('01_Доходи'!Z980&gt;=Законод!$F$22,Законод!$E$24,0)))),IF($B$976="Лікар-педіатр",IF(Z980&lt;Законод!$C$18,0,(IF(AND(Z980&gt;=Законод!$E$18,Z980&lt;=Законод!$E$19),Z980-Законод!$C$18,IF('01_Доходи'!Z980&gt;=Законод!$F$18,Законод!$E$20,0)))),IF($B$976="Лікар-терапевт",IF(Z980&lt;Законод!$C$26,0,(IF(AND(Z980&gt;=Законод!$E$26,Z980&lt;=Законод!$E$27),Z980-Законод!$C$26,IF('01_Доходи'!Z980&gt;=Законод!$F$26,Законод!$E$28,0)))),0)))</f>
        <v>0</v>
      </c>
      <c r="AA982" s="930"/>
      <c r="AB982" s="889" t="s">
        <v>346</v>
      </c>
      <c r="AC982" s="890"/>
      <c r="AD982" s="890"/>
      <c r="AE982" s="890"/>
      <c r="AF982" s="891"/>
      <c r="AG982" s="196">
        <f ca="1">IF($B$976="Лікар загальної практики - сімейний лікар",IF(AG980&lt;Законод!$C$22,0,(IF(AND(AG980&gt;=Законод!$E$22,AG980&lt;=Законод!$E$23),AG980-Законод!$C$22,IF('01_Доходи'!AG980&gt;=Законод!$F$22,Законод!$E$24,0)))),IF($B$976="Лікар-педіатр",IF(AG980&lt;Законод!$C$18,0,(IF(AND(AG980&gt;=Законод!$E$18,AG980&lt;=Законод!$E$19),AG980-Законод!$C$18,IF('01_Доходи'!AG980&gt;=Законод!$F$18,Законод!$E$20,0)))),IF($B$976="Лікар-терапевт",IF(AG980&lt;Законод!$C$26,0,(IF(AND(AG980&gt;=Законод!$E$26,AG980&lt;=Законод!$E$27),AG980-Законод!$C$26,IF('01_Доходи'!AG980&gt;=Законод!$F$26,Законод!$E$28,0)))),0)))</f>
        <v>0</v>
      </c>
      <c r="AH982" s="930"/>
      <c r="AI982" s="201"/>
      <c r="AJ982" s="933"/>
      <c r="AK982" s="927"/>
      <c r="AL982" s="927"/>
      <c r="AM982" s="898" t="s">
        <v>375</v>
      </c>
      <c r="AN982" s="210">
        <f ca="1">IF(B976="Лікар загальної практики - сімейний лікар",L982*Законод!$C$9/4*Законод!$E$16,IF(B976="Лікар-педіатр",L982*Законод!$C$9/4*Законод!$E$16,IF(B976="Лікар-терапевт",L982*Законод!$C$9/4*Законод!$E$16,0)))</f>
        <v>0</v>
      </c>
      <c r="AO982" s="210">
        <f ca="1">IF(B976="Лікар загальної практики - сімейний лікар",S982*Законод!$C$9/4*Законод!$E$16,IF(B976="Лікар-педіатр",S982*Законод!$C$9/4*Законод!$E$16,IF(B976="Лікар-терапевт",S982*Законод!$C$9/4*Законод!$E$16,0)))</f>
        <v>0</v>
      </c>
      <c r="AP982" s="210">
        <f ca="1">IF(B976="Лікар загальної практики - сімейний лікар",Z982*Законод!$C$9/4*Законод!$E$16,IF(B976="Лікар-педіатр",Z982*Законод!$C$9/4*Законод!$E$16,IF(B976="Лікар-терапевт",Z982*Законод!$C$9/4*Законод!$E$16,0)))</f>
        <v>0</v>
      </c>
      <c r="AQ982" s="210">
        <f ca="1">IF(B976="Лікар загальної практики - сімейний лікар",AG982*Законод!$C$9/4*Законод!$E$16,IF(B976="Лікар-педіатр",AG982*Законод!$C$9/4*Законод!$E$16,IF(B976="Лікар-терапевт",AG982*Законод!$C$9/4*Законод!$E$16,0)))</f>
        <v>0</v>
      </c>
      <c r="AR982" s="211">
        <f t="shared" si="102"/>
        <v>0</v>
      </c>
    </row>
    <row r="983" spans="1:44" s="50" customFormat="1" ht="31.9" hidden="1" customHeight="1">
      <c r="A983" s="197"/>
      <c r="B983" s="893"/>
      <c r="C983" s="896"/>
      <c r="D983" s="912"/>
      <c r="E983" s="909"/>
      <c r="F983" s="238" t="str">
        <f ca="1">IF(B976="Лікар-педіатр",Законод!$F$17,IF(B976="Лікар загальної практики - сімейний лікар",Законод!$F$21,IF(B976="Лікар-терапевт",Законод!$F$25,"х")))</f>
        <v>х</v>
      </c>
      <c r="G983" s="889" t="s">
        <v>346</v>
      </c>
      <c r="H983" s="890"/>
      <c r="I983" s="890"/>
      <c r="J983" s="890"/>
      <c r="K983" s="891"/>
      <c r="L983" s="196">
        <f ca="1">IF($B$976="Лікар загальної практики - сімейний лікар",IF(L980&lt;Законод!$C$22,0,(IF(AND(L980&gt;=Законод!$F$22,L980&lt;=Законод!$F$23),L980-Законод!$E$23,IF('01_Доходи'!L980&gt;=Законод!$G$22,Законод!$F$24,0)))),IF($B$976="Лікар-педіатр",IF(L980&lt;Законод!$C$18,0,(IF(AND(L980&gt;=Законод!$F$18,L980&lt;=Законод!$F$19),L980-Законод!$E$19,IF('01_Доходи'!L980&gt;=Законод!$G$18,Законод!$F$20,0)))),IF($B$976="Лікар-терапевт",IF(L980&lt;Законод!$C$26,0,(IF(AND(L980&gt;=Законод!$F$26,L980&lt;=Законод!$F$27),L980-Законод!$E$27,IF('01_Доходи'!L980&gt;=Законод!$G$26,Законод!$F$28,0)))),0)))</f>
        <v>0</v>
      </c>
      <c r="M983" s="930"/>
      <c r="N983" s="889" t="s">
        <v>346</v>
      </c>
      <c r="O983" s="890"/>
      <c r="P983" s="890"/>
      <c r="Q983" s="890"/>
      <c r="R983" s="891"/>
      <c r="S983" s="196">
        <f ca="1">IF($B$976="Лікар загальної практики - сімейний лікар",IF(S980&lt;Законод!$C$22,0,(IF(AND(S980&gt;=Законод!$F$22,S980&lt;=Законод!$F$23),S980-Законод!$E$23,IF('01_Доходи'!S980&gt;=Законод!$G$22,Законод!$F$24,0)))),IF($B$976="Лікар-педіатр",IF(S980&lt;Законод!$C$18,0,(IF(AND(S980&gt;=Законод!$F$18,S980&lt;=Законод!$F$19),S980-Законод!$E$19,IF('01_Доходи'!S980&gt;=Законод!$G$18,Законод!$F$20,0)))),IF($B$976="Лікар-терапевт",IF(S980&lt;Законод!$C$26,0,(IF(AND(S980&gt;=Законод!$F$26,S980&lt;=Законод!$F$27),S980-Законод!$E$27,IF('01_Доходи'!S980&gt;=Законод!$G$26,Законод!$F$28,0)))),0)))</f>
        <v>0</v>
      </c>
      <c r="T983" s="930"/>
      <c r="U983" s="889" t="s">
        <v>346</v>
      </c>
      <c r="V983" s="890"/>
      <c r="W983" s="890"/>
      <c r="X983" s="890"/>
      <c r="Y983" s="891"/>
      <c r="Z983" s="196">
        <f ca="1">IF($B$976="Лікар загальної практики - сімейний лікар",IF(Z980&lt;Законод!$C$22,0,(IF(AND(Z980&gt;=Законод!$F$22,Z980&lt;=Законод!$F$23),Z980-Законод!$E$23,IF('01_Доходи'!Z980&gt;=Законод!$G$22,Законод!$F$24,0)))),IF($B$976="Лікар-педіатр",IF(Z980&lt;Законод!$C$18,0,(IF(AND(Z980&gt;=Законод!$F$18,Z980&lt;=Законод!$F$19),Z980-Законод!$E$19,IF('01_Доходи'!Z980&gt;=Законод!$G$18,Законод!$F$20,0)))),IF($B$976="Лікар-терапевт",IF(Z980&lt;Законод!$C$26,0,(IF(AND(Z980&gt;=Законод!$F$26,Z980&lt;=Законод!$F$27),Z980-Законод!$E$27,IF('01_Доходи'!Z980&gt;=Законод!$G$26,Законод!$F$28,0)))),0)))</f>
        <v>0</v>
      </c>
      <c r="AA983" s="930"/>
      <c r="AB983" s="889" t="s">
        <v>346</v>
      </c>
      <c r="AC983" s="890"/>
      <c r="AD983" s="890"/>
      <c r="AE983" s="890"/>
      <c r="AF983" s="891"/>
      <c r="AG983" s="196">
        <f ca="1">IF($B$976="Лікар загальної практики - сімейний лікар",IF(AG980&lt;Законод!$C$22,0,(IF(AND(AG980&gt;=Законод!$F$22,AG980&lt;=Законод!$F$23),AG980-Законод!$E$23,IF('01_Доходи'!AG980&gt;=Законод!$G$22,Законод!$F$24,0)))),IF($B$976="Лікар-педіатр",IF(AG980&lt;Законод!$C$18,0,(IF(AND(AG980&gt;=Законод!$F$18,AG980&lt;=Законод!$F$19),AG980-Законод!$E$19,IF('01_Доходи'!AG980&gt;=Законод!$G$18,Законод!$F$20,0)))),IF($B$976="Лікар-терапевт",IF(AG980&lt;Законод!$C$26,0,(IF(AND(AG980&gt;=Законод!$F$26,AG980&lt;=Законод!$F$27),AG980-Законод!$E$27,IF('01_Доходи'!AG980&gt;=Законод!$G$26,Законод!$F$28,0)))),0)))</f>
        <v>0</v>
      </c>
      <c r="AH983" s="930"/>
      <c r="AI983" s="201"/>
      <c r="AJ983" s="933"/>
      <c r="AK983" s="927"/>
      <c r="AL983" s="927"/>
      <c r="AM983" s="899"/>
      <c r="AN983" s="210">
        <f ca="1">IF(B976="Лікар загальної практики - сімейний лікар",L983*Законод!$C$9/4*Законод!$F$16,IF(B976="Лікар-педіатр",L983*Законод!$C$9/4*Законод!$F$16,IF(B976="Лікар-терапевт",L983*Законод!$C$9/4*Законод!$F$16,0)))</f>
        <v>0</v>
      </c>
      <c r="AO983" s="210">
        <f ca="1">IF(B976="Лікар загальної практики - сімейний лікар",S983*Законод!$C$9/4*Законод!$F$16,IF(B976="Лікар-педіатр",S983*Законод!$C$9/4*Законод!$F$16,IF(B976="Лікар-терапевт",S983*Законод!$C$9/4*Законод!$F$16,0)))</f>
        <v>0</v>
      </c>
      <c r="AP983" s="210">
        <f ca="1">IF(B976="Лікар загальної практики - сімейний лікар",Z983*Законод!$C$9/4*Законод!$F$16,IF(B976="Лікар-педіатр",Z983*Законод!$C$9/4*Законод!$F$16,IF(B976="Лікар-терапевт",Z983*Законод!$C$9/4*Законод!$F$16,0)))</f>
        <v>0</v>
      </c>
      <c r="AQ983" s="210">
        <f ca="1">IF(B976="Лікар загальної практики - сімейний лікар",AG983*Законод!$C$9/4*Законод!$F$16,IF(B976="Лікар-педіатр",AG983*Законод!$C$9/4*Законод!$F$16,IF(B976="Лікар-терапевт",AG983*Законод!$C$9/4*Законод!$F$16,0)))</f>
        <v>0</v>
      </c>
      <c r="AR983" s="211">
        <f t="shared" si="102"/>
        <v>0</v>
      </c>
    </row>
    <row r="984" spans="1:44" s="50" customFormat="1" ht="31.9" hidden="1" customHeight="1">
      <c r="A984" s="197"/>
      <c r="B984" s="893"/>
      <c r="C984" s="896"/>
      <c r="D984" s="912"/>
      <c r="E984" s="909"/>
      <c r="F984" s="238" t="str">
        <f ca="1">IF(B976="Лікар-педіатр",Законод!$G$17,IF(B976="Лікар загальної практики - сімейний лікар",Законод!$G$21,IF(B976="Лікар-терапевт",Законод!$G$25,"х")))</f>
        <v>х</v>
      </c>
      <c r="G984" s="889" t="s">
        <v>346</v>
      </c>
      <c r="H984" s="890"/>
      <c r="I984" s="890"/>
      <c r="J984" s="890"/>
      <c r="K984" s="891"/>
      <c r="L984" s="196">
        <f ca="1">IF($B$976="Лікар загальної практики - сімейний лікар",IF(L980&lt;Законод!$C$22,0,(IF(AND(L980&gt;=Законод!$G$22,L980&lt;=Законод!$G$23),L980-Законод!$F$23,IF('01_Доходи'!L980&gt;=Законод!$H$22,Законод!$G$24,0)))),IF($B$976="Лікар-педіатр",IF(L980&lt;Законод!$C$18,0,(IF(AND(L980&gt;=Законод!$G$18,L980&lt;=Законод!$G$19),L980-Законод!$F$19,IF('01_Доходи'!L980&gt;=Законод!$H$18,Законод!$G$20,0)))),IF($B$976="Лікар-терапевт",IF(L980&lt;Законод!$C$26,0,(IF(AND(L980&gt;=Законод!$G$26,L980&lt;=Законод!$G$27),L980-Законод!$F$27,IF('01_Доходи'!L980&gt;=Законод!$H$26,Законод!$G$28,0)))),0)))</f>
        <v>0</v>
      </c>
      <c r="M984" s="930"/>
      <c r="N984" s="889" t="s">
        <v>346</v>
      </c>
      <c r="O984" s="890"/>
      <c r="P984" s="890"/>
      <c r="Q984" s="890"/>
      <c r="R984" s="891"/>
      <c r="S984" s="196">
        <f ca="1">IF($B$976="Лікар загальної практики - сімейний лікар",IF(S980&lt;Законод!$C$22,0,(IF(AND(S980&gt;=Законод!$G$22,S980&lt;=Законод!$G$23),S980-Законод!$F$23,IF('01_Доходи'!S980&gt;=Законод!$H$22,Законод!$G$24,0)))),IF($B$976="Лікар-педіатр",IF(S980&lt;Законод!$C$18,0,(IF(AND(S980&gt;=Законод!$G$18,S980&lt;=Законод!$G$19),S980-Законод!$F$19,IF('01_Доходи'!S980&gt;=Законод!$H$18,Законод!$G$20,0)))),IF($B$976="Лікар-терапевт",IF(S980&lt;Законод!$C$26,0,(IF(AND(S980&gt;=Законод!$G$26,S980&lt;=Законод!$G$27),S980-Законод!$F$27,IF('01_Доходи'!S980&gt;=Законод!$H$26,Законод!$G$28,0)))),0)))</f>
        <v>0</v>
      </c>
      <c r="T984" s="930"/>
      <c r="U984" s="889" t="s">
        <v>346</v>
      </c>
      <c r="V984" s="890"/>
      <c r="W984" s="890"/>
      <c r="X984" s="890"/>
      <c r="Y984" s="891"/>
      <c r="Z984" s="196">
        <f ca="1">IF($B$976="Лікар загальної практики - сімейний лікар",IF(Z980&lt;Законод!$C$22,0,(IF(AND(Z980&gt;=Законод!$G$22,Z980&lt;=Законод!$G$23),Z980-Законод!$F$23,IF('01_Доходи'!Z980&gt;=Законод!$H$22,Законод!$G$24,0)))),IF($B$976="Лікар-педіатр",IF(Z980&lt;Законод!$C$18,0,(IF(AND(Z980&gt;=Законод!$G$18,Z980&lt;=Законод!$G$19),Z980-Законод!$F$19,IF('01_Доходи'!Z980&gt;=Законод!$H$18,Законод!$G$20,0)))),IF($B$976="Лікар-терапевт",IF(Z980&lt;Законод!$C$26,0,(IF(AND(Z980&gt;=Законод!$G$26,Z980&lt;=Законод!$G$27),Z980-Законод!$F$27,IF('01_Доходи'!Z980&gt;=Законод!$H$26,Законод!$G$28,0)))),0)))</f>
        <v>0</v>
      </c>
      <c r="AA984" s="930"/>
      <c r="AB984" s="889" t="s">
        <v>346</v>
      </c>
      <c r="AC984" s="890"/>
      <c r="AD984" s="890"/>
      <c r="AE984" s="890"/>
      <c r="AF984" s="891"/>
      <c r="AG984" s="196">
        <f ca="1">IF($B$976="Лікар загальної практики - сімейний лікар",IF(AG980&lt;Законод!$C$22,0,(IF(AND(AG980&gt;=Законод!$G$22,AG980&lt;=Законод!$G$23),AG980-Законод!$F$23,IF('01_Доходи'!AG980&gt;=Законод!$H$22,Законод!$G$24,0)))),IF($B$976="Лікар-педіатр",IF(AG980&lt;Законод!$C$18,0,(IF(AND(AG980&gt;=Законод!$G$18,AG980&lt;=Законод!$G$19),AG980-Законод!$F$19,IF('01_Доходи'!AG980&gt;=Законод!$H$18,Законод!$G$20,0)))),IF($B$976="Лікар-терапевт",IF(AG980&lt;Законод!$C$26,0,(IF(AND(AG980&gt;=Законод!$G$26,AG980&lt;=Законод!$G$27),AG980-Законод!$F$27,IF('01_Доходи'!AG980&gt;=Законод!$H$26,Законод!$G$28,0)))),0)))</f>
        <v>0</v>
      </c>
      <c r="AH984" s="930"/>
      <c r="AI984" s="201"/>
      <c r="AJ984" s="933"/>
      <c r="AK984" s="927"/>
      <c r="AL984" s="927"/>
      <c r="AM984" s="899"/>
      <c r="AN984" s="210">
        <f ca="1">IF(B976="Лікар загальної практики - сімейний лікар",L984*Законод!$C$9/4*Законод!$G$16,IF(B976="Лікар-педіатр",L984*Законод!$C$9/4*Законод!$G$16,IF(B976="Лікар-терапевт",L984*Законод!$C$9/4*Законод!$G$16,0)))</f>
        <v>0</v>
      </c>
      <c r="AO984" s="210">
        <f ca="1">IF(B976="Лікар загальної практики - сімейний лікар",S984*Законод!$C$9/4*Законод!$G$16,IF(B976="Лікар-педіатр",S984*Законод!$C$9/4*Законод!$G$16,IF(B976="Лікар-терапевт",S984*Законод!$C$9/4*Законод!$G$16,0)))</f>
        <v>0</v>
      </c>
      <c r="AP984" s="210">
        <f ca="1">IF(B976="Лікар загальної практики - сімейний лікар",Z984*Законод!$C$9/4*Законод!$G$16,IF(B976="Лікар-педіатр",Z984*Законод!$C$9/4*Законод!$G$16,IF(B976="Лікар-терапевт",Z984*Законод!$C$9/4*Законод!$G$16,0)))</f>
        <v>0</v>
      </c>
      <c r="AQ984" s="210">
        <f ca="1">IF(B976="Лікар загальної практики - сімейний лікар",AG984*Законод!$C$9/4*Законод!$G$16,IF(B976="Лікар-педіатр",AG984*Законод!$C$9/4*Законод!$G$16,IF(B976="Лікар-терапевт",AG984*Законод!$C$9/4*Законод!$G$16,0)))</f>
        <v>0</v>
      </c>
      <c r="AR984" s="211">
        <f t="shared" si="102"/>
        <v>0</v>
      </c>
    </row>
    <row r="985" spans="1:44" s="50" customFormat="1" ht="31.9" hidden="1" customHeight="1">
      <c r="A985" s="197"/>
      <c r="B985" s="893"/>
      <c r="C985" s="896"/>
      <c r="D985" s="912"/>
      <c r="E985" s="909"/>
      <c r="F985" s="238" t="str">
        <f ca="1">IF(B976="Лікар-педіатр",Законод!$H$17,IF(B976="Лікар загальної практики - сімейний лікар",Законод!$H$21,IF(B976="Лікар-терапевт",Законод!$H$25,"х")))</f>
        <v>х</v>
      </c>
      <c r="G985" s="889" t="s">
        <v>346</v>
      </c>
      <c r="H985" s="890"/>
      <c r="I985" s="890"/>
      <c r="J985" s="890"/>
      <c r="K985" s="891"/>
      <c r="L985" s="196">
        <f ca="1">IF($B$976="Лікар загальної практики - сімейний лікар",IF(L980&lt;Законод!$C$22,0,(IF(AND(L980&gt;=Законод!$H$22,L980&lt;=Законод!$H$23),L980-Законод!$G$23,IF('01_Доходи'!L980&gt;=Законод!$I$22,Законод!$H$24,0)))),IF($B$976="Лікар-педіатр",IF(L980&lt;Законод!$C$18,0,(IF(AND(L980&gt;=Законод!$H$18,L980&lt;=Законод!$H$19),L980-Законод!$G$19,IF('01_Доходи'!L980&gt;=Законод!$I$18,Законод!$H$20,0)))),IF($B$976="Лікар-терапевт",IF(L980&lt;Законод!$C$26,0,(IF(AND(L980&gt;=Законод!$H$26,L980&lt;=Законод!$H$27),L980-Законод!$G$27,IF(L980&gt;=Законод!$I$26,Законод!$H$28,0)))),0)))</f>
        <v>0</v>
      </c>
      <c r="M985" s="930"/>
      <c r="N985" s="889" t="s">
        <v>346</v>
      </c>
      <c r="O985" s="890"/>
      <c r="P985" s="890"/>
      <c r="Q985" s="890"/>
      <c r="R985" s="891"/>
      <c r="S985" s="196">
        <f ca="1">IF($B$976="Лікар загальної практики - сімейний лікар",IF(S980&lt;Законод!$C$22,0,(IF(AND(S980&gt;=Законод!$H$22,S980&lt;=Законод!$H$23),S980-Законод!$G$23,IF('01_Доходи'!S980&gt;=Законод!$I$22,Законод!$H$24,0)))),IF($B$976="Лікар-педіатр",IF(S980&lt;Законод!$C$18,0,(IF(AND(S980&gt;=Законод!$H$18,S980&lt;=Законод!$H$19),S980-Законод!$G$19,IF('01_Доходи'!S980&gt;=Законод!$I$18,Законод!$H$20,0)))),IF($B$976="Лікар-терапевт",IF(S980&lt;Законод!$C$26,0,(IF(AND(S980&gt;=Законод!$H$26,S980&lt;=Законод!$H$27),S980-Законод!$G$27,IF(S980&gt;=Законод!$I$26,Законод!$H$28,0)))),0)))</f>
        <v>0</v>
      </c>
      <c r="T985" s="930"/>
      <c r="U985" s="889" t="s">
        <v>346</v>
      </c>
      <c r="V985" s="890"/>
      <c r="W985" s="890"/>
      <c r="X985" s="890"/>
      <c r="Y985" s="891"/>
      <c r="Z985" s="196">
        <f ca="1">IF($B$976="Лікар загальної практики - сімейний лікар",IF(Z980&lt;Законод!$C$22,0,(IF(AND(Z980&gt;=Законод!$H$22,Z980&lt;=Законод!$H$23),Z980-Законод!$G$23,IF('01_Доходи'!Z980&gt;=Законод!$I$22,Законод!$H$24,0)))),IF($B$976="Лікар-педіатр",IF(Z980&lt;Законод!$C$18,0,(IF(AND(Z980&gt;=Законод!$H$18,Z980&lt;=Законод!$H$19),Z980-Законод!$G$19,IF('01_Доходи'!Z980&gt;=Законод!$I$18,Законод!$H$20,0)))),IF($B$976="Лікар-терапевт",IF(Z980&lt;Законод!$C$26,0,(IF(AND(Z980&gt;=Законод!$H$26,Z980&lt;=Законод!$H$27),Z980-Законод!$G$27,IF(Z980&gt;=Законод!$I$26,Законод!$H$28,0)))),0)))</f>
        <v>0</v>
      </c>
      <c r="AA985" s="930"/>
      <c r="AB985" s="889" t="s">
        <v>346</v>
      </c>
      <c r="AC985" s="890"/>
      <c r="AD985" s="890"/>
      <c r="AE985" s="890"/>
      <c r="AF985" s="891"/>
      <c r="AG985" s="196">
        <f ca="1">IF($B$976="Лікар загальної практики - сімейний лікар",IF(AG980&lt;Законод!$C$22,0,(IF(AND(AG980&gt;=Законод!$H$22,AG980&lt;=Законод!$H$23),AG980-Законод!$G$23,IF('01_Доходи'!AG980&gt;=Законод!$I$22,Законод!$H$24,0)))),IF($B$976="Лікар-педіатр",IF(AG980&lt;Законод!$C$18,0,(IF(AND(AG980&gt;=Законод!$H$18,AG980&lt;=Законод!$H$19),AG980-Законод!$G$19,IF('01_Доходи'!AG980&gt;=Законод!$I$18,Законод!$H$20,0)))),IF($B$976="Лікар-терапевт",IF(AG980&lt;Законод!$C$26,0,(IF(AND(AG980&gt;=Законод!$H$26,AG980&lt;=Законод!$H$27),AG980-Законод!$G$27,IF(AG980&gt;=Законод!$I$26,Законод!$H$28,0)))),0)))</f>
        <v>0</v>
      </c>
      <c r="AH985" s="930"/>
      <c r="AI985" s="201"/>
      <c r="AJ985" s="933"/>
      <c r="AK985" s="927"/>
      <c r="AL985" s="927"/>
      <c r="AM985" s="899"/>
      <c r="AN985" s="210">
        <f ca="1">IF(B976="Лікар загальної практики - сімейний лікар",L985*Законод!$C$9/4*Законод!$H$16,IF(B976="Лікар-педіатр",L985*Законод!$C$9/4*Законод!$H$16,IF(B976="Лікар-терапевт",L985*Законод!$C$9/4*Законод!$H$16,0)))</f>
        <v>0</v>
      </c>
      <c r="AO985" s="210">
        <f ca="1">IF(B976="Лікар загальної практики - сімейний лікар",S985*Законод!$C$9/4*Законод!$H$16,IF(B976="Лікар-педіатр",S985*Законод!$C$9/4*Законод!$H$16,IF(B976="Лікар-терапевт",S985*Законод!$C$9/4*Законод!$H$16,0)))</f>
        <v>0</v>
      </c>
      <c r="AP985" s="210">
        <f ca="1">IF(B976="Лікар загальної практики - сімейний лікар",Z985*Законод!$C$9/4*Законод!$H$16,IF(B976="Лікар-педіатр",Z985*Законод!$C$9/4*Законод!$H$16,IF(B976="Лікар-терапевт",Z985*Законод!$C$9/4*Законод!$H$16,0)))</f>
        <v>0</v>
      </c>
      <c r="AQ985" s="210">
        <f ca="1">IF(B976="Лікар загальної практики - сімейний лікар",AG985*Законод!$C$9/4*Законод!$H$16,IF(B976="Лікар-педіатр",AG985*Законод!$C$9/4*Законод!$H$16,IF(B976="Лікар-терапевт",AG985*Законод!$C$9/4*Законод!$H$16,0)))</f>
        <v>0</v>
      </c>
      <c r="AR985" s="211">
        <f t="shared" si="102"/>
        <v>0</v>
      </c>
    </row>
    <row r="986" spans="1:44" s="50" customFormat="1" ht="31.9" hidden="1" customHeight="1">
      <c r="A986" s="197"/>
      <c r="B986" s="893"/>
      <c r="C986" s="896"/>
      <c r="D986" s="912"/>
      <c r="E986" s="909"/>
      <c r="F986" s="238" t="str">
        <f ca="1">IF(B976="Лікар-педіатр",Законод!$I$17,IF(B976="Лікар загальної практики - сімейний лікар",Законод!$I$21,IF(B976="Лікар-терапевт",Законод!$I$25,"х")))</f>
        <v>х</v>
      </c>
      <c r="G986" s="889" t="s">
        <v>346</v>
      </c>
      <c r="H986" s="890"/>
      <c r="I986" s="890"/>
      <c r="J986" s="890"/>
      <c r="K986" s="891"/>
      <c r="L986" s="196">
        <f ca="1">IF($B$976="Лікар загальної практики - сімейний лікар",IF(L980&lt;Законод!$C$22,0,(IF(AND(L980&gt;=Законод!$I$22,L980&lt;=Законод!$I$23),L980-Законод!$H$23,IF('01_Доходи'!L980&gt;=Законод!$I$22,Законод!$I$24,0)))),IF($B$976="Лікар-педіатр",IF(L980&lt;Законод!$C$18,0,(IF(AND(L980&gt;=Законод!$I$18,L980&lt;=Законод!$I$19),L980-Законод!$H$19,IF('01_Доходи'!L980&gt;=Законод!$I$18,Законод!$H$20,0)))),IF($B$976="Лікар-терапевт",IF(L980&lt;Законод!$C$26,0,(IF(AND(L980&gt;=Законод!$I$26,L980&lt;=Законод!$I$27),L980-Законод!$H$27,IF('01_Доходи'!L980&gt;=Законод!$I$26,Законод!$H$28,0)))),0)))</f>
        <v>0</v>
      </c>
      <c r="M986" s="930"/>
      <c r="N986" s="889" t="s">
        <v>346</v>
      </c>
      <c r="O986" s="890"/>
      <c r="P986" s="890"/>
      <c r="Q986" s="890"/>
      <c r="R986" s="891"/>
      <c r="S986" s="196">
        <f ca="1">IF($B$976="Лікар загальної практики - сімейний лікар",IF(S980&lt;Законод!$C$22,0,(IF(AND(S980&gt;=Законод!$I$22,S980&lt;=Законод!$I$23),S980-Законод!$H$23,IF('01_Доходи'!S980&gt;=Законод!$I$22,Законод!$I$24,0)))),IF($B$976="Лікар-педіатр",IF(S980&lt;Законод!$C$18,0,(IF(AND(S980&gt;=Законод!$I$18,S980&lt;=Законод!$I$19),S980-Законод!$H$19,IF('01_Доходи'!S980&gt;=Законод!$I$18,Законод!$H$20,0)))),IF($B$976="Лікар-терапевт",IF(S980&lt;Законод!$C$26,0,(IF(AND(S980&gt;=Законод!$I$26,S980&lt;=Законод!$I$27),S980-Законод!$H$27,IF('01_Доходи'!S980&gt;=Законод!$I$26,Законод!$H$28,0)))),0)))</f>
        <v>0</v>
      </c>
      <c r="T986" s="930"/>
      <c r="U986" s="889" t="s">
        <v>346</v>
      </c>
      <c r="V986" s="890"/>
      <c r="W986" s="890"/>
      <c r="X986" s="890"/>
      <c r="Y986" s="891"/>
      <c r="Z986" s="196">
        <f ca="1">IF($B$976="Лікар загальної практики - сімейний лікар",IF(Z980&lt;Законод!$C$22,0,(IF(AND(Z980&gt;=Законод!$I$22,Z980&lt;=Законод!$I$23),Z980-Законод!$H$23,IF('01_Доходи'!Z980&gt;=Законод!$I$22,Законод!$I$24,0)))),IF($B$976="Лікар-педіатр",IF(Z980&lt;Законод!$C$18,0,(IF(AND(Z980&gt;=Законод!$I$18,Z980&lt;=Законод!$I$19),Z980-Законод!$H$19,IF('01_Доходи'!Z980&gt;=Законод!$I$18,Законод!$H$20,0)))),IF($B$976="Лікар-терапевт",IF(Z980&lt;Законод!$C$26,0,(IF(AND(Z980&gt;=Законод!$I$26,Z980&lt;=Законод!$I$27),Z980-Законод!$H$27,IF('01_Доходи'!Z980&gt;=Законод!$I$26,Законод!$H$28,0)))),0)))</f>
        <v>0</v>
      </c>
      <c r="AA986" s="930"/>
      <c r="AB986" s="889" t="s">
        <v>346</v>
      </c>
      <c r="AC986" s="890"/>
      <c r="AD986" s="890"/>
      <c r="AE986" s="890"/>
      <c r="AF986" s="891"/>
      <c r="AG986" s="196">
        <f ca="1">IF($B$976="Лікар загальної практики - сімейний лікар",IF(AG980&lt;Законод!$C$22,0,(IF(AND(AG980&gt;=Законод!$I$22,AG980&lt;=Законод!$I$23),AG980-Законод!$H$23,IF('01_Доходи'!AG980&gt;=Законод!$I$22,Законод!$I$24,0)))),IF($B$976="Лікар-педіатр",IF(AG980&lt;Законод!$C$18,0,(IF(AND(AG980&gt;=Законод!$I$18,AG980&lt;=Законод!$I$19),AG980-Законод!$H$19,IF('01_Доходи'!AG980&gt;=Законод!$I$18,Законод!$H$20,0)))),IF($B$976="Лікар-терапевт",IF(AG980&lt;Законод!$C$26,0,(IF(AND(AG980&gt;=Законод!$I$26,AG980&lt;=Законод!$I$27),AG980-Законод!$H$27,IF('01_Доходи'!AG980&gt;=Законод!$I$26,Законод!$H$28,0)))),0)))</f>
        <v>0</v>
      </c>
      <c r="AH986" s="930"/>
      <c r="AI986" s="201"/>
      <c r="AJ986" s="933"/>
      <c r="AK986" s="927"/>
      <c r="AL986" s="927"/>
      <c r="AM986" s="899"/>
      <c r="AN986" s="210">
        <f ca="1">IF(B976="Лікар загальної практики - сімейний лікар",L986*Законод!$C$9/4*Законод!$I$16,IF(B976="Лікар-педіатр",L986*Законод!$C$9/4*Законод!$I$16,IF(B976="Лікар-терапевт",L986*Законод!$C$9/4*Законод!$I$16,0)))</f>
        <v>0</v>
      </c>
      <c r="AO986" s="210">
        <f ca="1">IF(B976="Лікар загальної практики - сімейний лікар",S986*Законод!$C$9/4*Законод!$I$16,IF(B976="Лікар-педіатр",S986*Законод!$C$9/4*Законод!$I$16,IF(B976="Лікар-терапевт",S986*Законод!$C$9/4*Законод!$I$16,0)))</f>
        <v>0</v>
      </c>
      <c r="AP986" s="210">
        <f ca="1">IF(B976="Лікар загальної практики - сімейний лікар",Z986*Законод!$C$9/4*Законод!$I$16,IF(B976="Лікар-педіатр",Z986*Законод!$C$9/4*Законод!$I$16,IF(B976="Лікар-терапевт",Z986*Законод!$C$9/4*Законод!$I$16,0)))</f>
        <v>0</v>
      </c>
      <c r="AQ986" s="210">
        <f ca="1">IF(B976="Лікар загальної практики - сімейний лікар",AG986*Законод!$C$9/4*Законод!$I$16,IF(B976="Лікар-педіатр",AG986*Законод!$C$9/4*Законод!$I$16,IF(B976="Лікар-терапевт",AG986*Законод!$C$9/4*Законод!$I$16,0)))</f>
        <v>0</v>
      </c>
      <c r="AR986" s="211">
        <f t="shared" si="102"/>
        <v>0</v>
      </c>
    </row>
    <row r="987" spans="1:44" s="218" customFormat="1" ht="31.9" hidden="1" customHeight="1" thickBot="1">
      <c r="A987" s="213"/>
      <c r="B987" s="894"/>
      <c r="C987" s="897"/>
      <c r="D987" s="913"/>
      <c r="E987" s="910"/>
      <c r="F987" s="239" t="str">
        <f ca="1">IF(B976="Лікар-педіатр",Законод!$J$17,IF(B976="Лікар загальної практики - сімейний лікар",Законод!$J$21,IF(B976="Лікар-терапевт",Законод!$J$25,"х")))</f>
        <v>х</v>
      </c>
      <c r="G987" s="935" t="s">
        <v>346</v>
      </c>
      <c r="H987" s="936"/>
      <c r="I987" s="936"/>
      <c r="J987" s="936"/>
      <c r="K987" s="937"/>
      <c r="L987" s="196">
        <f ca="1">IF($B$976="Лікар загальної практики - сімейний лікар",IF(L980&gt;=Законод!$J$22,'01_Доходи'!L980-('01_Доходи'!L981+'01_Доходи'!L982+'01_Доходи'!L983+'01_Доходи'!L984+'01_Доходи'!L985+'01_Доходи'!L986),0),IF($B$976="Лікар-педіатр",IF(L980&gt;=Законод!$J$18,'01_Доходи'!L980-('01_Доходи'!L981+'01_Доходи'!L982+'01_Доходи'!L983+'01_Доходи'!L984+'01_Доходи'!L985+'01_Доходи'!L986),0),IF($B$976="Лікар-терапевт",IF('01_Доходи'!L980&gt;=Законод!$J$26,L980-Законод!$I$27,0),0)))</f>
        <v>0</v>
      </c>
      <c r="M987" s="931"/>
      <c r="N987" s="935" t="s">
        <v>346</v>
      </c>
      <c r="O987" s="936"/>
      <c r="P987" s="936"/>
      <c r="Q987" s="936"/>
      <c r="R987" s="937"/>
      <c r="S987" s="196">
        <f ca="1">IF($B$976="Лікар загальної практики - сімейний лікар",IF(S980&gt;=Законод!$J$22,'01_Доходи'!S980-('01_Доходи'!S981+'01_Доходи'!S982+'01_Доходи'!S983+'01_Доходи'!S984+'01_Доходи'!S985+'01_Доходи'!S986),0),IF($B$976="Лікар-педіатр",IF(S980&gt;=Законод!$J$18,'01_Доходи'!S980-('01_Доходи'!S981+'01_Доходи'!S982+'01_Доходи'!S983+'01_Доходи'!S984+'01_Доходи'!S985+'01_Доходи'!S986),0),IF($B$976="Лікар-терапевт",IF('01_Доходи'!S980&gt;=Законод!$J$26,S980-Законод!$I$27,0),0)))</f>
        <v>0</v>
      </c>
      <c r="T987" s="931"/>
      <c r="U987" s="935" t="s">
        <v>346</v>
      </c>
      <c r="V987" s="936"/>
      <c r="W987" s="936"/>
      <c r="X987" s="936"/>
      <c r="Y987" s="937"/>
      <c r="Z987" s="196">
        <f ca="1">IF($B$976="Лікар загальної практики - сімейний лікар",IF(Z980&gt;=Законод!$J$22,'01_Доходи'!Z980-('01_Доходи'!Z981+'01_Доходи'!Z982+'01_Доходи'!Z983+'01_Доходи'!Z984+'01_Доходи'!Z985+'01_Доходи'!Z986),0),IF($B$976="Лікар-педіатр",IF(Z980&gt;=Законод!$J$18,'01_Доходи'!Z980-('01_Доходи'!Z981+'01_Доходи'!Z982+'01_Доходи'!Z983+'01_Доходи'!Z984+'01_Доходи'!Z985+'01_Доходи'!Z986),0),IF($B$976="Лікар-терапевт",IF('01_Доходи'!Z980&gt;=Законод!$J$26,Z980-Законод!$I$27,0),0)))</f>
        <v>0</v>
      </c>
      <c r="AA987" s="931"/>
      <c r="AB987" s="935" t="s">
        <v>346</v>
      </c>
      <c r="AC987" s="936"/>
      <c r="AD987" s="936"/>
      <c r="AE987" s="936"/>
      <c r="AF987" s="937"/>
      <c r="AG987" s="196">
        <f ca="1">IF($B$976="Лікар загальної практики - сімейний лікар",IF(AG980&gt;=Законод!$J$22,'01_Доходи'!AG980-('01_Доходи'!AG981+'01_Доходи'!AG982+'01_Доходи'!AG983+'01_Доходи'!AG984+'01_Доходи'!AG985+'01_Доходи'!AG986),0),IF($B$976="Лікар-педіатр",IF(AG980&gt;=Законод!$J$18,'01_Доходи'!AG980-('01_Доходи'!AG981+'01_Доходи'!AG982+'01_Доходи'!AG983+'01_Доходи'!AG984+'01_Доходи'!AG985+'01_Доходи'!AG986),0),IF($B$976="Лікар-терапевт",IF('01_Доходи'!AG980&gt;=Законод!$J$26,AG980-Законод!$I$27,0),0)))</f>
        <v>0</v>
      </c>
      <c r="AH987" s="931"/>
      <c r="AI987" s="215"/>
      <c r="AJ987" s="934"/>
      <c r="AK987" s="928"/>
      <c r="AL987" s="928"/>
      <c r="AM987" s="900"/>
      <c r="AN987" s="216">
        <f ca="1">IF(B976="Лікар загальної практики - сімейний лікар",L987*Законод!$C$9/4*Законод!$J$16,IF(B976="Лікар-педіатр",L987*Законод!$C$9/4*Законод!$J$16,IF(B976="Лікар-терапевт",L987*Законод!$C$9/4*Законод!$J$16,0)))</f>
        <v>0</v>
      </c>
      <c r="AO987" s="216">
        <f ca="1">IF(B976="Лікар загальної практики - сімейний лікар",S987*Законод!$C$9/4*Законод!$J$16,IF(B976="Лікар-педіатр",S987*Законод!$C$9/4*Законод!$J$16,IF(B976="Лікар-терапевт",S987*Законод!$C$9/4*Законод!$J$16,0)))</f>
        <v>0</v>
      </c>
      <c r="AP987" s="216">
        <f ca="1">IF(B976="Лікар загальної практики - сімейний лікар",S987*Законод!$C$9/4*Законод!$J$16,IF(B976="Лікар-педіатр",S987*Законод!$C$9/4*Законод!$J$16,IF(B976="Лікар-терапевт",S987*Законод!$C$9/4*Законод!$J$16,0)))</f>
        <v>0</v>
      </c>
      <c r="AQ987" s="216">
        <f ca="1">IF(B976="Лікар загальної практики - сімейний лікар",AG987*Законод!$C$9/4*Законод!$J$16,IF(B976="Лікар-педіатр",AG987*Законод!$C$9/4*Законод!$J$16,IF(B976="Лікар-терапевт",AG987*Законод!$C$9/4*Законод!$J$16,0)))</f>
        <v>0</v>
      </c>
      <c r="AR987" s="217">
        <f t="shared" si="102"/>
        <v>0</v>
      </c>
    </row>
    <row r="988" spans="1:44" s="247" customFormat="1" ht="23.45" hidden="1" customHeight="1" thickBot="1">
      <c r="A988" s="243"/>
      <c r="B988" s="244"/>
      <c r="C988" s="244"/>
      <c r="D988" s="244"/>
      <c r="E988" s="244"/>
      <c r="F988" s="245"/>
      <c r="G988" s="246"/>
      <c r="H988" s="246"/>
      <c r="L988" s="248"/>
      <c r="S988" s="248"/>
      <c r="Z988" s="248"/>
      <c r="AG988" s="248"/>
      <c r="AM988" s="249"/>
      <c r="AR988" s="250"/>
    </row>
    <row r="989" spans="1:44" s="191" customFormat="1" ht="24.6" hidden="1" customHeight="1">
      <c r="A989" s="194">
        <f>A976+1</f>
        <v>74</v>
      </c>
      <c r="B989" s="892"/>
      <c r="C989" s="895"/>
      <c r="D989" s="911"/>
      <c r="E989" s="908"/>
      <c r="F989" s="234" t="s">
        <v>582</v>
      </c>
      <c r="G989" s="196">
        <f>IF($B$989="Лікар-педіатр",G992*L989,IF($B$989="Лікар-терапевт","х",IF($B$989="Лікар загальної практики - сімейний лікар",G992*L989,0)))</f>
        <v>0</v>
      </c>
      <c r="H989" s="196">
        <f>IF($B$989="Лікар-педіатр",H992*L989,IF($B$989="Лікар-терапевт","х",IF($B$989="Лікар загальної практики - сімейний лікар",H992*L989,0)))</f>
        <v>0</v>
      </c>
      <c r="I989" s="196">
        <f>IF($B$989="Лікар-педіатр","x",IF($B$989="Лікар-терапевт",I992*L989,IF($B$989="Лікар загальної практики - сімейний лікар",I992*L989,0)))</f>
        <v>0</v>
      </c>
      <c r="J989" s="196">
        <f>IF($B$989="Лікар-педіатр","x",IF($B$989="Лікар-терапевт",J992*L989,IF($B$989="Лікар загальної практики - сімейний лікар",J992*L989,0)))</f>
        <v>0</v>
      </c>
      <c r="K989" s="196">
        <f>IF($B$989="Лікар-педіатр","x",IF($B$989="Лікар-терапевт",K992*L989,IF($B$989="Лікар загальної практики - сімейний лікар",K992*L989,0)))</f>
        <v>0</v>
      </c>
      <c r="L989" s="558"/>
      <c r="M989" s="929"/>
      <c r="N989" s="196">
        <f>IF($B$989="Лікар-педіатр",N992*S989,IF($B$989="Лікар-терапевт","х",IF($B$989="Лікар загальної практики - сімейний лікар",N992*S989,0)))</f>
        <v>0</v>
      </c>
      <c r="O989" s="196">
        <f>IF($B$989="Лікар-педіатр",O992*S989,IF($B$989="Лікар-терапевт","х",IF($B$989="Лікар загальної практики - сімейний лікар",O992*S989,0)))</f>
        <v>0</v>
      </c>
      <c r="P989" s="196">
        <f>IF($B$989="Лікар-педіатр","x",IF($B$989="Лікар-терапевт",P992*S989,IF($B$989="Лікар загальної практики - сімейний лікар",P992*S989,0)))</f>
        <v>0</v>
      </c>
      <c r="Q989" s="196">
        <f>IF($B$989="Лікар-педіатр","x",IF($B$989="Лікар-терапевт",Q992*S989,IF($B$989="Лікар загальної практики - сімейний лікар",Q992*S989,0)))</f>
        <v>0</v>
      </c>
      <c r="R989" s="196">
        <f>IF($B$989="Лікар-педіатр","x",IF($B$989="Лікар-терапевт",R992*S989,IF($B$989="Лікар загальної практики - сімейний лікар",R992*S989,0)))</f>
        <v>0</v>
      </c>
      <c r="S989" s="558"/>
      <c r="T989" s="929"/>
      <c r="U989" s="196">
        <f>IF($B$989="Лікар-педіатр",U992*Z989,IF($B$989="Лікар-терапевт","х",IF($B$989="Лікар загальної практики - сімейний лікар",U992*Z989,0)))</f>
        <v>0</v>
      </c>
      <c r="V989" s="196">
        <f>IF($B$989="Лікар-педіатр",V992*Z989,IF($B$989="Лікар-терапевт","х",IF($B$989="Лікар загальної практики - сімейний лікар",V992*Z989,0)))</f>
        <v>0</v>
      </c>
      <c r="W989" s="196">
        <f>IF($B$989="Лікар-педіатр","x",IF($B$989="Лікар-терапевт",W992*Z989,IF($B$989="Лікар загальної практики - сімейний лікар",W992*Z989,0)))</f>
        <v>0</v>
      </c>
      <c r="X989" s="196">
        <f>IF($B$989="Лікар-педіатр","x",IF($B$989="Лікар-терапевт",X992*Z989,IF($B$989="Лікар загальної практики - сімейний лікар",X992*Z989,0)))</f>
        <v>0</v>
      </c>
      <c r="Y989" s="196">
        <f>IF($B$989="Лікар-педіатр","x",IF($B$989="Лікар-терапевт",Y992*Z989,IF($B$989="Лікар загальної практики - сімейний лікар",Y992*Z989,0)))</f>
        <v>0</v>
      </c>
      <c r="Z989" s="558"/>
      <c r="AA989" s="929"/>
      <c r="AB989" s="196">
        <f>IF($B$989="Лікар-педіатр",AB992*AG989,IF($B$989="Лікар-терапевт","х",IF($B$989="Лікар загальної практики - сімейний лікар",AB992*AG989,0)))</f>
        <v>0</v>
      </c>
      <c r="AC989" s="196">
        <f>IF($B$989="Лікар-педіатр",AC992*AG989,IF($B$989="Лікар-терапевт","х",IF($B$989="Лікар загальної практики - сімейний лікар",AC992*AG989,0)))</f>
        <v>0</v>
      </c>
      <c r="AD989" s="196">
        <f>IF($B$989="Лікар-педіатр","x",IF($B$989="Лікар-терапевт",AD992*AG989,IF($B$989="Лікар загальної практики - сімейний лікар",AD992*AG989,0)))</f>
        <v>0</v>
      </c>
      <c r="AE989" s="196">
        <f>IF($B$989="Лікар-педіатр","x",IF($B$989="Лікар-терапевт",AE992*AG989,IF($B$989="Лікар загальної практики - сімейний лікар",AE992*AG989,0)))</f>
        <v>0</v>
      </c>
      <c r="AF989" s="196">
        <f>IF($B$989="Лікар-педіатр","x",IF($B$989="Лікар-терапевт",AF992*AG989,IF($B$989="Лікар загальної практики - сімейний лікар",AF992*AG989,0)))</f>
        <v>0</v>
      </c>
      <c r="AG989" s="558"/>
      <c r="AH989" s="929"/>
      <c r="AI989" s="541">
        <f>A989</f>
        <v>74</v>
      </c>
      <c r="AJ989" s="932">
        <f>B989</f>
        <v>0</v>
      </c>
      <c r="AK989" s="926">
        <f>C989</f>
        <v>0</v>
      </c>
      <c r="AL989" s="926">
        <f>D989</f>
        <v>0</v>
      </c>
      <c r="AM989" s="901" t="s">
        <v>785</v>
      </c>
      <c r="AN989" s="923">
        <f>SUM(AN994:AN1000)</f>
        <v>0</v>
      </c>
      <c r="AO989" s="923">
        <f>SUM(AO994:AO1000)</f>
        <v>0</v>
      </c>
      <c r="AP989" s="923">
        <f>SUM(AP994:AP1000)</f>
        <v>0</v>
      </c>
      <c r="AQ989" s="923">
        <f>SUM(AQ994:AQ1000)</f>
        <v>0</v>
      </c>
      <c r="AR989" s="914">
        <f>SUM(AN989:AQ993)</f>
        <v>0</v>
      </c>
    </row>
    <row r="990" spans="1:44" s="50" customFormat="1" ht="28.15" hidden="1" customHeight="1">
      <c r="A990" s="197"/>
      <c r="B990" s="893"/>
      <c r="C990" s="896"/>
      <c r="D990" s="912"/>
      <c r="E990" s="909"/>
      <c r="F990" s="234" t="s">
        <v>583</v>
      </c>
      <c r="G990" s="196">
        <f>IF($B$989="Лікар-педіатр",G992*L990,IF($B$989="Лікар-терапевт","х",IF($B$989="Лікар загальної практики - сімейний лікар",G992*L990,0)))</f>
        <v>0</v>
      </c>
      <c r="H990" s="196">
        <f>IF($B$989="Лікар-педіатр",H992*L990,IF($B$989="Лікар-терапевт","х",IF($B$989="Лікар загальної практики - сімейний лікар",H992*L990,0)))</f>
        <v>0</v>
      </c>
      <c r="I990" s="196">
        <f>IF($B$989="Лікар-педіатр","x",IF($B$989="Лікар-терапевт",I992*L990,IF($B$989="Лікар загальної практики - сімейний лікар",I992*L990,0)))</f>
        <v>0</v>
      </c>
      <c r="J990" s="196">
        <f>IF($B$989="Лікар-педіатр","x",IF($B$989="Лікар-терапевт",J992*L990,IF($B$989="Лікар загальної практики - сімейний лікар",J992*L990,0)))</f>
        <v>0</v>
      </c>
      <c r="K990" s="196">
        <f>IF($B$989="Лікар-педіатр","x",IF($B$989="Лікар-терапевт",K992*L990,IF($B$989="Лікар загальної практики - сімейний лікар",K992*L990,0)))</f>
        <v>0</v>
      </c>
      <c r="L990" s="558"/>
      <c r="M990" s="930"/>
      <c r="N990" s="196">
        <f>IF($B$989="Лікар-педіатр",N992*S990,IF($B$989="Лікар-терапевт","х",IF($B$989="Лікар загальної практики - сімейний лікар",N992*S990,0)))</f>
        <v>0</v>
      </c>
      <c r="O990" s="196">
        <f>IF($B$989="Лікар-педіатр",O992*S990,IF($B$989="Лікар-терапевт","х",IF($B$989="Лікар загальної практики - сімейний лікар",O992*S990,0)))</f>
        <v>0</v>
      </c>
      <c r="P990" s="196">
        <f>IF($B$989="Лікар-педіатр","x",IF($B$989="Лікар-терапевт",P992*S990,IF($B$989="Лікар загальної практики - сімейний лікар",P992*S990,0)))</f>
        <v>0</v>
      </c>
      <c r="Q990" s="196">
        <f>IF($B$989="Лікар-педіатр","x",IF($B$989="Лікар-терапевт",Q992*S990,IF($B$989="Лікар загальної практики - сімейний лікар",Q992*S990,0)))</f>
        <v>0</v>
      </c>
      <c r="R990" s="196">
        <f>IF($B$989="Лікар-педіатр","x",IF($B$989="Лікар-терапевт",R992*S990,IF($B$989="Лікар загальної практики - сімейний лікар",R992*S990,0)))</f>
        <v>0</v>
      </c>
      <c r="S990" s="558"/>
      <c r="T990" s="930"/>
      <c r="U990" s="196">
        <f>IF($B$989="Лікар-педіатр",U992*Z990,IF($B$989="Лікар-терапевт","х",IF($B$989="Лікар загальної практики - сімейний лікар",U992*Z990,0)))</f>
        <v>0</v>
      </c>
      <c r="V990" s="196">
        <f>IF($B$989="Лікар-педіатр",V992*Z990,IF($B$989="Лікар-терапевт","х",IF($B$989="Лікар загальної практики - сімейний лікар",V992*Z990,0)))</f>
        <v>0</v>
      </c>
      <c r="W990" s="196">
        <f>IF($B$989="Лікар-педіатр","x",IF($B$989="Лікар-терапевт",W992*Z990,IF($B$989="Лікар загальної практики - сімейний лікар",W992*Z990,0)))</f>
        <v>0</v>
      </c>
      <c r="X990" s="196">
        <f>IF($B$989="Лікар-педіатр","x",IF($B$989="Лікар-терапевт",X992*Z990,IF($B$989="Лікар загальної практики - сімейний лікар",X992*Z990,0)))</f>
        <v>0</v>
      </c>
      <c r="Y990" s="196">
        <f>IF($B$989="Лікар-педіатр","x",IF($B$989="Лікар-терапевт",Y992*Z990,IF($B$989="Лікар загальної практики - сімейний лікар",Y992*Z990,0)))</f>
        <v>0</v>
      </c>
      <c r="Z990" s="558"/>
      <c r="AA990" s="930"/>
      <c r="AB990" s="196">
        <f>IF($B$989="Лікар-педіатр",AB992*AG990,IF($B$989="Лікар-терапевт","х",IF($B$989="Лікар загальної практики - сімейний лікар",AB992*AG990,0)))</f>
        <v>0</v>
      </c>
      <c r="AC990" s="196">
        <f>IF($B$989="Лікар-педіатр",AC992*AG990,IF($B$989="Лікар-терапевт","х",IF($B$989="Лікар загальної практики - сімейний лікар",AC992*AG990,0)))</f>
        <v>0</v>
      </c>
      <c r="AD990" s="196">
        <f>IF($B$989="Лікар-педіатр","x",IF($B$989="Лікар-терапевт",AD992*AG990,IF($B$989="Лікар загальної практики - сімейний лікар",AD992*AG990,0)))</f>
        <v>0</v>
      </c>
      <c r="AE990" s="196">
        <f>IF($B$989="Лікар-педіатр","x",IF($B$989="Лікар-терапевт",AE992*AG990,IF($B$989="Лікар загальної практики - сімейний лікар",AE992*AG990,0)))</f>
        <v>0</v>
      </c>
      <c r="AF990" s="196">
        <f>IF($B$989="Лікар-педіатр","x",IF($B$989="Лікар-терапевт",AF992*AG990,IF($B$989="Лікар загальної практики - сімейний лікар",AF992*AG990,0)))</f>
        <v>0</v>
      </c>
      <c r="AG990" s="558"/>
      <c r="AH990" s="930"/>
      <c r="AI990" s="198"/>
      <c r="AJ990" s="933"/>
      <c r="AK990" s="927"/>
      <c r="AL990" s="927"/>
      <c r="AM990" s="902"/>
      <c r="AN990" s="924"/>
      <c r="AO990" s="924"/>
      <c r="AP990" s="924"/>
      <c r="AQ990" s="924"/>
      <c r="AR990" s="915"/>
    </row>
    <row r="991" spans="1:44" s="90" customFormat="1" ht="31.15" hidden="1" customHeight="1">
      <c r="A991" s="240"/>
      <c r="B991" s="893"/>
      <c r="C991" s="896"/>
      <c r="D991" s="912"/>
      <c r="E991" s="909"/>
      <c r="F991" s="241" t="s">
        <v>584</v>
      </c>
      <c r="G991" s="199">
        <f>IF(B989="Лікар загальної практики - сімейний лікар"," ",IF(B989="Лікар-педіатр"," ",IF(B989="Лікар-терапевт","х",0)))</f>
        <v>0</v>
      </c>
      <c r="H991" s="199">
        <f>IF(B989="Лікар загальної практики - сімейний лікар"," ",IF(B989="Лікар-педіатр"," ",IF(B989="Лікар-терапевт","х",0)))</f>
        <v>0</v>
      </c>
      <c r="I991" s="199">
        <f>IF(B989="Лікар загальної практики - сімейний лікар"," ",IF(B989="Лікар-педіатр","х",IF(B989="Лікар-терапевт"," ",0)))</f>
        <v>0</v>
      </c>
      <c r="J991" s="199">
        <f>IF(B989="Лікар загальної практики - сімейний лікар"," ",IF(B989="Лікар-педіатр","х",IF(B989="Лікар-терапевт"," ",0)))</f>
        <v>0</v>
      </c>
      <c r="K991" s="199">
        <f>IF(B989="Лікар загальної практики - сімейний лікар"," ",IF(B989="Лікар-педіатр","х",IF(B989="Лікар-терапевт"," ",0)))</f>
        <v>0</v>
      </c>
      <c r="L991" s="200">
        <f>SUM(G991:K991)</f>
        <v>0</v>
      </c>
      <c r="M991" s="930"/>
      <c r="N991" s="199">
        <f>IF(B989="Лікар загальної практики - сімейний лікар"," ",IF(B989="Лікар-педіатр"," ",IF(B989="Лікар-терапевт","х",0)))</f>
        <v>0</v>
      </c>
      <c r="O991" s="199">
        <f>IF(B989="Лікар загальної практики - сімейний лікар"," ",IF(B989="Лікар-педіатр"," ",IF(B989="Лікар-терапевт","х",0)))</f>
        <v>0</v>
      </c>
      <c r="P991" s="199">
        <f>IF(B989="Лікар загальної практики - сімейний лікар"," ",IF(B989="Лікар-педіатр","х",IF(B989="Лікар-терапевт"," ",0)))</f>
        <v>0</v>
      </c>
      <c r="Q991" s="199">
        <f>IF(B989="Лікар загальної практики - сімейний лікар"," ",IF(B989="Лікар-педіатр","х",IF(B989="Лікар-терапевт"," ",0)))</f>
        <v>0</v>
      </c>
      <c r="R991" s="199">
        <f>IF(B989="Лікар загальної практики - сімейний лікар"," ",IF(B989="Лікар-педіатр","х",IF(B989="Лікар-терапевт"," ",0)))</f>
        <v>0</v>
      </c>
      <c r="S991" s="200">
        <f>SUM(N991:R991)</f>
        <v>0</v>
      </c>
      <c r="T991" s="930"/>
      <c r="U991" s="199">
        <f>IF(B989="Лікар загальної практики - сімейний лікар"," ",IF(B989="Лікар-педіатр"," ",IF(B989="Лікар-терапевт","х",0)))</f>
        <v>0</v>
      </c>
      <c r="V991" s="199">
        <f>IF(B989="Лікар загальної практики - сімейний лікар"," ",IF(B989="Лікар-педіатр"," ",IF(B989="Лікар-терапевт","х",0)))</f>
        <v>0</v>
      </c>
      <c r="W991" s="199">
        <f>IF(B989="Лікар загальної практики - сімейний лікар"," ",IF(B989="Лікар-педіатр","х",IF(B989="Лікар-терапевт"," ",0)))</f>
        <v>0</v>
      </c>
      <c r="X991" s="199">
        <f>IF(B989="Лікар загальної практики - сімейний лікар"," ",IF(B989="Лікар-педіатр","х",IF(B989="Лікар-терапевт"," ",0)))</f>
        <v>0</v>
      </c>
      <c r="Y991" s="199">
        <f>IF(B989="Лікар загальної практики - сімейний лікар"," ",IF(B989="Лікар-педіатр","х",IF(B989="Лікар-терапевт"," ",0)))</f>
        <v>0</v>
      </c>
      <c r="Z991" s="200">
        <f>SUM(U991:Y991)</f>
        <v>0</v>
      </c>
      <c r="AA991" s="930"/>
      <c r="AB991" s="199">
        <f>IF(B989="Лікар загальної практики - сімейний лікар"," ",IF(B989="Лікар-педіатр"," ",IF(B989="Лікар-терапевт","х",0)))</f>
        <v>0</v>
      </c>
      <c r="AC991" s="199">
        <f>IF(B989="Лікар загальної практики - сімейний лікар"," ",IF(B989="Лікар-педіатр"," ",IF(B989="Лікар-терапевт","х",0)))</f>
        <v>0</v>
      </c>
      <c r="AD991" s="199">
        <f>IF(B989="Лікар загальної практики - сімейний лікар"," ",IF(B989="Лікар-педіатр","х",IF(B989="Лікар-терапевт"," ",0)))</f>
        <v>0</v>
      </c>
      <c r="AE991" s="199">
        <f>IF(B989="Лікар загальної практики - сімейний лікар"," ",IF(B989="Лікар-педіатр","х",IF(B989="Лікар-терапевт"," ",0)))</f>
        <v>0</v>
      </c>
      <c r="AF991" s="199">
        <f>IF(B989="Лікар загальної практики - сімейний лікар"," ",IF(B989="Лікар-педіатр","х",IF(B989="Лікар-терапевт"," ",0)))</f>
        <v>0</v>
      </c>
      <c r="AG991" s="200">
        <f>SUM(AB991:AF991)</f>
        <v>0</v>
      </c>
      <c r="AH991" s="930"/>
      <c r="AI991" s="242"/>
      <c r="AJ991" s="933"/>
      <c r="AK991" s="927"/>
      <c r="AL991" s="927"/>
      <c r="AM991" s="902"/>
      <c r="AN991" s="924"/>
      <c r="AO991" s="924"/>
      <c r="AP991" s="924"/>
      <c r="AQ991" s="924"/>
      <c r="AR991" s="915"/>
    </row>
    <row r="992" spans="1:44" s="50" customFormat="1" ht="31.9" hidden="1" customHeight="1" thickBot="1">
      <c r="A992" s="197"/>
      <c r="B992" s="893"/>
      <c r="C992" s="896"/>
      <c r="D992" s="912"/>
      <c r="E992" s="909"/>
      <c r="F992" s="236" t="s">
        <v>349</v>
      </c>
      <c r="G992" s="203">
        <f>IF($B$989="Лікар-педіатр",G991/L991,IF($B$989="Лікар-терапевт","х",IF($B$989="Лікар загальної практики - сімейний лікар",G991/L991,0)))</f>
        <v>0</v>
      </c>
      <c r="H992" s="203">
        <f>IF($B$989="Лікар-педіатр",H991/L991,IF($B$989="Лікар-терапевт","х",IF($B$989="Лікар загальної практики - сімейний лікар",H991/L991,0)))</f>
        <v>0</v>
      </c>
      <c r="I992" s="203">
        <f>IF($B$989="Лікар-педіатр","x",IF($B$989="Лікар-терапевт",I991/L991,IF($B$989="Лікар загальної практики - сімейний лікар",I991/L991,0)))</f>
        <v>0</v>
      </c>
      <c r="J992" s="203">
        <f>IF($B$989="Лікар-педіатр","x",IF($B$989="Лікар-терапевт",J991/L991,IF($B$989="Лікар загальної практики - сімейний лікар",J991/L991,0)))</f>
        <v>0</v>
      </c>
      <c r="K992" s="203">
        <f>IF($B$989="Лікар-педіатр","x",IF($B$989="Лікар-терапевт",K991/L991,IF($B$989="Лікар загальної практики - сімейний лікар",K991/L991,0)))</f>
        <v>0</v>
      </c>
      <c r="L992" s="203">
        <f>SUM(G992:K992)</f>
        <v>0</v>
      </c>
      <c r="M992" s="930"/>
      <c r="N992" s="203">
        <f>IF($B$989="Лікар-педіатр",N991/S991,IF($B$989="Лікар-терапевт","х",IF($B$989="Лікар загальної практики - сімейний лікар",N991/S991,0)))</f>
        <v>0</v>
      </c>
      <c r="O992" s="203">
        <f>IF($B$989="Лікар-педіатр",O991/S991,IF($B$989="Лікар-терапевт","х",IF($B$989="Лікар загальної практики - сімейний лікар",O991/S991,0)))</f>
        <v>0</v>
      </c>
      <c r="P992" s="203">
        <f>IF($B$989="Лікар-педіатр","x",IF($B$989="Лікар-терапевт",P991/S991,IF($B$989="Лікар загальної практики - сімейний лікар",P991/S991,0)))</f>
        <v>0</v>
      </c>
      <c r="Q992" s="203">
        <f>IF($B$989="Лікар-педіатр","x",IF($B$989="Лікар-терапевт",Q991/S991,IF($B$989="Лікар загальної практики - сімейний лікар",Q991/S991,0)))</f>
        <v>0</v>
      </c>
      <c r="R992" s="203">
        <f>IF($B$989="Лікар-педіатр","x",IF($B$989="Лікар-терапевт",R991/S991,IF($B$989="Лікар загальної практики - сімейний лікар",R991/S991,0)))</f>
        <v>0</v>
      </c>
      <c r="S992" s="203">
        <f>SUM(N992:R992)</f>
        <v>0</v>
      </c>
      <c r="T992" s="930"/>
      <c r="U992" s="203">
        <f>IF($B$989="Лікар-педіатр",U991/Z991,IF($B$989="Лікар-терапевт","х",IF($B$989="Лікар загальної практики - сімейний лікар",U991/Z991,0)))</f>
        <v>0</v>
      </c>
      <c r="V992" s="203">
        <f>IF($B$989="Лікар-педіатр",V991/Z991,IF($B$989="Лікар-терапевт","х",IF($B$989="Лікар загальної практики - сімейний лікар",V991/Z991,0)))</f>
        <v>0</v>
      </c>
      <c r="W992" s="203">
        <f>IF($B$989="Лікар-педіатр","x",IF($B$989="Лікар-терапевт",W991/Z991,IF($B$989="Лікар загальної практики - сімейний лікар",W991/Z991,0)))</f>
        <v>0</v>
      </c>
      <c r="X992" s="203">
        <f>IF($B$989="Лікар-педіатр","x",IF($B$989="Лікар-терапевт",X991/Z991,IF($B$989="Лікар загальної практики - сімейний лікар",X991/Z991,0)))</f>
        <v>0</v>
      </c>
      <c r="Y992" s="203">
        <f>IF($B$989="Лікар-педіатр","x",IF($B$989="Лікар-терапевт",Y991/Z991,IF($B$989="Лікар загальної практики - сімейний лікар",Y991/Z991,0)))</f>
        <v>0</v>
      </c>
      <c r="Z992" s="203">
        <f>SUM(U992:Y992)</f>
        <v>0</v>
      </c>
      <c r="AA992" s="930"/>
      <c r="AB992" s="203">
        <f>IF($B$989="Лікар-педіатр",AB991/AG991,IF($B$989="Лікар-терапевт","х",IF($B$989="Лікар загальної практики - сімейний лікар",AB991/AG991,0)))</f>
        <v>0</v>
      </c>
      <c r="AC992" s="203">
        <f>IF($B$989="Лікар-педіатр",AC991/AG991,IF($B$989="Лікар-терапевт","х",IF($B$989="Лікар загальної практики - сімейний лікар",AC991/AG991,0)))</f>
        <v>0</v>
      </c>
      <c r="AD992" s="203">
        <f>IF($B$989="Лікар-педіатр","x",IF($B$989="Лікар-терапевт",AD991/AG991,IF($B$989="Лікар загальної практики - сімейний лікар",AD991/AG991,0)))</f>
        <v>0</v>
      </c>
      <c r="AE992" s="203">
        <f>IF($B$989="Лікар-педіатр","x",IF($B$989="Лікар-терапевт",AE991/AG991,IF($B$989="Лікар загальної практики - сімейний лікар",AE991/AG991,0)))</f>
        <v>0</v>
      </c>
      <c r="AF992" s="203">
        <f>IF($B$989="Лікар-педіатр","x",IF($B$989="Лікар-терапевт",AF991/AG991,IF($B$989="Лікар загальної практики - сімейний лікар",AF991/AG991,0)))</f>
        <v>0</v>
      </c>
      <c r="AG992" s="203">
        <f>SUM(AB992:AF992)</f>
        <v>0</v>
      </c>
      <c r="AH992" s="930"/>
      <c r="AI992" s="201"/>
      <c r="AJ992" s="933"/>
      <c r="AK992" s="927"/>
      <c r="AL992" s="927"/>
      <c r="AM992" s="902"/>
      <c r="AN992" s="924"/>
      <c r="AO992" s="924"/>
      <c r="AP992" s="924"/>
      <c r="AQ992" s="924"/>
      <c r="AR992" s="915"/>
    </row>
    <row r="993" spans="1:44" s="50" customFormat="1" ht="45" hidden="1" customHeight="1" thickBot="1">
      <c r="A993" s="197"/>
      <c r="B993" s="893"/>
      <c r="C993" s="896"/>
      <c r="D993" s="912"/>
      <c r="E993" s="909"/>
      <c r="F993" s="204" t="s">
        <v>585</v>
      </c>
      <c r="G993" s="205">
        <f>IF($B$989="Лікар загальної практики - сімейний лікар",AVERAGE(G989:G991),IF($B$989="Лікар-педіатр",AVERAGE(G989:G991),IF($B$989="Лікар-терапевт","х",0)))</f>
        <v>0</v>
      </c>
      <c r="H993" s="205">
        <f>IF($B$989="Лікар загальної практики - сімейний лікар",AVERAGE(H989:H991),IF($B$989="Лікар-педіатр",AVERAGE(H989:H991),IF($B$989="Лікар-терапевт","х",0)))</f>
        <v>0</v>
      </c>
      <c r="I993" s="205">
        <f>IF($B$989="Лікар загальної практики - сімейний лікар",AVERAGE(I989:I991),IF($B$989="Лікар-педіатр","x",IF($B$989="Лікар-терапевт",AVERAGE(I989:I991),0)))</f>
        <v>0</v>
      </c>
      <c r="J993" s="205">
        <f>IF($B$989="Лікар загальної практики - сімейний лікар",AVERAGE(J989:J991),IF($B$989="Лікар-педіатр","x",IF($B$989="Лікар-терапевт",AVERAGE(J989:J991),0)))</f>
        <v>0</v>
      </c>
      <c r="K993" s="205">
        <f>IF($B$989="Лікар загальної практики - сімейний лікар",AVERAGE(K989:K991),IF($B$989="Лікар-педіатр","x",IF($B$989="Лікар-терапевт",AVERAGE(K989:K991),0)))</f>
        <v>0</v>
      </c>
      <c r="L993" s="206">
        <f>SUM(G993:K993)</f>
        <v>0</v>
      </c>
      <c r="M993" s="930"/>
      <c r="N993" s="205">
        <f>IF($B$989="Лікар загальної практики - сімейний лікар",AVERAGE(N989:N991),IF($B$989="Лікар-педіатр",AVERAGE(N989:N991),IF($B$989="Лікар-терапевт","х",0)))</f>
        <v>0</v>
      </c>
      <c r="O993" s="205">
        <f>IF($B$989="Лікар загальної практики - сімейний лікар",AVERAGE(O989:O991),IF($B$989="Лікар-педіатр",AVERAGE(O989:O991),IF($B$989="Лікар-терапевт","х",0)))</f>
        <v>0</v>
      </c>
      <c r="P993" s="205">
        <f>IF($B$989="Лікар загальної практики - сімейний лікар",AVERAGE(P989:P991),IF($B$989="Лікар-педіатр","x",IF($B$989="Лікар-терапевт",AVERAGE(P989:P991),0)))</f>
        <v>0</v>
      </c>
      <c r="Q993" s="205">
        <f>IF($B$989="Лікар загальної практики - сімейний лікар",AVERAGE(Q989:Q991),IF($B$989="Лікар-педіатр","x",IF($B$989="Лікар-терапевт",AVERAGE(Q989:Q991),0)))</f>
        <v>0</v>
      </c>
      <c r="R993" s="205">
        <f>IF($B$989="Лікар загальної практики - сімейний лікар",AVERAGE(R989:R991),IF($B$989="Лікар-педіатр","x",IF($B$989="Лікар-терапевт",AVERAGE(R989:R991),0)))</f>
        <v>0</v>
      </c>
      <c r="S993" s="206">
        <f>SUM(N993:R993)</f>
        <v>0</v>
      </c>
      <c r="T993" s="930"/>
      <c r="U993" s="205">
        <f>IF($B$989="Лікар загальної практики - сімейний лікар",AVERAGE(U989:U991),IF($B$989="Лікар-педіатр",AVERAGE(U989:U991),IF($B$989="Лікар-терапевт","х",0)))</f>
        <v>0</v>
      </c>
      <c r="V993" s="205">
        <f>IF($B$989="Лікар загальної практики - сімейний лікар",AVERAGE(V989:V991),IF($B$989="Лікар-педіатр",AVERAGE(V989:V991),IF($B$989="Лікар-терапевт","х",0)))</f>
        <v>0</v>
      </c>
      <c r="W993" s="205">
        <f>IF($B$989="Лікар загальної практики - сімейний лікар",AVERAGE(W989:W991),IF($B$989="Лікар-педіатр","x",IF($B$989="Лікар-терапевт",AVERAGE(W989:W991),0)))</f>
        <v>0</v>
      </c>
      <c r="X993" s="205">
        <f>IF($B$989="Лікар загальної практики - сімейний лікар",AVERAGE(X989:X991),IF($B$989="Лікар-педіатр","x",IF($B$989="Лікар-терапевт",AVERAGE(X989:X991),0)))</f>
        <v>0</v>
      </c>
      <c r="Y993" s="205">
        <f>IF($B$989="Лікар загальної практики - сімейний лікар",AVERAGE(Y989:Y991),IF($B$989="Лікар-педіатр","x",IF($B$989="Лікар-терапевт",AVERAGE(Y989:Y991),0)))</f>
        <v>0</v>
      </c>
      <c r="Z993" s="206">
        <f>SUM(U993:Y993)</f>
        <v>0</v>
      </c>
      <c r="AA993" s="930"/>
      <c r="AB993" s="205">
        <f>IF($B$989="Лікар загальної практики - сімейний лікар",AVERAGE(AB989:AB991),IF($B$989="Лікар-педіатр",AVERAGE(AB989:AB991),IF($B$989="Лікар-терапевт","х",0)))</f>
        <v>0</v>
      </c>
      <c r="AC993" s="205">
        <f>IF($B$989="Лікар загальної практики - сімейний лікар",AVERAGE(AC989:AC991),IF($B$989="Лікар-педіатр",AVERAGE(AC989:AC991),IF($B$989="Лікар-терапевт","х",0)))</f>
        <v>0</v>
      </c>
      <c r="AD993" s="205">
        <f>IF($B$989="Лікар загальної практики - сімейний лікар",AVERAGE(AD989:AD991),IF($B$989="Лікар-педіатр","x",IF($B$989="Лікар-терапевт",AVERAGE(AD989:AD991),0)))</f>
        <v>0</v>
      </c>
      <c r="AE993" s="205">
        <f>IF($B$989="Лікар загальної практики - сімейний лікар",AVERAGE(AE989:AE991),IF($B$989="Лікар-педіатр","x",IF($B$989="Лікар-терапевт",AVERAGE(AE989:AE991),0)))</f>
        <v>0</v>
      </c>
      <c r="AF993" s="205">
        <f>IF($B$989="Лікар загальної практики - сімейний лікар",AVERAGE(AF989:AF991),IF($B$989="Лікар-педіатр","x",IF($B$989="Лікар-терапевт",AVERAGE(AF989:AF991),0)))</f>
        <v>0</v>
      </c>
      <c r="AG993" s="206">
        <f>SUM(AB993:AF993)</f>
        <v>0</v>
      </c>
      <c r="AH993" s="930"/>
      <c r="AI993" s="201"/>
      <c r="AJ993" s="933"/>
      <c r="AK993" s="927"/>
      <c r="AL993" s="927"/>
      <c r="AM993" s="903"/>
      <c r="AN993" s="925"/>
      <c r="AO993" s="925"/>
      <c r="AP993" s="925"/>
      <c r="AQ993" s="925"/>
      <c r="AR993" s="916"/>
    </row>
    <row r="994" spans="1:44" s="50" customFormat="1" ht="40.5" hidden="1">
      <c r="A994" s="197"/>
      <c r="B994" s="893"/>
      <c r="C994" s="896"/>
      <c r="D994" s="912"/>
      <c r="E994" s="909"/>
      <c r="F994" s="237" t="str">
        <f ca="1">IF(B989="Лікар-педіатр",Законод!$C$17,IF(B989="Лікар загальної практики - сімейний лікар",Законод!$C$21,IF(B989="Лікар-терапевт",Законод!$C$25,"х")))</f>
        <v>х</v>
      </c>
      <c r="G994" s="208">
        <f ca="1">IF($B$989="Лікар загальної практики - сімейний лікар",IF(L993&lt;=Законод!$C$22,G993,Законод!$C$22*'01_Доходи'!G992),IF($B$989="Лікар-педіатр",IF(L993&lt;=Законод!$C$18,G993,Законод!$C$18*'01_Доходи'!G992),IF($B$989="Лікар-терапевт","x",0)))</f>
        <v>0</v>
      </c>
      <c r="H994" s="208">
        <f ca="1">IF($B$989="Лікар загальної практики - сімейний лікар",IF(L993&lt;=Законод!$C$22,H993,Законод!$C$22*'01_Доходи'!H992),IF($B$989="Лікар-педіатр",IF(L993&lt;=Законод!$C$18,H993,Законод!$C$18*'01_Доходи'!H992),IF($B$989="Лікар-терапевт","x",0)))</f>
        <v>0</v>
      </c>
      <c r="I994" s="208">
        <f ca="1">IF($B$989="Лікар загальної практики - сімейний лікар",IF(L993&lt;=Законод!$C$22,I993,Законод!$C$22*'01_Доходи'!I992),IF($B$989="Лікар-педіатр","x",IF($B$989="Лікар-терапевт",IF(L993&lt;=Законод!$C$26,I993,Законод!$C$26*'01_Доходи'!I992),0)))</f>
        <v>0</v>
      </c>
      <c r="J994" s="208">
        <f ca="1">IF($B$989="Лікар загальної практики - сімейний лікар",IF(L993&lt;=Законод!$C$22,J993,Законод!$C$22*'01_Доходи'!J992),IF($B$989="Лікар-педіатр","x",IF($B$989="Лікар-терапевт",IF(L993&lt;=Законод!$C$26,J993,Законод!$C$26*'01_Доходи'!J992),0)))</f>
        <v>0</v>
      </c>
      <c r="K994" s="208">
        <f ca="1">IF($B$989="Лікар загальної практики - сімейний лікар",IF(L993&lt;=Законод!$C$22,K993,Законод!$C$22*'01_Доходи'!K992),IF($B$989="Лікар-педіатр","x",IF($B$989="Лікар-терапевт",IF(L993&lt;=Законод!$C$26,K993,Законод!$C$26*'01_Доходи'!K992),0)))</f>
        <v>0</v>
      </c>
      <c r="L994" s="209">
        <f ca="1">SUM(G994:K994)</f>
        <v>0</v>
      </c>
      <c r="M994" s="930"/>
      <c r="N994" s="208">
        <f ca="1">IF($B$989="Лікар загальної практики - сімейний лікар",IF(S993&lt;=Законод!$C$22,N993,Законод!$C$22*'01_Доходи'!N992),IF($B$989="Лікар-педіатр",IF(S993&lt;=Законод!$C$18,N993,Законод!$C$18*'01_Доходи'!N992),IF($B$989="Лікар-терапевт","x",0)))</f>
        <v>0</v>
      </c>
      <c r="O994" s="208">
        <f ca="1">IF($B$989="Лікар загальної практики - сімейний лікар",IF(S993&lt;=Законод!$C$22,O993,Законод!$C$22*'01_Доходи'!O992),IF($B$989="Лікар-педіатр",IF(S993&lt;=Законод!$C$18,O993,Законод!$C$18*'01_Доходи'!O992),IF($B$989="Лікар-терапевт","x",0)))</f>
        <v>0</v>
      </c>
      <c r="P994" s="208">
        <f ca="1">IF($B$989="Лікар загальної практики - сімейний лікар",IF(S993&lt;=Законод!$C$22,P993,Законод!$C$22*'01_Доходи'!P992),IF($B$989="Лікар-педіатр","x",IF($B$989="Лікар-терапевт",IF(S993&lt;=Законод!$C$26,P993,Законод!$C$26*'01_Доходи'!P992),0)))</f>
        <v>0</v>
      </c>
      <c r="Q994" s="208">
        <f ca="1">IF($B$989="Лікар загальної практики - сімейний лікар",IF(S993&lt;=Законод!$C$22,Q993,Законод!$C$22*'01_Доходи'!Q992),IF($B$989="Лікар-педіатр","x",IF($B$989="Лікар-терапевт",IF(S993&lt;=Законод!$C$26,Q993,Законод!$C$26*'01_Доходи'!Q992),0)))</f>
        <v>0</v>
      </c>
      <c r="R994" s="208">
        <f ca="1">IF($B$989="Лікар загальної практики - сімейний лікар",IF(S993&lt;=Законод!$C$22,R993,Законод!$C$22*'01_Доходи'!R992),IF($B$989="Лікар-педіатр","x",IF($B$989="Лікар-терапевт",IF(S993&lt;=Законод!$C$26,R993,Законод!$C$26*'01_Доходи'!R992),0)))</f>
        <v>0</v>
      </c>
      <c r="S994" s="209">
        <f ca="1">SUM(N994:R994)</f>
        <v>0</v>
      </c>
      <c r="T994" s="930"/>
      <c r="U994" s="208">
        <f ca="1">IF($B$989="Лікар загальної практики - сімейний лікар",IF(Z993&lt;=Законод!$C$22,U993,Законод!$C$22*'01_Доходи'!U992),IF($B$989="Лікар-педіатр",IF(Z993&lt;=Законод!$C$18,U993,Законод!$C$18*'01_Доходи'!U992),IF($B$989="Лікар-терапевт","x",0)))</f>
        <v>0</v>
      </c>
      <c r="V994" s="208">
        <f ca="1">IF($B$989="Лікар загальної практики - сімейний лікар",IF(Z993&lt;=Законод!$C$22,V993,Законод!$C$22*'01_Доходи'!V992),IF($B$989="Лікар-педіатр",IF(Z993&lt;=Законод!$C$18,V993,Законод!$C$18*'01_Доходи'!V992),IF($B$989="Лікар-терапевт","x",0)))</f>
        <v>0</v>
      </c>
      <c r="W994" s="208">
        <f ca="1">IF($B$989="Лікар загальної практики - сімейний лікар",IF(Z993&lt;=Законод!$C$22,W993,Законод!$C$22*'01_Доходи'!W992),IF($B$989="Лікар-педіатр","x",IF($B$989="Лікар-терапевт",IF(Z993&lt;=Законод!$C$26,W993,Законод!$C$26*'01_Доходи'!W992),0)))</f>
        <v>0</v>
      </c>
      <c r="X994" s="208">
        <f ca="1">IF($B$989="Лікар загальної практики - сімейний лікар",IF(Z993&lt;=Законод!$C$22,X993,Законод!$C$22*'01_Доходи'!X992),IF($B$989="Лікар-педіатр","x",IF($B$989="Лікар-терапевт",IF(Z993&lt;=Законод!$C$26,X993,Законод!$C$26*'01_Доходи'!X992),0)))</f>
        <v>0</v>
      </c>
      <c r="Y994" s="208">
        <f ca="1">IF($B$989="Лікар загальної практики - сімейний лікар",IF(Z993&lt;=Законод!$C$22,Y993,Законод!$C$22*'01_Доходи'!Y992),IF($B$989="Лікар-педіатр","x",IF($B$989="Лікар-терапевт",IF(Z993&lt;=Законод!$C$26,Y993,Законод!$C$26*'01_Доходи'!Y992),0)))</f>
        <v>0</v>
      </c>
      <c r="Z994" s="209">
        <f ca="1">SUM(U994:Y994)</f>
        <v>0</v>
      </c>
      <c r="AA994" s="930"/>
      <c r="AB994" s="208">
        <f ca="1">IF($B$989="Лікар загальної практики - сімейний лікар",IF(AG993&lt;=Законод!$C$22,AB993,Законод!$C$22*'01_Доходи'!AB992),IF($B$989="Лікар-педіатр",IF(AG993&lt;=Законод!$C$18,AB993,Законод!$C$18*'01_Доходи'!AB992),IF($B$989="Лікар-терапевт","x",0)))</f>
        <v>0</v>
      </c>
      <c r="AC994" s="208">
        <f ca="1">IF($B$989="Лікар загальної практики - сімейний лікар",IF(AG993&lt;=Законод!$C$22,AC993,Законод!$C$22*'01_Доходи'!AC992),IF($B$989="Лікар-педіатр",IF(AG993&lt;=Законод!$C$18,AC993,Законод!$C$18*'01_Доходи'!AC992),IF($B$989="Лікар-терапевт","x",0)))</f>
        <v>0</v>
      </c>
      <c r="AD994" s="208">
        <f ca="1">IF($B$989="Лікар загальної практики - сімейний лікар",IF(AG993&lt;=Законод!$C$22,AD993,Законод!$C$22*'01_Доходи'!AD992),IF($B$989="Лікар-педіатр","x",IF($B$989="Лікар-терапевт",IF(AG993&lt;=Законод!$C$26,AD993,Законод!$C$26*'01_Доходи'!AD992),0)))</f>
        <v>0</v>
      </c>
      <c r="AE994" s="208">
        <f ca="1">IF($B$989="Лікар загальної практики - сімейний лікар",IF(AG993&lt;=Законод!$C$22,AE993,Законод!$C$22*'01_Доходи'!AE992),IF($B$989="Лікар-педіатр","x",IF($B$989="Лікар-терапевт",IF(AG993&lt;=Законод!$C$26,AE993,Законод!$C$26*'01_Доходи'!AE992),0)))</f>
        <v>0</v>
      </c>
      <c r="AF994" s="208">
        <f ca="1">IF($B$989="Лікар загальної практики - сімейний лікар",IF(AG993&lt;=Законод!$C$22,AF993,Законод!$C$22*'01_Доходи'!AF992),IF($B$989="Лікар-педіатр","x",IF($B$989="Лікар-терапевт",IF(AG993&lt;=Законод!$C$26,AF993,Законод!$C$26*'01_Доходи'!AF992),0)))</f>
        <v>0</v>
      </c>
      <c r="AG994" s="209">
        <f ca="1">SUM(AB994:AF994)</f>
        <v>0</v>
      </c>
      <c r="AH994" s="930"/>
      <c r="AI994" s="201"/>
      <c r="AJ994" s="933"/>
      <c r="AK994" s="927"/>
      <c r="AL994" s="927"/>
      <c r="AM994" s="348" t="s">
        <v>374</v>
      </c>
      <c r="AN994" s="210">
        <f ca="1">IF(B989="Лікар загальної практики - сімейний лікар",G994*Законод!$C$11+'01_Доходи'!H994*Законод!$D$11+'01_Доходи'!I994*Законод!$E$11+'01_Доходи'!J994*Законод!$F$11+'01_Доходи'!K994*Законод!$G$11,IF(B989="Лікар-педіатр",G994*Законод!$C$11+'01_Доходи'!H994*Законод!$D$11,IF(B989="Лікар-терапевт",'01_Доходи'!I994*Законод!$E$11+'01_Доходи'!J994*Законод!$F$11+'01_Доходи'!K994*Законод!$G$11,0)))</f>
        <v>0</v>
      </c>
      <c r="AO994" s="210">
        <f ca="1">IF(B989="Лікар загальної практики - сімейний лікар",N994*Законод!$C$11+'01_Доходи'!O994*Законод!$D$11+'01_Доходи'!P994*Законод!$E$11+'01_Доходи'!Q994*Законод!$F$11+'01_Доходи'!R994*Законод!$G$11,IF(B989="Лікар-педіатр",N994*Законод!$C$11+'01_Доходи'!O994*Законод!$D$11,IF(B989="Лікар-терапевт",'01_Доходи'!P994*Законод!$E$11+'01_Доходи'!Q994*Законод!$F$11+'01_Доходи'!R994*Законод!$G$11,0)))</f>
        <v>0</v>
      </c>
      <c r="AP994" s="210">
        <f ca="1">IF(B989="Лікар загальної практики - сімейний лікар",U994*Законод!$C$11+'01_Доходи'!V994*Законод!$D$11+'01_Доходи'!W994*Законод!$E$11+'01_Доходи'!X994*Законод!$F$11+'01_Доходи'!Y994*Законод!$G$11,IF(B989="Лікар-педіатр",U994*Законод!$C$11+'01_Доходи'!V994*Законод!$D$11,IF(B989="Лікар-терапевт",'01_Доходи'!W994*Законод!$E$11+'01_Доходи'!X994*Законод!$F$11+'01_Доходи'!Y994*Законод!$G$11,0)))</f>
        <v>0</v>
      </c>
      <c r="AQ994" s="210">
        <f ca="1">IF(B989="Лікар загальної практики - сімейний лікар",AB994*Законод!$C$11+'01_Доходи'!AC994*Законод!$D$11+'01_Доходи'!AD994*Законод!$E$11+'01_Доходи'!AE994*Законод!$F$11+'01_Доходи'!AF994*Законод!$G$11,IF(B989="Лікар-педіатр",AB994*Законод!$C$11+'01_Доходи'!AC994*Законод!$D$11,IF(B989="Лікар-терапевт",'01_Доходи'!AD994*Законод!$E$11+'01_Доходи'!AE994*Законод!$F$11+'01_Доходи'!AF994*Законод!$G$11,0)))</f>
        <v>0</v>
      </c>
      <c r="AR994" s="211">
        <f t="shared" ref="AR994:AR1000" si="103">SUM(AN994:AQ994)</f>
        <v>0</v>
      </c>
    </row>
    <row r="995" spans="1:44" s="50" customFormat="1" ht="31.9" hidden="1" customHeight="1">
      <c r="A995" s="197"/>
      <c r="B995" s="893"/>
      <c r="C995" s="896"/>
      <c r="D995" s="912"/>
      <c r="E995" s="909"/>
      <c r="F995" s="238" t="str">
        <f ca="1">IF(B989="Лікар-педіатр",Законод!$E$17,IF(B989="Лікар загальної практики - сімейний лікар",Законод!$E$21,IF(B989="Лікар-терапевт",Законод!$E$25,"х")))</f>
        <v>х</v>
      </c>
      <c r="G995" s="889" t="s">
        <v>346</v>
      </c>
      <c r="H995" s="890"/>
      <c r="I995" s="890"/>
      <c r="J995" s="890"/>
      <c r="K995" s="891"/>
      <c r="L995" s="196">
        <f ca="1">IF($B$989="Лікар загальної практики - сімейний лікар",IF(L993&lt;Законод!$C$22,0,(IF(AND(L993&gt;=Законод!$E$22,L993&lt;=Законод!$E$23),L993-Законод!$C$22,IF('01_Доходи'!L993&gt;=Законод!$F$22,Законод!$E$24,0)))),IF($B$989="Лікар-педіатр",IF(L993&lt;Законод!$C$18,0,(IF(AND(L993&gt;=Законод!$E$18,L993&lt;=Законод!$E$19),L993-Законод!$C$18,IF('01_Доходи'!L993&gt;=Законод!$F$18,Законод!$E$20,0)))),IF($B$989="Лікар-терапевт",IF(L993&lt;Законод!$C$26,0,(IF(AND(L993&gt;=Законод!$E$26,L993&lt;=Законод!$E$27),L993-Законод!$C$26,IF('01_Доходи'!L993&gt;=Законод!$F$26,Законод!$E$28,0)))),0)))</f>
        <v>0</v>
      </c>
      <c r="M995" s="930"/>
      <c r="N995" s="889" t="s">
        <v>346</v>
      </c>
      <c r="O995" s="890"/>
      <c r="P995" s="890"/>
      <c r="Q995" s="890"/>
      <c r="R995" s="891"/>
      <c r="S995" s="196">
        <f ca="1">IF($B$989="Лікар загальної практики - сімейний лікар",IF(S993&lt;Законод!$C$22,0,(IF(AND(S993&gt;=Законод!$E$22,S993&lt;=Законод!$E$23),S993-Законод!$C$22,IF('01_Доходи'!S993&gt;=Законод!$F$22,Законод!$E$24,0)))),IF($B$989="Лікар-педіатр",IF(S993&lt;Законод!$C$18,0,(IF(AND(S993&gt;=Законод!$E$18,S993&lt;=Законод!$E$19),S993-Законод!$C$18,IF('01_Доходи'!S993&gt;=Законод!$F$18,Законод!$E$20,0)))),IF($B$989="Лікар-терапевт",IF(S993&lt;Законод!$C$26,0,(IF(AND(S993&gt;=Законод!$E$26,S993&lt;=Законод!$E$27),S993-Законод!$C$26,IF('01_Доходи'!S993&gt;=Законод!$F$26,Законод!$E$28,0)))),0)))</f>
        <v>0</v>
      </c>
      <c r="T995" s="930"/>
      <c r="U995" s="889" t="s">
        <v>346</v>
      </c>
      <c r="V995" s="890"/>
      <c r="W995" s="890"/>
      <c r="X995" s="890"/>
      <c r="Y995" s="891"/>
      <c r="Z995" s="196">
        <f ca="1">IF($B$989="Лікар загальної практики - сімейний лікар",IF(Z993&lt;Законод!$C$22,0,(IF(AND(Z993&gt;=Законод!$E$22,Z993&lt;=Законод!$E$23),Z993-Законод!$C$22,IF('01_Доходи'!Z993&gt;=Законод!$F$22,Законод!$E$24,0)))),IF($B$989="Лікар-педіатр",IF(Z993&lt;Законод!$C$18,0,(IF(AND(Z993&gt;=Законод!$E$18,Z993&lt;=Законод!$E$19),Z993-Законод!$C$18,IF('01_Доходи'!Z993&gt;=Законод!$F$18,Законод!$E$20,0)))),IF($B$989="Лікар-терапевт",IF(Z993&lt;Законод!$C$26,0,(IF(AND(Z993&gt;=Законод!$E$26,Z993&lt;=Законод!$E$27),Z993-Законод!$C$26,IF('01_Доходи'!Z993&gt;=Законод!$F$26,Законод!$E$28,0)))),0)))</f>
        <v>0</v>
      </c>
      <c r="AA995" s="930"/>
      <c r="AB995" s="889" t="s">
        <v>346</v>
      </c>
      <c r="AC995" s="890"/>
      <c r="AD995" s="890"/>
      <c r="AE995" s="890"/>
      <c r="AF995" s="891"/>
      <c r="AG995" s="196">
        <f ca="1">IF($B$989="Лікар загальної практики - сімейний лікар",IF(AG993&lt;Законод!$C$22,0,(IF(AND(AG993&gt;=Законод!$E$22,AG993&lt;=Законод!$E$23),AG993-Законод!$C$22,IF('01_Доходи'!AG993&gt;=Законод!$F$22,Законод!$E$24,0)))),IF($B$989="Лікар-педіатр",IF(AG993&lt;Законод!$C$18,0,(IF(AND(AG993&gt;=Законод!$E$18,AG993&lt;=Законод!$E$19),AG993-Законод!$C$18,IF('01_Доходи'!AG993&gt;=Законод!$F$18,Законод!$E$20,0)))),IF($B$989="Лікар-терапевт",IF(AG993&lt;Законод!$C$26,0,(IF(AND(AG993&gt;=Законод!$E$26,AG993&lt;=Законод!$E$27),AG993-Законод!$C$26,IF('01_Доходи'!AG993&gt;=Законод!$F$26,Законод!$E$28,0)))),0)))</f>
        <v>0</v>
      </c>
      <c r="AH995" s="930"/>
      <c r="AI995" s="201"/>
      <c r="AJ995" s="933"/>
      <c r="AK995" s="927"/>
      <c r="AL995" s="927"/>
      <c r="AM995" s="898" t="s">
        <v>375</v>
      </c>
      <c r="AN995" s="210">
        <f ca="1">IF(B989="Лікар загальної практики - сімейний лікар",L995*Законод!$C$9/4*Законод!$E$16,IF(B989="Лікар-педіатр",L995*Законод!$C$9/4*Законод!$E$16,IF(B989="Лікар-терапевт",L995*Законод!$C$9/4*Законод!$E$16,0)))</f>
        <v>0</v>
      </c>
      <c r="AO995" s="210">
        <f ca="1">IF(B989="Лікар загальної практики - сімейний лікар",S995*Законод!$C$9/4*Законод!$E$16,IF(B989="Лікар-педіатр",S995*Законод!$C$9/4*Законод!$E$16,IF(B989="Лікар-терапевт",S995*Законод!$C$9/4*Законод!$E$16,0)))</f>
        <v>0</v>
      </c>
      <c r="AP995" s="210">
        <f ca="1">IF(B989="Лікар загальної практики - сімейний лікар",Z995*Законод!$C$9/4*Законод!$E$16,IF(B989="Лікар-педіатр",Z995*Законод!$C$9/4*Законод!$E$16,IF(B989="Лікар-терапевт",Z995*Законод!$C$9/4*Законод!$E$16,0)))</f>
        <v>0</v>
      </c>
      <c r="AQ995" s="210">
        <f ca="1">IF(B989="Лікар загальної практики - сімейний лікар",AG995*Законод!$C$9/4*Законод!$E$16,IF(B989="Лікар-педіатр",AG995*Законод!$C$9/4*Законод!$E$16,IF(B989="Лікар-терапевт",AG995*Законод!$C$9/4*Законод!$E$16,0)))</f>
        <v>0</v>
      </c>
      <c r="AR995" s="211">
        <f t="shared" si="103"/>
        <v>0</v>
      </c>
    </row>
    <row r="996" spans="1:44" s="50" customFormat="1" ht="31.9" hidden="1" customHeight="1">
      <c r="A996" s="197"/>
      <c r="B996" s="893"/>
      <c r="C996" s="896"/>
      <c r="D996" s="912"/>
      <c r="E996" s="909"/>
      <c r="F996" s="238" t="str">
        <f ca="1">IF(B989="Лікар-педіатр",Законод!$F$17,IF(B989="Лікар загальної практики - сімейний лікар",Законод!$F$21,IF(B989="Лікар-терапевт",Законод!$F$25,"х")))</f>
        <v>х</v>
      </c>
      <c r="G996" s="889" t="s">
        <v>346</v>
      </c>
      <c r="H996" s="890"/>
      <c r="I996" s="890"/>
      <c r="J996" s="890"/>
      <c r="K996" s="891"/>
      <c r="L996" s="196">
        <f ca="1">IF($B$989="Лікар загальної практики - сімейний лікар",IF(L993&lt;Законод!$C$22,0,(IF(AND(L993&gt;=Законод!$F$22,L993&lt;=Законод!$F$23),L993-Законод!$E$23,IF('01_Доходи'!L993&gt;=Законод!$G$22,Законод!$F$24,0)))),IF($B$989="Лікар-педіатр",IF(L993&lt;Законод!$C$18,0,(IF(AND(L993&gt;=Законод!$F$18,L993&lt;=Законод!$F$19),L993-Законод!$E$19,IF('01_Доходи'!L993&gt;=Законод!$G$18,Законод!$F$20,0)))),IF($B$989="Лікар-терапевт",IF(L993&lt;Законод!$C$26,0,(IF(AND(L993&gt;=Законод!$F$26,L993&lt;=Законод!$F$27),L993-Законод!$E$27,IF('01_Доходи'!L993&gt;=Законод!$G$26,Законод!$F$28,0)))),0)))</f>
        <v>0</v>
      </c>
      <c r="M996" s="930"/>
      <c r="N996" s="889" t="s">
        <v>346</v>
      </c>
      <c r="O996" s="890"/>
      <c r="P996" s="890"/>
      <c r="Q996" s="890"/>
      <c r="R996" s="891"/>
      <c r="S996" s="196">
        <f ca="1">IF($B$989="Лікар загальної практики - сімейний лікар",IF(S993&lt;Законод!$C$22,0,(IF(AND(S993&gt;=Законод!$F$22,S993&lt;=Законод!$F$23),S993-Законод!$E$23,IF('01_Доходи'!S993&gt;=Законод!$G$22,Законод!$F$24,0)))),IF($B$989="Лікар-педіатр",IF(S993&lt;Законод!$C$18,0,(IF(AND(S993&gt;=Законод!$F$18,S993&lt;=Законод!$F$19),S993-Законод!$E$19,IF('01_Доходи'!S993&gt;=Законод!$G$18,Законод!$F$20,0)))),IF($B$989="Лікар-терапевт",IF(S993&lt;Законод!$C$26,0,(IF(AND(S993&gt;=Законод!$F$26,S993&lt;=Законод!$F$27),S993-Законод!$E$27,IF('01_Доходи'!S993&gt;=Законод!$G$26,Законод!$F$28,0)))),0)))</f>
        <v>0</v>
      </c>
      <c r="T996" s="930"/>
      <c r="U996" s="889" t="s">
        <v>346</v>
      </c>
      <c r="V996" s="890"/>
      <c r="W996" s="890"/>
      <c r="X996" s="890"/>
      <c r="Y996" s="891"/>
      <c r="Z996" s="196">
        <f ca="1">IF($B$989="Лікар загальної практики - сімейний лікар",IF(Z993&lt;Законод!$C$22,0,(IF(AND(Z993&gt;=Законод!$F$22,Z993&lt;=Законод!$F$23),Z993-Законод!$E$23,IF('01_Доходи'!Z993&gt;=Законод!$G$22,Законод!$F$24,0)))),IF($B$989="Лікар-педіатр",IF(Z993&lt;Законод!$C$18,0,(IF(AND(Z993&gt;=Законод!$F$18,Z993&lt;=Законод!$F$19),Z993-Законод!$E$19,IF('01_Доходи'!Z993&gt;=Законод!$G$18,Законод!$F$20,0)))),IF($B$989="Лікар-терапевт",IF(Z993&lt;Законод!$C$26,0,(IF(AND(Z993&gt;=Законод!$F$26,Z993&lt;=Законод!$F$27),Z993-Законод!$E$27,IF('01_Доходи'!Z993&gt;=Законод!$G$26,Законод!$F$28,0)))),0)))</f>
        <v>0</v>
      </c>
      <c r="AA996" s="930"/>
      <c r="AB996" s="889" t="s">
        <v>346</v>
      </c>
      <c r="AC996" s="890"/>
      <c r="AD996" s="890"/>
      <c r="AE996" s="890"/>
      <c r="AF996" s="891"/>
      <c r="AG996" s="196">
        <f ca="1">IF($B$989="Лікар загальної практики - сімейний лікар",IF(AG993&lt;Законод!$C$22,0,(IF(AND(AG993&gt;=Законод!$F$22,AG993&lt;=Законод!$F$23),AG993-Законод!$E$23,IF('01_Доходи'!AG993&gt;=Законод!$G$22,Законод!$F$24,0)))),IF($B$989="Лікар-педіатр",IF(AG993&lt;Законод!$C$18,0,(IF(AND(AG993&gt;=Законод!$F$18,AG993&lt;=Законод!$F$19),AG993-Законод!$E$19,IF('01_Доходи'!AG993&gt;=Законод!$G$18,Законод!$F$20,0)))),IF($B$989="Лікар-терапевт",IF(AG993&lt;Законод!$C$26,0,(IF(AND(AG993&gt;=Законод!$F$26,AG993&lt;=Законод!$F$27),AG993-Законод!$E$27,IF('01_Доходи'!AG993&gt;=Законод!$G$26,Законод!$F$28,0)))),0)))</f>
        <v>0</v>
      </c>
      <c r="AH996" s="930"/>
      <c r="AI996" s="201"/>
      <c r="AJ996" s="933"/>
      <c r="AK996" s="927"/>
      <c r="AL996" s="927"/>
      <c r="AM996" s="899"/>
      <c r="AN996" s="210">
        <f ca="1">IF(B989="Лікар загальної практики - сімейний лікар",L996*Законод!$C$9/4*Законод!$F$16,IF(B989="Лікар-педіатр",L996*Законод!$C$9/4*Законод!$F$16,IF(B989="Лікар-терапевт",L996*Законод!$C$9/4*Законод!$F$16,0)))</f>
        <v>0</v>
      </c>
      <c r="AO996" s="210">
        <f ca="1">IF(B989="Лікар загальної практики - сімейний лікар",S996*Законод!$C$9/4*Законод!$F$16,IF(B989="Лікар-педіатр",S996*Законод!$C$9/4*Законод!$F$16,IF(B989="Лікар-терапевт",S996*Законод!$C$9/4*Законод!$F$16,0)))</f>
        <v>0</v>
      </c>
      <c r="AP996" s="210">
        <f ca="1">IF(B989="Лікар загальної практики - сімейний лікар",Z996*Законод!$C$9/4*Законод!$F$16,IF(B989="Лікар-педіатр",Z996*Законод!$C$9/4*Законод!$F$16,IF(B989="Лікар-терапевт",Z996*Законод!$C$9/4*Законод!$F$16,0)))</f>
        <v>0</v>
      </c>
      <c r="AQ996" s="210">
        <f ca="1">IF(B989="Лікар загальної практики - сімейний лікар",AG996*Законод!$C$9/4*Законод!$F$16,IF(B989="Лікар-педіатр",AG996*Законод!$C$9/4*Законод!$F$16,IF(B989="Лікар-терапевт",AG996*Законод!$C$9/4*Законод!$F$16,0)))</f>
        <v>0</v>
      </c>
      <c r="AR996" s="211">
        <f t="shared" si="103"/>
        <v>0</v>
      </c>
    </row>
    <row r="997" spans="1:44" s="50" customFormat="1" ht="31.9" hidden="1" customHeight="1">
      <c r="A997" s="197"/>
      <c r="B997" s="893"/>
      <c r="C997" s="896"/>
      <c r="D997" s="912"/>
      <c r="E997" s="909"/>
      <c r="F997" s="238" t="str">
        <f ca="1">IF(B989="Лікар-педіатр",Законод!$G$17,IF(B989="Лікар загальної практики - сімейний лікар",Законод!$G$21,IF(B989="Лікар-терапевт",Законод!$G$25,"х")))</f>
        <v>х</v>
      </c>
      <c r="G997" s="889" t="s">
        <v>346</v>
      </c>
      <c r="H997" s="890"/>
      <c r="I997" s="890"/>
      <c r="J997" s="890"/>
      <c r="K997" s="891"/>
      <c r="L997" s="196">
        <f ca="1">IF($B$989="Лікар загальної практики - сімейний лікар",IF(L993&lt;Законод!$C$22,0,(IF(AND(L993&gt;=Законод!$G$22,L993&lt;=Законод!$G$23),L993-Законод!$F$23,IF('01_Доходи'!L993&gt;=Законод!$H$22,Законод!$G$24,0)))),IF($B$989="Лікар-педіатр",IF(L993&lt;Законод!$C$18,0,(IF(AND(L993&gt;=Законод!$G$18,L993&lt;=Законод!$G$19),L993-Законод!$F$19,IF('01_Доходи'!L993&gt;=Законод!$H$18,Законод!$G$20,0)))),IF($B$989="Лікар-терапевт",IF(L993&lt;Законод!$C$26,0,(IF(AND(L993&gt;=Законод!$G$26,L993&lt;=Законод!$G$27),L993-Законод!$F$27,IF('01_Доходи'!L993&gt;=Законод!$H$26,Законод!$G$28,0)))),0)))</f>
        <v>0</v>
      </c>
      <c r="M997" s="930"/>
      <c r="N997" s="889" t="s">
        <v>346</v>
      </c>
      <c r="O997" s="890"/>
      <c r="P997" s="890"/>
      <c r="Q997" s="890"/>
      <c r="R997" s="891"/>
      <c r="S997" s="196">
        <f ca="1">IF($B$989="Лікар загальної практики - сімейний лікар",IF(S993&lt;Законод!$C$22,0,(IF(AND(S993&gt;=Законод!$G$22,S993&lt;=Законод!$G$23),S993-Законод!$F$23,IF('01_Доходи'!S993&gt;=Законод!$H$22,Законод!$G$24,0)))),IF($B$989="Лікар-педіатр",IF(S993&lt;Законод!$C$18,0,(IF(AND(S993&gt;=Законод!$G$18,S993&lt;=Законод!$G$19),S993-Законод!$F$19,IF('01_Доходи'!S993&gt;=Законод!$H$18,Законод!$G$20,0)))),IF($B$989="Лікар-терапевт",IF(S993&lt;Законод!$C$26,0,(IF(AND(S993&gt;=Законод!$G$26,S993&lt;=Законод!$G$27),S993-Законод!$F$27,IF('01_Доходи'!S993&gt;=Законод!$H$26,Законод!$G$28,0)))),0)))</f>
        <v>0</v>
      </c>
      <c r="T997" s="930"/>
      <c r="U997" s="889" t="s">
        <v>346</v>
      </c>
      <c r="V997" s="890"/>
      <c r="W997" s="890"/>
      <c r="X997" s="890"/>
      <c r="Y997" s="891"/>
      <c r="Z997" s="196">
        <f ca="1">IF($B$989="Лікар загальної практики - сімейний лікар",IF(Z993&lt;Законод!$C$22,0,(IF(AND(Z993&gt;=Законод!$G$22,Z993&lt;=Законод!$G$23),Z993-Законод!$F$23,IF('01_Доходи'!Z993&gt;=Законод!$H$22,Законод!$G$24,0)))),IF($B$989="Лікар-педіатр",IF(Z993&lt;Законод!$C$18,0,(IF(AND(Z993&gt;=Законод!$G$18,Z993&lt;=Законод!$G$19),Z993-Законод!$F$19,IF('01_Доходи'!Z993&gt;=Законод!$H$18,Законод!$G$20,0)))),IF($B$989="Лікар-терапевт",IF(Z993&lt;Законод!$C$26,0,(IF(AND(Z993&gt;=Законод!$G$26,Z993&lt;=Законод!$G$27),Z993-Законод!$F$27,IF('01_Доходи'!Z993&gt;=Законод!$H$26,Законод!$G$28,0)))),0)))</f>
        <v>0</v>
      </c>
      <c r="AA997" s="930"/>
      <c r="AB997" s="889" t="s">
        <v>346</v>
      </c>
      <c r="AC997" s="890"/>
      <c r="AD997" s="890"/>
      <c r="AE997" s="890"/>
      <c r="AF997" s="891"/>
      <c r="AG997" s="196">
        <f ca="1">IF($B$989="Лікар загальної практики - сімейний лікар",IF(AG993&lt;Законод!$C$22,0,(IF(AND(AG993&gt;=Законод!$G$22,AG993&lt;=Законод!$G$23),AG993-Законод!$F$23,IF('01_Доходи'!AG993&gt;=Законод!$H$22,Законод!$G$24,0)))),IF($B$989="Лікар-педіатр",IF(AG993&lt;Законод!$C$18,0,(IF(AND(AG993&gt;=Законод!$G$18,AG993&lt;=Законод!$G$19),AG993-Законод!$F$19,IF('01_Доходи'!AG993&gt;=Законод!$H$18,Законод!$G$20,0)))),IF($B$989="Лікар-терапевт",IF(AG993&lt;Законод!$C$26,0,(IF(AND(AG993&gt;=Законод!$G$26,AG993&lt;=Законод!$G$27),AG993-Законод!$F$27,IF('01_Доходи'!AG993&gt;=Законод!$H$26,Законод!$G$28,0)))),0)))</f>
        <v>0</v>
      </c>
      <c r="AH997" s="930"/>
      <c r="AI997" s="201"/>
      <c r="AJ997" s="933"/>
      <c r="AK997" s="927"/>
      <c r="AL997" s="927"/>
      <c r="AM997" s="899"/>
      <c r="AN997" s="210">
        <f ca="1">IF(B989="Лікар загальної практики - сімейний лікар",L997*Законод!$C$9/4*Законод!$G$16,IF(B989="Лікар-педіатр",L997*Законод!$C$9/4*Законод!$G$16,IF(B989="Лікар-терапевт",L997*Законод!$C$9/4*Законод!$G$16,0)))</f>
        <v>0</v>
      </c>
      <c r="AO997" s="210">
        <f ca="1">IF(B989="Лікар загальної практики - сімейний лікар",S997*Законод!$C$9/4*Законод!$G$16,IF(B989="Лікар-педіатр",S997*Законод!$C$9/4*Законод!$G$16,IF(B989="Лікар-терапевт",S997*Законод!$C$9/4*Законод!$G$16,0)))</f>
        <v>0</v>
      </c>
      <c r="AP997" s="210">
        <f ca="1">IF(B989="Лікар загальної практики - сімейний лікар",Z997*Законод!$C$9/4*Законод!$G$16,IF(B989="Лікар-педіатр",Z997*Законод!$C$9/4*Законод!$G$16,IF(B989="Лікар-терапевт",Z997*Законод!$C$9/4*Законод!$G$16,0)))</f>
        <v>0</v>
      </c>
      <c r="AQ997" s="210">
        <f ca="1">IF(B989="Лікар загальної практики - сімейний лікар",AG997*Законод!$C$9/4*Законод!$G$16,IF(B989="Лікар-педіатр",AG997*Законод!$C$9/4*Законод!$G$16,IF(B989="Лікар-терапевт",AG997*Законод!$C$9/4*Законод!$G$16,0)))</f>
        <v>0</v>
      </c>
      <c r="AR997" s="211">
        <f t="shared" si="103"/>
        <v>0</v>
      </c>
    </row>
    <row r="998" spans="1:44" s="50" customFormat="1" ht="31.9" hidden="1" customHeight="1">
      <c r="A998" s="197"/>
      <c r="B998" s="893"/>
      <c r="C998" s="896"/>
      <c r="D998" s="912"/>
      <c r="E998" s="909"/>
      <c r="F998" s="238" t="str">
        <f ca="1">IF(B989="Лікар-педіатр",Законод!$H$17,IF(B989="Лікар загальної практики - сімейний лікар",Законод!$H$21,IF(B989="Лікар-терапевт",Законод!$H$25,"х")))</f>
        <v>х</v>
      </c>
      <c r="G998" s="889" t="s">
        <v>346</v>
      </c>
      <c r="H998" s="890"/>
      <c r="I998" s="890"/>
      <c r="J998" s="890"/>
      <c r="K998" s="891"/>
      <c r="L998" s="196">
        <f ca="1">IF($B$989="Лікар загальної практики - сімейний лікар",IF(L993&lt;Законод!$C$22,0,(IF(AND(L993&gt;=Законод!$H$22,L993&lt;=Законод!$H$23),L993-Законод!$G$23,IF('01_Доходи'!L993&gt;=Законод!$I$22,Законод!$H$24,0)))),IF($B$989="Лікар-педіатр",IF(L993&lt;Законод!$C$18,0,(IF(AND(L993&gt;=Законод!$H$18,L993&lt;=Законод!$H$19),L993-Законод!$G$19,IF('01_Доходи'!L993&gt;=Законод!$I$18,Законод!$H$20,0)))),IF($B$989="Лікар-терапевт",IF(L993&lt;Законод!$C$26,0,(IF(AND(L993&gt;=Законод!$H$26,L993&lt;=Законод!$H$27),L993-Законод!$G$27,IF(L993&gt;=Законод!$I$26,Законод!$H$28,0)))),0)))</f>
        <v>0</v>
      </c>
      <c r="M998" s="930"/>
      <c r="N998" s="889" t="s">
        <v>346</v>
      </c>
      <c r="O998" s="890"/>
      <c r="P998" s="890"/>
      <c r="Q998" s="890"/>
      <c r="R998" s="891"/>
      <c r="S998" s="196">
        <f ca="1">IF($B$989="Лікар загальної практики - сімейний лікар",IF(S993&lt;Законод!$C$22,0,(IF(AND(S993&gt;=Законод!$H$22,S993&lt;=Законод!$H$23),S993-Законод!$G$23,IF('01_Доходи'!S993&gt;=Законод!$I$22,Законод!$H$24,0)))),IF($B$989="Лікар-педіатр",IF(S993&lt;Законод!$C$18,0,(IF(AND(S993&gt;=Законод!$H$18,S993&lt;=Законод!$H$19),S993-Законод!$G$19,IF('01_Доходи'!S993&gt;=Законод!$I$18,Законод!$H$20,0)))),IF($B$989="Лікар-терапевт",IF(S993&lt;Законод!$C$26,0,(IF(AND(S993&gt;=Законод!$H$26,S993&lt;=Законод!$H$27),S993-Законод!$G$27,IF(S993&gt;=Законод!$I$26,Законод!$H$28,0)))),0)))</f>
        <v>0</v>
      </c>
      <c r="T998" s="930"/>
      <c r="U998" s="889" t="s">
        <v>346</v>
      </c>
      <c r="V998" s="890"/>
      <c r="W998" s="890"/>
      <c r="X998" s="890"/>
      <c r="Y998" s="891"/>
      <c r="Z998" s="196">
        <f ca="1">IF($B$989="Лікар загальної практики - сімейний лікар",IF(Z993&lt;Законод!$C$22,0,(IF(AND(Z993&gt;=Законод!$H$22,Z993&lt;=Законод!$H$23),Z993-Законод!$G$23,IF('01_Доходи'!Z993&gt;=Законод!$I$22,Законод!$H$24,0)))),IF($B$989="Лікар-педіатр",IF(Z993&lt;Законод!$C$18,0,(IF(AND(Z993&gt;=Законод!$H$18,Z993&lt;=Законод!$H$19),Z993-Законод!$G$19,IF('01_Доходи'!Z993&gt;=Законод!$I$18,Законод!$H$20,0)))),IF($B$989="Лікар-терапевт",IF(Z993&lt;Законод!$C$26,0,(IF(AND(Z993&gt;=Законод!$H$26,Z993&lt;=Законод!$H$27),Z993-Законод!$G$27,IF(Z993&gt;=Законод!$I$26,Законод!$H$28,0)))),0)))</f>
        <v>0</v>
      </c>
      <c r="AA998" s="930"/>
      <c r="AB998" s="889" t="s">
        <v>346</v>
      </c>
      <c r="AC998" s="890"/>
      <c r="AD998" s="890"/>
      <c r="AE998" s="890"/>
      <c r="AF998" s="891"/>
      <c r="AG998" s="196">
        <f ca="1">IF($B$989="Лікар загальної практики - сімейний лікар",IF(AG993&lt;Законод!$C$22,0,(IF(AND(AG993&gt;=Законод!$H$22,AG993&lt;=Законод!$H$23),AG993-Законод!$G$23,IF('01_Доходи'!AG993&gt;=Законод!$I$22,Законод!$H$24,0)))),IF($B$989="Лікар-педіатр",IF(AG993&lt;Законод!$C$18,0,(IF(AND(AG993&gt;=Законод!$H$18,AG993&lt;=Законод!$H$19),AG993-Законод!$G$19,IF('01_Доходи'!AG993&gt;=Законод!$I$18,Законод!$H$20,0)))),IF($B$989="Лікар-терапевт",IF(AG993&lt;Законод!$C$26,0,(IF(AND(AG993&gt;=Законод!$H$26,AG993&lt;=Законод!$H$27),AG993-Законод!$G$27,IF(AG993&gt;=Законод!$I$26,Законод!$H$28,0)))),0)))</f>
        <v>0</v>
      </c>
      <c r="AH998" s="930"/>
      <c r="AI998" s="201"/>
      <c r="AJ998" s="933"/>
      <c r="AK998" s="927"/>
      <c r="AL998" s="927"/>
      <c r="AM998" s="899"/>
      <c r="AN998" s="210">
        <f ca="1">IF(B989="Лікар загальної практики - сімейний лікар",L998*Законод!$C$9/4*Законод!$H$16,IF(B989="Лікар-педіатр",L998*Законод!$C$9/4*Законод!$H$16,IF(B989="Лікар-терапевт",L998*Законод!$C$9/4*Законод!$H$16,0)))</f>
        <v>0</v>
      </c>
      <c r="AO998" s="210">
        <f ca="1">IF(B989="Лікар загальної практики - сімейний лікар",S998*Законод!$C$9/4*Законод!$H$16,IF(B989="Лікар-педіатр",S998*Законод!$C$9/4*Законод!$H$16,IF(B989="Лікар-терапевт",S998*Законод!$C$9/4*Законод!$H$16,0)))</f>
        <v>0</v>
      </c>
      <c r="AP998" s="210">
        <f ca="1">IF(B989="Лікар загальної практики - сімейний лікар",Z998*Законод!$C$9/4*Законод!$H$16,IF(B989="Лікар-педіатр",Z998*Законод!$C$9/4*Законод!$H$16,IF(B989="Лікар-терапевт",Z998*Законод!$C$9/4*Законод!$H$16,0)))</f>
        <v>0</v>
      </c>
      <c r="AQ998" s="210">
        <f ca="1">IF(B989="Лікар загальної практики - сімейний лікар",AG998*Законод!$C$9/4*Законод!$H$16,IF(B989="Лікар-педіатр",AG998*Законод!$C$9/4*Законод!$H$16,IF(B989="Лікар-терапевт",AG998*Законод!$C$9/4*Законод!$H$16,0)))</f>
        <v>0</v>
      </c>
      <c r="AR998" s="211">
        <f t="shared" si="103"/>
        <v>0</v>
      </c>
    </row>
    <row r="999" spans="1:44" s="50" customFormat="1" ht="31.9" hidden="1" customHeight="1">
      <c r="A999" s="197"/>
      <c r="B999" s="893"/>
      <c r="C999" s="896"/>
      <c r="D999" s="912"/>
      <c r="E999" s="909"/>
      <c r="F999" s="238" t="str">
        <f ca="1">IF(B989="Лікар-педіатр",Законод!$I$17,IF(B989="Лікар загальної практики - сімейний лікар",Законод!$I$21,IF(B989="Лікар-терапевт",Законод!$I$25,"х")))</f>
        <v>х</v>
      </c>
      <c r="G999" s="889" t="s">
        <v>346</v>
      </c>
      <c r="H999" s="890"/>
      <c r="I999" s="890"/>
      <c r="J999" s="890"/>
      <c r="K999" s="891"/>
      <c r="L999" s="196">
        <f ca="1">IF($B$989="Лікар загальної практики - сімейний лікар",IF(L993&lt;Законод!$C$22,0,(IF(AND(L993&gt;=Законод!$I$22,L993&lt;=Законод!$I$23),L993-Законод!$H$23,IF('01_Доходи'!L993&gt;=Законод!$I$22,Законод!$I$24,0)))),IF($B$989="Лікар-педіатр",IF(L993&lt;Законод!$C$18,0,(IF(AND(L993&gt;=Законод!$I$18,L993&lt;=Законод!$I$19),L993-Законод!$H$19,IF('01_Доходи'!L993&gt;=Законод!$I$18,Законод!$H$20,0)))),IF($B$989="Лікар-терапевт",IF(L993&lt;Законод!$C$26,0,(IF(AND(L993&gt;=Законод!$I$26,L993&lt;=Законод!$I$27),L993-Законод!$H$27,IF('01_Доходи'!L993&gt;=Законод!$I$26,Законод!$H$28,0)))),0)))</f>
        <v>0</v>
      </c>
      <c r="M999" s="930"/>
      <c r="N999" s="889" t="s">
        <v>346</v>
      </c>
      <c r="O999" s="890"/>
      <c r="P999" s="890"/>
      <c r="Q999" s="890"/>
      <c r="R999" s="891"/>
      <c r="S999" s="196">
        <f ca="1">IF($B$989="Лікар загальної практики - сімейний лікар",IF(S993&lt;Законод!$C$22,0,(IF(AND(S993&gt;=Законод!$I$22,S993&lt;=Законод!$I$23),S993-Законод!$H$23,IF('01_Доходи'!S993&gt;=Законод!$I$22,Законод!$I$24,0)))),IF($B$989="Лікар-педіатр",IF(S993&lt;Законод!$C$18,0,(IF(AND(S993&gt;=Законод!$I$18,S993&lt;=Законод!$I$19),S993-Законод!$H$19,IF('01_Доходи'!S993&gt;=Законод!$I$18,Законод!$H$20,0)))),IF($B$989="Лікар-терапевт",IF(S993&lt;Законод!$C$26,0,(IF(AND(S993&gt;=Законод!$I$26,S993&lt;=Законод!$I$27),S993-Законод!$H$27,IF('01_Доходи'!S993&gt;=Законод!$I$26,Законод!$H$28,0)))),0)))</f>
        <v>0</v>
      </c>
      <c r="T999" s="930"/>
      <c r="U999" s="889" t="s">
        <v>346</v>
      </c>
      <c r="V999" s="890"/>
      <c r="W999" s="890"/>
      <c r="X999" s="890"/>
      <c r="Y999" s="891"/>
      <c r="Z999" s="196">
        <f ca="1">IF($B$989="Лікар загальної практики - сімейний лікар",IF(Z993&lt;Законод!$C$22,0,(IF(AND(Z993&gt;=Законод!$I$22,Z993&lt;=Законод!$I$23),Z993-Законод!$H$23,IF('01_Доходи'!Z993&gt;=Законод!$I$22,Законод!$I$24,0)))),IF($B$989="Лікар-педіатр",IF(Z993&lt;Законод!$C$18,0,(IF(AND(Z993&gt;=Законод!$I$18,Z993&lt;=Законод!$I$19),Z993-Законод!$H$19,IF('01_Доходи'!Z993&gt;=Законод!$I$18,Законод!$H$20,0)))),IF($B$989="Лікар-терапевт",IF(Z993&lt;Законод!$C$26,0,(IF(AND(Z993&gt;=Законод!$I$26,Z993&lt;=Законод!$I$27),Z993-Законод!$H$27,IF('01_Доходи'!Z993&gt;=Законод!$I$26,Законод!$H$28,0)))),0)))</f>
        <v>0</v>
      </c>
      <c r="AA999" s="930"/>
      <c r="AB999" s="889" t="s">
        <v>346</v>
      </c>
      <c r="AC999" s="890"/>
      <c r="AD999" s="890"/>
      <c r="AE999" s="890"/>
      <c r="AF999" s="891"/>
      <c r="AG999" s="196">
        <f ca="1">IF($B$989="Лікар загальної практики - сімейний лікар",IF(AG993&lt;Законод!$C$22,0,(IF(AND(AG993&gt;=Законод!$I$22,AG993&lt;=Законод!$I$23),AG993-Законод!$H$23,IF('01_Доходи'!AG993&gt;=Законод!$I$22,Законод!$I$24,0)))),IF($B$989="Лікар-педіатр",IF(AG993&lt;Законод!$C$18,0,(IF(AND(AG993&gt;=Законод!$I$18,AG993&lt;=Законод!$I$19),AG993-Законод!$H$19,IF('01_Доходи'!AG993&gt;=Законод!$I$18,Законод!$H$20,0)))),IF($B$989="Лікар-терапевт",IF(AG993&lt;Законод!$C$26,0,(IF(AND(AG993&gt;=Законод!$I$26,AG993&lt;=Законод!$I$27),AG993-Законод!$H$27,IF('01_Доходи'!AG993&gt;=Законод!$I$26,Законод!$H$28,0)))),0)))</f>
        <v>0</v>
      </c>
      <c r="AH999" s="930"/>
      <c r="AI999" s="201"/>
      <c r="AJ999" s="933"/>
      <c r="AK999" s="927"/>
      <c r="AL999" s="927"/>
      <c r="AM999" s="899"/>
      <c r="AN999" s="210">
        <f ca="1">IF(B989="Лікар загальної практики - сімейний лікар",L999*Законод!$C$9/4*Законод!$I$16,IF(B989="Лікар-педіатр",L999*Законод!$C$9/4*Законод!$I$16,IF(B989="Лікар-терапевт",L999*Законод!$C$9/4*Законод!$I$16,0)))</f>
        <v>0</v>
      </c>
      <c r="AO999" s="210">
        <f ca="1">IF(B989="Лікар загальної практики - сімейний лікар",S999*Законод!$C$9/4*Законод!$I$16,IF(B989="Лікар-педіатр",S999*Законод!$C$9/4*Законод!$I$16,IF(B989="Лікар-терапевт",S999*Законод!$C$9/4*Законод!$I$16,0)))</f>
        <v>0</v>
      </c>
      <c r="AP999" s="210">
        <f ca="1">IF(B989="Лікар загальної практики - сімейний лікар",Z999*Законод!$C$9/4*Законод!$I$16,IF(B989="Лікар-педіатр",Z999*Законод!$C$9/4*Законод!$I$16,IF(B989="Лікар-терапевт",Z999*Законод!$C$9/4*Законод!$I$16,0)))</f>
        <v>0</v>
      </c>
      <c r="AQ999" s="210">
        <f ca="1">IF(B989="Лікар загальної практики - сімейний лікар",AG999*Законод!$C$9/4*Законод!$I$16,IF(B989="Лікар-педіатр",AG999*Законод!$C$9/4*Законод!$I$16,IF(B989="Лікар-терапевт",AG999*Законод!$C$9/4*Законод!$I$16,0)))</f>
        <v>0</v>
      </c>
      <c r="AR999" s="211">
        <f t="shared" si="103"/>
        <v>0</v>
      </c>
    </row>
    <row r="1000" spans="1:44" s="218" customFormat="1" ht="31.9" hidden="1" customHeight="1" thickBot="1">
      <c r="A1000" s="213"/>
      <c r="B1000" s="894"/>
      <c r="C1000" s="897"/>
      <c r="D1000" s="913"/>
      <c r="E1000" s="910"/>
      <c r="F1000" s="239" t="str">
        <f ca="1">IF(B989="Лікар-педіатр",Законод!$J$17,IF(B989="Лікар загальної практики - сімейний лікар",Законод!$J$21,IF(B989="Лікар-терапевт",Законод!$J$25,"х")))</f>
        <v>х</v>
      </c>
      <c r="G1000" s="935" t="s">
        <v>346</v>
      </c>
      <c r="H1000" s="936"/>
      <c r="I1000" s="936"/>
      <c r="J1000" s="936"/>
      <c r="K1000" s="937"/>
      <c r="L1000" s="196">
        <f ca="1">IF($B$989="Лікар загальної практики - сімейний лікар",IF(L993&gt;=Законод!$J$22,'01_Доходи'!L993-('01_Доходи'!L994+'01_Доходи'!L995+'01_Доходи'!L996+'01_Доходи'!L997+'01_Доходи'!L998+'01_Доходи'!L999),0),IF($B$989="Лікар-педіатр",IF(L993&gt;=Законод!$J$18,'01_Доходи'!L993-('01_Доходи'!L994+'01_Доходи'!L995+'01_Доходи'!L996+'01_Доходи'!L997+'01_Доходи'!L998+'01_Доходи'!L999),0),IF($B$989="Лікар-терапевт",IF('01_Доходи'!L993&gt;=Законод!$J$26,L993-Законод!$I$27,0),0)))</f>
        <v>0</v>
      </c>
      <c r="M1000" s="931"/>
      <c r="N1000" s="935" t="s">
        <v>346</v>
      </c>
      <c r="O1000" s="936"/>
      <c r="P1000" s="936"/>
      <c r="Q1000" s="936"/>
      <c r="R1000" s="937"/>
      <c r="S1000" s="196">
        <f ca="1">IF($B$989="Лікар загальної практики - сімейний лікар",IF(S993&gt;=Законод!$J$22,'01_Доходи'!S993-('01_Доходи'!S994+'01_Доходи'!S995+'01_Доходи'!S996+'01_Доходи'!S997+'01_Доходи'!S998+'01_Доходи'!S999),0),IF($B$989="Лікар-педіатр",IF(S993&gt;=Законод!$J$18,'01_Доходи'!S993-('01_Доходи'!S994+'01_Доходи'!S995+'01_Доходи'!S996+'01_Доходи'!S997+'01_Доходи'!S998+'01_Доходи'!S999),0),IF($B$989="Лікар-терапевт",IF('01_Доходи'!S993&gt;=Законод!$J$26,S993-Законод!$I$27,0),0)))</f>
        <v>0</v>
      </c>
      <c r="T1000" s="931"/>
      <c r="U1000" s="935" t="s">
        <v>346</v>
      </c>
      <c r="V1000" s="936"/>
      <c r="W1000" s="936"/>
      <c r="X1000" s="936"/>
      <c r="Y1000" s="937"/>
      <c r="Z1000" s="196">
        <f ca="1">IF($B$989="Лікар загальної практики - сімейний лікар",IF(Z993&gt;=Законод!$J$22,'01_Доходи'!Z993-('01_Доходи'!Z994+'01_Доходи'!Z995+'01_Доходи'!Z996+'01_Доходи'!Z997+'01_Доходи'!Z998+'01_Доходи'!Z999),0),IF($B$989="Лікар-педіатр",IF(Z993&gt;=Законод!$J$18,'01_Доходи'!Z993-('01_Доходи'!Z994+'01_Доходи'!Z995+'01_Доходи'!Z996+'01_Доходи'!Z997+'01_Доходи'!Z998+'01_Доходи'!Z999),0),IF($B$989="Лікар-терапевт",IF('01_Доходи'!Z993&gt;=Законод!$J$26,Z993-Законод!$I$27,0),0)))</f>
        <v>0</v>
      </c>
      <c r="AA1000" s="931"/>
      <c r="AB1000" s="935" t="s">
        <v>346</v>
      </c>
      <c r="AC1000" s="936"/>
      <c r="AD1000" s="936"/>
      <c r="AE1000" s="936"/>
      <c r="AF1000" s="937"/>
      <c r="AG1000" s="196">
        <f ca="1">IF($B$989="Лікар загальної практики - сімейний лікар",IF(AG993&gt;=Законод!$J$22,'01_Доходи'!AG993-('01_Доходи'!AG994+'01_Доходи'!AG995+'01_Доходи'!AG996+'01_Доходи'!AG997+'01_Доходи'!AG998+'01_Доходи'!AG999),0),IF($B$989="Лікар-педіатр",IF(AG993&gt;=Законод!$J$18,'01_Доходи'!AG993-('01_Доходи'!AG994+'01_Доходи'!AG995+'01_Доходи'!AG996+'01_Доходи'!AG997+'01_Доходи'!AG998+'01_Доходи'!AG999),0),IF($B$989="Лікар-терапевт",IF('01_Доходи'!AG993&gt;=Законод!$J$26,AG993-Законод!$I$27,0),0)))</f>
        <v>0</v>
      </c>
      <c r="AH1000" s="931"/>
      <c r="AI1000" s="215"/>
      <c r="AJ1000" s="934"/>
      <c r="AK1000" s="928"/>
      <c r="AL1000" s="928"/>
      <c r="AM1000" s="900"/>
      <c r="AN1000" s="216">
        <f ca="1">IF(B989="Лікар загальної практики - сімейний лікар",L1000*Законод!$C$9/4*Законод!$J$16,IF(B989="Лікар-педіатр",L1000*Законод!$C$9/4*Законод!$J$16,IF(B989="Лікар-терапевт",L1000*Законод!$C$9/4*Законод!$J$16,0)))</f>
        <v>0</v>
      </c>
      <c r="AO1000" s="216">
        <f ca="1">IF(B989="Лікар загальної практики - сімейний лікар",S1000*Законод!$C$9/4*Законод!$J$16,IF(B989="Лікар-педіатр",S1000*Законод!$C$9/4*Законод!$J$16,IF(B989="Лікар-терапевт",S1000*Законод!$C$9/4*Законод!$J$16,0)))</f>
        <v>0</v>
      </c>
      <c r="AP1000" s="216">
        <f ca="1">IF(B989="Лікар загальної практики - сімейний лікар",S1000*Законод!$C$9/4*Законод!$J$16,IF(B989="Лікар-педіатр",S1000*Законод!$C$9/4*Законод!$J$16,IF(B989="Лікар-терапевт",S1000*Законод!$C$9/4*Законод!$J$16,0)))</f>
        <v>0</v>
      </c>
      <c r="AQ1000" s="216">
        <f ca="1">IF(B989="Лікар загальної практики - сімейний лікар",AG1000*Законод!$C$9/4*Законод!$J$16,IF(B989="Лікар-педіатр",AG1000*Законод!$C$9/4*Законод!$J$16,IF(B989="Лікар-терапевт",AG1000*Законод!$C$9/4*Законод!$J$16,0)))</f>
        <v>0</v>
      </c>
      <c r="AR1000" s="217">
        <f t="shared" si="103"/>
        <v>0</v>
      </c>
    </row>
    <row r="1001" spans="1:44" s="247" customFormat="1" ht="23.45" hidden="1" customHeight="1" thickBot="1">
      <c r="A1001" s="243"/>
      <c r="B1001" s="244"/>
      <c r="C1001" s="244"/>
      <c r="D1001" s="244"/>
      <c r="E1001" s="244"/>
      <c r="F1001" s="245"/>
      <c r="G1001" s="246"/>
      <c r="H1001" s="246"/>
      <c r="L1001" s="248"/>
      <c r="S1001" s="248"/>
      <c r="Z1001" s="248"/>
      <c r="AG1001" s="248"/>
      <c r="AM1001" s="249"/>
      <c r="AR1001" s="250"/>
    </row>
    <row r="1002" spans="1:44" s="191" customFormat="1" ht="24.6" hidden="1" customHeight="1">
      <c r="A1002" s="194">
        <f>A989+1</f>
        <v>75</v>
      </c>
      <c r="B1002" s="892"/>
      <c r="C1002" s="895"/>
      <c r="D1002" s="911"/>
      <c r="E1002" s="908"/>
      <c r="F1002" s="234" t="s">
        <v>582</v>
      </c>
      <c r="G1002" s="196">
        <f>IF($B$1002="Лікар-педіатр",G1005*L1002,IF($B$1002="Лікар-терапевт","х",IF($B$1002="Лікар загальної практики - сімейний лікар",G1005*L1002,0)))</f>
        <v>0</v>
      </c>
      <c r="H1002" s="196">
        <f>IF($B$1002="Лікар-педіатр",H1005*L1002,IF($B$1002="Лікар-терапевт","х",IF($B$1002="Лікар загальної практики - сімейний лікар",H1005*L1002,0)))</f>
        <v>0</v>
      </c>
      <c r="I1002" s="196">
        <f>IF($B$1002="Лікар-педіатр","x",IF($B$1002="Лікар-терапевт",I1005*L1002,IF($B$1002="Лікар загальної практики - сімейний лікар",I1005*L1002,0)))</f>
        <v>0</v>
      </c>
      <c r="J1002" s="196">
        <f>IF($B$1002="Лікар-педіатр","x",IF($B$1002="Лікар-терапевт",J1005*L1002,IF($B$1002="Лікар загальної практики - сімейний лікар",J1005*L1002,0)))</f>
        <v>0</v>
      </c>
      <c r="K1002" s="196">
        <f>IF($B$1002="Лікар-педіатр","x",IF($B$1002="Лікар-терапевт",K1005*L1002,IF($B$1002="Лікар загальної практики - сімейний лікар",K1005*L1002,0)))</f>
        <v>0</v>
      </c>
      <c r="L1002" s="558"/>
      <c r="M1002" s="929"/>
      <c r="N1002" s="196">
        <f>IF($B$1002="Лікар-педіатр",N1005*S1002,IF($B$1002="Лікар-терапевт","х",IF($B$1002="Лікар загальної практики - сімейний лікар",N1005*S1002,0)))</f>
        <v>0</v>
      </c>
      <c r="O1002" s="196">
        <f>IF($B$1002="Лікар-педіатр",O1005*S1002,IF($B$1002="Лікар-терапевт","х",IF($B$1002="Лікар загальної практики - сімейний лікар",O1005*S1002,0)))</f>
        <v>0</v>
      </c>
      <c r="P1002" s="196">
        <f>IF($B$1002="Лікар-педіатр","x",IF($B$1002="Лікар-терапевт",P1005*S1002,IF($B$1002="Лікар загальної практики - сімейний лікар",P1005*S1002,0)))</f>
        <v>0</v>
      </c>
      <c r="Q1002" s="196">
        <f>IF($B$1002="Лікар-педіатр","x",IF($B$1002="Лікар-терапевт",Q1005*S1002,IF($B$1002="Лікар загальної практики - сімейний лікар",Q1005*S1002,0)))</f>
        <v>0</v>
      </c>
      <c r="R1002" s="196">
        <f>IF($B$1002="Лікар-педіатр","x",IF($B$1002="Лікар-терапевт",R1005*S1002,IF($B$1002="Лікар загальної практики - сімейний лікар",R1005*S1002,0)))</f>
        <v>0</v>
      </c>
      <c r="S1002" s="558"/>
      <c r="T1002" s="929"/>
      <c r="U1002" s="196">
        <f>IF($B$1002="Лікар-педіатр",U1005*Z1002,IF($B$1002="Лікар-терапевт","х",IF($B$1002="Лікар загальної практики - сімейний лікар",U1005*Z1002,0)))</f>
        <v>0</v>
      </c>
      <c r="V1002" s="196">
        <f>IF($B$1002="Лікар-педіатр",V1005*Z1002,IF($B$1002="Лікар-терапевт","х",IF($B$1002="Лікар загальної практики - сімейний лікар",V1005*Z1002,0)))</f>
        <v>0</v>
      </c>
      <c r="W1002" s="196">
        <f>IF($B$1002="Лікар-педіатр","x",IF($B$1002="Лікар-терапевт",W1005*Z1002,IF($B$1002="Лікар загальної практики - сімейний лікар",W1005*Z1002,0)))</f>
        <v>0</v>
      </c>
      <c r="X1002" s="196">
        <f>IF($B$1002="Лікар-педіатр","x",IF($B$1002="Лікар-терапевт",X1005*Z1002,IF($B$1002="Лікар загальної практики - сімейний лікар",X1005*Z1002,0)))</f>
        <v>0</v>
      </c>
      <c r="Y1002" s="196">
        <f>IF($B$1002="Лікар-педіатр","x",IF($B$1002="Лікар-терапевт",Y1005*Z1002,IF($B$1002="Лікар загальної практики - сімейний лікар",Y1005*Z1002,0)))</f>
        <v>0</v>
      </c>
      <c r="Z1002" s="558"/>
      <c r="AA1002" s="929"/>
      <c r="AB1002" s="196">
        <f>IF($B$1002="Лікар-педіатр",AB1005*AG1002,IF($B$1002="Лікар-терапевт","х",IF($B$1002="Лікар загальної практики - сімейний лікар",AB1005*AG1002,0)))</f>
        <v>0</v>
      </c>
      <c r="AC1002" s="196">
        <f>IF($B$1002="Лікар-педіатр",AC1005*AG1002,IF($B$1002="Лікар-терапевт","х",IF($B$1002="Лікар загальної практики - сімейний лікар",AC1005*AG1002,0)))</f>
        <v>0</v>
      </c>
      <c r="AD1002" s="196">
        <f>IF($B$1002="Лікар-педіатр","x",IF($B$1002="Лікар-терапевт",AD1005*AG1002,IF($B$1002="Лікар загальної практики - сімейний лікар",AD1005*AG1002,0)))</f>
        <v>0</v>
      </c>
      <c r="AE1002" s="196">
        <f>IF($B$1002="Лікар-педіатр","x",IF($B$1002="Лікар-терапевт",AE1005*AG1002,IF($B$1002="Лікар загальної практики - сімейний лікар",AE1005*AG1002,0)))</f>
        <v>0</v>
      </c>
      <c r="AF1002" s="196">
        <f>IF($B$1002="Лікар-педіатр","x",IF($B$1002="Лікар-терапевт",AF1005*AG1002,IF($B$1002="Лікар загальної практики - сімейний лікар",AF1005*AG1002,0)))</f>
        <v>0</v>
      </c>
      <c r="AG1002" s="558"/>
      <c r="AH1002" s="929"/>
      <c r="AI1002" s="541">
        <f>A1002</f>
        <v>75</v>
      </c>
      <c r="AJ1002" s="932">
        <f>B1002</f>
        <v>0</v>
      </c>
      <c r="AK1002" s="926">
        <f>C1002</f>
        <v>0</v>
      </c>
      <c r="AL1002" s="926">
        <f>D1002</f>
        <v>0</v>
      </c>
      <c r="AM1002" s="901" t="s">
        <v>785</v>
      </c>
      <c r="AN1002" s="923">
        <f>SUM(AN1007:AN1013)</f>
        <v>0</v>
      </c>
      <c r="AO1002" s="923">
        <f>SUM(AO1007:AO1013)</f>
        <v>0</v>
      </c>
      <c r="AP1002" s="923">
        <f>SUM(AP1007:AP1013)</f>
        <v>0</v>
      </c>
      <c r="AQ1002" s="923">
        <f>SUM(AQ1007:AQ1013)</f>
        <v>0</v>
      </c>
      <c r="AR1002" s="914">
        <f>SUM(AN1002:AQ1006)</f>
        <v>0</v>
      </c>
    </row>
    <row r="1003" spans="1:44" s="50" customFormat="1" ht="28.15" hidden="1" customHeight="1">
      <c r="A1003" s="197"/>
      <c r="B1003" s="893"/>
      <c r="C1003" s="896"/>
      <c r="D1003" s="912"/>
      <c r="E1003" s="909"/>
      <c r="F1003" s="234" t="s">
        <v>583</v>
      </c>
      <c r="G1003" s="196">
        <f>IF($B$1002="Лікар-педіатр",G1005*L1003,IF($B$1002="Лікар-терапевт","х",IF($B$1002="Лікар загальної практики - сімейний лікар",G1005*L1003,0)))</f>
        <v>0</v>
      </c>
      <c r="H1003" s="196">
        <f>IF($B$1002="Лікар-педіатр",H1005*L1003,IF($B$1002="Лікар-терапевт","х",IF($B$1002="Лікар загальної практики - сімейний лікар",H1005*L1003,0)))</f>
        <v>0</v>
      </c>
      <c r="I1003" s="196">
        <f>IF($B$1002="Лікар-педіатр","x",IF($B$1002="Лікар-терапевт",I1005*L1003,IF($B$1002="Лікар загальної практики - сімейний лікар",I1005*L1003,0)))</f>
        <v>0</v>
      </c>
      <c r="J1003" s="196">
        <f>IF($B$1002="Лікар-педіатр","x",IF($B$1002="Лікар-терапевт",J1005*L1003,IF($B$1002="Лікар загальної практики - сімейний лікар",J1005*L1003,0)))</f>
        <v>0</v>
      </c>
      <c r="K1003" s="196">
        <f>IF($B$1002="Лікар-педіатр","x",IF($B$1002="Лікар-терапевт",K1005*L1003,IF($B$1002="Лікар загальної практики - сімейний лікар",K1005*L1003,0)))</f>
        <v>0</v>
      </c>
      <c r="L1003" s="558"/>
      <c r="M1003" s="930"/>
      <c r="N1003" s="196">
        <f>IF($B$1002="Лікар-педіатр",N1005*S1003,IF($B$1002="Лікар-терапевт","х",IF($B$1002="Лікар загальної практики - сімейний лікар",N1005*S1003,0)))</f>
        <v>0</v>
      </c>
      <c r="O1003" s="196">
        <f>IF($B$1002="Лікар-педіатр",O1005*S1003,IF($B$1002="Лікар-терапевт","х",IF($B$1002="Лікар загальної практики - сімейний лікар",O1005*S1003,0)))</f>
        <v>0</v>
      </c>
      <c r="P1003" s="196">
        <f>IF($B$1002="Лікар-педіатр","x",IF($B$1002="Лікар-терапевт",P1005*S1003,IF($B$1002="Лікар загальної практики - сімейний лікар",P1005*S1003,0)))</f>
        <v>0</v>
      </c>
      <c r="Q1003" s="196">
        <f>IF($B$1002="Лікар-педіатр","x",IF($B$1002="Лікар-терапевт",Q1005*S1003,IF($B$1002="Лікар загальної практики - сімейний лікар",Q1005*S1003,0)))</f>
        <v>0</v>
      </c>
      <c r="R1003" s="196">
        <f>IF($B$1002="Лікар-педіатр","x",IF($B$1002="Лікар-терапевт",R1005*S1003,IF($B$1002="Лікар загальної практики - сімейний лікар",R1005*S1003,0)))</f>
        <v>0</v>
      </c>
      <c r="S1003" s="558"/>
      <c r="T1003" s="930"/>
      <c r="U1003" s="196">
        <f>IF($B$1002="Лікар-педіатр",U1005*Z1003,IF($B$1002="Лікар-терапевт","х",IF($B$1002="Лікар загальної практики - сімейний лікар",U1005*Z1003,0)))</f>
        <v>0</v>
      </c>
      <c r="V1003" s="196">
        <f>IF($B$1002="Лікар-педіатр",V1005*Z1003,IF($B$1002="Лікар-терапевт","х",IF($B$1002="Лікар загальної практики - сімейний лікар",V1005*Z1003,0)))</f>
        <v>0</v>
      </c>
      <c r="W1003" s="196">
        <f>IF($B$1002="Лікар-педіатр","x",IF($B$1002="Лікар-терапевт",W1005*Z1003,IF($B$1002="Лікар загальної практики - сімейний лікар",W1005*Z1003,0)))</f>
        <v>0</v>
      </c>
      <c r="X1003" s="196">
        <f>IF($B$1002="Лікар-педіатр","x",IF($B$1002="Лікар-терапевт",X1005*Z1003,IF($B$1002="Лікар загальної практики - сімейний лікар",X1005*Z1003,0)))</f>
        <v>0</v>
      </c>
      <c r="Y1003" s="196">
        <f>IF($B$1002="Лікар-педіатр","x",IF($B$1002="Лікар-терапевт",Y1005*Z1003,IF($B$1002="Лікар загальної практики - сімейний лікар",Y1005*Z1003,0)))</f>
        <v>0</v>
      </c>
      <c r="Z1003" s="558"/>
      <c r="AA1003" s="930"/>
      <c r="AB1003" s="196">
        <f>IF($B$1002="Лікар-педіатр",AB1005*AG1003,IF($B$1002="Лікар-терапевт","х",IF($B$1002="Лікар загальної практики - сімейний лікар",AB1005*AG1003,0)))</f>
        <v>0</v>
      </c>
      <c r="AC1003" s="196">
        <f>IF($B$1002="Лікар-педіатр",AC1005*AG1003,IF($B$1002="Лікар-терапевт","х",IF($B$1002="Лікар загальної практики - сімейний лікар",AC1005*AG1003,0)))</f>
        <v>0</v>
      </c>
      <c r="AD1003" s="196">
        <f>IF($B$1002="Лікар-педіатр","x",IF($B$1002="Лікар-терапевт",AD1005*AG1003,IF($B$1002="Лікар загальної практики - сімейний лікар",AD1005*AG1003,0)))</f>
        <v>0</v>
      </c>
      <c r="AE1003" s="196">
        <f>IF($B$1002="Лікар-педіатр","x",IF($B$1002="Лікар-терапевт",AE1005*AG1003,IF($B$1002="Лікар загальної практики - сімейний лікар",AE1005*AG1003,0)))</f>
        <v>0</v>
      </c>
      <c r="AF1003" s="196">
        <f>IF($B$1002="Лікар-педіатр","x",IF($B$1002="Лікар-терапевт",AF1005*AG1003,IF($B$1002="Лікар загальної практики - сімейний лікар",AF1005*AG1003,0)))</f>
        <v>0</v>
      </c>
      <c r="AG1003" s="558"/>
      <c r="AH1003" s="930"/>
      <c r="AI1003" s="198"/>
      <c r="AJ1003" s="933"/>
      <c r="AK1003" s="927"/>
      <c r="AL1003" s="927"/>
      <c r="AM1003" s="902"/>
      <c r="AN1003" s="924"/>
      <c r="AO1003" s="924"/>
      <c r="AP1003" s="924"/>
      <c r="AQ1003" s="924"/>
      <c r="AR1003" s="915"/>
    </row>
    <row r="1004" spans="1:44" s="90" customFormat="1" ht="31.15" hidden="1" customHeight="1">
      <c r="A1004" s="240"/>
      <c r="B1004" s="893"/>
      <c r="C1004" s="896"/>
      <c r="D1004" s="912"/>
      <c r="E1004" s="909"/>
      <c r="F1004" s="241" t="s">
        <v>584</v>
      </c>
      <c r="G1004" s="199">
        <f>IF(B1002="Лікар загальної практики - сімейний лікар"," ",IF(B1002="Лікар-педіатр"," ",IF(B1002="Лікар-терапевт","х",0)))</f>
        <v>0</v>
      </c>
      <c r="H1004" s="199">
        <f>IF(B1002="Лікар загальної практики - сімейний лікар"," ",IF(B1002="Лікар-педіатр"," ",IF(B1002="Лікар-терапевт","х",0)))</f>
        <v>0</v>
      </c>
      <c r="I1004" s="199">
        <f>IF(B1002="Лікар загальної практики - сімейний лікар"," ",IF(B1002="Лікар-педіатр","х",IF(B1002="Лікар-терапевт"," ",0)))</f>
        <v>0</v>
      </c>
      <c r="J1004" s="199">
        <f>IF(B1002="Лікар загальної практики - сімейний лікар"," ",IF(B1002="Лікар-педіатр","х",IF(B1002="Лікар-терапевт"," ",0)))</f>
        <v>0</v>
      </c>
      <c r="K1004" s="199">
        <f>IF(B1002="Лікар загальної практики - сімейний лікар"," ",IF(B1002="Лікар-педіатр","х",IF(B1002="Лікар-терапевт"," ",0)))</f>
        <v>0</v>
      </c>
      <c r="L1004" s="200">
        <f>SUM(G1004:K1004)</f>
        <v>0</v>
      </c>
      <c r="M1004" s="930"/>
      <c r="N1004" s="199">
        <f>IF(B1002="Лікар загальної практики - сімейний лікар"," ",IF(B1002="Лікар-педіатр"," ",IF(B1002="Лікар-терапевт","х",0)))</f>
        <v>0</v>
      </c>
      <c r="O1004" s="199">
        <f>IF(B1002="Лікар загальної практики - сімейний лікар"," ",IF(B1002="Лікар-педіатр"," ",IF(B1002="Лікар-терапевт","х",0)))</f>
        <v>0</v>
      </c>
      <c r="P1004" s="199">
        <f>IF(B1002="Лікар загальної практики - сімейний лікар"," ",IF(B1002="Лікар-педіатр","х",IF(B1002="Лікар-терапевт"," ",0)))</f>
        <v>0</v>
      </c>
      <c r="Q1004" s="199">
        <f>IF(B1002="Лікар загальної практики - сімейний лікар"," ",IF(B1002="Лікар-педіатр","х",IF(B1002="Лікар-терапевт"," ",0)))</f>
        <v>0</v>
      </c>
      <c r="R1004" s="199">
        <f>IF(B1002="Лікар загальної практики - сімейний лікар"," ",IF(B1002="Лікар-педіатр","х",IF(B1002="Лікар-терапевт"," ",0)))</f>
        <v>0</v>
      </c>
      <c r="S1004" s="200">
        <f>SUM(N1004:R1004)</f>
        <v>0</v>
      </c>
      <c r="T1004" s="930"/>
      <c r="U1004" s="199">
        <f>IF(B1002="Лікар загальної практики - сімейний лікар"," ",IF(B1002="Лікар-педіатр"," ",IF(B1002="Лікар-терапевт","х",0)))</f>
        <v>0</v>
      </c>
      <c r="V1004" s="199">
        <f>IF(B1002="Лікар загальної практики - сімейний лікар"," ",IF(B1002="Лікар-педіатр"," ",IF(B1002="Лікар-терапевт","х",0)))</f>
        <v>0</v>
      </c>
      <c r="W1004" s="199">
        <f>IF(B1002="Лікар загальної практики - сімейний лікар"," ",IF(B1002="Лікар-педіатр","х",IF(B1002="Лікар-терапевт"," ",0)))</f>
        <v>0</v>
      </c>
      <c r="X1004" s="199">
        <f>IF(B1002="Лікар загальної практики - сімейний лікар"," ",IF(B1002="Лікар-педіатр","х",IF(B1002="Лікар-терапевт"," ",0)))</f>
        <v>0</v>
      </c>
      <c r="Y1004" s="199">
        <f>IF(B1002="Лікар загальної практики - сімейний лікар"," ",IF(B1002="Лікар-педіатр","х",IF(B1002="Лікар-терапевт"," ",0)))</f>
        <v>0</v>
      </c>
      <c r="Z1004" s="200">
        <f>SUM(U1004:Y1004)</f>
        <v>0</v>
      </c>
      <c r="AA1004" s="930"/>
      <c r="AB1004" s="199">
        <f>IF(B1002="Лікар загальної практики - сімейний лікар"," ",IF(B1002="Лікар-педіатр"," ",IF(B1002="Лікар-терапевт","х",0)))</f>
        <v>0</v>
      </c>
      <c r="AC1004" s="199">
        <f>IF(B1002="Лікар загальної практики - сімейний лікар"," ",IF(B1002="Лікар-педіатр"," ",IF(B1002="Лікар-терапевт","х",0)))</f>
        <v>0</v>
      </c>
      <c r="AD1004" s="199">
        <f>IF(B1002="Лікар загальної практики - сімейний лікар"," ",IF(B1002="Лікар-педіатр","х",IF(B1002="Лікар-терапевт"," ",0)))</f>
        <v>0</v>
      </c>
      <c r="AE1004" s="199">
        <f>IF(B1002="Лікар загальної практики - сімейний лікар"," ",IF(B1002="Лікар-педіатр","х",IF(B1002="Лікар-терапевт"," ",0)))</f>
        <v>0</v>
      </c>
      <c r="AF1004" s="199">
        <f>IF(B1002="Лікар загальної практики - сімейний лікар"," ",IF(B1002="Лікар-педіатр","х",IF(B1002="Лікар-терапевт"," ",0)))</f>
        <v>0</v>
      </c>
      <c r="AG1004" s="200">
        <f>SUM(AB1004:AF1004)</f>
        <v>0</v>
      </c>
      <c r="AH1004" s="930"/>
      <c r="AI1004" s="242"/>
      <c r="AJ1004" s="933"/>
      <c r="AK1004" s="927"/>
      <c r="AL1004" s="927"/>
      <c r="AM1004" s="902"/>
      <c r="AN1004" s="924"/>
      <c r="AO1004" s="924"/>
      <c r="AP1004" s="924"/>
      <c r="AQ1004" s="924"/>
      <c r="AR1004" s="915"/>
    </row>
    <row r="1005" spans="1:44" s="50" customFormat="1" ht="31.9" hidden="1" customHeight="1" thickBot="1">
      <c r="A1005" s="197"/>
      <c r="B1005" s="893"/>
      <c r="C1005" s="896"/>
      <c r="D1005" s="912"/>
      <c r="E1005" s="909"/>
      <c r="F1005" s="236" t="s">
        <v>349</v>
      </c>
      <c r="G1005" s="203">
        <f>IF($B$1002="Лікар-педіатр",G1004/L1004,IF($B$1002="Лікар-терапевт","х",IF($B$1002="Лікар загальної практики - сімейний лікар",G1004/L1004,0)))</f>
        <v>0</v>
      </c>
      <c r="H1005" s="203">
        <f>IF($B$1002="Лікар-педіатр",H1004/L1004,IF($B$1002="Лікар-терапевт","х",IF($B$1002="Лікар загальної практики - сімейний лікар",H1004/L1004,0)))</f>
        <v>0</v>
      </c>
      <c r="I1005" s="203">
        <f>IF($B$1002="Лікар-педіатр","x",IF($B$1002="Лікар-терапевт",I1004/L1004,IF($B$1002="Лікар загальної практики - сімейний лікар",I1004/L1004,0)))</f>
        <v>0</v>
      </c>
      <c r="J1005" s="203">
        <f>IF($B$1002="Лікар-педіатр","x",IF($B$1002="Лікар-терапевт",J1004/L1004,IF($B$1002="Лікар загальної практики - сімейний лікар",J1004/L1004,0)))</f>
        <v>0</v>
      </c>
      <c r="K1005" s="203">
        <f>IF($B$1002="Лікар-педіатр","x",IF($B$1002="Лікар-терапевт",K1004/L1004,IF($B$1002="Лікар загальної практики - сімейний лікар",K1004/L1004,0)))</f>
        <v>0</v>
      </c>
      <c r="L1005" s="203">
        <f>SUM(G1005:K1005)</f>
        <v>0</v>
      </c>
      <c r="M1005" s="930"/>
      <c r="N1005" s="203">
        <f>IF($B$1002="Лікар-педіатр",N1004/S1004,IF($B$1002="Лікар-терапевт","х",IF($B$1002="Лікар загальної практики - сімейний лікар",N1004/S1004,0)))</f>
        <v>0</v>
      </c>
      <c r="O1005" s="203">
        <f>IF($B$1002="Лікар-педіатр",O1004/S1004,IF($B$1002="Лікар-терапевт","х",IF($B$1002="Лікар загальної практики - сімейний лікар",O1004/S1004,0)))</f>
        <v>0</v>
      </c>
      <c r="P1005" s="203">
        <f>IF($B$1002="Лікар-педіатр","x",IF($B$1002="Лікар-терапевт",P1004/S1004,IF($B$1002="Лікар загальної практики - сімейний лікар",P1004/S1004,0)))</f>
        <v>0</v>
      </c>
      <c r="Q1005" s="203">
        <f>IF($B$1002="Лікар-педіатр","x",IF($B$1002="Лікар-терапевт",Q1004/S1004,IF($B$1002="Лікар загальної практики - сімейний лікар",Q1004/S1004,0)))</f>
        <v>0</v>
      </c>
      <c r="R1005" s="203">
        <f>IF($B$1002="Лікар-педіатр","x",IF($B$1002="Лікар-терапевт",R1004/S1004,IF($B$1002="Лікар загальної практики - сімейний лікар",R1004/S1004,0)))</f>
        <v>0</v>
      </c>
      <c r="S1005" s="203">
        <f>SUM(N1005:R1005)</f>
        <v>0</v>
      </c>
      <c r="T1005" s="930"/>
      <c r="U1005" s="203">
        <f>IF($B$1002="Лікар-педіатр",U1004/Z1004,IF($B$1002="Лікар-терапевт","х",IF($B$1002="Лікар загальної практики - сімейний лікар",U1004/Z1004,0)))</f>
        <v>0</v>
      </c>
      <c r="V1005" s="203">
        <f>IF($B$1002="Лікар-педіатр",V1004/Z1004,IF($B$1002="Лікар-терапевт","х",IF($B$1002="Лікар загальної практики - сімейний лікар",V1004/Z1004,0)))</f>
        <v>0</v>
      </c>
      <c r="W1005" s="203">
        <f>IF($B$1002="Лікар-педіатр","x",IF($B$1002="Лікар-терапевт",W1004/Z1004,IF($B$1002="Лікар загальної практики - сімейний лікар",W1004/Z1004,0)))</f>
        <v>0</v>
      </c>
      <c r="X1005" s="203">
        <f>IF($B$1002="Лікар-педіатр","x",IF($B$1002="Лікар-терапевт",X1004/Z1004,IF($B$1002="Лікар загальної практики - сімейний лікар",X1004/Z1004,0)))</f>
        <v>0</v>
      </c>
      <c r="Y1005" s="203">
        <f>IF($B$1002="Лікар-педіатр","x",IF($B$1002="Лікар-терапевт",Y1004/Z1004,IF($B$1002="Лікар загальної практики - сімейний лікар",Y1004/Z1004,0)))</f>
        <v>0</v>
      </c>
      <c r="Z1005" s="203">
        <f>SUM(U1005:Y1005)</f>
        <v>0</v>
      </c>
      <c r="AA1005" s="930"/>
      <c r="AB1005" s="203">
        <f>IF($B$1002="Лікар-педіатр",AB1004/AG1004,IF($B$1002="Лікар-терапевт","х",IF($B$1002="Лікар загальної практики - сімейний лікар",AB1004/AG1004,0)))</f>
        <v>0</v>
      </c>
      <c r="AC1005" s="203">
        <f>IF($B$1002="Лікар-педіатр",AC1004/AG1004,IF($B$1002="Лікар-терапевт","х",IF($B$1002="Лікар загальної практики - сімейний лікар",AC1004/AG1004,0)))</f>
        <v>0</v>
      </c>
      <c r="AD1005" s="203">
        <f>IF($B$1002="Лікар-педіатр","x",IF($B$1002="Лікар-терапевт",AD1004/AG1004,IF($B$1002="Лікар загальної практики - сімейний лікар",AD1004/AG1004,0)))</f>
        <v>0</v>
      </c>
      <c r="AE1005" s="203">
        <f>IF($B$1002="Лікар-педіатр","x",IF($B$1002="Лікар-терапевт",AE1004/AG1004,IF($B$1002="Лікар загальної практики - сімейний лікар",AE1004/AG1004,0)))</f>
        <v>0</v>
      </c>
      <c r="AF1005" s="203">
        <f>IF($B$1002="Лікар-педіатр","x",IF($B$1002="Лікар-терапевт",AF1004/AG1004,IF($B$1002="Лікар загальної практики - сімейний лікар",AF1004/AG1004,0)))</f>
        <v>0</v>
      </c>
      <c r="AG1005" s="203">
        <f>SUM(AB1005:AF1005)</f>
        <v>0</v>
      </c>
      <c r="AH1005" s="930"/>
      <c r="AI1005" s="201"/>
      <c r="AJ1005" s="933"/>
      <c r="AK1005" s="927"/>
      <c r="AL1005" s="927"/>
      <c r="AM1005" s="902"/>
      <c r="AN1005" s="924"/>
      <c r="AO1005" s="924"/>
      <c r="AP1005" s="924"/>
      <c r="AQ1005" s="924"/>
      <c r="AR1005" s="915"/>
    </row>
    <row r="1006" spans="1:44" s="50" customFormat="1" ht="45" hidden="1" customHeight="1" thickBot="1">
      <c r="A1006" s="197"/>
      <c r="B1006" s="893"/>
      <c r="C1006" s="896"/>
      <c r="D1006" s="912"/>
      <c r="E1006" s="909"/>
      <c r="F1006" s="204" t="s">
        <v>585</v>
      </c>
      <c r="G1006" s="205">
        <f>IF($B$1002="Лікар загальної практики - сімейний лікар",AVERAGE(G1002:G1004),IF($B$1002="Лікар-педіатр",AVERAGE(G1002:G1004),IF($B$1002="Лікар-терапевт","х",0)))</f>
        <v>0</v>
      </c>
      <c r="H1006" s="205">
        <f>IF($B$1002="Лікар загальної практики - сімейний лікар",AVERAGE(H1002:H1004),IF($B$1002="Лікар-педіатр",AVERAGE(H1002:H1004),IF($B$1002="Лікар-терапевт","х",0)))</f>
        <v>0</v>
      </c>
      <c r="I1006" s="205">
        <f>IF($B$1002="Лікар загальної практики - сімейний лікар",AVERAGE(I1002:I1004),IF($B$1002="Лікар-педіатр","x",IF($B$1002="Лікар-терапевт",AVERAGE(I1002:I1004),0)))</f>
        <v>0</v>
      </c>
      <c r="J1006" s="205">
        <f>IF($B$1002="Лікар загальної практики - сімейний лікар",AVERAGE(J1002:J1004),IF($B$1002="Лікар-педіатр","x",IF($B$1002="Лікар-терапевт",AVERAGE(J1002:J1004),0)))</f>
        <v>0</v>
      </c>
      <c r="K1006" s="205">
        <f>IF($B$1002="Лікар загальної практики - сімейний лікар",AVERAGE(K1002:K1004),IF($B$1002="Лікар-педіатр","x",IF($B$1002="Лікар-терапевт",AVERAGE(K1002:K1004),0)))</f>
        <v>0</v>
      </c>
      <c r="L1006" s="206">
        <f>SUM(G1006:K1006)</f>
        <v>0</v>
      </c>
      <c r="M1006" s="930"/>
      <c r="N1006" s="205">
        <f>IF($B$1002="Лікар загальної практики - сімейний лікар",AVERAGE(N1002:N1004),IF($B$1002="Лікар-педіатр",AVERAGE(N1002:N1004),IF($B$1002="Лікар-терапевт","х",0)))</f>
        <v>0</v>
      </c>
      <c r="O1006" s="205">
        <f>IF($B$1002="Лікар загальної практики - сімейний лікар",AVERAGE(O1002:O1004),IF($B$1002="Лікар-педіатр",AVERAGE(O1002:O1004),IF($B$1002="Лікар-терапевт","х",0)))</f>
        <v>0</v>
      </c>
      <c r="P1006" s="205">
        <f>IF($B$1002="Лікар загальної практики - сімейний лікар",AVERAGE(P1002:P1004),IF($B$1002="Лікар-педіатр","x",IF($B$1002="Лікар-терапевт",AVERAGE(P1002:P1004),0)))</f>
        <v>0</v>
      </c>
      <c r="Q1006" s="205">
        <f>IF($B$1002="Лікар загальної практики - сімейний лікар",AVERAGE(Q1002:Q1004),IF($B$1002="Лікар-педіатр","x",IF($B$1002="Лікар-терапевт",AVERAGE(Q1002:Q1004),0)))</f>
        <v>0</v>
      </c>
      <c r="R1006" s="205">
        <f>IF($B$1002="Лікар загальної практики - сімейний лікар",AVERAGE(R1002:R1004),IF($B$1002="Лікар-педіатр","x",IF($B$1002="Лікар-терапевт",AVERAGE(R1002:R1004),0)))</f>
        <v>0</v>
      </c>
      <c r="S1006" s="206">
        <f>SUM(N1006:R1006)</f>
        <v>0</v>
      </c>
      <c r="T1006" s="930"/>
      <c r="U1006" s="205">
        <f>IF($B$1002="Лікар загальної практики - сімейний лікар",AVERAGE(U1002:U1004),IF($B$1002="Лікар-педіатр",AVERAGE(U1002:U1004),IF($B$1002="Лікар-терапевт","х",0)))</f>
        <v>0</v>
      </c>
      <c r="V1006" s="205">
        <f>IF($B$1002="Лікар загальної практики - сімейний лікар",AVERAGE(V1002:V1004),IF($B$1002="Лікар-педіатр",AVERAGE(V1002:V1004),IF($B$1002="Лікар-терапевт","х",0)))</f>
        <v>0</v>
      </c>
      <c r="W1006" s="205">
        <f>IF($B$1002="Лікар загальної практики - сімейний лікар",AVERAGE(W1002:W1004),IF($B$1002="Лікар-педіатр","x",IF($B$1002="Лікар-терапевт",AVERAGE(W1002:W1004),0)))</f>
        <v>0</v>
      </c>
      <c r="X1006" s="205">
        <f>IF($B$1002="Лікар загальної практики - сімейний лікар",AVERAGE(X1002:X1004),IF($B$1002="Лікар-педіатр","x",IF($B$1002="Лікар-терапевт",AVERAGE(X1002:X1004),0)))</f>
        <v>0</v>
      </c>
      <c r="Y1006" s="205">
        <f>IF($B$1002="Лікар загальної практики - сімейний лікар",AVERAGE(Y1002:Y1004),IF($B$1002="Лікар-педіатр","x",IF($B$1002="Лікар-терапевт",AVERAGE(Y1002:Y1004),0)))</f>
        <v>0</v>
      </c>
      <c r="Z1006" s="206">
        <f>SUM(U1006:Y1006)</f>
        <v>0</v>
      </c>
      <c r="AA1006" s="930"/>
      <c r="AB1006" s="205">
        <f>IF($B$1002="Лікар загальної практики - сімейний лікар",AVERAGE(AB1002:AB1004),IF($B$1002="Лікар-педіатр",AVERAGE(AB1002:AB1004),IF($B$1002="Лікар-терапевт","х",0)))</f>
        <v>0</v>
      </c>
      <c r="AC1006" s="205">
        <f>IF($B$1002="Лікар загальної практики - сімейний лікар",AVERAGE(AC1002:AC1004),IF($B$1002="Лікар-педіатр",AVERAGE(AC1002:AC1004),IF($B$1002="Лікар-терапевт","х",0)))</f>
        <v>0</v>
      </c>
      <c r="AD1006" s="205">
        <f>IF($B$1002="Лікар загальної практики - сімейний лікар",AVERAGE(AD1002:AD1004),IF($B$1002="Лікар-педіатр","x",IF($B$1002="Лікар-терапевт",AVERAGE(AD1002:AD1004),0)))</f>
        <v>0</v>
      </c>
      <c r="AE1006" s="205">
        <f>IF($B$1002="Лікар загальної практики - сімейний лікар",AVERAGE(AE1002:AE1004),IF($B$1002="Лікар-педіатр","x",IF($B$1002="Лікар-терапевт",AVERAGE(AE1002:AE1004),0)))</f>
        <v>0</v>
      </c>
      <c r="AF1006" s="205">
        <f>IF($B$1002="Лікар загальної практики - сімейний лікар",AVERAGE(AF1002:AF1004),IF($B$1002="Лікар-педіатр","x",IF($B$1002="Лікар-терапевт",AVERAGE(AF1002:AF1004),0)))</f>
        <v>0</v>
      </c>
      <c r="AG1006" s="206">
        <f>SUM(AB1006:AF1006)</f>
        <v>0</v>
      </c>
      <c r="AH1006" s="930"/>
      <c r="AI1006" s="201"/>
      <c r="AJ1006" s="933"/>
      <c r="AK1006" s="927"/>
      <c r="AL1006" s="927"/>
      <c r="AM1006" s="903"/>
      <c r="AN1006" s="925"/>
      <c r="AO1006" s="925"/>
      <c r="AP1006" s="925"/>
      <c r="AQ1006" s="925"/>
      <c r="AR1006" s="916"/>
    </row>
    <row r="1007" spans="1:44" s="50" customFormat="1" ht="40.5" hidden="1">
      <c r="A1007" s="197"/>
      <c r="B1007" s="893"/>
      <c r="C1007" s="896"/>
      <c r="D1007" s="912"/>
      <c r="E1007" s="909"/>
      <c r="F1007" s="237" t="str">
        <f ca="1">IF(B1002="Лікар-педіатр",Законод!$C$17,IF(B1002="Лікар загальної практики - сімейний лікар",Законод!$C$21,IF(B1002="Лікар-терапевт",Законод!$C$25,"х")))</f>
        <v>х</v>
      </c>
      <c r="G1007" s="208">
        <f ca="1">IF($B$1002="Лікар загальної практики - сімейний лікар",IF(L1006&lt;=Законод!$C$22,G1006,Законод!$C$22*'01_Доходи'!G1005),IF($B$1002="Лікар-педіатр",IF(L1006&lt;=Законод!$C$18,G1006,Законод!$C$18*'01_Доходи'!G1005),IF($B$1002="Лікар-терапевт","x",0)))</f>
        <v>0</v>
      </c>
      <c r="H1007" s="208">
        <f ca="1">IF($B$1002="Лікар загальної практики - сімейний лікар",IF(L1006&lt;=Законод!$C$22,H1006,Законод!$C$22*'01_Доходи'!H1005),IF($B$1002="Лікар-педіатр",IF(L1006&lt;=Законод!$C$18,H1006,Законод!$C$18*'01_Доходи'!H1005),IF($B$1002="Лікар-терапевт","x",0)))</f>
        <v>0</v>
      </c>
      <c r="I1007" s="208">
        <f ca="1">IF($B$1002="Лікар загальної практики - сімейний лікар",IF(L1006&lt;=Законод!$C$22,I1006,Законод!$C$22*'01_Доходи'!I1005),IF($B$1002="Лікар-педіатр","x",IF($B$1002="Лікар-терапевт",IF(L1006&lt;=Законод!$C$26,I1006,Законод!$C$26*'01_Доходи'!I1005),0)))</f>
        <v>0</v>
      </c>
      <c r="J1007" s="208">
        <f ca="1">IF($B$1002="Лікар загальної практики - сімейний лікар",IF(L1006&lt;=Законод!$C$22,J1006,Законод!$C$22*'01_Доходи'!J1005),IF($B$1002="Лікар-педіатр","x",IF($B$1002="Лікар-терапевт",IF(L1006&lt;=Законод!$C$26,J1006,Законод!$C$26*'01_Доходи'!J1005),0)))</f>
        <v>0</v>
      </c>
      <c r="K1007" s="208">
        <f ca="1">IF($B$1002="Лікар загальної практики - сімейний лікар",IF(L1006&lt;=Законод!$C$22,K1006,Законод!$C$22*'01_Доходи'!K1005),IF($B$1002="Лікар-педіатр","x",IF($B$1002="Лікар-терапевт",IF(L1006&lt;=Законод!$C$26,K1006,Законод!$C$26*'01_Доходи'!K1005),0)))</f>
        <v>0</v>
      </c>
      <c r="L1007" s="209">
        <f ca="1">SUM(G1007:K1007)</f>
        <v>0</v>
      </c>
      <c r="M1007" s="930"/>
      <c r="N1007" s="208">
        <f ca="1">IF($B$1002="Лікар загальної практики - сімейний лікар",IF(S1006&lt;=Законод!$C$22,N1006,Законод!$C$22*'01_Доходи'!N1005),IF($B$1002="Лікар-педіатр",IF(S1006&lt;=Законод!$C$18,N1006,Законод!$C$18*'01_Доходи'!N1005),IF($B$1002="Лікар-терапевт","x",0)))</f>
        <v>0</v>
      </c>
      <c r="O1007" s="208">
        <f ca="1">IF($B$1002="Лікар загальної практики - сімейний лікар",IF(S1006&lt;=Законод!$C$22,O1006,Законод!$C$22*'01_Доходи'!O1005),IF($B$1002="Лікар-педіатр",IF(S1006&lt;=Законод!$C$18,O1006,Законод!$C$18*'01_Доходи'!O1005),IF($B$1002="Лікар-терапевт","x",0)))</f>
        <v>0</v>
      </c>
      <c r="P1007" s="208">
        <f ca="1">IF($B$1002="Лікар загальної практики - сімейний лікар",IF(S1006&lt;=Законод!$C$22,P1006,Законод!$C$22*'01_Доходи'!P1005),IF($B$1002="Лікар-педіатр","x",IF($B$1002="Лікар-терапевт",IF(S1006&lt;=Законод!$C$26,P1006,Законод!$C$26*'01_Доходи'!P1005),0)))</f>
        <v>0</v>
      </c>
      <c r="Q1007" s="208">
        <f ca="1">IF($B$1002="Лікар загальної практики - сімейний лікар",IF(S1006&lt;=Законод!$C$22,Q1006,Законод!$C$22*'01_Доходи'!Q1005),IF($B$1002="Лікар-педіатр","x",IF($B$1002="Лікар-терапевт",IF(S1006&lt;=Законод!$C$26,Q1006,Законод!$C$26*'01_Доходи'!Q1005),0)))</f>
        <v>0</v>
      </c>
      <c r="R1007" s="208">
        <f ca="1">IF($B$1002="Лікар загальної практики - сімейний лікар",IF(S1006&lt;=Законод!$C$22,R1006,Законод!$C$22*'01_Доходи'!R1005),IF($B$1002="Лікар-педіатр","x",IF($B$1002="Лікар-терапевт",IF(S1006&lt;=Законод!$C$26,R1006,Законод!$C$26*'01_Доходи'!R1005),0)))</f>
        <v>0</v>
      </c>
      <c r="S1007" s="209">
        <f ca="1">SUM(N1007:R1007)</f>
        <v>0</v>
      </c>
      <c r="T1007" s="930"/>
      <c r="U1007" s="208">
        <f ca="1">IF($B$1002="Лікар загальної практики - сімейний лікар",IF(Z1006&lt;=Законод!$C$22,U1006,Законод!$C$22*'01_Доходи'!U1005),IF($B$1002="Лікар-педіатр",IF(Z1006&lt;=Законод!$C$18,U1006,Законод!$C$18*'01_Доходи'!U1005),IF($B$1002="Лікар-терапевт","x",0)))</f>
        <v>0</v>
      </c>
      <c r="V1007" s="208">
        <f ca="1">IF($B$1002="Лікар загальної практики - сімейний лікар",IF(Z1006&lt;=Законод!$C$22,V1006,Законод!$C$22*'01_Доходи'!V1005),IF($B$1002="Лікар-педіатр",IF(Z1006&lt;=Законод!$C$18,V1006,Законод!$C$18*'01_Доходи'!V1005),IF($B$1002="Лікар-терапевт","x",0)))</f>
        <v>0</v>
      </c>
      <c r="W1007" s="208">
        <f ca="1">IF($B$1002="Лікар загальної практики - сімейний лікар",IF(Z1006&lt;=Законод!$C$22,W1006,Законод!$C$22*'01_Доходи'!W1005),IF($B$1002="Лікар-педіатр","x",IF($B$1002="Лікар-терапевт",IF(Z1006&lt;=Законод!$C$26,W1006,Законод!$C$26*'01_Доходи'!W1005),0)))</f>
        <v>0</v>
      </c>
      <c r="X1007" s="208">
        <f ca="1">IF($B$1002="Лікар загальної практики - сімейний лікар",IF(Z1006&lt;=Законод!$C$22,X1006,Законод!$C$22*'01_Доходи'!X1005),IF($B$1002="Лікар-педіатр","x",IF($B$1002="Лікар-терапевт",IF(Z1006&lt;=Законод!$C$26,X1006,Законод!$C$26*'01_Доходи'!X1005),0)))</f>
        <v>0</v>
      </c>
      <c r="Y1007" s="208">
        <f ca="1">IF($B$1002="Лікар загальної практики - сімейний лікар",IF(Z1006&lt;=Законод!$C$22,Y1006,Законод!$C$22*'01_Доходи'!Y1005),IF($B$1002="Лікар-педіатр","x",IF($B$1002="Лікар-терапевт",IF(Z1006&lt;=Законод!$C$26,Y1006,Законод!$C$26*'01_Доходи'!Y1005),0)))</f>
        <v>0</v>
      </c>
      <c r="Z1007" s="209">
        <f ca="1">SUM(U1007:Y1007)</f>
        <v>0</v>
      </c>
      <c r="AA1007" s="930"/>
      <c r="AB1007" s="208">
        <f ca="1">IF($B$1002="Лікар загальної практики - сімейний лікар",IF(AG1006&lt;=Законод!$C$22,AB1006,Законод!$C$22*'01_Доходи'!AB1005),IF($B$1002="Лікар-педіатр",IF(AG1006&lt;=Законод!$C$18,AB1006,Законод!$C$18*'01_Доходи'!AB1005),IF($B$1002="Лікар-терапевт","x",0)))</f>
        <v>0</v>
      </c>
      <c r="AC1007" s="208">
        <f ca="1">IF($B$1002="Лікар загальної практики - сімейний лікар",IF(AG1006&lt;=Законод!$C$22,AC1006,Законод!$C$22*'01_Доходи'!AC1005),IF($B$1002="Лікар-педіатр",IF(AG1006&lt;=Законод!$C$18,AC1006,Законод!$C$18*'01_Доходи'!AC1005),IF($B$1002="Лікар-терапевт","x",0)))</f>
        <v>0</v>
      </c>
      <c r="AD1007" s="208">
        <f ca="1">IF($B$1002="Лікар загальної практики - сімейний лікар",IF(AG1006&lt;=Законод!$C$22,AD1006,Законод!$C$22*'01_Доходи'!AD1005),IF($B$1002="Лікар-педіатр","x",IF($B$1002="Лікар-терапевт",IF(AG1006&lt;=Законод!$C$26,AD1006,Законод!$C$26*'01_Доходи'!AD1005),0)))</f>
        <v>0</v>
      </c>
      <c r="AE1007" s="208">
        <f ca="1">IF($B$1002="Лікар загальної практики - сімейний лікар",IF(AG1006&lt;=Законод!$C$22,AE1006,Законод!$C$22*'01_Доходи'!AE1005),IF($B$1002="Лікар-педіатр","x",IF($B$1002="Лікар-терапевт",IF(AG1006&lt;=Законод!$C$26,AE1006,Законод!$C$26*'01_Доходи'!AE1005),0)))</f>
        <v>0</v>
      </c>
      <c r="AF1007" s="208">
        <f ca="1">IF($B$1002="Лікар загальної практики - сімейний лікар",IF(AG1006&lt;=Законод!$C$22,AF1006,Законод!$C$22*'01_Доходи'!AF1005),IF($B$1002="Лікар-педіатр","x",IF($B$1002="Лікар-терапевт",IF(AG1006&lt;=Законод!$C$26,AF1006,Законод!$C$26*'01_Доходи'!AF1005),0)))</f>
        <v>0</v>
      </c>
      <c r="AG1007" s="209">
        <f ca="1">SUM(AB1007:AF1007)</f>
        <v>0</v>
      </c>
      <c r="AH1007" s="930"/>
      <c r="AI1007" s="201"/>
      <c r="AJ1007" s="933"/>
      <c r="AK1007" s="927"/>
      <c r="AL1007" s="927"/>
      <c r="AM1007" s="348" t="s">
        <v>374</v>
      </c>
      <c r="AN1007" s="210">
        <f ca="1">IF(B1002="Лікар загальної практики - сімейний лікар",G1007*Законод!$C$11+'01_Доходи'!H1007*Законод!$D$11+'01_Доходи'!I1007*Законод!$E$11+'01_Доходи'!J1007*Законод!$F$11+'01_Доходи'!K1007*Законод!$G$11,IF(B1002="Лікар-педіатр",G1007*Законод!$C$11+'01_Доходи'!H1007*Законод!$D$11,IF(B1002="Лікар-терапевт",'01_Доходи'!I1007*Законод!$E$11+'01_Доходи'!J1007*Законод!$F$11+'01_Доходи'!K1007*Законод!$G$11,0)))</f>
        <v>0</v>
      </c>
      <c r="AO1007" s="210">
        <f ca="1">IF(B1002="Лікар загальної практики - сімейний лікар",N1007*Законод!$C$11+'01_Доходи'!O1007*Законод!$D$11+'01_Доходи'!P1007*Законод!$E$11+'01_Доходи'!Q1007*Законод!$F$11+'01_Доходи'!R1007*Законод!$G$11,IF(B1002="Лікар-педіатр",N1007*Законод!$C$11+'01_Доходи'!O1007*Законод!$D$11,IF(B1002="Лікар-терапевт",'01_Доходи'!P1007*Законод!$E$11+'01_Доходи'!Q1007*Законод!$F$11+'01_Доходи'!R1007*Законод!$G$11,0)))</f>
        <v>0</v>
      </c>
      <c r="AP1007" s="210">
        <f ca="1">IF(B1002="Лікар загальної практики - сімейний лікар",U1007*Законод!$C$11+'01_Доходи'!V1007*Законод!$D$11+'01_Доходи'!W1007*Законод!$E$11+'01_Доходи'!X1007*Законод!$F$11+'01_Доходи'!Y1007*Законод!$G$11,IF(B1002="Лікар-педіатр",U1007*Законод!$C$11+'01_Доходи'!V1007*Законод!$D$11,IF(B1002="Лікар-терапевт",'01_Доходи'!W1007*Законод!$E$11+'01_Доходи'!X1007*Законод!$F$11+'01_Доходи'!Y1007*Законод!$G$11,0)))</f>
        <v>0</v>
      </c>
      <c r="AQ1007" s="210">
        <f ca="1">IF(B1002="Лікар загальної практики - сімейний лікар",AB1007*Законод!$C$11+'01_Доходи'!AC1007*Законод!$D$11+'01_Доходи'!AD1007*Законод!$E$11+'01_Доходи'!AE1007*Законод!$F$11+'01_Доходи'!AF1007*Законод!$G$11,IF(B1002="Лікар-педіатр",AB1007*Законод!$C$11+'01_Доходи'!AC1007*Законод!$D$11,IF(B1002="Лікар-терапевт",'01_Доходи'!AD1007*Законод!$E$11+'01_Доходи'!AE1007*Законод!$F$11+'01_Доходи'!AF1007*Законод!$G$11,0)))</f>
        <v>0</v>
      </c>
      <c r="AR1007" s="211">
        <f t="shared" ref="AR1007:AR1013" si="104">SUM(AN1007:AQ1007)</f>
        <v>0</v>
      </c>
    </row>
    <row r="1008" spans="1:44" s="50" customFormat="1" ht="31.9" hidden="1" customHeight="1">
      <c r="A1008" s="197"/>
      <c r="B1008" s="893"/>
      <c r="C1008" s="896"/>
      <c r="D1008" s="912"/>
      <c r="E1008" s="909"/>
      <c r="F1008" s="238" t="str">
        <f ca="1">IF(B1002="Лікар-педіатр",Законод!$E$17,IF(B1002="Лікар загальної практики - сімейний лікар",Законод!$E$21,IF(B1002="Лікар-терапевт",Законод!$E$25,"х")))</f>
        <v>х</v>
      </c>
      <c r="G1008" s="889" t="s">
        <v>346</v>
      </c>
      <c r="H1008" s="890"/>
      <c r="I1008" s="890"/>
      <c r="J1008" s="890"/>
      <c r="K1008" s="891"/>
      <c r="L1008" s="196">
        <f ca="1">IF($B$1002="Лікар загальної практики - сімейний лікар",IF(L1006&lt;Законод!$C$22,0,(IF(AND(L1006&gt;=Законод!$E$22,L1006&lt;=Законод!$E$23),L1006-Законод!$C$22,IF('01_Доходи'!L1006&gt;=Законод!$F$22,Законод!$E$24,0)))),IF($B$1002="Лікар-педіатр",IF(L1006&lt;Законод!$C$18,0,(IF(AND(L1006&gt;=Законод!$E$18,L1006&lt;=Законод!$E$19),L1006-Законод!$C$18,IF('01_Доходи'!L1006&gt;=Законод!$F$18,Законод!$E$20,0)))),IF($B$1002="Лікар-терапевт",IF(L1006&lt;Законод!$C$26,0,(IF(AND(L1006&gt;=Законод!$E$26,L1006&lt;=Законод!$E$27),L1006-Законод!$C$26,IF('01_Доходи'!L1006&gt;=Законод!$F$26,Законод!$E$28,0)))),0)))</f>
        <v>0</v>
      </c>
      <c r="M1008" s="930"/>
      <c r="N1008" s="889" t="s">
        <v>346</v>
      </c>
      <c r="O1008" s="890"/>
      <c r="P1008" s="890"/>
      <c r="Q1008" s="890"/>
      <c r="R1008" s="891"/>
      <c r="S1008" s="196">
        <f ca="1">IF($B$1002="Лікар загальної практики - сімейний лікар",IF(S1006&lt;Законод!$C$22,0,(IF(AND(S1006&gt;=Законод!$E$22,S1006&lt;=Законод!$E$23),S1006-Законод!$C$22,IF('01_Доходи'!S1006&gt;=Законод!$F$22,Законод!$E$24,0)))),IF($B$1002="Лікар-педіатр",IF(S1006&lt;Законод!$C$18,0,(IF(AND(S1006&gt;=Законод!$E$18,S1006&lt;=Законод!$E$19),S1006-Законод!$C$18,IF('01_Доходи'!S1006&gt;=Законод!$F$18,Законод!$E$20,0)))),IF($B$1002="Лікар-терапевт",IF(S1006&lt;Законод!$C$26,0,(IF(AND(S1006&gt;=Законод!$E$26,S1006&lt;=Законод!$E$27),S1006-Законод!$C$26,IF('01_Доходи'!S1006&gt;=Законод!$F$26,Законод!$E$28,0)))),0)))</f>
        <v>0</v>
      </c>
      <c r="T1008" s="930"/>
      <c r="U1008" s="889" t="s">
        <v>346</v>
      </c>
      <c r="V1008" s="890"/>
      <c r="W1008" s="890"/>
      <c r="X1008" s="890"/>
      <c r="Y1008" s="891"/>
      <c r="Z1008" s="196">
        <f ca="1">IF($B$1002="Лікар загальної практики - сімейний лікар",IF(Z1006&lt;Законод!$C$22,0,(IF(AND(Z1006&gt;=Законод!$E$22,Z1006&lt;=Законод!$E$23),Z1006-Законод!$C$22,IF('01_Доходи'!Z1006&gt;=Законод!$F$22,Законод!$E$24,0)))),IF($B$1002="Лікар-педіатр",IF(Z1006&lt;Законод!$C$18,0,(IF(AND(Z1006&gt;=Законод!$E$18,Z1006&lt;=Законод!$E$19),Z1006-Законод!$C$18,IF('01_Доходи'!Z1006&gt;=Законод!$F$18,Законод!$E$20,0)))),IF($B$1002="Лікар-терапевт",IF(Z1006&lt;Законод!$C$26,0,(IF(AND(Z1006&gt;=Законод!$E$26,Z1006&lt;=Законод!$E$27),Z1006-Законод!$C$26,IF('01_Доходи'!Z1006&gt;=Законод!$F$26,Законод!$E$28,0)))),0)))</f>
        <v>0</v>
      </c>
      <c r="AA1008" s="930"/>
      <c r="AB1008" s="889" t="s">
        <v>346</v>
      </c>
      <c r="AC1008" s="890"/>
      <c r="AD1008" s="890"/>
      <c r="AE1008" s="890"/>
      <c r="AF1008" s="891"/>
      <c r="AG1008" s="196">
        <f ca="1">IF($B$1002="Лікар загальної практики - сімейний лікар",IF(AG1006&lt;Законод!$C$22,0,(IF(AND(AG1006&gt;=Законод!$E$22,AG1006&lt;=Законод!$E$23),AG1006-Законод!$C$22,IF('01_Доходи'!AG1006&gt;=Законод!$F$22,Законод!$E$24,0)))),IF($B$1002="Лікар-педіатр",IF(AG1006&lt;Законод!$C$18,0,(IF(AND(AG1006&gt;=Законод!$E$18,AG1006&lt;=Законод!$E$19),AG1006-Законод!$C$18,IF('01_Доходи'!AG1006&gt;=Законод!$F$18,Законод!$E$20,0)))),IF($B$1002="Лікар-терапевт",IF(AG1006&lt;Законод!$C$26,0,(IF(AND(AG1006&gt;=Законод!$E$26,AG1006&lt;=Законод!$E$27),AG1006-Законод!$C$26,IF('01_Доходи'!AG1006&gt;=Законод!$F$26,Законод!$E$28,0)))),0)))</f>
        <v>0</v>
      </c>
      <c r="AH1008" s="930"/>
      <c r="AI1008" s="201"/>
      <c r="AJ1008" s="933"/>
      <c r="AK1008" s="927"/>
      <c r="AL1008" s="927"/>
      <c r="AM1008" s="898" t="s">
        <v>375</v>
      </c>
      <c r="AN1008" s="210">
        <f ca="1">IF(B1002="Лікар загальної практики - сімейний лікар",L1008*Законод!$C$9/4*Законод!$E$16,IF(B1002="Лікар-педіатр",L1008*Законод!$C$9/4*Законод!$E$16,IF(B1002="Лікар-терапевт",L1008*Законод!$C$9/4*Законод!$E$16,0)))</f>
        <v>0</v>
      </c>
      <c r="AO1008" s="210">
        <f ca="1">IF(B1002="Лікар загальної практики - сімейний лікар",S1008*Законод!$C$9/4*Законод!$E$16,IF(B1002="Лікар-педіатр",S1008*Законод!$C$9/4*Законод!$E$16,IF(B1002="Лікар-терапевт",S1008*Законод!$C$9/4*Законод!$E$16,0)))</f>
        <v>0</v>
      </c>
      <c r="AP1008" s="210">
        <f ca="1">IF(B1002="Лікар загальної практики - сімейний лікар",Z1008*Законод!$C$9/4*Законод!$E$16,IF(B1002="Лікар-педіатр",Z1008*Законод!$C$9/4*Законод!$E$16,IF(B1002="Лікар-терапевт",Z1008*Законод!$C$9/4*Законод!$E$16,0)))</f>
        <v>0</v>
      </c>
      <c r="AQ1008" s="210">
        <f ca="1">IF(B1002="Лікар загальної практики - сімейний лікар",AG1008*Законод!$C$9/4*Законод!$E$16,IF(B1002="Лікар-педіатр",AG1008*Законод!$C$9/4*Законод!$E$16,IF(B1002="Лікар-терапевт",AG1008*Законод!$C$9/4*Законод!$E$16,0)))</f>
        <v>0</v>
      </c>
      <c r="AR1008" s="211">
        <f t="shared" si="104"/>
        <v>0</v>
      </c>
    </row>
    <row r="1009" spans="1:44" s="50" customFormat="1" ht="31.9" hidden="1" customHeight="1">
      <c r="A1009" s="197"/>
      <c r="B1009" s="893"/>
      <c r="C1009" s="896"/>
      <c r="D1009" s="912"/>
      <c r="E1009" s="909"/>
      <c r="F1009" s="238" t="str">
        <f ca="1">IF(B1002="Лікар-педіатр",Законод!$F$17,IF(B1002="Лікар загальної практики - сімейний лікар",Законод!$F$21,IF(B1002="Лікар-терапевт",Законод!$F$25,"х")))</f>
        <v>х</v>
      </c>
      <c r="G1009" s="889" t="s">
        <v>346</v>
      </c>
      <c r="H1009" s="890"/>
      <c r="I1009" s="890"/>
      <c r="J1009" s="890"/>
      <c r="K1009" s="891"/>
      <c r="L1009" s="196">
        <f ca="1">IF($B$1002="Лікар загальної практики - сімейний лікар",IF(L1006&lt;Законод!$C$22,0,(IF(AND(L1006&gt;=Законод!$F$22,L1006&lt;=Законод!$F$23),L1006-Законод!$E$23,IF('01_Доходи'!L1006&gt;=Законод!$G$22,Законод!$F$24,0)))),IF($B$1002="Лікар-педіатр",IF(L1006&lt;Законод!$C$18,0,(IF(AND(L1006&gt;=Законод!$F$18,L1006&lt;=Законод!$F$19),L1006-Законод!$E$19,IF('01_Доходи'!L1006&gt;=Законод!$G$18,Законод!$F$20,0)))),IF($B$1002="Лікар-терапевт",IF(L1006&lt;Законод!$C$26,0,(IF(AND(L1006&gt;=Законод!$F$26,L1006&lt;=Законод!$F$27),L1006-Законод!$E$27,IF('01_Доходи'!L1006&gt;=Законод!$G$26,Законод!$F$28,0)))),0)))</f>
        <v>0</v>
      </c>
      <c r="M1009" s="930"/>
      <c r="N1009" s="889" t="s">
        <v>346</v>
      </c>
      <c r="O1009" s="890"/>
      <c r="P1009" s="890"/>
      <c r="Q1009" s="890"/>
      <c r="R1009" s="891"/>
      <c r="S1009" s="196">
        <f ca="1">IF($B$1002="Лікар загальної практики - сімейний лікар",IF(S1006&lt;Законод!$C$22,0,(IF(AND(S1006&gt;=Законод!$F$22,S1006&lt;=Законод!$F$23),S1006-Законод!$E$23,IF('01_Доходи'!S1006&gt;=Законод!$G$22,Законод!$F$24,0)))),IF($B$1002="Лікар-педіатр",IF(S1006&lt;Законод!$C$18,0,(IF(AND(S1006&gt;=Законод!$F$18,S1006&lt;=Законод!$F$19),S1006-Законод!$E$19,IF('01_Доходи'!S1006&gt;=Законод!$G$18,Законод!$F$20,0)))),IF($B$1002="Лікар-терапевт",IF(S1006&lt;Законод!$C$26,0,(IF(AND(S1006&gt;=Законод!$F$26,S1006&lt;=Законод!$F$27),S1006-Законод!$E$27,IF('01_Доходи'!S1006&gt;=Законод!$G$26,Законод!$F$28,0)))),0)))</f>
        <v>0</v>
      </c>
      <c r="T1009" s="930"/>
      <c r="U1009" s="889" t="s">
        <v>346</v>
      </c>
      <c r="V1009" s="890"/>
      <c r="W1009" s="890"/>
      <c r="X1009" s="890"/>
      <c r="Y1009" s="891"/>
      <c r="Z1009" s="196">
        <f ca="1">IF($B$1002="Лікар загальної практики - сімейний лікар",IF(Z1006&lt;Законод!$C$22,0,(IF(AND(Z1006&gt;=Законод!$F$22,Z1006&lt;=Законод!$F$23),Z1006-Законод!$E$23,IF('01_Доходи'!Z1006&gt;=Законод!$G$22,Законод!$F$24,0)))),IF($B$1002="Лікар-педіатр",IF(Z1006&lt;Законод!$C$18,0,(IF(AND(Z1006&gt;=Законод!$F$18,Z1006&lt;=Законод!$F$19),Z1006-Законод!$E$19,IF('01_Доходи'!Z1006&gt;=Законод!$G$18,Законод!$F$20,0)))),IF($B$1002="Лікар-терапевт",IF(Z1006&lt;Законод!$C$26,0,(IF(AND(Z1006&gt;=Законод!$F$26,Z1006&lt;=Законод!$F$27),Z1006-Законод!$E$27,IF('01_Доходи'!Z1006&gt;=Законод!$G$26,Законод!$F$28,0)))),0)))</f>
        <v>0</v>
      </c>
      <c r="AA1009" s="930"/>
      <c r="AB1009" s="889" t="s">
        <v>346</v>
      </c>
      <c r="AC1009" s="890"/>
      <c r="AD1009" s="890"/>
      <c r="AE1009" s="890"/>
      <c r="AF1009" s="891"/>
      <c r="AG1009" s="196">
        <f ca="1">IF($B$1002="Лікар загальної практики - сімейний лікар",IF(AG1006&lt;Законод!$C$22,0,(IF(AND(AG1006&gt;=Законод!$F$22,AG1006&lt;=Законод!$F$23),AG1006-Законод!$E$23,IF('01_Доходи'!AG1006&gt;=Законод!$G$22,Законод!$F$24,0)))),IF($B$1002="Лікар-педіатр",IF(AG1006&lt;Законод!$C$18,0,(IF(AND(AG1006&gt;=Законод!$F$18,AG1006&lt;=Законод!$F$19),AG1006-Законод!$E$19,IF('01_Доходи'!AG1006&gt;=Законод!$G$18,Законод!$F$20,0)))),IF($B$1002="Лікар-терапевт",IF(AG1006&lt;Законод!$C$26,0,(IF(AND(AG1006&gt;=Законод!$F$26,AG1006&lt;=Законод!$F$27),AG1006-Законод!$E$27,IF('01_Доходи'!AG1006&gt;=Законод!$G$26,Законод!$F$28,0)))),0)))</f>
        <v>0</v>
      </c>
      <c r="AH1009" s="930"/>
      <c r="AI1009" s="201"/>
      <c r="AJ1009" s="933"/>
      <c r="AK1009" s="927"/>
      <c r="AL1009" s="927"/>
      <c r="AM1009" s="899"/>
      <c r="AN1009" s="210">
        <f ca="1">IF(B1002="Лікар загальної практики - сімейний лікар",L1009*Законод!$C$9/4*Законод!$F$16,IF(B1002="Лікар-педіатр",L1009*Законод!$C$9/4*Законод!$F$16,IF(B1002="Лікар-терапевт",L1009*Законод!$C$9/4*Законод!$F$16,0)))</f>
        <v>0</v>
      </c>
      <c r="AO1009" s="210">
        <f ca="1">IF(B1002="Лікар загальної практики - сімейний лікар",S1009*Законод!$C$9/4*Законод!$F$16,IF(B1002="Лікар-педіатр",S1009*Законод!$C$9/4*Законод!$F$16,IF(B1002="Лікар-терапевт",S1009*Законод!$C$9/4*Законод!$F$16,0)))</f>
        <v>0</v>
      </c>
      <c r="AP1009" s="210">
        <f ca="1">IF(B1002="Лікар загальної практики - сімейний лікар",Z1009*Законод!$C$9/4*Законод!$F$16,IF(B1002="Лікар-педіатр",Z1009*Законод!$C$9/4*Законод!$F$16,IF(B1002="Лікар-терапевт",Z1009*Законод!$C$9/4*Законод!$F$16,0)))</f>
        <v>0</v>
      </c>
      <c r="AQ1009" s="210">
        <f ca="1">IF(B1002="Лікар загальної практики - сімейний лікар",AG1009*Законод!$C$9/4*Законод!$F$16,IF(B1002="Лікар-педіатр",AG1009*Законод!$C$9/4*Законод!$F$16,IF(B1002="Лікар-терапевт",AG1009*Законод!$C$9/4*Законод!$F$16,0)))</f>
        <v>0</v>
      </c>
      <c r="AR1009" s="211">
        <f t="shared" si="104"/>
        <v>0</v>
      </c>
    </row>
    <row r="1010" spans="1:44" s="50" customFormat="1" ht="31.9" hidden="1" customHeight="1">
      <c r="A1010" s="197"/>
      <c r="B1010" s="893"/>
      <c r="C1010" s="896"/>
      <c r="D1010" s="912"/>
      <c r="E1010" s="909"/>
      <c r="F1010" s="238" t="str">
        <f ca="1">IF(B1002="Лікар-педіатр",Законод!$G$17,IF(B1002="Лікар загальної практики - сімейний лікар",Законод!$G$21,IF(B1002="Лікар-терапевт",Законод!$G$25,"х")))</f>
        <v>х</v>
      </c>
      <c r="G1010" s="889" t="s">
        <v>346</v>
      </c>
      <c r="H1010" s="890"/>
      <c r="I1010" s="890"/>
      <c r="J1010" s="890"/>
      <c r="K1010" s="891"/>
      <c r="L1010" s="196">
        <f ca="1">IF($B$1002="Лікар загальної практики - сімейний лікар",IF(L1006&lt;Законод!$C$22,0,(IF(AND(L1006&gt;=Законод!$G$22,L1006&lt;=Законод!$G$23),L1006-Законод!$F$23,IF('01_Доходи'!L1006&gt;=Законод!$H$22,Законод!$G$24,0)))),IF($B$1002="Лікар-педіатр",IF(L1006&lt;Законод!$C$18,0,(IF(AND(L1006&gt;=Законод!$G$18,L1006&lt;=Законод!$G$19),L1006-Законод!$F$19,IF('01_Доходи'!L1006&gt;=Законод!$H$18,Законод!$G$20,0)))),IF($B$1002="Лікар-терапевт",IF(L1006&lt;Законод!$C$26,0,(IF(AND(L1006&gt;=Законод!$G$26,L1006&lt;=Законод!$G$27),L1006-Законод!$F$27,IF('01_Доходи'!L1006&gt;=Законод!$H$26,Законод!$G$28,0)))),0)))</f>
        <v>0</v>
      </c>
      <c r="M1010" s="930"/>
      <c r="N1010" s="889" t="s">
        <v>346</v>
      </c>
      <c r="O1010" s="890"/>
      <c r="P1010" s="890"/>
      <c r="Q1010" s="890"/>
      <c r="R1010" s="891"/>
      <c r="S1010" s="196">
        <f ca="1">IF($B$1002="Лікар загальної практики - сімейний лікар",IF(S1006&lt;Законод!$C$22,0,(IF(AND(S1006&gt;=Законод!$G$22,S1006&lt;=Законод!$G$23),S1006-Законод!$F$23,IF('01_Доходи'!S1006&gt;=Законод!$H$22,Законод!$G$24,0)))),IF($B$1002="Лікар-педіатр",IF(S1006&lt;Законод!$C$18,0,(IF(AND(S1006&gt;=Законод!$G$18,S1006&lt;=Законод!$G$19),S1006-Законод!$F$19,IF('01_Доходи'!S1006&gt;=Законод!$H$18,Законод!$G$20,0)))),IF($B$1002="Лікар-терапевт",IF(S1006&lt;Законод!$C$26,0,(IF(AND(S1006&gt;=Законод!$G$26,S1006&lt;=Законод!$G$27),S1006-Законод!$F$27,IF('01_Доходи'!S1006&gt;=Законод!$H$26,Законод!$G$28,0)))),0)))</f>
        <v>0</v>
      </c>
      <c r="T1010" s="930"/>
      <c r="U1010" s="889" t="s">
        <v>346</v>
      </c>
      <c r="V1010" s="890"/>
      <c r="W1010" s="890"/>
      <c r="X1010" s="890"/>
      <c r="Y1010" s="891"/>
      <c r="Z1010" s="196">
        <f ca="1">IF($B$1002="Лікар загальної практики - сімейний лікар",IF(Z1006&lt;Законод!$C$22,0,(IF(AND(Z1006&gt;=Законод!$G$22,Z1006&lt;=Законод!$G$23),Z1006-Законод!$F$23,IF('01_Доходи'!Z1006&gt;=Законод!$H$22,Законод!$G$24,0)))),IF($B$1002="Лікар-педіатр",IF(Z1006&lt;Законод!$C$18,0,(IF(AND(Z1006&gt;=Законод!$G$18,Z1006&lt;=Законод!$G$19),Z1006-Законод!$F$19,IF('01_Доходи'!Z1006&gt;=Законод!$H$18,Законод!$G$20,0)))),IF($B$1002="Лікар-терапевт",IF(Z1006&lt;Законод!$C$26,0,(IF(AND(Z1006&gt;=Законод!$G$26,Z1006&lt;=Законод!$G$27),Z1006-Законод!$F$27,IF('01_Доходи'!Z1006&gt;=Законод!$H$26,Законод!$G$28,0)))),0)))</f>
        <v>0</v>
      </c>
      <c r="AA1010" s="930"/>
      <c r="AB1010" s="889" t="s">
        <v>346</v>
      </c>
      <c r="AC1010" s="890"/>
      <c r="AD1010" s="890"/>
      <c r="AE1010" s="890"/>
      <c r="AF1010" s="891"/>
      <c r="AG1010" s="196">
        <f ca="1">IF($B$1002="Лікар загальної практики - сімейний лікар",IF(AG1006&lt;Законод!$C$22,0,(IF(AND(AG1006&gt;=Законод!$G$22,AG1006&lt;=Законод!$G$23),AG1006-Законод!$F$23,IF('01_Доходи'!AG1006&gt;=Законод!$H$22,Законод!$G$24,0)))),IF($B$1002="Лікар-педіатр",IF(AG1006&lt;Законод!$C$18,0,(IF(AND(AG1006&gt;=Законод!$G$18,AG1006&lt;=Законод!$G$19),AG1006-Законод!$F$19,IF('01_Доходи'!AG1006&gt;=Законод!$H$18,Законод!$G$20,0)))),IF($B$1002="Лікар-терапевт",IF(AG1006&lt;Законод!$C$26,0,(IF(AND(AG1006&gt;=Законод!$G$26,AG1006&lt;=Законод!$G$27),AG1006-Законод!$F$27,IF('01_Доходи'!AG1006&gt;=Законод!$H$26,Законод!$G$28,0)))),0)))</f>
        <v>0</v>
      </c>
      <c r="AH1010" s="930"/>
      <c r="AI1010" s="201"/>
      <c r="AJ1010" s="933"/>
      <c r="AK1010" s="927"/>
      <c r="AL1010" s="927"/>
      <c r="AM1010" s="899"/>
      <c r="AN1010" s="210">
        <f ca="1">IF(B1002="Лікар загальної практики - сімейний лікар",L1010*Законод!$C$9/4*Законод!$G$16,IF(B1002="Лікар-педіатр",L1010*Законод!$C$9/4*Законод!$G$16,IF(B1002="Лікар-терапевт",L1010*Законод!$C$9/4*Законод!$G$16,0)))</f>
        <v>0</v>
      </c>
      <c r="AO1010" s="210">
        <f ca="1">IF(B1002="Лікар загальної практики - сімейний лікар",S1010*Законод!$C$9/4*Законод!$G$16,IF(B1002="Лікар-педіатр",S1010*Законод!$C$9/4*Законод!$G$16,IF(B1002="Лікар-терапевт",S1010*Законод!$C$9/4*Законод!$G$16,0)))</f>
        <v>0</v>
      </c>
      <c r="AP1010" s="210">
        <f ca="1">IF(B1002="Лікар загальної практики - сімейний лікар",Z1010*Законод!$C$9/4*Законод!$G$16,IF(B1002="Лікар-педіатр",Z1010*Законод!$C$9/4*Законод!$G$16,IF(B1002="Лікар-терапевт",Z1010*Законод!$C$9/4*Законод!$G$16,0)))</f>
        <v>0</v>
      </c>
      <c r="AQ1010" s="210">
        <f ca="1">IF(B1002="Лікар загальної практики - сімейний лікар",AG1010*Законод!$C$9/4*Законод!$G$16,IF(B1002="Лікар-педіатр",AG1010*Законод!$C$9/4*Законод!$G$16,IF(B1002="Лікар-терапевт",AG1010*Законод!$C$9/4*Законод!$G$16,0)))</f>
        <v>0</v>
      </c>
      <c r="AR1010" s="211">
        <f t="shared" si="104"/>
        <v>0</v>
      </c>
    </row>
    <row r="1011" spans="1:44" s="50" customFormat="1" ht="31.9" hidden="1" customHeight="1">
      <c r="A1011" s="197"/>
      <c r="B1011" s="893"/>
      <c r="C1011" s="896"/>
      <c r="D1011" s="912"/>
      <c r="E1011" s="909"/>
      <c r="F1011" s="238" t="str">
        <f ca="1">IF(B1002="Лікар-педіатр",Законод!$H$17,IF(B1002="Лікар загальної практики - сімейний лікар",Законод!$H$21,IF(B1002="Лікар-терапевт",Законод!$H$25,"х")))</f>
        <v>х</v>
      </c>
      <c r="G1011" s="889" t="s">
        <v>346</v>
      </c>
      <c r="H1011" s="890"/>
      <c r="I1011" s="890"/>
      <c r="J1011" s="890"/>
      <c r="K1011" s="891"/>
      <c r="L1011" s="196">
        <f ca="1">IF($B$1002="Лікар загальної практики - сімейний лікар",IF(L1006&lt;Законод!$C$22,0,(IF(AND(L1006&gt;=Законод!$H$22,L1006&lt;=Законод!$H$23),L1006-Законод!$G$23,IF('01_Доходи'!L1006&gt;=Законод!$I$22,Законод!$H$24,0)))),IF($B$1002="Лікар-педіатр",IF(L1006&lt;Законод!$C$18,0,(IF(AND(L1006&gt;=Законод!$H$18,L1006&lt;=Законод!$H$19),L1006-Законод!$G$19,IF('01_Доходи'!L1006&gt;=Законод!$I$18,Законод!$H$20,0)))),IF($B$1002="Лікар-терапевт",IF(L1006&lt;Законод!$C$26,0,(IF(AND(L1006&gt;=Законод!$H$26,L1006&lt;=Законод!$H$27),L1006-Законод!$G$27,IF(L1006&gt;=Законод!$I$26,Законод!$H$28,0)))),0)))</f>
        <v>0</v>
      </c>
      <c r="M1011" s="930"/>
      <c r="N1011" s="889" t="s">
        <v>346</v>
      </c>
      <c r="O1011" s="890"/>
      <c r="P1011" s="890"/>
      <c r="Q1011" s="890"/>
      <c r="R1011" s="891"/>
      <c r="S1011" s="196">
        <f ca="1">IF($B$1002="Лікар загальної практики - сімейний лікар",IF(S1006&lt;Законод!$C$22,0,(IF(AND(S1006&gt;=Законод!$H$22,S1006&lt;=Законод!$H$23),S1006-Законод!$G$23,IF('01_Доходи'!S1006&gt;=Законод!$I$22,Законод!$H$24,0)))),IF($B$1002="Лікар-педіатр",IF(S1006&lt;Законод!$C$18,0,(IF(AND(S1006&gt;=Законод!$H$18,S1006&lt;=Законод!$H$19),S1006-Законод!$G$19,IF('01_Доходи'!S1006&gt;=Законод!$I$18,Законод!$H$20,0)))),IF($B$1002="Лікар-терапевт",IF(S1006&lt;Законод!$C$26,0,(IF(AND(S1006&gt;=Законод!$H$26,S1006&lt;=Законод!$H$27),S1006-Законод!$G$27,IF(S1006&gt;=Законод!$I$26,Законод!$H$28,0)))),0)))</f>
        <v>0</v>
      </c>
      <c r="T1011" s="930"/>
      <c r="U1011" s="889" t="s">
        <v>346</v>
      </c>
      <c r="V1011" s="890"/>
      <c r="W1011" s="890"/>
      <c r="X1011" s="890"/>
      <c r="Y1011" s="891"/>
      <c r="Z1011" s="196">
        <f ca="1">IF($B$1002="Лікар загальної практики - сімейний лікар",IF(Z1006&lt;Законод!$C$22,0,(IF(AND(Z1006&gt;=Законод!$H$22,Z1006&lt;=Законод!$H$23),Z1006-Законод!$G$23,IF('01_Доходи'!Z1006&gt;=Законод!$I$22,Законод!$H$24,0)))),IF($B$1002="Лікар-педіатр",IF(Z1006&lt;Законод!$C$18,0,(IF(AND(Z1006&gt;=Законод!$H$18,Z1006&lt;=Законод!$H$19),Z1006-Законод!$G$19,IF('01_Доходи'!Z1006&gt;=Законод!$I$18,Законод!$H$20,0)))),IF($B$1002="Лікар-терапевт",IF(Z1006&lt;Законод!$C$26,0,(IF(AND(Z1006&gt;=Законод!$H$26,Z1006&lt;=Законод!$H$27),Z1006-Законод!$G$27,IF(Z1006&gt;=Законод!$I$26,Законод!$H$28,0)))),0)))</f>
        <v>0</v>
      </c>
      <c r="AA1011" s="930"/>
      <c r="AB1011" s="889" t="s">
        <v>346</v>
      </c>
      <c r="AC1011" s="890"/>
      <c r="AD1011" s="890"/>
      <c r="AE1011" s="890"/>
      <c r="AF1011" s="891"/>
      <c r="AG1011" s="196">
        <f ca="1">IF($B$1002="Лікар загальної практики - сімейний лікар",IF(AG1006&lt;Законод!$C$22,0,(IF(AND(AG1006&gt;=Законод!$H$22,AG1006&lt;=Законод!$H$23),AG1006-Законод!$G$23,IF('01_Доходи'!AG1006&gt;=Законод!$I$22,Законод!$H$24,0)))),IF($B$1002="Лікар-педіатр",IF(AG1006&lt;Законод!$C$18,0,(IF(AND(AG1006&gt;=Законод!$H$18,AG1006&lt;=Законод!$H$19),AG1006-Законод!$G$19,IF('01_Доходи'!AG1006&gt;=Законод!$I$18,Законод!$H$20,0)))),IF($B$1002="Лікар-терапевт",IF(AG1006&lt;Законод!$C$26,0,(IF(AND(AG1006&gt;=Законод!$H$26,AG1006&lt;=Законод!$H$27),AG1006-Законод!$G$27,IF(AG1006&gt;=Законод!$I$26,Законод!$H$28,0)))),0)))</f>
        <v>0</v>
      </c>
      <c r="AH1011" s="930"/>
      <c r="AI1011" s="201"/>
      <c r="AJ1011" s="933"/>
      <c r="AK1011" s="927"/>
      <c r="AL1011" s="927"/>
      <c r="AM1011" s="899"/>
      <c r="AN1011" s="210">
        <f ca="1">IF(B1002="Лікар загальної практики - сімейний лікар",L1011*Законод!$C$9/4*Законод!$H$16,IF(B1002="Лікар-педіатр",L1011*Законод!$C$9/4*Законод!$H$16,IF(B1002="Лікар-терапевт",L1011*Законод!$C$9/4*Законод!$H$16,0)))</f>
        <v>0</v>
      </c>
      <c r="AO1011" s="210">
        <f ca="1">IF(B1002="Лікар загальної практики - сімейний лікар",S1011*Законод!$C$9/4*Законод!$H$16,IF(B1002="Лікар-педіатр",S1011*Законод!$C$9/4*Законод!$H$16,IF(B1002="Лікар-терапевт",S1011*Законод!$C$9/4*Законод!$H$16,0)))</f>
        <v>0</v>
      </c>
      <c r="AP1011" s="210">
        <f ca="1">IF(B1002="Лікар загальної практики - сімейний лікар",Z1011*Законод!$C$9/4*Законод!$H$16,IF(B1002="Лікар-педіатр",Z1011*Законод!$C$9/4*Законод!$H$16,IF(B1002="Лікар-терапевт",Z1011*Законод!$C$9/4*Законод!$H$16,0)))</f>
        <v>0</v>
      </c>
      <c r="AQ1011" s="210">
        <f ca="1">IF(B1002="Лікар загальної практики - сімейний лікар",AG1011*Законод!$C$9/4*Законод!$H$16,IF(B1002="Лікар-педіатр",AG1011*Законод!$C$9/4*Законод!$H$16,IF(B1002="Лікар-терапевт",AG1011*Законод!$C$9/4*Законод!$H$16,0)))</f>
        <v>0</v>
      </c>
      <c r="AR1011" s="211">
        <f t="shared" si="104"/>
        <v>0</v>
      </c>
    </row>
    <row r="1012" spans="1:44" s="50" customFormat="1" ht="31.9" hidden="1" customHeight="1">
      <c r="A1012" s="197"/>
      <c r="B1012" s="893"/>
      <c r="C1012" s="896"/>
      <c r="D1012" s="912"/>
      <c r="E1012" s="909"/>
      <c r="F1012" s="238" t="str">
        <f ca="1">IF(B1002="Лікар-педіатр",Законод!$I$17,IF(B1002="Лікар загальної практики - сімейний лікар",Законод!$I$21,IF(B1002="Лікар-терапевт",Законод!$I$25,"х")))</f>
        <v>х</v>
      </c>
      <c r="G1012" s="889" t="s">
        <v>346</v>
      </c>
      <c r="H1012" s="890"/>
      <c r="I1012" s="890"/>
      <c r="J1012" s="890"/>
      <c r="K1012" s="891"/>
      <c r="L1012" s="196">
        <f ca="1">IF($B$1002="Лікар загальної практики - сімейний лікар",IF(L1006&lt;Законод!$C$22,0,(IF(AND(L1006&gt;=Законод!$I$22,L1006&lt;=Законод!$I$23),L1006-Законод!$H$23,IF('01_Доходи'!L1006&gt;=Законод!$I$22,Законод!$I$24,0)))),IF($B$1002="Лікар-педіатр",IF(L1006&lt;Законод!$C$18,0,(IF(AND(L1006&gt;=Законод!$I$18,L1006&lt;=Законод!$I$19),L1006-Законод!$H$19,IF('01_Доходи'!L1006&gt;=Законод!$I$18,Законод!$H$20,0)))),IF($B$1002="Лікар-терапевт",IF(L1006&lt;Законод!$C$26,0,(IF(AND(L1006&gt;=Законод!$I$26,L1006&lt;=Законод!$I$27),L1006-Законод!$H$27,IF('01_Доходи'!L1006&gt;=Законод!$I$26,Законод!$H$28,0)))),0)))</f>
        <v>0</v>
      </c>
      <c r="M1012" s="930"/>
      <c r="N1012" s="889" t="s">
        <v>346</v>
      </c>
      <c r="O1012" s="890"/>
      <c r="P1012" s="890"/>
      <c r="Q1012" s="890"/>
      <c r="R1012" s="891"/>
      <c r="S1012" s="196">
        <f ca="1">IF($B$1002="Лікар загальної практики - сімейний лікар",IF(S1006&lt;Законод!$C$22,0,(IF(AND(S1006&gt;=Законод!$I$22,S1006&lt;=Законод!$I$23),S1006-Законод!$H$23,IF('01_Доходи'!S1006&gt;=Законод!$I$22,Законод!$I$24,0)))),IF($B$1002="Лікар-педіатр",IF(S1006&lt;Законод!$C$18,0,(IF(AND(S1006&gt;=Законод!$I$18,S1006&lt;=Законод!$I$19),S1006-Законод!$H$19,IF('01_Доходи'!S1006&gt;=Законод!$I$18,Законод!$H$20,0)))),IF($B$1002="Лікар-терапевт",IF(S1006&lt;Законод!$C$26,0,(IF(AND(S1006&gt;=Законод!$I$26,S1006&lt;=Законод!$I$27),S1006-Законод!$H$27,IF('01_Доходи'!S1006&gt;=Законод!$I$26,Законод!$H$28,0)))),0)))</f>
        <v>0</v>
      </c>
      <c r="T1012" s="930"/>
      <c r="U1012" s="889" t="s">
        <v>346</v>
      </c>
      <c r="V1012" s="890"/>
      <c r="W1012" s="890"/>
      <c r="X1012" s="890"/>
      <c r="Y1012" s="891"/>
      <c r="Z1012" s="196">
        <f ca="1">IF($B$1002="Лікар загальної практики - сімейний лікар",IF(Z1006&lt;Законод!$C$22,0,(IF(AND(Z1006&gt;=Законод!$I$22,Z1006&lt;=Законод!$I$23),Z1006-Законод!$H$23,IF('01_Доходи'!Z1006&gt;=Законод!$I$22,Законод!$I$24,0)))),IF($B$1002="Лікар-педіатр",IF(Z1006&lt;Законод!$C$18,0,(IF(AND(Z1006&gt;=Законод!$I$18,Z1006&lt;=Законод!$I$19),Z1006-Законод!$H$19,IF('01_Доходи'!Z1006&gt;=Законод!$I$18,Законод!$H$20,0)))),IF($B$1002="Лікар-терапевт",IF(Z1006&lt;Законод!$C$26,0,(IF(AND(Z1006&gt;=Законод!$I$26,Z1006&lt;=Законод!$I$27),Z1006-Законод!$H$27,IF('01_Доходи'!Z1006&gt;=Законод!$I$26,Законод!$H$28,0)))),0)))</f>
        <v>0</v>
      </c>
      <c r="AA1012" s="930"/>
      <c r="AB1012" s="889" t="s">
        <v>346</v>
      </c>
      <c r="AC1012" s="890"/>
      <c r="AD1012" s="890"/>
      <c r="AE1012" s="890"/>
      <c r="AF1012" s="891"/>
      <c r="AG1012" s="196">
        <f ca="1">IF($B$1002="Лікар загальної практики - сімейний лікар",IF(AG1006&lt;Законод!$C$22,0,(IF(AND(AG1006&gt;=Законод!$I$22,AG1006&lt;=Законод!$I$23),AG1006-Законод!$H$23,IF('01_Доходи'!AG1006&gt;=Законод!$I$22,Законод!$I$24,0)))),IF($B$1002="Лікар-педіатр",IF(AG1006&lt;Законод!$C$18,0,(IF(AND(AG1006&gt;=Законод!$I$18,AG1006&lt;=Законод!$I$19),AG1006-Законод!$H$19,IF('01_Доходи'!AG1006&gt;=Законод!$I$18,Законод!$H$20,0)))),IF($B$1002="Лікар-терапевт",IF(AG1006&lt;Законод!$C$26,0,(IF(AND(AG1006&gt;=Законод!$I$26,AG1006&lt;=Законод!$I$27),AG1006-Законод!$H$27,IF('01_Доходи'!AG1006&gt;=Законод!$I$26,Законод!$H$28,0)))),0)))</f>
        <v>0</v>
      </c>
      <c r="AH1012" s="930"/>
      <c r="AI1012" s="201"/>
      <c r="AJ1012" s="933"/>
      <c r="AK1012" s="927"/>
      <c r="AL1012" s="927"/>
      <c r="AM1012" s="899"/>
      <c r="AN1012" s="210">
        <f ca="1">IF(B1002="Лікар загальної практики - сімейний лікар",L1012*Законод!$C$9/4*Законод!$I$16,IF(B1002="Лікар-педіатр",L1012*Законод!$C$9/4*Законод!$I$16,IF(B1002="Лікар-терапевт",L1012*Законод!$C$9/4*Законод!$I$16,0)))</f>
        <v>0</v>
      </c>
      <c r="AO1012" s="210">
        <f ca="1">IF(B1002="Лікар загальної практики - сімейний лікар",S1012*Законод!$C$9/4*Законод!$I$16,IF(B1002="Лікар-педіатр",S1012*Законод!$C$9/4*Законод!$I$16,IF(B1002="Лікар-терапевт",S1012*Законод!$C$9/4*Законод!$I$16,0)))</f>
        <v>0</v>
      </c>
      <c r="AP1012" s="210">
        <f ca="1">IF(B1002="Лікар загальної практики - сімейний лікар",Z1012*Законод!$C$9/4*Законод!$I$16,IF(B1002="Лікар-педіатр",Z1012*Законод!$C$9/4*Законод!$I$16,IF(B1002="Лікар-терапевт",Z1012*Законод!$C$9/4*Законод!$I$16,0)))</f>
        <v>0</v>
      </c>
      <c r="AQ1012" s="210">
        <f ca="1">IF(B1002="Лікар загальної практики - сімейний лікар",AG1012*Законод!$C$9/4*Законод!$I$16,IF(B1002="Лікар-педіатр",AG1012*Законод!$C$9/4*Законод!$I$16,IF(B1002="Лікар-терапевт",AG1012*Законод!$C$9/4*Законод!$I$16,0)))</f>
        <v>0</v>
      </c>
      <c r="AR1012" s="211">
        <f t="shared" si="104"/>
        <v>0</v>
      </c>
    </row>
    <row r="1013" spans="1:44" s="218" customFormat="1" ht="31.9" hidden="1" customHeight="1" thickBot="1">
      <c r="A1013" s="213"/>
      <c r="B1013" s="894"/>
      <c r="C1013" s="897"/>
      <c r="D1013" s="913"/>
      <c r="E1013" s="910"/>
      <c r="F1013" s="239" t="str">
        <f ca="1">IF(B1002="Лікар-педіатр",Законод!$J$17,IF(B1002="Лікар загальної практики - сімейний лікар",Законод!$J$21,IF(B1002="Лікар-терапевт",Законод!$J$25,"х")))</f>
        <v>х</v>
      </c>
      <c r="G1013" s="935" t="s">
        <v>346</v>
      </c>
      <c r="H1013" s="936"/>
      <c r="I1013" s="936"/>
      <c r="J1013" s="936"/>
      <c r="K1013" s="937"/>
      <c r="L1013" s="196">
        <f ca="1">IF($B$1002="Лікар загальної практики - сімейний лікар",IF(L1006&gt;=Законод!$J$22,'01_Доходи'!L1006-('01_Доходи'!L1007+'01_Доходи'!L1008+'01_Доходи'!L1009+'01_Доходи'!L1010+'01_Доходи'!L1011+'01_Доходи'!L1012),0),IF($B$1002="Лікар-педіатр",IF(L1006&gt;=Законод!$J$18,'01_Доходи'!L1006-('01_Доходи'!L1007+'01_Доходи'!L1008+'01_Доходи'!L1009+'01_Доходи'!L1010+'01_Доходи'!L1011+'01_Доходи'!L1012),0),IF($B$1002="Лікар-терапевт",IF('01_Доходи'!L1006&gt;=Законод!$J$26,L1006-Законод!$I$27,0),0)))</f>
        <v>0</v>
      </c>
      <c r="M1013" s="931"/>
      <c r="N1013" s="935" t="s">
        <v>346</v>
      </c>
      <c r="O1013" s="936"/>
      <c r="P1013" s="936"/>
      <c r="Q1013" s="936"/>
      <c r="R1013" s="937"/>
      <c r="S1013" s="196">
        <f ca="1">IF($B$1002="Лікар загальної практики - сімейний лікар",IF(S1006&gt;=Законод!$J$22,'01_Доходи'!S1006-('01_Доходи'!S1007+'01_Доходи'!S1008+'01_Доходи'!S1009+'01_Доходи'!S1010+'01_Доходи'!S1011+'01_Доходи'!S1012),0),IF($B$1002="Лікар-педіатр",IF(S1006&gt;=Законод!$J$18,'01_Доходи'!S1006-('01_Доходи'!S1007+'01_Доходи'!S1008+'01_Доходи'!S1009+'01_Доходи'!S1010+'01_Доходи'!S1011+'01_Доходи'!S1012),0),IF($B$1002="Лікар-терапевт",IF('01_Доходи'!S1006&gt;=Законод!$J$26,S1006-Законод!$I$27,0),0)))</f>
        <v>0</v>
      </c>
      <c r="T1013" s="931"/>
      <c r="U1013" s="935" t="s">
        <v>346</v>
      </c>
      <c r="V1013" s="936"/>
      <c r="W1013" s="936"/>
      <c r="X1013" s="936"/>
      <c r="Y1013" s="937"/>
      <c r="Z1013" s="196">
        <f ca="1">IF($B$1002="Лікар загальної практики - сімейний лікар",IF(Z1006&gt;=Законод!$J$22,'01_Доходи'!Z1006-('01_Доходи'!Z1007+'01_Доходи'!Z1008+'01_Доходи'!Z1009+'01_Доходи'!Z1010+'01_Доходи'!Z1011+'01_Доходи'!Z1012),0),IF($B$1002="Лікар-педіатр",IF(Z1006&gt;=Законод!$J$18,'01_Доходи'!Z1006-('01_Доходи'!Z1007+'01_Доходи'!Z1008+'01_Доходи'!Z1009+'01_Доходи'!Z1010+'01_Доходи'!Z1011+'01_Доходи'!Z1012),0),IF($B$1002="Лікар-терапевт",IF('01_Доходи'!Z1006&gt;=Законод!$J$26,Z1006-Законод!$I$27,0),0)))</f>
        <v>0</v>
      </c>
      <c r="AA1013" s="931"/>
      <c r="AB1013" s="935" t="s">
        <v>346</v>
      </c>
      <c r="AC1013" s="936"/>
      <c r="AD1013" s="936"/>
      <c r="AE1013" s="936"/>
      <c r="AF1013" s="937"/>
      <c r="AG1013" s="196">
        <f ca="1">IF($B$1002="Лікар загальної практики - сімейний лікар",IF(AG1006&gt;=Законод!$J$22,'01_Доходи'!AG1006-('01_Доходи'!AG1007+'01_Доходи'!AG1008+'01_Доходи'!AG1009+'01_Доходи'!AG1010+'01_Доходи'!AG1011+'01_Доходи'!AG1012),0),IF($B$1002="Лікар-педіатр",IF(AG1006&gt;=Законод!$J$18,'01_Доходи'!AG1006-('01_Доходи'!AG1007+'01_Доходи'!AG1008+'01_Доходи'!AG1009+'01_Доходи'!AG1010+'01_Доходи'!AG1011+'01_Доходи'!AG1012),0),IF($B$1002="Лікар-терапевт",IF('01_Доходи'!AG1006&gt;=Законод!$J$26,AG1006-Законод!$I$27,0),0)))</f>
        <v>0</v>
      </c>
      <c r="AH1013" s="931"/>
      <c r="AI1013" s="215"/>
      <c r="AJ1013" s="934"/>
      <c r="AK1013" s="928"/>
      <c r="AL1013" s="928"/>
      <c r="AM1013" s="900"/>
      <c r="AN1013" s="216">
        <f ca="1">IF(B1002="Лікар загальної практики - сімейний лікар",L1013*Законод!$C$9/4*Законод!$J$16,IF(B1002="Лікар-педіатр",L1013*Законод!$C$9/4*Законод!$J$16,IF(B1002="Лікар-терапевт",L1013*Законод!$C$9/4*Законод!$J$16,0)))</f>
        <v>0</v>
      </c>
      <c r="AO1013" s="216">
        <f ca="1">IF(B1002="Лікар загальної практики - сімейний лікар",S1013*Законод!$C$9/4*Законод!$J$16,IF(B1002="Лікар-педіатр",S1013*Законод!$C$9/4*Законод!$J$16,IF(B1002="Лікар-терапевт",S1013*Законод!$C$9/4*Законод!$J$16,0)))</f>
        <v>0</v>
      </c>
      <c r="AP1013" s="216">
        <f ca="1">IF(B1002="Лікар загальної практики - сімейний лікар",S1013*Законод!$C$9/4*Законод!$J$16,IF(B1002="Лікар-педіатр",S1013*Законод!$C$9/4*Законод!$J$16,IF(B1002="Лікар-терапевт",S1013*Законод!$C$9/4*Законод!$J$16,0)))</f>
        <v>0</v>
      </c>
      <c r="AQ1013" s="216">
        <f ca="1">IF(B1002="Лікар загальної практики - сімейний лікар",AG1013*Законод!$C$9/4*Законод!$J$16,IF(B1002="Лікар-педіатр",AG1013*Законод!$C$9/4*Законод!$J$16,IF(B1002="Лікар-терапевт",AG1013*Законод!$C$9/4*Законод!$J$16,0)))</f>
        <v>0</v>
      </c>
      <c r="AR1013" s="217">
        <f t="shared" si="104"/>
        <v>0</v>
      </c>
    </row>
    <row r="1014" spans="1:44" s="247" customFormat="1" ht="23.45" hidden="1" customHeight="1" thickBot="1">
      <c r="A1014" s="243"/>
      <c r="B1014" s="244"/>
      <c r="C1014" s="244"/>
      <c r="D1014" s="244"/>
      <c r="E1014" s="244"/>
      <c r="F1014" s="245"/>
      <c r="G1014" s="246"/>
      <c r="H1014" s="246"/>
      <c r="L1014" s="248"/>
      <c r="S1014" s="248"/>
      <c r="Z1014" s="248"/>
      <c r="AG1014" s="248"/>
      <c r="AM1014" s="249"/>
      <c r="AR1014" s="250"/>
    </row>
    <row r="1015" spans="1:44" s="191" customFormat="1" ht="24.6" hidden="1" customHeight="1">
      <c r="A1015" s="194">
        <f>A1002+1</f>
        <v>76</v>
      </c>
      <c r="B1015" s="892"/>
      <c r="C1015" s="895"/>
      <c r="D1015" s="911"/>
      <c r="E1015" s="908"/>
      <c r="F1015" s="234" t="s">
        <v>582</v>
      </c>
      <c r="G1015" s="196">
        <f>IF($B$1015="Лікар-педіатр",G1018*L1015,IF($B$1015="Лікар-терапевт","х",IF($B$1015="Лікар загальної практики - сімейний лікар",G1018*L1015,0)))</f>
        <v>0</v>
      </c>
      <c r="H1015" s="196">
        <f>IF($B$1015="Лікар-педіатр",H1018*L1015,IF($B$1015="Лікар-терапевт","х",IF($B$1015="Лікар загальної практики - сімейний лікар",H1018*L1015,0)))</f>
        <v>0</v>
      </c>
      <c r="I1015" s="196">
        <f>IF($B$1015="Лікар-педіатр","x",IF($B$1015="Лікар-терапевт",I1018*L1015,IF($B$1015="Лікар загальної практики - сімейний лікар",I1018*L1015,0)))</f>
        <v>0</v>
      </c>
      <c r="J1015" s="196">
        <f>IF($B$1015="Лікар-педіатр","x",IF($B$1015="Лікар-терапевт",J1018*L1015,IF($B$1015="Лікар загальної практики - сімейний лікар",J1018*L1015,0)))</f>
        <v>0</v>
      </c>
      <c r="K1015" s="196">
        <f>IF($B$1015="Лікар-педіатр","x",IF($B$1015="Лікар-терапевт",K1018*L1015,IF($B$1015="Лікар загальної практики - сімейний лікар",K1018*L1015,0)))</f>
        <v>0</v>
      </c>
      <c r="L1015" s="558"/>
      <c r="M1015" s="929"/>
      <c r="N1015" s="196">
        <f>IF($B$1015="Лікар-педіатр",N1018*S1015,IF($B$1015="Лікар-терапевт","х",IF($B$1015="Лікар загальної практики - сімейний лікар",N1018*S1015,0)))</f>
        <v>0</v>
      </c>
      <c r="O1015" s="196">
        <f>IF($B$1015="Лікар-педіатр",O1018*S1015,IF($B$1015="Лікар-терапевт","х",IF($B$1015="Лікар загальної практики - сімейний лікар",O1018*S1015,0)))</f>
        <v>0</v>
      </c>
      <c r="P1015" s="196">
        <f>IF($B$1015="Лікар-педіатр","x",IF($B$1015="Лікар-терапевт",P1018*S1015,IF($B$1015="Лікар загальної практики - сімейний лікар",P1018*S1015,0)))</f>
        <v>0</v>
      </c>
      <c r="Q1015" s="196">
        <f>IF($B$1015="Лікар-педіатр","x",IF($B$1015="Лікар-терапевт",Q1018*S1015,IF($B$1015="Лікар загальної практики - сімейний лікар",Q1018*S1015,0)))</f>
        <v>0</v>
      </c>
      <c r="R1015" s="196">
        <f>IF($B$1015="Лікар-педіатр","x",IF($B$1015="Лікар-терапевт",R1018*S1015,IF($B$1015="Лікар загальної практики - сімейний лікар",R1018*S1015,0)))</f>
        <v>0</v>
      </c>
      <c r="S1015" s="558"/>
      <c r="T1015" s="929"/>
      <c r="U1015" s="196">
        <f>IF($B$1015="Лікар-педіатр",U1018*Z1015,IF($B$1015="Лікар-терапевт","х",IF($B$1015="Лікар загальної практики - сімейний лікар",U1018*Z1015,0)))</f>
        <v>0</v>
      </c>
      <c r="V1015" s="196">
        <f>IF($B$1015="Лікар-педіатр",V1018*Z1015,IF($B$1015="Лікар-терапевт","х",IF($B$1015="Лікар загальної практики - сімейний лікар",V1018*Z1015,0)))</f>
        <v>0</v>
      </c>
      <c r="W1015" s="196">
        <f>IF($B$1015="Лікар-педіатр","x",IF($B$1015="Лікар-терапевт",W1018*Z1015,IF($B$1015="Лікар загальної практики - сімейний лікар",W1018*Z1015,0)))</f>
        <v>0</v>
      </c>
      <c r="X1015" s="196">
        <f>IF($B$1015="Лікар-педіатр","x",IF($B$1015="Лікар-терапевт",X1018*Z1015,IF($B$1015="Лікар загальної практики - сімейний лікар",X1018*Z1015,0)))</f>
        <v>0</v>
      </c>
      <c r="Y1015" s="196">
        <f>IF($B$1015="Лікар-педіатр","x",IF($B$1015="Лікар-терапевт",Y1018*Z1015,IF($B$1015="Лікар загальної практики - сімейний лікар",Y1018*Z1015,0)))</f>
        <v>0</v>
      </c>
      <c r="Z1015" s="558"/>
      <c r="AA1015" s="929"/>
      <c r="AB1015" s="196">
        <f>IF($B$1015="Лікар-педіатр",AB1018*AG1015,IF($B$1015="Лікар-терапевт","х",IF($B$1015="Лікар загальної практики - сімейний лікар",AB1018*AG1015,0)))</f>
        <v>0</v>
      </c>
      <c r="AC1015" s="196">
        <f>IF($B$1015="Лікар-педіатр",AC1018*AG1015,IF($B$1015="Лікар-терапевт","х",IF($B$1015="Лікар загальної практики - сімейний лікар",AC1018*AG1015,0)))</f>
        <v>0</v>
      </c>
      <c r="AD1015" s="196">
        <f>IF($B$1015="Лікар-педіатр","x",IF($B$1015="Лікар-терапевт",AD1018*AG1015,IF($B$1015="Лікар загальної практики - сімейний лікар",AD1018*AG1015,0)))</f>
        <v>0</v>
      </c>
      <c r="AE1015" s="196">
        <f>IF($B$1015="Лікар-педіатр","x",IF($B$1015="Лікар-терапевт",AE1018*AG1015,IF($B$1015="Лікар загальної практики - сімейний лікар",AE1018*AG1015,0)))</f>
        <v>0</v>
      </c>
      <c r="AF1015" s="196">
        <f>IF($B$1015="Лікар-педіатр","x",IF($B$1015="Лікар-терапевт",AF1018*AG1015,IF($B$1015="Лікар загальної практики - сімейний лікар",AF1018*AG1015,0)))</f>
        <v>0</v>
      </c>
      <c r="AG1015" s="558"/>
      <c r="AH1015" s="929"/>
      <c r="AI1015" s="541">
        <f>A1015</f>
        <v>76</v>
      </c>
      <c r="AJ1015" s="932">
        <f>B1015</f>
        <v>0</v>
      </c>
      <c r="AK1015" s="926">
        <f>C1015</f>
        <v>0</v>
      </c>
      <c r="AL1015" s="926">
        <f>D1015</f>
        <v>0</v>
      </c>
      <c r="AM1015" s="901" t="s">
        <v>785</v>
      </c>
      <c r="AN1015" s="923">
        <f>SUM(AN1020:AN1026)</f>
        <v>0</v>
      </c>
      <c r="AO1015" s="923">
        <f>SUM(AO1020:AO1026)</f>
        <v>0</v>
      </c>
      <c r="AP1015" s="923">
        <f>SUM(AP1020:AP1026)</f>
        <v>0</v>
      </c>
      <c r="AQ1015" s="923">
        <f>SUM(AQ1020:AQ1026)</f>
        <v>0</v>
      </c>
      <c r="AR1015" s="914">
        <f>SUM(AN1015:AQ1019)</f>
        <v>0</v>
      </c>
    </row>
    <row r="1016" spans="1:44" s="50" customFormat="1" ht="28.15" hidden="1" customHeight="1">
      <c r="A1016" s="197"/>
      <c r="B1016" s="893"/>
      <c r="C1016" s="896"/>
      <c r="D1016" s="912"/>
      <c r="E1016" s="909"/>
      <c r="F1016" s="234" t="s">
        <v>583</v>
      </c>
      <c r="G1016" s="196">
        <f>IF($B$1015="Лікар-педіатр",G1018*L1016,IF($B$1015="Лікар-терапевт","х",IF($B$1015="Лікар загальної практики - сімейний лікар",G1018*L1016,0)))</f>
        <v>0</v>
      </c>
      <c r="H1016" s="196">
        <f>IF($B$1015="Лікар-педіатр",H1018*L1016,IF($B$1015="Лікар-терапевт","х",IF($B$1015="Лікар загальної практики - сімейний лікар",H1018*L1016,0)))</f>
        <v>0</v>
      </c>
      <c r="I1016" s="196">
        <f>IF($B$1015="Лікар-педіатр","x",IF($B$1015="Лікар-терапевт",I1018*L1016,IF($B$1015="Лікар загальної практики - сімейний лікар",I1018*L1016,0)))</f>
        <v>0</v>
      </c>
      <c r="J1016" s="196">
        <f>IF($B$1015="Лікар-педіатр","x",IF($B$1015="Лікар-терапевт",J1018*L1016,IF($B$1015="Лікар загальної практики - сімейний лікар",J1018*L1016,0)))</f>
        <v>0</v>
      </c>
      <c r="K1016" s="196">
        <f>IF($B$1015="Лікар-педіатр","x",IF($B$1015="Лікар-терапевт",K1018*L1016,IF($B$1015="Лікар загальної практики - сімейний лікар",K1018*L1016,0)))</f>
        <v>0</v>
      </c>
      <c r="L1016" s="558"/>
      <c r="M1016" s="930"/>
      <c r="N1016" s="196">
        <f>IF($B$1015="Лікар-педіатр",N1018*S1016,IF($B$1015="Лікар-терапевт","х",IF($B$1015="Лікар загальної практики - сімейний лікар",N1018*S1016,0)))</f>
        <v>0</v>
      </c>
      <c r="O1016" s="196">
        <f>IF($B$1015="Лікар-педіатр",O1018*S1016,IF($B$1015="Лікар-терапевт","х",IF($B$1015="Лікар загальної практики - сімейний лікар",O1018*S1016,0)))</f>
        <v>0</v>
      </c>
      <c r="P1016" s="196">
        <f>IF($B$1015="Лікар-педіатр","x",IF($B$1015="Лікар-терапевт",P1018*S1016,IF($B$1015="Лікар загальної практики - сімейний лікар",P1018*S1016,0)))</f>
        <v>0</v>
      </c>
      <c r="Q1016" s="196">
        <f>IF($B$1015="Лікар-педіатр","x",IF($B$1015="Лікар-терапевт",Q1018*S1016,IF($B$1015="Лікар загальної практики - сімейний лікар",Q1018*S1016,0)))</f>
        <v>0</v>
      </c>
      <c r="R1016" s="196">
        <f>IF($B$1015="Лікар-педіатр","x",IF($B$1015="Лікар-терапевт",R1018*S1016,IF($B$1015="Лікар загальної практики - сімейний лікар",R1018*S1016,0)))</f>
        <v>0</v>
      </c>
      <c r="S1016" s="558"/>
      <c r="T1016" s="930"/>
      <c r="U1016" s="196">
        <f>IF($B$1015="Лікар-педіатр",U1018*Z1016,IF($B$1015="Лікар-терапевт","х",IF($B$1015="Лікар загальної практики - сімейний лікар",U1018*Z1016,0)))</f>
        <v>0</v>
      </c>
      <c r="V1016" s="196">
        <f>IF($B$1015="Лікар-педіатр",V1018*Z1016,IF($B$1015="Лікар-терапевт","х",IF($B$1015="Лікар загальної практики - сімейний лікар",V1018*Z1016,0)))</f>
        <v>0</v>
      </c>
      <c r="W1016" s="196">
        <f>IF($B$1015="Лікар-педіатр","x",IF($B$1015="Лікар-терапевт",W1018*Z1016,IF($B$1015="Лікар загальної практики - сімейний лікар",W1018*Z1016,0)))</f>
        <v>0</v>
      </c>
      <c r="X1016" s="196">
        <f>IF($B$1015="Лікар-педіатр","x",IF($B$1015="Лікар-терапевт",X1018*Z1016,IF($B$1015="Лікар загальної практики - сімейний лікар",X1018*Z1016,0)))</f>
        <v>0</v>
      </c>
      <c r="Y1016" s="196">
        <f>IF($B$1015="Лікар-педіатр","x",IF($B$1015="Лікар-терапевт",Y1018*Z1016,IF($B$1015="Лікар загальної практики - сімейний лікар",Y1018*Z1016,0)))</f>
        <v>0</v>
      </c>
      <c r="Z1016" s="558"/>
      <c r="AA1016" s="930"/>
      <c r="AB1016" s="196">
        <f>IF($B$1015="Лікар-педіатр",AB1018*AG1016,IF($B$1015="Лікар-терапевт","х",IF($B$1015="Лікар загальної практики - сімейний лікар",AB1018*AG1016,0)))</f>
        <v>0</v>
      </c>
      <c r="AC1016" s="196">
        <f>IF($B$1015="Лікар-педіатр",AC1018*AG1016,IF($B$1015="Лікар-терапевт","х",IF($B$1015="Лікар загальної практики - сімейний лікар",AC1018*AG1016,0)))</f>
        <v>0</v>
      </c>
      <c r="AD1016" s="196">
        <f>IF($B$1015="Лікар-педіатр","x",IF($B$1015="Лікар-терапевт",AD1018*AG1016,IF($B$1015="Лікар загальної практики - сімейний лікар",AD1018*AG1016,0)))</f>
        <v>0</v>
      </c>
      <c r="AE1016" s="196">
        <f>IF($B$1015="Лікар-педіатр","x",IF($B$1015="Лікар-терапевт",AE1018*AG1016,IF($B$1015="Лікар загальної практики - сімейний лікар",AE1018*AG1016,0)))</f>
        <v>0</v>
      </c>
      <c r="AF1016" s="196">
        <f>IF($B$1015="Лікар-педіатр","x",IF($B$1015="Лікар-терапевт",AF1018*AG1016,IF($B$1015="Лікар загальної практики - сімейний лікар",AF1018*AG1016,0)))</f>
        <v>0</v>
      </c>
      <c r="AG1016" s="558"/>
      <c r="AH1016" s="930"/>
      <c r="AI1016" s="198"/>
      <c r="AJ1016" s="933"/>
      <c r="AK1016" s="927"/>
      <c r="AL1016" s="927"/>
      <c r="AM1016" s="902"/>
      <c r="AN1016" s="924"/>
      <c r="AO1016" s="924"/>
      <c r="AP1016" s="924"/>
      <c r="AQ1016" s="924"/>
      <c r="AR1016" s="915"/>
    </row>
    <row r="1017" spans="1:44" s="90" customFormat="1" ht="31.15" hidden="1" customHeight="1">
      <c r="A1017" s="240"/>
      <c r="B1017" s="893"/>
      <c r="C1017" s="896"/>
      <c r="D1017" s="912"/>
      <c r="E1017" s="909"/>
      <c r="F1017" s="241" t="s">
        <v>584</v>
      </c>
      <c r="G1017" s="199">
        <f>IF(B1015="Лікар загальної практики - сімейний лікар"," ",IF(B1015="Лікар-педіатр"," ",IF(B1015="Лікар-терапевт","х",0)))</f>
        <v>0</v>
      </c>
      <c r="H1017" s="199">
        <f>IF(B1015="Лікар загальної практики - сімейний лікар"," ",IF(B1015="Лікар-педіатр"," ",IF(B1015="Лікар-терапевт","х",0)))</f>
        <v>0</v>
      </c>
      <c r="I1017" s="199">
        <f>IF(B1015="Лікар загальної практики - сімейний лікар"," ",IF(B1015="Лікар-педіатр","х",IF(B1015="Лікар-терапевт"," ",0)))</f>
        <v>0</v>
      </c>
      <c r="J1017" s="199">
        <f>IF(B1015="Лікар загальної практики - сімейний лікар"," ",IF(B1015="Лікар-педіатр","х",IF(B1015="Лікар-терапевт"," ",0)))</f>
        <v>0</v>
      </c>
      <c r="K1017" s="199">
        <f>IF(B1015="Лікар загальної практики - сімейний лікар"," ",IF(B1015="Лікар-педіатр","х",IF(B1015="Лікар-терапевт"," ",0)))</f>
        <v>0</v>
      </c>
      <c r="L1017" s="200">
        <f>SUM(G1017:K1017)</f>
        <v>0</v>
      </c>
      <c r="M1017" s="930"/>
      <c r="N1017" s="199">
        <f>IF(B1015="Лікар загальної практики - сімейний лікар"," ",IF(B1015="Лікар-педіатр"," ",IF(B1015="Лікар-терапевт","х",0)))</f>
        <v>0</v>
      </c>
      <c r="O1017" s="199">
        <f>IF(B1015="Лікар загальної практики - сімейний лікар"," ",IF(B1015="Лікар-педіатр"," ",IF(B1015="Лікар-терапевт","х",0)))</f>
        <v>0</v>
      </c>
      <c r="P1017" s="199">
        <f>IF(B1015="Лікар загальної практики - сімейний лікар"," ",IF(B1015="Лікар-педіатр","х",IF(B1015="Лікар-терапевт"," ",0)))</f>
        <v>0</v>
      </c>
      <c r="Q1017" s="199">
        <f>IF(B1015="Лікар загальної практики - сімейний лікар"," ",IF(B1015="Лікар-педіатр","х",IF(B1015="Лікар-терапевт"," ",0)))</f>
        <v>0</v>
      </c>
      <c r="R1017" s="199">
        <f>IF(B1015="Лікар загальної практики - сімейний лікар"," ",IF(B1015="Лікар-педіатр","х",IF(B1015="Лікар-терапевт"," ",0)))</f>
        <v>0</v>
      </c>
      <c r="S1017" s="200">
        <f>SUM(N1017:R1017)</f>
        <v>0</v>
      </c>
      <c r="T1017" s="930"/>
      <c r="U1017" s="199">
        <f>IF(B1015="Лікар загальної практики - сімейний лікар"," ",IF(B1015="Лікар-педіатр"," ",IF(B1015="Лікар-терапевт","х",0)))</f>
        <v>0</v>
      </c>
      <c r="V1017" s="199">
        <f>IF(B1015="Лікар загальної практики - сімейний лікар"," ",IF(B1015="Лікар-педіатр"," ",IF(B1015="Лікар-терапевт","х",0)))</f>
        <v>0</v>
      </c>
      <c r="W1017" s="199">
        <f>IF(B1015="Лікар загальної практики - сімейний лікар"," ",IF(B1015="Лікар-педіатр","х",IF(B1015="Лікар-терапевт"," ",0)))</f>
        <v>0</v>
      </c>
      <c r="X1017" s="199">
        <f>IF(B1015="Лікар загальної практики - сімейний лікар"," ",IF(B1015="Лікар-педіатр","х",IF(B1015="Лікар-терапевт"," ",0)))</f>
        <v>0</v>
      </c>
      <c r="Y1017" s="199">
        <f>IF(B1015="Лікар загальної практики - сімейний лікар"," ",IF(B1015="Лікар-педіатр","х",IF(B1015="Лікар-терапевт"," ",0)))</f>
        <v>0</v>
      </c>
      <c r="Z1017" s="200">
        <f>SUM(U1017:Y1017)</f>
        <v>0</v>
      </c>
      <c r="AA1017" s="930"/>
      <c r="AB1017" s="199">
        <f>IF(B1015="Лікар загальної практики - сімейний лікар"," ",IF(B1015="Лікар-педіатр"," ",IF(B1015="Лікар-терапевт","х",0)))</f>
        <v>0</v>
      </c>
      <c r="AC1017" s="199">
        <f>IF(B1015="Лікар загальної практики - сімейний лікар"," ",IF(B1015="Лікар-педіатр"," ",IF(B1015="Лікар-терапевт","х",0)))</f>
        <v>0</v>
      </c>
      <c r="AD1017" s="199">
        <f>IF(B1015="Лікар загальної практики - сімейний лікар"," ",IF(B1015="Лікар-педіатр","х",IF(B1015="Лікар-терапевт"," ",0)))</f>
        <v>0</v>
      </c>
      <c r="AE1017" s="199">
        <f>IF(B1015="Лікар загальної практики - сімейний лікар"," ",IF(B1015="Лікар-педіатр","х",IF(B1015="Лікар-терапевт"," ",0)))</f>
        <v>0</v>
      </c>
      <c r="AF1017" s="199">
        <f>IF(B1015="Лікар загальної практики - сімейний лікар"," ",IF(B1015="Лікар-педіатр","х",IF(B1015="Лікар-терапевт"," ",0)))</f>
        <v>0</v>
      </c>
      <c r="AG1017" s="200">
        <f>SUM(AB1017:AF1017)</f>
        <v>0</v>
      </c>
      <c r="AH1017" s="930"/>
      <c r="AI1017" s="242"/>
      <c r="AJ1017" s="933"/>
      <c r="AK1017" s="927"/>
      <c r="AL1017" s="927"/>
      <c r="AM1017" s="902"/>
      <c r="AN1017" s="924"/>
      <c r="AO1017" s="924"/>
      <c r="AP1017" s="924"/>
      <c r="AQ1017" s="924"/>
      <c r="AR1017" s="915"/>
    </row>
    <row r="1018" spans="1:44" s="50" customFormat="1" ht="31.9" hidden="1" customHeight="1" thickBot="1">
      <c r="A1018" s="197"/>
      <c r="B1018" s="893"/>
      <c r="C1018" s="896"/>
      <c r="D1018" s="912"/>
      <c r="E1018" s="909"/>
      <c r="F1018" s="236" t="s">
        <v>349</v>
      </c>
      <c r="G1018" s="203">
        <f>IF($B$1015="Лікар-педіатр",G1017/L1017,IF($B$1015="Лікар-терапевт","х",IF($B$1015="Лікар загальної практики - сімейний лікар",G1017/L1017,0)))</f>
        <v>0</v>
      </c>
      <c r="H1018" s="203">
        <f>IF($B$1015="Лікар-педіатр",H1017/L1017,IF($B$1015="Лікар-терапевт","х",IF($B$1015="Лікар загальної практики - сімейний лікар",H1017/L1017,0)))</f>
        <v>0</v>
      </c>
      <c r="I1018" s="203">
        <f>IF($B$1015="Лікар-педіатр","x",IF($B$1015="Лікар-терапевт",I1017/L1017,IF($B$1015="Лікар загальної практики - сімейний лікар",I1017/L1017,0)))</f>
        <v>0</v>
      </c>
      <c r="J1018" s="203">
        <f>IF($B$1015="Лікар-педіатр","x",IF($B$1015="Лікар-терапевт",J1017/L1017,IF($B$1015="Лікар загальної практики - сімейний лікар",J1017/L1017,0)))</f>
        <v>0</v>
      </c>
      <c r="K1018" s="203">
        <f>IF($B$1015="Лікар-педіатр","x",IF($B$1015="Лікар-терапевт",K1017/L1017,IF($B$1015="Лікар загальної практики - сімейний лікар",K1017/L1017,0)))</f>
        <v>0</v>
      </c>
      <c r="L1018" s="203">
        <f>SUM(G1018:K1018)</f>
        <v>0</v>
      </c>
      <c r="M1018" s="930"/>
      <c r="N1018" s="203">
        <f>IF($B$1015="Лікар-педіатр",N1017/S1017,IF($B$1015="Лікар-терапевт","х",IF($B$1015="Лікар загальної практики - сімейний лікар",N1017/S1017,0)))</f>
        <v>0</v>
      </c>
      <c r="O1018" s="203">
        <f>IF($B$1015="Лікар-педіатр",O1017/S1017,IF($B$1015="Лікар-терапевт","х",IF($B$1015="Лікар загальної практики - сімейний лікар",O1017/S1017,0)))</f>
        <v>0</v>
      </c>
      <c r="P1018" s="203">
        <f>IF($B$1015="Лікар-педіатр","x",IF($B$1015="Лікар-терапевт",P1017/S1017,IF($B$1015="Лікар загальної практики - сімейний лікар",P1017/S1017,0)))</f>
        <v>0</v>
      </c>
      <c r="Q1018" s="203">
        <f>IF($B$1015="Лікар-педіатр","x",IF($B$1015="Лікар-терапевт",Q1017/S1017,IF($B$1015="Лікар загальної практики - сімейний лікар",Q1017/S1017,0)))</f>
        <v>0</v>
      </c>
      <c r="R1018" s="203">
        <f>IF($B$1015="Лікар-педіатр","x",IF($B$1015="Лікар-терапевт",R1017/S1017,IF($B$1015="Лікар загальної практики - сімейний лікар",R1017/S1017,0)))</f>
        <v>0</v>
      </c>
      <c r="S1018" s="203">
        <f>SUM(N1018:R1018)</f>
        <v>0</v>
      </c>
      <c r="T1018" s="930"/>
      <c r="U1018" s="203">
        <f>IF($B$1015="Лікар-педіатр",U1017/Z1017,IF($B$1015="Лікар-терапевт","х",IF($B$1015="Лікар загальної практики - сімейний лікар",U1017/Z1017,0)))</f>
        <v>0</v>
      </c>
      <c r="V1018" s="203">
        <f>IF($B$1015="Лікар-педіатр",V1017/Z1017,IF($B$1015="Лікар-терапевт","х",IF($B$1015="Лікар загальної практики - сімейний лікар",V1017/Z1017,0)))</f>
        <v>0</v>
      </c>
      <c r="W1018" s="203">
        <f>IF($B$1015="Лікар-педіатр","x",IF($B$1015="Лікар-терапевт",W1017/Z1017,IF($B$1015="Лікар загальної практики - сімейний лікар",W1017/Z1017,0)))</f>
        <v>0</v>
      </c>
      <c r="X1018" s="203">
        <f>IF($B$1015="Лікар-педіатр","x",IF($B$1015="Лікар-терапевт",X1017/Z1017,IF($B$1015="Лікар загальної практики - сімейний лікар",X1017/Z1017,0)))</f>
        <v>0</v>
      </c>
      <c r="Y1018" s="203">
        <f>IF($B$1015="Лікар-педіатр","x",IF($B$1015="Лікар-терапевт",Y1017/Z1017,IF($B$1015="Лікар загальної практики - сімейний лікар",Y1017/Z1017,0)))</f>
        <v>0</v>
      </c>
      <c r="Z1018" s="203">
        <f>SUM(U1018:Y1018)</f>
        <v>0</v>
      </c>
      <c r="AA1018" s="930"/>
      <c r="AB1018" s="203">
        <f>IF($B$1015="Лікар-педіатр",AB1017/AG1017,IF($B$1015="Лікар-терапевт","х",IF($B$1015="Лікар загальної практики - сімейний лікар",AB1017/AG1017,0)))</f>
        <v>0</v>
      </c>
      <c r="AC1018" s="203">
        <f>IF($B$1015="Лікар-педіатр",AC1017/AG1017,IF($B$1015="Лікар-терапевт","х",IF($B$1015="Лікар загальної практики - сімейний лікар",AC1017/AG1017,0)))</f>
        <v>0</v>
      </c>
      <c r="AD1018" s="203">
        <f>IF($B$1015="Лікар-педіатр","x",IF($B$1015="Лікар-терапевт",AD1017/AG1017,IF($B$1015="Лікар загальної практики - сімейний лікар",AD1017/AG1017,0)))</f>
        <v>0</v>
      </c>
      <c r="AE1018" s="203">
        <f>IF($B$1015="Лікар-педіатр","x",IF($B$1015="Лікар-терапевт",AE1017/AG1017,IF($B$1015="Лікар загальної практики - сімейний лікар",AE1017/AG1017,0)))</f>
        <v>0</v>
      </c>
      <c r="AF1018" s="203">
        <f>IF($B$1015="Лікар-педіатр","x",IF($B$1015="Лікар-терапевт",AF1017/AG1017,IF($B$1015="Лікар загальної практики - сімейний лікар",AF1017/AG1017,0)))</f>
        <v>0</v>
      </c>
      <c r="AG1018" s="203">
        <f>SUM(AB1018:AF1018)</f>
        <v>0</v>
      </c>
      <c r="AH1018" s="930"/>
      <c r="AI1018" s="201"/>
      <c r="AJ1018" s="933"/>
      <c r="AK1018" s="927"/>
      <c r="AL1018" s="927"/>
      <c r="AM1018" s="902"/>
      <c r="AN1018" s="924"/>
      <c r="AO1018" s="924"/>
      <c r="AP1018" s="924"/>
      <c r="AQ1018" s="924"/>
      <c r="AR1018" s="915"/>
    </row>
    <row r="1019" spans="1:44" s="50" customFormat="1" ht="45" hidden="1" customHeight="1" thickBot="1">
      <c r="A1019" s="197"/>
      <c r="B1019" s="893"/>
      <c r="C1019" s="896"/>
      <c r="D1019" s="912"/>
      <c r="E1019" s="909"/>
      <c r="F1019" s="204" t="s">
        <v>585</v>
      </c>
      <c r="G1019" s="205">
        <f>IF($B$1015="Лікар загальної практики - сімейний лікар",AVERAGE(G1015:G1017),IF($B$1015="Лікар-педіатр",AVERAGE(G1015:G1017),IF($B$1015="Лікар-терапевт","х",0)))</f>
        <v>0</v>
      </c>
      <c r="H1019" s="205">
        <f>IF($B$1015="Лікар загальної практики - сімейний лікар",AVERAGE(H1015:H1017),IF($B$1015="Лікар-педіатр",AVERAGE(H1015:H1017),IF($B$1015="Лікар-терапевт","х",0)))</f>
        <v>0</v>
      </c>
      <c r="I1019" s="205">
        <f>IF($B$1015="Лікар загальної практики - сімейний лікар",AVERAGE(I1015:I1017),IF($B$1015="Лікар-педіатр","x",IF($B$1015="Лікар-терапевт",AVERAGE(I1015:I1017),0)))</f>
        <v>0</v>
      </c>
      <c r="J1019" s="205">
        <f>IF($B$1015="Лікар загальної практики - сімейний лікар",AVERAGE(J1015:J1017),IF($B$1015="Лікар-педіатр","x",IF($B$1015="Лікар-терапевт",AVERAGE(J1015:J1017),0)))</f>
        <v>0</v>
      </c>
      <c r="K1019" s="205">
        <f>IF($B$1015="Лікар загальної практики - сімейний лікар",AVERAGE(K1015:K1017),IF($B$1015="Лікар-педіатр","x",IF($B$1015="Лікар-терапевт",AVERAGE(K1015:K1017),0)))</f>
        <v>0</v>
      </c>
      <c r="L1019" s="206">
        <f>SUM(G1019:K1019)</f>
        <v>0</v>
      </c>
      <c r="M1019" s="930"/>
      <c r="N1019" s="205">
        <f>IF($B$1015="Лікар загальної практики - сімейний лікар",AVERAGE(N1015:N1017),IF($B$1015="Лікар-педіатр",AVERAGE(N1015:N1017),IF($B$1015="Лікар-терапевт","х",0)))</f>
        <v>0</v>
      </c>
      <c r="O1019" s="205">
        <f>IF($B$1015="Лікар загальної практики - сімейний лікар",AVERAGE(O1015:O1017),IF($B$1015="Лікар-педіатр",AVERAGE(O1015:O1017),IF($B$1015="Лікар-терапевт","х",0)))</f>
        <v>0</v>
      </c>
      <c r="P1019" s="205">
        <f>IF($B$1015="Лікар загальної практики - сімейний лікар",AVERAGE(P1015:P1017),IF($B$1015="Лікар-педіатр","x",IF($B$1015="Лікар-терапевт",AVERAGE(P1015:P1017),0)))</f>
        <v>0</v>
      </c>
      <c r="Q1019" s="205">
        <f>IF($B$1015="Лікар загальної практики - сімейний лікар",AVERAGE(Q1015:Q1017),IF($B$1015="Лікар-педіатр","x",IF($B$1015="Лікар-терапевт",AVERAGE(Q1015:Q1017),0)))</f>
        <v>0</v>
      </c>
      <c r="R1019" s="205">
        <f>IF($B$1015="Лікар загальної практики - сімейний лікар",AVERAGE(R1015:R1017),IF($B$1015="Лікар-педіатр","x",IF($B$1015="Лікар-терапевт",AVERAGE(R1015:R1017),0)))</f>
        <v>0</v>
      </c>
      <c r="S1019" s="206">
        <f>SUM(N1019:R1019)</f>
        <v>0</v>
      </c>
      <c r="T1019" s="930"/>
      <c r="U1019" s="205">
        <f>IF($B$1015="Лікар загальної практики - сімейний лікар",AVERAGE(U1015:U1017),IF($B$1015="Лікар-педіатр",AVERAGE(U1015:U1017),IF($B$1015="Лікар-терапевт","х",0)))</f>
        <v>0</v>
      </c>
      <c r="V1019" s="205">
        <f>IF($B$1015="Лікар загальної практики - сімейний лікар",AVERAGE(V1015:V1017),IF($B$1015="Лікар-педіатр",AVERAGE(V1015:V1017),IF($B$1015="Лікар-терапевт","х",0)))</f>
        <v>0</v>
      </c>
      <c r="W1019" s="205">
        <f>IF($B$1015="Лікар загальної практики - сімейний лікар",AVERAGE(W1015:W1017),IF($B$1015="Лікар-педіатр","x",IF($B$1015="Лікар-терапевт",AVERAGE(W1015:W1017),0)))</f>
        <v>0</v>
      </c>
      <c r="X1019" s="205">
        <f>IF($B$1015="Лікар загальної практики - сімейний лікар",AVERAGE(X1015:X1017),IF($B$1015="Лікар-педіатр","x",IF($B$1015="Лікар-терапевт",AVERAGE(X1015:X1017),0)))</f>
        <v>0</v>
      </c>
      <c r="Y1019" s="205">
        <f>IF($B$1015="Лікар загальної практики - сімейний лікар",AVERAGE(Y1015:Y1017),IF($B$1015="Лікар-педіатр","x",IF($B$1015="Лікар-терапевт",AVERAGE(Y1015:Y1017),0)))</f>
        <v>0</v>
      </c>
      <c r="Z1019" s="206">
        <f>SUM(U1019:Y1019)</f>
        <v>0</v>
      </c>
      <c r="AA1019" s="930"/>
      <c r="AB1019" s="205">
        <f>IF($B$1015="Лікар загальної практики - сімейний лікар",AVERAGE(AB1015:AB1017),IF($B$1015="Лікар-педіатр",AVERAGE(AB1015:AB1017),IF($B$1015="Лікар-терапевт","х",0)))</f>
        <v>0</v>
      </c>
      <c r="AC1019" s="205">
        <f>IF($B$1015="Лікар загальної практики - сімейний лікар",AVERAGE(AC1015:AC1017),IF($B$1015="Лікар-педіатр",AVERAGE(AC1015:AC1017),IF($B$1015="Лікар-терапевт","х",0)))</f>
        <v>0</v>
      </c>
      <c r="AD1019" s="205">
        <f>IF($B$1015="Лікар загальної практики - сімейний лікар",AVERAGE(AD1015:AD1017),IF($B$1015="Лікар-педіатр","x",IF($B$1015="Лікар-терапевт",AVERAGE(AD1015:AD1017),0)))</f>
        <v>0</v>
      </c>
      <c r="AE1019" s="205">
        <f>IF($B$1015="Лікар загальної практики - сімейний лікар",AVERAGE(AE1015:AE1017),IF($B$1015="Лікар-педіатр","x",IF($B$1015="Лікар-терапевт",AVERAGE(AE1015:AE1017),0)))</f>
        <v>0</v>
      </c>
      <c r="AF1019" s="205">
        <f>IF($B$1015="Лікар загальної практики - сімейний лікар",AVERAGE(AF1015:AF1017),IF($B$1015="Лікар-педіатр","x",IF($B$1015="Лікар-терапевт",AVERAGE(AF1015:AF1017),0)))</f>
        <v>0</v>
      </c>
      <c r="AG1019" s="206">
        <f>SUM(AB1019:AF1019)</f>
        <v>0</v>
      </c>
      <c r="AH1019" s="930"/>
      <c r="AI1019" s="201"/>
      <c r="AJ1019" s="933"/>
      <c r="AK1019" s="927"/>
      <c r="AL1019" s="927"/>
      <c r="AM1019" s="903"/>
      <c r="AN1019" s="925"/>
      <c r="AO1019" s="925"/>
      <c r="AP1019" s="925"/>
      <c r="AQ1019" s="925"/>
      <c r="AR1019" s="916"/>
    </row>
    <row r="1020" spans="1:44" s="50" customFormat="1" ht="40.5" hidden="1">
      <c r="A1020" s="197"/>
      <c r="B1020" s="893"/>
      <c r="C1020" s="896"/>
      <c r="D1020" s="912"/>
      <c r="E1020" s="909"/>
      <c r="F1020" s="237" t="str">
        <f ca="1">IF(B1015="Лікар-педіатр",Законод!$C$17,IF(B1015="Лікар загальної практики - сімейний лікар",Законод!$C$21,IF(B1015="Лікар-терапевт",Законод!$C$25,"х")))</f>
        <v>х</v>
      </c>
      <c r="G1020" s="208">
        <f ca="1">IF($B$1015="Лікар загальної практики - сімейний лікар",IF(L1019&lt;=Законод!$C$22,G1019,Законод!$C$22*'01_Доходи'!G1018),IF($B$1015="Лікар-педіатр",IF(L1019&lt;=Законод!$C$18,G1019,Законод!$C$18*'01_Доходи'!G1018),IF($B$1015="Лікар-терапевт","x",0)))</f>
        <v>0</v>
      </c>
      <c r="H1020" s="208">
        <f ca="1">IF($B$1015="Лікар загальної практики - сімейний лікар",IF(L1019&lt;=Законод!$C$22,H1019,Законод!$C$22*'01_Доходи'!H1018),IF($B$1015="Лікар-педіатр",IF(L1019&lt;=Законод!$C$18,H1019,Законод!$C$18*'01_Доходи'!H1018),IF($B$1015="Лікар-терапевт","x",0)))</f>
        <v>0</v>
      </c>
      <c r="I1020" s="208">
        <f ca="1">IF($B$1015="Лікар загальної практики - сімейний лікар",IF(L1019&lt;=Законод!$C$22,I1019,Законод!$C$22*'01_Доходи'!I1018),IF($B$1015="Лікар-педіатр","x",IF($B$1015="Лікар-терапевт",IF(L1019&lt;=Законод!$C$26,I1019,Законод!$C$26*'01_Доходи'!I1018),0)))</f>
        <v>0</v>
      </c>
      <c r="J1020" s="208">
        <f ca="1">IF($B$1015="Лікар загальної практики - сімейний лікар",IF(L1019&lt;=Законод!$C$22,J1019,Законод!$C$22*'01_Доходи'!J1018),IF($B$1015="Лікар-педіатр","x",IF($B$1015="Лікар-терапевт",IF(L1019&lt;=Законод!$C$26,J1019,Законод!$C$26*'01_Доходи'!J1018),0)))</f>
        <v>0</v>
      </c>
      <c r="K1020" s="208">
        <f ca="1">IF($B$1015="Лікар загальної практики - сімейний лікар",IF(L1019&lt;=Законод!$C$22,K1019,Законод!$C$22*'01_Доходи'!K1018),IF($B$1015="Лікар-педіатр","x",IF($B$1015="Лікар-терапевт",IF(L1019&lt;=Законод!$C$26,K1019,Законод!$C$26*'01_Доходи'!K1018),0)))</f>
        <v>0</v>
      </c>
      <c r="L1020" s="209">
        <f ca="1">SUM(G1020:K1020)</f>
        <v>0</v>
      </c>
      <c r="M1020" s="930"/>
      <c r="N1020" s="208">
        <f ca="1">IF($B$1015="Лікар загальної практики - сімейний лікар",IF(S1019&lt;=Законод!$C$22,N1019,Законод!$C$22*'01_Доходи'!N1018),IF($B$1015="Лікар-педіатр",IF(S1019&lt;=Законод!$C$18,N1019,Законод!$C$18*'01_Доходи'!N1018),IF($B$1015="Лікар-терапевт","x",0)))</f>
        <v>0</v>
      </c>
      <c r="O1020" s="208">
        <f ca="1">IF($B$1015="Лікар загальної практики - сімейний лікар",IF(S1019&lt;=Законод!$C$22,O1019,Законод!$C$22*'01_Доходи'!O1018),IF($B$1015="Лікар-педіатр",IF(S1019&lt;=Законод!$C$18,O1019,Законод!$C$18*'01_Доходи'!O1018),IF($B$1015="Лікар-терапевт","x",0)))</f>
        <v>0</v>
      </c>
      <c r="P1020" s="208">
        <f ca="1">IF($B$1015="Лікар загальної практики - сімейний лікар",IF(S1019&lt;=Законод!$C$22,P1019,Законод!$C$22*'01_Доходи'!P1018),IF($B$1015="Лікар-педіатр","x",IF($B$1015="Лікар-терапевт",IF(S1019&lt;=Законод!$C$26,P1019,Законод!$C$26*'01_Доходи'!P1018),0)))</f>
        <v>0</v>
      </c>
      <c r="Q1020" s="208">
        <f ca="1">IF($B$1015="Лікар загальної практики - сімейний лікар",IF(S1019&lt;=Законод!$C$22,Q1019,Законод!$C$22*'01_Доходи'!Q1018),IF($B$1015="Лікар-педіатр","x",IF($B$1015="Лікар-терапевт",IF(S1019&lt;=Законод!$C$26,Q1019,Законод!$C$26*'01_Доходи'!Q1018),0)))</f>
        <v>0</v>
      </c>
      <c r="R1020" s="208">
        <f ca="1">IF($B$1015="Лікар загальної практики - сімейний лікар",IF(S1019&lt;=Законод!$C$22,R1019,Законод!$C$22*'01_Доходи'!R1018),IF($B$1015="Лікар-педіатр","x",IF($B$1015="Лікар-терапевт",IF(S1019&lt;=Законод!$C$26,R1019,Законод!$C$26*'01_Доходи'!R1018),0)))</f>
        <v>0</v>
      </c>
      <c r="S1020" s="209">
        <f ca="1">SUM(N1020:R1020)</f>
        <v>0</v>
      </c>
      <c r="T1020" s="930"/>
      <c r="U1020" s="208">
        <f ca="1">IF($B$1015="Лікар загальної практики - сімейний лікар",IF(Z1019&lt;=Законод!$C$22,U1019,Законод!$C$22*'01_Доходи'!U1018),IF($B$1015="Лікар-педіатр",IF(Z1019&lt;=Законод!$C$18,U1019,Законод!$C$18*'01_Доходи'!U1018),IF($B$1015="Лікар-терапевт","x",0)))</f>
        <v>0</v>
      </c>
      <c r="V1020" s="208">
        <f ca="1">IF($B$1015="Лікар загальної практики - сімейний лікар",IF(Z1019&lt;=Законод!$C$22,V1019,Законод!$C$22*'01_Доходи'!V1018),IF($B$1015="Лікар-педіатр",IF(Z1019&lt;=Законод!$C$18,V1019,Законод!$C$18*'01_Доходи'!V1018),IF($B$1015="Лікар-терапевт","x",0)))</f>
        <v>0</v>
      </c>
      <c r="W1020" s="208">
        <f ca="1">IF($B$1015="Лікар загальної практики - сімейний лікар",IF(Z1019&lt;=Законод!$C$22,W1019,Законод!$C$22*'01_Доходи'!W1018),IF($B$1015="Лікар-педіатр","x",IF($B$1015="Лікар-терапевт",IF(Z1019&lt;=Законод!$C$26,W1019,Законод!$C$26*'01_Доходи'!W1018),0)))</f>
        <v>0</v>
      </c>
      <c r="X1020" s="208">
        <f ca="1">IF($B$1015="Лікар загальної практики - сімейний лікар",IF(Z1019&lt;=Законод!$C$22,X1019,Законод!$C$22*'01_Доходи'!X1018),IF($B$1015="Лікар-педіатр","x",IF($B$1015="Лікар-терапевт",IF(Z1019&lt;=Законод!$C$26,X1019,Законод!$C$26*'01_Доходи'!X1018),0)))</f>
        <v>0</v>
      </c>
      <c r="Y1020" s="208">
        <f ca="1">IF($B$1015="Лікар загальної практики - сімейний лікар",IF(Z1019&lt;=Законод!$C$22,Y1019,Законод!$C$22*'01_Доходи'!Y1018),IF($B$1015="Лікар-педіатр","x",IF($B$1015="Лікар-терапевт",IF(Z1019&lt;=Законод!$C$26,Y1019,Законод!$C$26*'01_Доходи'!Y1018),0)))</f>
        <v>0</v>
      </c>
      <c r="Z1020" s="209">
        <f ca="1">SUM(U1020:Y1020)</f>
        <v>0</v>
      </c>
      <c r="AA1020" s="930"/>
      <c r="AB1020" s="208">
        <f ca="1">IF($B$1015="Лікар загальної практики - сімейний лікар",IF(AG1019&lt;=Законод!$C$22,AB1019,Законод!$C$22*'01_Доходи'!AB1018),IF($B$1015="Лікар-педіатр",IF(AG1019&lt;=Законод!$C$18,AB1019,Законод!$C$18*'01_Доходи'!AB1018),IF($B$1015="Лікар-терапевт","x",0)))</f>
        <v>0</v>
      </c>
      <c r="AC1020" s="208">
        <f ca="1">IF($B$1015="Лікар загальної практики - сімейний лікар",IF(AG1019&lt;=Законод!$C$22,AC1019,Законод!$C$22*'01_Доходи'!AC1018),IF($B$1015="Лікар-педіатр",IF(AG1019&lt;=Законод!$C$18,AC1019,Законод!$C$18*'01_Доходи'!AC1018),IF($B$1015="Лікар-терапевт","x",0)))</f>
        <v>0</v>
      </c>
      <c r="AD1020" s="208">
        <f ca="1">IF($B$1015="Лікар загальної практики - сімейний лікар",IF(AG1019&lt;=Законод!$C$22,AD1019,Законод!$C$22*'01_Доходи'!AD1018),IF($B$1015="Лікар-педіатр","x",IF($B$1015="Лікар-терапевт",IF(AG1019&lt;=Законод!$C$26,AD1019,Законод!$C$26*'01_Доходи'!AD1018),0)))</f>
        <v>0</v>
      </c>
      <c r="AE1020" s="208">
        <f ca="1">IF($B$1015="Лікар загальної практики - сімейний лікар",IF(AG1019&lt;=Законод!$C$22,AE1019,Законод!$C$22*'01_Доходи'!AE1018),IF($B$1015="Лікар-педіатр","x",IF($B$1015="Лікар-терапевт",IF(AG1019&lt;=Законод!$C$26,AE1019,Законод!$C$26*'01_Доходи'!AE1018),0)))</f>
        <v>0</v>
      </c>
      <c r="AF1020" s="208">
        <f ca="1">IF($B$1015="Лікар загальної практики - сімейний лікар",IF(AG1019&lt;=Законод!$C$22,AF1019,Законод!$C$22*'01_Доходи'!AF1018),IF($B$1015="Лікар-педіатр","x",IF($B$1015="Лікар-терапевт",IF(AG1019&lt;=Законод!$C$26,AF1019,Законод!$C$26*'01_Доходи'!AF1018),0)))</f>
        <v>0</v>
      </c>
      <c r="AG1020" s="209">
        <f ca="1">SUM(AB1020:AF1020)</f>
        <v>0</v>
      </c>
      <c r="AH1020" s="930"/>
      <c r="AI1020" s="201"/>
      <c r="AJ1020" s="933"/>
      <c r="AK1020" s="927"/>
      <c r="AL1020" s="927"/>
      <c r="AM1020" s="348" t="s">
        <v>374</v>
      </c>
      <c r="AN1020" s="210">
        <f ca="1">IF(B1015="Лікар загальної практики - сімейний лікар",G1020*Законод!$C$11+'01_Доходи'!H1020*Законод!$D$11+'01_Доходи'!I1020*Законод!$E$11+'01_Доходи'!J1020*Законод!$F$11+'01_Доходи'!K1020*Законод!$G$11,IF(B1015="Лікар-педіатр",G1020*Законод!$C$11+'01_Доходи'!H1020*Законод!$D$11,IF(B1015="Лікар-терапевт",'01_Доходи'!I1020*Законод!$E$11+'01_Доходи'!J1020*Законод!$F$11+'01_Доходи'!K1020*Законод!$G$11,0)))</f>
        <v>0</v>
      </c>
      <c r="AO1020" s="210">
        <f ca="1">IF(B1015="Лікар загальної практики - сімейний лікар",N1020*Законод!$C$11+'01_Доходи'!O1020*Законод!$D$11+'01_Доходи'!P1020*Законод!$E$11+'01_Доходи'!Q1020*Законод!$F$11+'01_Доходи'!R1020*Законод!$G$11,IF(B1015="Лікар-педіатр",N1020*Законод!$C$11+'01_Доходи'!O1020*Законод!$D$11,IF(B1015="Лікар-терапевт",'01_Доходи'!P1020*Законод!$E$11+'01_Доходи'!Q1020*Законод!$F$11+'01_Доходи'!R1020*Законод!$G$11,0)))</f>
        <v>0</v>
      </c>
      <c r="AP1020" s="210">
        <f ca="1">IF(B1015="Лікар загальної практики - сімейний лікар",U1020*Законод!$C$11+'01_Доходи'!V1020*Законод!$D$11+'01_Доходи'!W1020*Законод!$E$11+'01_Доходи'!X1020*Законод!$F$11+'01_Доходи'!Y1020*Законод!$G$11,IF(B1015="Лікар-педіатр",U1020*Законод!$C$11+'01_Доходи'!V1020*Законод!$D$11,IF(B1015="Лікар-терапевт",'01_Доходи'!W1020*Законод!$E$11+'01_Доходи'!X1020*Законод!$F$11+'01_Доходи'!Y1020*Законод!$G$11,0)))</f>
        <v>0</v>
      </c>
      <c r="AQ1020" s="210">
        <f ca="1">IF(B1015="Лікар загальної практики - сімейний лікар",AB1020*Законод!$C$11+'01_Доходи'!AC1020*Законод!$D$11+'01_Доходи'!AD1020*Законод!$E$11+'01_Доходи'!AE1020*Законод!$F$11+'01_Доходи'!AF1020*Законод!$G$11,IF(B1015="Лікар-педіатр",AB1020*Законод!$C$11+'01_Доходи'!AC1020*Законод!$D$11,IF(B1015="Лікар-терапевт",'01_Доходи'!AD1020*Законод!$E$11+'01_Доходи'!AE1020*Законод!$F$11+'01_Доходи'!AF1020*Законод!$G$11,0)))</f>
        <v>0</v>
      </c>
      <c r="AR1020" s="211">
        <f t="shared" ref="AR1020:AR1026" si="105">SUM(AN1020:AQ1020)</f>
        <v>0</v>
      </c>
    </row>
    <row r="1021" spans="1:44" s="50" customFormat="1" ht="31.9" hidden="1" customHeight="1">
      <c r="A1021" s="197"/>
      <c r="B1021" s="893"/>
      <c r="C1021" s="896"/>
      <c r="D1021" s="912"/>
      <c r="E1021" s="909"/>
      <c r="F1021" s="238" t="str">
        <f ca="1">IF(B1015="Лікар-педіатр",Законод!$E$17,IF(B1015="Лікар загальної практики - сімейний лікар",Законод!$E$21,IF(B1015="Лікар-терапевт",Законод!$E$25,"х")))</f>
        <v>х</v>
      </c>
      <c r="G1021" s="889" t="s">
        <v>346</v>
      </c>
      <c r="H1021" s="890"/>
      <c r="I1021" s="890"/>
      <c r="J1021" s="890"/>
      <c r="K1021" s="891"/>
      <c r="L1021" s="196">
        <f ca="1">IF($B$1015="Лікар загальної практики - сімейний лікар",IF(L1019&lt;Законод!$C$22,0,(IF(AND(L1019&gt;=Законод!$E$22,L1019&lt;=Законод!$E$23),L1019-Законод!$C$22,IF('01_Доходи'!L1019&gt;=Законод!$F$22,Законод!$E$24,0)))),IF($B$1015="Лікар-педіатр",IF(L1019&lt;Законод!$C$18,0,(IF(AND(L1019&gt;=Законод!$E$18,L1019&lt;=Законод!$E$19),L1019-Законод!$C$18,IF('01_Доходи'!L1019&gt;=Законод!$F$18,Законод!$E$20,0)))),IF($B$1015="Лікар-терапевт",IF(L1019&lt;Законод!$C$26,0,(IF(AND(L1019&gt;=Законод!$E$26,L1019&lt;=Законод!$E$27),L1019-Законод!$C$26,IF('01_Доходи'!L1019&gt;=Законод!$F$26,Законод!$E$28,0)))),0)))</f>
        <v>0</v>
      </c>
      <c r="M1021" s="930"/>
      <c r="N1021" s="889" t="s">
        <v>346</v>
      </c>
      <c r="O1021" s="890"/>
      <c r="P1021" s="890"/>
      <c r="Q1021" s="890"/>
      <c r="R1021" s="891"/>
      <c r="S1021" s="196">
        <f ca="1">IF($B$1015="Лікар загальної практики - сімейний лікар",IF(S1019&lt;Законод!$C$22,0,(IF(AND(S1019&gt;=Законод!$E$22,S1019&lt;=Законод!$E$23),S1019-Законод!$C$22,IF('01_Доходи'!S1019&gt;=Законод!$F$22,Законод!$E$24,0)))),IF($B$1015="Лікар-педіатр",IF(S1019&lt;Законод!$C$18,0,(IF(AND(S1019&gt;=Законод!$E$18,S1019&lt;=Законод!$E$19),S1019-Законод!$C$18,IF('01_Доходи'!S1019&gt;=Законод!$F$18,Законод!$E$20,0)))),IF($B$1015="Лікар-терапевт",IF(S1019&lt;Законод!$C$26,0,(IF(AND(S1019&gt;=Законод!$E$26,S1019&lt;=Законод!$E$27),S1019-Законод!$C$26,IF('01_Доходи'!S1019&gt;=Законод!$F$26,Законод!$E$28,0)))),0)))</f>
        <v>0</v>
      </c>
      <c r="T1021" s="930"/>
      <c r="U1021" s="889" t="s">
        <v>346</v>
      </c>
      <c r="V1021" s="890"/>
      <c r="W1021" s="890"/>
      <c r="X1021" s="890"/>
      <c r="Y1021" s="891"/>
      <c r="Z1021" s="196">
        <f ca="1">IF($B$1015="Лікар загальної практики - сімейний лікар",IF(Z1019&lt;Законод!$C$22,0,(IF(AND(Z1019&gt;=Законод!$E$22,Z1019&lt;=Законод!$E$23),Z1019-Законод!$C$22,IF('01_Доходи'!Z1019&gt;=Законод!$F$22,Законод!$E$24,0)))),IF($B$1015="Лікар-педіатр",IF(Z1019&lt;Законод!$C$18,0,(IF(AND(Z1019&gt;=Законод!$E$18,Z1019&lt;=Законод!$E$19),Z1019-Законод!$C$18,IF('01_Доходи'!Z1019&gt;=Законод!$F$18,Законод!$E$20,0)))),IF($B$1015="Лікар-терапевт",IF(Z1019&lt;Законод!$C$26,0,(IF(AND(Z1019&gt;=Законод!$E$26,Z1019&lt;=Законод!$E$27),Z1019-Законод!$C$26,IF('01_Доходи'!Z1019&gt;=Законод!$F$26,Законод!$E$28,0)))),0)))</f>
        <v>0</v>
      </c>
      <c r="AA1021" s="930"/>
      <c r="AB1021" s="889" t="s">
        <v>346</v>
      </c>
      <c r="AC1021" s="890"/>
      <c r="AD1021" s="890"/>
      <c r="AE1021" s="890"/>
      <c r="AF1021" s="891"/>
      <c r="AG1021" s="196">
        <f ca="1">IF($B$1015="Лікар загальної практики - сімейний лікар",IF(AG1019&lt;Законод!$C$22,0,(IF(AND(AG1019&gt;=Законод!$E$22,AG1019&lt;=Законод!$E$23),AG1019-Законод!$C$22,IF('01_Доходи'!AG1019&gt;=Законод!$F$22,Законод!$E$24,0)))),IF($B$1015="Лікар-педіатр",IF(AG1019&lt;Законод!$C$18,0,(IF(AND(AG1019&gt;=Законод!$E$18,AG1019&lt;=Законод!$E$19),AG1019-Законод!$C$18,IF('01_Доходи'!AG1019&gt;=Законод!$F$18,Законод!$E$20,0)))),IF($B$1015="Лікар-терапевт",IF(AG1019&lt;Законод!$C$26,0,(IF(AND(AG1019&gt;=Законод!$E$26,AG1019&lt;=Законод!$E$27),AG1019-Законод!$C$26,IF('01_Доходи'!AG1019&gt;=Законод!$F$26,Законод!$E$28,0)))),0)))</f>
        <v>0</v>
      </c>
      <c r="AH1021" s="930"/>
      <c r="AI1021" s="201"/>
      <c r="AJ1021" s="933"/>
      <c r="AK1021" s="927"/>
      <c r="AL1021" s="927"/>
      <c r="AM1021" s="898" t="s">
        <v>375</v>
      </c>
      <c r="AN1021" s="210">
        <f ca="1">IF(B1015="Лікар загальної практики - сімейний лікар",L1021*Законод!$C$9/4*Законод!$E$16,IF(B1015="Лікар-педіатр",L1021*Законод!$C$9/4*Законод!$E$16,IF(B1015="Лікар-терапевт",L1021*Законод!$C$9/4*Законод!$E$16,0)))</f>
        <v>0</v>
      </c>
      <c r="AO1021" s="210">
        <f ca="1">IF(B1015="Лікар загальної практики - сімейний лікар",S1021*Законод!$C$9/4*Законод!$E$16,IF(B1015="Лікар-педіатр",S1021*Законод!$C$9/4*Законод!$E$16,IF(B1015="Лікар-терапевт",S1021*Законод!$C$9/4*Законод!$E$16,0)))</f>
        <v>0</v>
      </c>
      <c r="AP1021" s="210">
        <f ca="1">IF(B1015="Лікар загальної практики - сімейний лікар",Z1021*Законод!$C$9/4*Законод!$E$16,IF(B1015="Лікар-педіатр",Z1021*Законод!$C$9/4*Законод!$E$16,IF(B1015="Лікар-терапевт",Z1021*Законод!$C$9/4*Законод!$E$16,0)))</f>
        <v>0</v>
      </c>
      <c r="AQ1021" s="210">
        <f ca="1">IF(B1015="Лікар загальної практики - сімейний лікар",AG1021*Законод!$C$9/4*Законод!$E$16,IF(B1015="Лікар-педіатр",AG1021*Законод!$C$9/4*Законод!$E$16,IF(B1015="Лікар-терапевт",AG1021*Законод!$C$9/4*Законод!$E$16,0)))</f>
        <v>0</v>
      </c>
      <c r="AR1021" s="211">
        <f t="shared" si="105"/>
        <v>0</v>
      </c>
    </row>
    <row r="1022" spans="1:44" s="50" customFormat="1" ht="31.9" hidden="1" customHeight="1">
      <c r="A1022" s="197"/>
      <c r="B1022" s="893"/>
      <c r="C1022" s="896"/>
      <c r="D1022" s="912"/>
      <c r="E1022" s="909"/>
      <c r="F1022" s="238" t="str">
        <f ca="1">IF(B1015="Лікар-педіатр",Законод!$F$17,IF(B1015="Лікар загальної практики - сімейний лікар",Законод!$F$21,IF(B1015="Лікар-терапевт",Законод!$F$25,"х")))</f>
        <v>х</v>
      </c>
      <c r="G1022" s="889" t="s">
        <v>346</v>
      </c>
      <c r="H1022" s="890"/>
      <c r="I1022" s="890"/>
      <c r="J1022" s="890"/>
      <c r="K1022" s="891"/>
      <c r="L1022" s="196">
        <f ca="1">IF($B$1015="Лікар загальної практики - сімейний лікар",IF(L1019&lt;Законод!$C$22,0,(IF(AND(L1019&gt;=Законод!$F$22,L1019&lt;=Законод!$F$23),L1019-Законод!$E$23,IF('01_Доходи'!L1019&gt;=Законод!$G$22,Законод!$F$24,0)))),IF($B$1015="Лікар-педіатр",IF(L1019&lt;Законод!$C$18,0,(IF(AND(L1019&gt;=Законод!$F$18,L1019&lt;=Законод!$F$19),L1019-Законод!$E$19,IF('01_Доходи'!L1019&gt;=Законод!$G$18,Законод!$F$20,0)))),IF($B$1015="Лікар-терапевт",IF(L1019&lt;Законод!$C$26,0,(IF(AND(L1019&gt;=Законод!$F$26,L1019&lt;=Законод!$F$27),L1019-Законод!$E$27,IF('01_Доходи'!L1019&gt;=Законод!$G$26,Законод!$F$28,0)))),0)))</f>
        <v>0</v>
      </c>
      <c r="M1022" s="930"/>
      <c r="N1022" s="889" t="s">
        <v>346</v>
      </c>
      <c r="O1022" s="890"/>
      <c r="P1022" s="890"/>
      <c r="Q1022" s="890"/>
      <c r="R1022" s="891"/>
      <c r="S1022" s="196">
        <f ca="1">IF($B$1015="Лікар загальної практики - сімейний лікар",IF(S1019&lt;Законод!$C$22,0,(IF(AND(S1019&gt;=Законод!$F$22,S1019&lt;=Законод!$F$23),S1019-Законод!$E$23,IF('01_Доходи'!S1019&gt;=Законод!$G$22,Законод!$F$24,0)))),IF($B$1015="Лікар-педіатр",IF(S1019&lt;Законод!$C$18,0,(IF(AND(S1019&gt;=Законод!$F$18,S1019&lt;=Законод!$F$19),S1019-Законод!$E$19,IF('01_Доходи'!S1019&gt;=Законод!$G$18,Законод!$F$20,0)))),IF($B$1015="Лікар-терапевт",IF(S1019&lt;Законод!$C$26,0,(IF(AND(S1019&gt;=Законод!$F$26,S1019&lt;=Законод!$F$27),S1019-Законод!$E$27,IF('01_Доходи'!S1019&gt;=Законод!$G$26,Законод!$F$28,0)))),0)))</f>
        <v>0</v>
      </c>
      <c r="T1022" s="930"/>
      <c r="U1022" s="889" t="s">
        <v>346</v>
      </c>
      <c r="V1022" s="890"/>
      <c r="W1022" s="890"/>
      <c r="X1022" s="890"/>
      <c r="Y1022" s="891"/>
      <c r="Z1022" s="196">
        <f ca="1">IF($B$1015="Лікар загальної практики - сімейний лікар",IF(Z1019&lt;Законод!$C$22,0,(IF(AND(Z1019&gt;=Законод!$F$22,Z1019&lt;=Законод!$F$23),Z1019-Законод!$E$23,IF('01_Доходи'!Z1019&gt;=Законод!$G$22,Законод!$F$24,0)))),IF($B$1015="Лікар-педіатр",IF(Z1019&lt;Законод!$C$18,0,(IF(AND(Z1019&gt;=Законод!$F$18,Z1019&lt;=Законод!$F$19),Z1019-Законод!$E$19,IF('01_Доходи'!Z1019&gt;=Законод!$G$18,Законод!$F$20,0)))),IF($B$1015="Лікар-терапевт",IF(Z1019&lt;Законод!$C$26,0,(IF(AND(Z1019&gt;=Законод!$F$26,Z1019&lt;=Законод!$F$27),Z1019-Законод!$E$27,IF('01_Доходи'!Z1019&gt;=Законод!$G$26,Законод!$F$28,0)))),0)))</f>
        <v>0</v>
      </c>
      <c r="AA1022" s="930"/>
      <c r="AB1022" s="889" t="s">
        <v>346</v>
      </c>
      <c r="AC1022" s="890"/>
      <c r="AD1022" s="890"/>
      <c r="AE1022" s="890"/>
      <c r="AF1022" s="891"/>
      <c r="AG1022" s="196">
        <f ca="1">IF($B$1015="Лікар загальної практики - сімейний лікар",IF(AG1019&lt;Законод!$C$22,0,(IF(AND(AG1019&gt;=Законод!$F$22,AG1019&lt;=Законод!$F$23),AG1019-Законод!$E$23,IF('01_Доходи'!AG1019&gt;=Законод!$G$22,Законод!$F$24,0)))),IF($B$1015="Лікар-педіатр",IF(AG1019&lt;Законод!$C$18,0,(IF(AND(AG1019&gt;=Законод!$F$18,AG1019&lt;=Законод!$F$19),AG1019-Законод!$E$19,IF('01_Доходи'!AG1019&gt;=Законод!$G$18,Законод!$F$20,0)))),IF($B$1015="Лікар-терапевт",IF(AG1019&lt;Законод!$C$26,0,(IF(AND(AG1019&gt;=Законод!$F$26,AG1019&lt;=Законод!$F$27),AG1019-Законод!$E$27,IF('01_Доходи'!AG1019&gt;=Законод!$G$26,Законод!$F$28,0)))),0)))</f>
        <v>0</v>
      </c>
      <c r="AH1022" s="930"/>
      <c r="AI1022" s="201"/>
      <c r="AJ1022" s="933"/>
      <c r="AK1022" s="927"/>
      <c r="AL1022" s="927"/>
      <c r="AM1022" s="899"/>
      <c r="AN1022" s="210">
        <f ca="1">IF(B1015="Лікар загальної практики - сімейний лікар",L1022*Законод!$C$9/4*Законод!$F$16,IF(B1015="Лікар-педіатр",L1022*Законод!$C$9/4*Законод!$F$16,IF(B1015="Лікар-терапевт",L1022*Законод!$C$9/4*Законод!$F$16,0)))</f>
        <v>0</v>
      </c>
      <c r="AO1022" s="210">
        <f ca="1">IF(B1015="Лікар загальної практики - сімейний лікар",S1022*Законод!$C$9/4*Законод!$F$16,IF(B1015="Лікар-педіатр",S1022*Законод!$C$9/4*Законод!$F$16,IF(B1015="Лікар-терапевт",S1022*Законод!$C$9/4*Законод!$F$16,0)))</f>
        <v>0</v>
      </c>
      <c r="AP1022" s="210">
        <f ca="1">IF(B1015="Лікар загальної практики - сімейний лікар",Z1022*Законод!$C$9/4*Законод!$F$16,IF(B1015="Лікар-педіатр",Z1022*Законод!$C$9/4*Законод!$F$16,IF(B1015="Лікар-терапевт",Z1022*Законод!$C$9/4*Законод!$F$16,0)))</f>
        <v>0</v>
      </c>
      <c r="AQ1022" s="210">
        <f ca="1">IF(B1015="Лікар загальної практики - сімейний лікар",AG1022*Законод!$C$9/4*Законод!$F$16,IF(B1015="Лікар-педіатр",AG1022*Законод!$C$9/4*Законод!$F$16,IF(B1015="Лікар-терапевт",AG1022*Законод!$C$9/4*Законод!$F$16,0)))</f>
        <v>0</v>
      </c>
      <c r="AR1022" s="211">
        <f t="shared" si="105"/>
        <v>0</v>
      </c>
    </row>
    <row r="1023" spans="1:44" s="50" customFormat="1" ht="31.9" hidden="1" customHeight="1">
      <c r="A1023" s="197"/>
      <c r="B1023" s="893"/>
      <c r="C1023" s="896"/>
      <c r="D1023" s="912"/>
      <c r="E1023" s="909"/>
      <c r="F1023" s="238" t="str">
        <f ca="1">IF(B1015="Лікар-педіатр",Законод!$G$17,IF(B1015="Лікар загальної практики - сімейний лікар",Законод!$G$21,IF(B1015="Лікар-терапевт",Законод!$G$25,"х")))</f>
        <v>х</v>
      </c>
      <c r="G1023" s="889" t="s">
        <v>346</v>
      </c>
      <c r="H1023" s="890"/>
      <c r="I1023" s="890"/>
      <c r="J1023" s="890"/>
      <c r="K1023" s="891"/>
      <c r="L1023" s="196">
        <f ca="1">IF($B$1015="Лікар загальної практики - сімейний лікар",IF(L1019&lt;Законод!$C$22,0,(IF(AND(L1019&gt;=Законод!$G$22,L1019&lt;=Законод!$G$23),L1019-Законод!$F$23,IF('01_Доходи'!L1019&gt;=Законод!$H$22,Законод!$G$24,0)))),IF($B$1015="Лікар-педіатр",IF(L1019&lt;Законод!$C$18,0,(IF(AND(L1019&gt;=Законод!$G$18,L1019&lt;=Законод!$G$19),L1019-Законод!$F$19,IF('01_Доходи'!L1019&gt;=Законод!$H$18,Законод!$G$20,0)))),IF($B$1015="Лікар-терапевт",IF(L1019&lt;Законод!$C$26,0,(IF(AND(L1019&gt;=Законод!$G$26,L1019&lt;=Законод!$G$27),L1019-Законод!$F$27,IF('01_Доходи'!L1019&gt;=Законод!$H$26,Законод!$G$28,0)))),0)))</f>
        <v>0</v>
      </c>
      <c r="M1023" s="930"/>
      <c r="N1023" s="889" t="s">
        <v>346</v>
      </c>
      <c r="O1023" s="890"/>
      <c r="P1023" s="890"/>
      <c r="Q1023" s="890"/>
      <c r="R1023" s="891"/>
      <c r="S1023" s="196">
        <f ca="1">IF($B$1015="Лікар загальної практики - сімейний лікар",IF(S1019&lt;Законод!$C$22,0,(IF(AND(S1019&gt;=Законод!$G$22,S1019&lt;=Законод!$G$23),S1019-Законод!$F$23,IF('01_Доходи'!S1019&gt;=Законод!$H$22,Законод!$G$24,0)))),IF($B$1015="Лікар-педіатр",IF(S1019&lt;Законод!$C$18,0,(IF(AND(S1019&gt;=Законод!$G$18,S1019&lt;=Законод!$G$19),S1019-Законод!$F$19,IF('01_Доходи'!S1019&gt;=Законод!$H$18,Законод!$G$20,0)))),IF($B$1015="Лікар-терапевт",IF(S1019&lt;Законод!$C$26,0,(IF(AND(S1019&gt;=Законод!$G$26,S1019&lt;=Законод!$G$27),S1019-Законод!$F$27,IF('01_Доходи'!S1019&gt;=Законод!$H$26,Законод!$G$28,0)))),0)))</f>
        <v>0</v>
      </c>
      <c r="T1023" s="930"/>
      <c r="U1023" s="889" t="s">
        <v>346</v>
      </c>
      <c r="V1023" s="890"/>
      <c r="W1023" s="890"/>
      <c r="X1023" s="890"/>
      <c r="Y1023" s="891"/>
      <c r="Z1023" s="196">
        <f ca="1">IF($B$1015="Лікар загальної практики - сімейний лікар",IF(Z1019&lt;Законод!$C$22,0,(IF(AND(Z1019&gt;=Законод!$G$22,Z1019&lt;=Законод!$G$23),Z1019-Законод!$F$23,IF('01_Доходи'!Z1019&gt;=Законод!$H$22,Законод!$G$24,0)))),IF($B$1015="Лікар-педіатр",IF(Z1019&lt;Законод!$C$18,0,(IF(AND(Z1019&gt;=Законод!$G$18,Z1019&lt;=Законод!$G$19),Z1019-Законод!$F$19,IF('01_Доходи'!Z1019&gt;=Законод!$H$18,Законод!$G$20,0)))),IF($B$1015="Лікар-терапевт",IF(Z1019&lt;Законод!$C$26,0,(IF(AND(Z1019&gt;=Законод!$G$26,Z1019&lt;=Законод!$G$27),Z1019-Законод!$F$27,IF('01_Доходи'!Z1019&gt;=Законод!$H$26,Законод!$G$28,0)))),0)))</f>
        <v>0</v>
      </c>
      <c r="AA1023" s="930"/>
      <c r="AB1023" s="889" t="s">
        <v>346</v>
      </c>
      <c r="AC1023" s="890"/>
      <c r="AD1023" s="890"/>
      <c r="AE1023" s="890"/>
      <c r="AF1023" s="891"/>
      <c r="AG1023" s="196">
        <f ca="1">IF($B$1015="Лікар загальної практики - сімейний лікар",IF(AG1019&lt;Законод!$C$22,0,(IF(AND(AG1019&gt;=Законод!$G$22,AG1019&lt;=Законод!$G$23),AG1019-Законод!$F$23,IF('01_Доходи'!AG1019&gt;=Законод!$H$22,Законод!$G$24,0)))),IF($B$1015="Лікар-педіатр",IF(AG1019&lt;Законод!$C$18,0,(IF(AND(AG1019&gt;=Законод!$G$18,AG1019&lt;=Законод!$G$19),AG1019-Законод!$F$19,IF('01_Доходи'!AG1019&gt;=Законод!$H$18,Законод!$G$20,0)))),IF($B$1015="Лікар-терапевт",IF(AG1019&lt;Законод!$C$26,0,(IF(AND(AG1019&gt;=Законод!$G$26,AG1019&lt;=Законод!$G$27),AG1019-Законод!$F$27,IF('01_Доходи'!AG1019&gt;=Законод!$H$26,Законод!$G$28,0)))),0)))</f>
        <v>0</v>
      </c>
      <c r="AH1023" s="930"/>
      <c r="AI1023" s="201"/>
      <c r="AJ1023" s="933"/>
      <c r="AK1023" s="927"/>
      <c r="AL1023" s="927"/>
      <c r="AM1023" s="899"/>
      <c r="AN1023" s="210">
        <f ca="1">IF(B1015="Лікар загальної практики - сімейний лікар",L1023*Законод!$C$9/4*Законод!$G$16,IF(B1015="Лікар-педіатр",L1023*Законод!$C$9/4*Законод!$G$16,IF(B1015="Лікар-терапевт",L1023*Законод!$C$9/4*Законод!$G$16,0)))</f>
        <v>0</v>
      </c>
      <c r="AO1023" s="210">
        <f ca="1">IF(B1015="Лікар загальної практики - сімейний лікар",S1023*Законод!$C$9/4*Законод!$G$16,IF(B1015="Лікар-педіатр",S1023*Законод!$C$9/4*Законод!$G$16,IF(B1015="Лікар-терапевт",S1023*Законод!$C$9/4*Законод!$G$16,0)))</f>
        <v>0</v>
      </c>
      <c r="AP1023" s="210">
        <f ca="1">IF(B1015="Лікар загальної практики - сімейний лікар",Z1023*Законод!$C$9/4*Законод!$G$16,IF(B1015="Лікар-педіатр",Z1023*Законод!$C$9/4*Законод!$G$16,IF(B1015="Лікар-терапевт",Z1023*Законод!$C$9/4*Законод!$G$16,0)))</f>
        <v>0</v>
      </c>
      <c r="AQ1023" s="210">
        <f ca="1">IF(B1015="Лікар загальної практики - сімейний лікар",AG1023*Законод!$C$9/4*Законод!$G$16,IF(B1015="Лікар-педіатр",AG1023*Законод!$C$9/4*Законод!$G$16,IF(B1015="Лікар-терапевт",AG1023*Законод!$C$9/4*Законод!$G$16,0)))</f>
        <v>0</v>
      </c>
      <c r="AR1023" s="211">
        <f t="shared" si="105"/>
        <v>0</v>
      </c>
    </row>
    <row r="1024" spans="1:44" s="50" customFormat="1" ht="31.9" hidden="1" customHeight="1">
      <c r="A1024" s="197"/>
      <c r="B1024" s="893"/>
      <c r="C1024" s="896"/>
      <c r="D1024" s="912"/>
      <c r="E1024" s="909"/>
      <c r="F1024" s="238" t="str">
        <f ca="1">IF(B1015="Лікар-педіатр",Законод!$H$17,IF(B1015="Лікар загальної практики - сімейний лікар",Законод!$H$21,IF(B1015="Лікар-терапевт",Законод!$H$25,"х")))</f>
        <v>х</v>
      </c>
      <c r="G1024" s="889" t="s">
        <v>346</v>
      </c>
      <c r="H1024" s="890"/>
      <c r="I1024" s="890"/>
      <c r="J1024" s="890"/>
      <c r="K1024" s="891"/>
      <c r="L1024" s="196">
        <f ca="1">IF($B$1015="Лікар загальної практики - сімейний лікар",IF(L1019&lt;Законод!$C$22,0,(IF(AND(L1019&gt;=Законод!$H$22,L1019&lt;=Законод!$H$23),L1019-Законод!$G$23,IF('01_Доходи'!L1019&gt;=Законод!$I$22,Законод!$H$24,0)))),IF($B$1015="Лікар-педіатр",IF(L1019&lt;Законод!$C$18,0,(IF(AND(L1019&gt;=Законод!$H$18,L1019&lt;=Законод!$H$19),L1019-Законод!$G$19,IF('01_Доходи'!L1019&gt;=Законод!$I$18,Законод!$H$20,0)))),IF($B$1015="Лікар-терапевт",IF(L1019&lt;Законод!$C$26,0,(IF(AND(L1019&gt;=Законод!$H$26,L1019&lt;=Законод!$H$27),L1019-Законод!$G$27,IF(L1019&gt;=Законод!$I$26,Законод!$H$28,0)))),0)))</f>
        <v>0</v>
      </c>
      <c r="M1024" s="930"/>
      <c r="N1024" s="889" t="s">
        <v>346</v>
      </c>
      <c r="O1024" s="890"/>
      <c r="P1024" s="890"/>
      <c r="Q1024" s="890"/>
      <c r="R1024" s="891"/>
      <c r="S1024" s="196">
        <f ca="1">IF($B$1015="Лікар загальної практики - сімейний лікар",IF(S1019&lt;Законод!$C$22,0,(IF(AND(S1019&gt;=Законод!$H$22,S1019&lt;=Законод!$H$23),S1019-Законод!$G$23,IF('01_Доходи'!S1019&gt;=Законод!$I$22,Законод!$H$24,0)))),IF($B$1015="Лікар-педіатр",IF(S1019&lt;Законод!$C$18,0,(IF(AND(S1019&gt;=Законод!$H$18,S1019&lt;=Законод!$H$19),S1019-Законод!$G$19,IF('01_Доходи'!S1019&gt;=Законод!$I$18,Законод!$H$20,0)))),IF($B$1015="Лікар-терапевт",IF(S1019&lt;Законод!$C$26,0,(IF(AND(S1019&gt;=Законод!$H$26,S1019&lt;=Законод!$H$27),S1019-Законод!$G$27,IF(S1019&gt;=Законод!$I$26,Законод!$H$28,0)))),0)))</f>
        <v>0</v>
      </c>
      <c r="T1024" s="930"/>
      <c r="U1024" s="889" t="s">
        <v>346</v>
      </c>
      <c r="V1024" s="890"/>
      <c r="W1024" s="890"/>
      <c r="X1024" s="890"/>
      <c r="Y1024" s="891"/>
      <c r="Z1024" s="196">
        <f ca="1">IF($B$1015="Лікар загальної практики - сімейний лікар",IF(Z1019&lt;Законод!$C$22,0,(IF(AND(Z1019&gt;=Законод!$H$22,Z1019&lt;=Законод!$H$23),Z1019-Законод!$G$23,IF('01_Доходи'!Z1019&gt;=Законод!$I$22,Законод!$H$24,0)))),IF($B$1015="Лікар-педіатр",IF(Z1019&lt;Законод!$C$18,0,(IF(AND(Z1019&gt;=Законод!$H$18,Z1019&lt;=Законод!$H$19),Z1019-Законод!$G$19,IF('01_Доходи'!Z1019&gt;=Законод!$I$18,Законод!$H$20,0)))),IF($B$1015="Лікар-терапевт",IF(Z1019&lt;Законод!$C$26,0,(IF(AND(Z1019&gt;=Законод!$H$26,Z1019&lt;=Законод!$H$27),Z1019-Законод!$G$27,IF(Z1019&gt;=Законод!$I$26,Законод!$H$28,0)))),0)))</f>
        <v>0</v>
      </c>
      <c r="AA1024" s="930"/>
      <c r="AB1024" s="889" t="s">
        <v>346</v>
      </c>
      <c r="AC1024" s="890"/>
      <c r="AD1024" s="890"/>
      <c r="AE1024" s="890"/>
      <c r="AF1024" s="891"/>
      <c r="AG1024" s="196">
        <f ca="1">IF($B$1015="Лікар загальної практики - сімейний лікар",IF(AG1019&lt;Законод!$C$22,0,(IF(AND(AG1019&gt;=Законод!$H$22,AG1019&lt;=Законод!$H$23),AG1019-Законод!$G$23,IF('01_Доходи'!AG1019&gt;=Законод!$I$22,Законод!$H$24,0)))),IF($B$1015="Лікар-педіатр",IF(AG1019&lt;Законод!$C$18,0,(IF(AND(AG1019&gt;=Законод!$H$18,AG1019&lt;=Законод!$H$19),AG1019-Законод!$G$19,IF('01_Доходи'!AG1019&gt;=Законод!$I$18,Законод!$H$20,0)))),IF($B$1015="Лікар-терапевт",IF(AG1019&lt;Законод!$C$26,0,(IF(AND(AG1019&gt;=Законод!$H$26,AG1019&lt;=Законод!$H$27),AG1019-Законод!$G$27,IF(AG1019&gt;=Законод!$I$26,Законод!$H$28,0)))),0)))</f>
        <v>0</v>
      </c>
      <c r="AH1024" s="930"/>
      <c r="AI1024" s="201"/>
      <c r="AJ1024" s="933"/>
      <c r="AK1024" s="927"/>
      <c r="AL1024" s="927"/>
      <c r="AM1024" s="899"/>
      <c r="AN1024" s="210">
        <f ca="1">IF(B1015="Лікар загальної практики - сімейний лікар",L1024*Законод!$C$9/4*Законод!$H$16,IF(B1015="Лікар-педіатр",L1024*Законод!$C$9/4*Законод!$H$16,IF(B1015="Лікар-терапевт",L1024*Законод!$C$9/4*Законод!$H$16,0)))</f>
        <v>0</v>
      </c>
      <c r="AO1024" s="210">
        <f ca="1">IF(B1015="Лікар загальної практики - сімейний лікар",S1024*Законод!$C$9/4*Законод!$H$16,IF(B1015="Лікар-педіатр",S1024*Законод!$C$9/4*Законод!$H$16,IF(B1015="Лікар-терапевт",S1024*Законод!$C$9/4*Законод!$H$16,0)))</f>
        <v>0</v>
      </c>
      <c r="AP1024" s="210">
        <f ca="1">IF(B1015="Лікар загальної практики - сімейний лікар",Z1024*Законод!$C$9/4*Законод!$H$16,IF(B1015="Лікар-педіатр",Z1024*Законод!$C$9/4*Законод!$H$16,IF(B1015="Лікар-терапевт",Z1024*Законод!$C$9/4*Законод!$H$16,0)))</f>
        <v>0</v>
      </c>
      <c r="AQ1024" s="210">
        <f ca="1">IF(B1015="Лікар загальної практики - сімейний лікар",AG1024*Законод!$C$9/4*Законод!$H$16,IF(B1015="Лікар-педіатр",AG1024*Законод!$C$9/4*Законод!$H$16,IF(B1015="Лікар-терапевт",AG1024*Законод!$C$9/4*Законод!$H$16,0)))</f>
        <v>0</v>
      </c>
      <c r="AR1024" s="211">
        <f t="shared" si="105"/>
        <v>0</v>
      </c>
    </row>
    <row r="1025" spans="1:44" s="50" customFormat="1" ht="31.9" hidden="1" customHeight="1">
      <c r="A1025" s="197"/>
      <c r="B1025" s="893"/>
      <c r="C1025" s="896"/>
      <c r="D1025" s="912"/>
      <c r="E1025" s="909"/>
      <c r="F1025" s="238" t="str">
        <f ca="1">IF(B1015="Лікар-педіатр",Законод!$I$17,IF(B1015="Лікар загальної практики - сімейний лікар",Законод!$I$21,IF(B1015="Лікар-терапевт",Законод!$I$25,"х")))</f>
        <v>х</v>
      </c>
      <c r="G1025" s="889" t="s">
        <v>346</v>
      </c>
      <c r="H1025" s="890"/>
      <c r="I1025" s="890"/>
      <c r="J1025" s="890"/>
      <c r="K1025" s="891"/>
      <c r="L1025" s="196">
        <f ca="1">IF($B$1015="Лікар загальної практики - сімейний лікар",IF(L1019&lt;Законод!$C$22,0,(IF(AND(L1019&gt;=Законод!$I$22,L1019&lt;=Законод!$I$23),L1019-Законод!$H$23,IF('01_Доходи'!L1019&gt;=Законод!$I$22,Законод!$I$24,0)))),IF($B$1015="Лікар-педіатр",IF(L1019&lt;Законод!$C$18,0,(IF(AND(L1019&gt;=Законод!$I$18,L1019&lt;=Законод!$I$19),L1019-Законод!$H$19,IF('01_Доходи'!L1019&gt;=Законод!$I$18,Законод!$H$20,0)))),IF($B$1015="Лікар-терапевт",IF(L1019&lt;Законод!$C$26,0,(IF(AND(L1019&gt;=Законод!$I$26,L1019&lt;=Законод!$I$27),L1019-Законод!$H$27,IF('01_Доходи'!L1019&gt;=Законод!$I$26,Законод!$H$28,0)))),0)))</f>
        <v>0</v>
      </c>
      <c r="M1025" s="930"/>
      <c r="N1025" s="889" t="s">
        <v>346</v>
      </c>
      <c r="O1025" s="890"/>
      <c r="P1025" s="890"/>
      <c r="Q1025" s="890"/>
      <c r="R1025" s="891"/>
      <c r="S1025" s="196">
        <f ca="1">IF($B$1015="Лікар загальної практики - сімейний лікар",IF(S1019&lt;Законод!$C$22,0,(IF(AND(S1019&gt;=Законод!$I$22,S1019&lt;=Законод!$I$23),S1019-Законод!$H$23,IF('01_Доходи'!S1019&gt;=Законод!$I$22,Законод!$I$24,0)))),IF($B$1015="Лікар-педіатр",IF(S1019&lt;Законод!$C$18,0,(IF(AND(S1019&gt;=Законод!$I$18,S1019&lt;=Законод!$I$19),S1019-Законод!$H$19,IF('01_Доходи'!S1019&gt;=Законод!$I$18,Законод!$H$20,0)))),IF($B$1015="Лікар-терапевт",IF(S1019&lt;Законод!$C$26,0,(IF(AND(S1019&gt;=Законод!$I$26,S1019&lt;=Законод!$I$27),S1019-Законод!$H$27,IF('01_Доходи'!S1019&gt;=Законод!$I$26,Законод!$H$28,0)))),0)))</f>
        <v>0</v>
      </c>
      <c r="T1025" s="930"/>
      <c r="U1025" s="889" t="s">
        <v>346</v>
      </c>
      <c r="V1025" s="890"/>
      <c r="W1025" s="890"/>
      <c r="X1025" s="890"/>
      <c r="Y1025" s="891"/>
      <c r="Z1025" s="196">
        <f ca="1">IF($B$1015="Лікар загальної практики - сімейний лікар",IF(Z1019&lt;Законод!$C$22,0,(IF(AND(Z1019&gt;=Законод!$I$22,Z1019&lt;=Законод!$I$23),Z1019-Законод!$H$23,IF('01_Доходи'!Z1019&gt;=Законод!$I$22,Законод!$I$24,0)))),IF($B$1015="Лікар-педіатр",IF(Z1019&lt;Законод!$C$18,0,(IF(AND(Z1019&gt;=Законод!$I$18,Z1019&lt;=Законод!$I$19),Z1019-Законод!$H$19,IF('01_Доходи'!Z1019&gt;=Законод!$I$18,Законод!$H$20,0)))),IF($B$1015="Лікар-терапевт",IF(Z1019&lt;Законод!$C$26,0,(IF(AND(Z1019&gt;=Законод!$I$26,Z1019&lt;=Законод!$I$27),Z1019-Законод!$H$27,IF('01_Доходи'!Z1019&gt;=Законод!$I$26,Законод!$H$28,0)))),0)))</f>
        <v>0</v>
      </c>
      <c r="AA1025" s="930"/>
      <c r="AB1025" s="889" t="s">
        <v>346</v>
      </c>
      <c r="AC1025" s="890"/>
      <c r="AD1025" s="890"/>
      <c r="AE1025" s="890"/>
      <c r="AF1025" s="891"/>
      <c r="AG1025" s="196">
        <f ca="1">IF($B$1015="Лікар загальної практики - сімейний лікар",IF(AG1019&lt;Законод!$C$22,0,(IF(AND(AG1019&gt;=Законод!$I$22,AG1019&lt;=Законод!$I$23),AG1019-Законод!$H$23,IF('01_Доходи'!AG1019&gt;=Законод!$I$22,Законод!$I$24,0)))),IF($B$1015="Лікар-педіатр",IF(AG1019&lt;Законод!$C$18,0,(IF(AND(AG1019&gt;=Законод!$I$18,AG1019&lt;=Законод!$I$19),AG1019-Законод!$H$19,IF('01_Доходи'!AG1019&gt;=Законод!$I$18,Законод!$H$20,0)))),IF($B$1015="Лікар-терапевт",IF(AG1019&lt;Законод!$C$26,0,(IF(AND(AG1019&gt;=Законод!$I$26,AG1019&lt;=Законод!$I$27),AG1019-Законод!$H$27,IF('01_Доходи'!AG1019&gt;=Законод!$I$26,Законод!$H$28,0)))),0)))</f>
        <v>0</v>
      </c>
      <c r="AH1025" s="930"/>
      <c r="AI1025" s="201"/>
      <c r="AJ1025" s="933"/>
      <c r="AK1025" s="927"/>
      <c r="AL1025" s="927"/>
      <c r="AM1025" s="899"/>
      <c r="AN1025" s="210">
        <f ca="1">IF(B1015="Лікар загальної практики - сімейний лікар",L1025*Законод!$C$9/4*Законод!$I$16,IF(B1015="Лікар-педіатр",L1025*Законод!$C$9/4*Законод!$I$16,IF(B1015="Лікар-терапевт",L1025*Законод!$C$9/4*Законод!$I$16,0)))</f>
        <v>0</v>
      </c>
      <c r="AO1025" s="210">
        <f ca="1">IF(B1015="Лікар загальної практики - сімейний лікар",S1025*Законод!$C$9/4*Законод!$I$16,IF(B1015="Лікар-педіатр",S1025*Законод!$C$9/4*Законод!$I$16,IF(B1015="Лікар-терапевт",S1025*Законод!$C$9/4*Законод!$I$16,0)))</f>
        <v>0</v>
      </c>
      <c r="AP1025" s="210">
        <f ca="1">IF(B1015="Лікар загальної практики - сімейний лікар",Z1025*Законод!$C$9/4*Законод!$I$16,IF(B1015="Лікар-педіатр",Z1025*Законод!$C$9/4*Законод!$I$16,IF(B1015="Лікар-терапевт",Z1025*Законод!$C$9/4*Законод!$I$16,0)))</f>
        <v>0</v>
      </c>
      <c r="AQ1025" s="210">
        <f ca="1">IF(B1015="Лікар загальної практики - сімейний лікар",AG1025*Законод!$C$9/4*Законод!$I$16,IF(B1015="Лікар-педіатр",AG1025*Законод!$C$9/4*Законод!$I$16,IF(B1015="Лікар-терапевт",AG1025*Законод!$C$9/4*Законод!$I$16,0)))</f>
        <v>0</v>
      </c>
      <c r="AR1025" s="211">
        <f t="shared" si="105"/>
        <v>0</v>
      </c>
    </row>
    <row r="1026" spans="1:44" s="218" customFormat="1" ht="31.9" hidden="1" customHeight="1" thickBot="1">
      <c r="A1026" s="213"/>
      <c r="B1026" s="894"/>
      <c r="C1026" s="897"/>
      <c r="D1026" s="913"/>
      <c r="E1026" s="910"/>
      <c r="F1026" s="239" t="str">
        <f ca="1">IF(B1015="Лікар-педіатр",Законод!$J$17,IF(B1015="Лікар загальної практики - сімейний лікар",Законод!$J$21,IF(B1015="Лікар-терапевт",Законод!$J$25,"х")))</f>
        <v>х</v>
      </c>
      <c r="G1026" s="935" t="s">
        <v>346</v>
      </c>
      <c r="H1026" s="936"/>
      <c r="I1026" s="936"/>
      <c r="J1026" s="936"/>
      <c r="K1026" s="937"/>
      <c r="L1026" s="196">
        <f ca="1">IF($B$1015="Лікар загальної практики - сімейний лікар",IF(L1019&gt;=Законод!$J$22,'01_Доходи'!L1019-('01_Доходи'!L1020+'01_Доходи'!L1021+'01_Доходи'!L1022+'01_Доходи'!L1023+'01_Доходи'!L1024+'01_Доходи'!L1025),0),IF($B$1015="Лікар-педіатр",IF(L1019&gt;=Законод!$J$18,'01_Доходи'!L1019-('01_Доходи'!L1020+'01_Доходи'!L1021+'01_Доходи'!L1022+'01_Доходи'!L1023+'01_Доходи'!L1024+'01_Доходи'!L1025),0),IF($B$1015="Лікар-терапевт",IF('01_Доходи'!L1019&gt;=Законод!$J$26,L1019-Законод!$I$27,0),0)))</f>
        <v>0</v>
      </c>
      <c r="M1026" s="931"/>
      <c r="N1026" s="935" t="s">
        <v>346</v>
      </c>
      <c r="O1026" s="936"/>
      <c r="P1026" s="936"/>
      <c r="Q1026" s="936"/>
      <c r="R1026" s="937"/>
      <c r="S1026" s="196">
        <f ca="1">IF($B$1015="Лікар загальної практики - сімейний лікар",IF(S1019&gt;=Законод!$J$22,'01_Доходи'!S1019-('01_Доходи'!S1020+'01_Доходи'!S1021+'01_Доходи'!S1022+'01_Доходи'!S1023+'01_Доходи'!S1024+'01_Доходи'!S1025),0),IF($B$1015="Лікар-педіатр",IF(S1019&gt;=Законод!$J$18,'01_Доходи'!S1019-('01_Доходи'!S1020+'01_Доходи'!S1021+'01_Доходи'!S1022+'01_Доходи'!S1023+'01_Доходи'!S1024+'01_Доходи'!S1025),0),IF($B$1015="Лікар-терапевт",IF('01_Доходи'!S1019&gt;=Законод!$J$26,S1019-Законод!$I$27,0),0)))</f>
        <v>0</v>
      </c>
      <c r="T1026" s="931"/>
      <c r="U1026" s="935" t="s">
        <v>346</v>
      </c>
      <c r="V1026" s="936"/>
      <c r="W1026" s="936"/>
      <c r="X1026" s="936"/>
      <c r="Y1026" s="937"/>
      <c r="Z1026" s="196">
        <f ca="1">IF($B$1015="Лікар загальної практики - сімейний лікар",IF(Z1019&gt;=Законод!$J$22,'01_Доходи'!Z1019-('01_Доходи'!Z1020+'01_Доходи'!Z1021+'01_Доходи'!Z1022+'01_Доходи'!Z1023+'01_Доходи'!Z1024+'01_Доходи'!Z1025),0),IF($B$1015="Лікар-педіатр",IF(Z1019&gt;=Законод!$J$18,'01_Доходи'!Z1019-('01_Доходи'!Z1020+'01_Доходи'!Z1021+'01_Доходи'!Z1022+'01_Доходи'!Z1023+'01_Доходи'!Z1024+'01_Доходи'!Z1025),0),IF($B$1015="Лікар-терапевт",IF('01_Доходи'!Z1019&gt;=Законод!$J$26,Z1019-Законод!$I$27,0),0)))</f>
        <v>0</v>
      </c>
      <c r="AA1026" s="931"/>
      <c r="AB1026" s="935" t="s">
        <v>346</v>
      </c>
      <c r="AC1026" s="936"/>
      <c r="AD1026" s="936"/>
      <c r="AE1026" s="936"/>
      <c r="AF1026" s="937"/>
      <c r="AG1026" s="196">
        <f ca="1">IF($B$1015="Лікар загальної практики - сімейний лікар",IF(AG1019&gt;=Законод!$J$22,'01_Доходи'!AG1019-('01_Доходи'!AG1020+'01_Доходи'!AG1021+'01_Доходи'!AG1022+'01_Доходи'!AG1023+'01_Доходи'!AG1024+'01_Доходи'!AG1025),0),IF($B$1015="Лікар-педіатр",IF(AG1019&gt;=Законод!$J$18,'01_Доходи'!AG1019-('01_Доходи'!AG1020+'01_Доходи'!AG1021+'01_Доходи'!AG1022+'01_Доходи'!AG1023+'01_Доходи'!AG1024+'01_Доходи'!AG1025),0),IF($B$1015="Лікар-терапевт",IF('01_Доходи'!AG1019&gt;=Законод!$J$26,AG1019-Законод!$I$27,0),0)))</f>
        <v>0</v>
      </c>
      <c r="AH1026" s="931"/>
      <c r="AI1026" s="215"/>
      <c r="AJ1026" s="934"/>
      <c r="AK1026" s="928"/>
      <c r="AL1026" s="928"/>
      <c r="AM1026" s="900"/>
      <c r="AN1026" s="216">
        <f ca="1">IF(B1015="Лікар загальної практики - сімейний лікар",L1026*Законод!$C$9/4*Законод!$J$16,IF(B1015="Лікар-педіатр",L1026*Законод!$C$9/4*Законод!$J$16,IF(B1015="Лікар-терапевт",L1026*Законод!$C$9/4*Законод!$J$16,0)))</f>
        <v>0</v>
      </c>
      <c r="AO1026" s="216">
        <f ca="1">IF(B1015="Лікар загальної практики - сімейний лікар",S1026*Законод!$C$9/4*Законод!$J$16,IF(B1015="Лікар-педіатр",S1026*Законод!$C$9/4*Законод!$J$16,IF(B1015="Лікар-терапевт",S1026*Законод!$C$9/4*Законод!$J$16,0)))</f>
        <v>0</v>
      </c>
      <c r="AP1026" s="216">
        <f ca="1">IF(B1015="Лікар загальної практики - сімейний лікар",S1026*Законод!$C$9/4*Законод!$J$16,IF(B1015="Лікар-педіатр",S1026*Законод!$C$9/4*Законод!$J$16,IF(B1015="Лікар-терапевт",S1026*Законод!$C$9/4*Законод!$J$16,0)))</f>
        <v>0</v>
      </c>
      <c r="AQ1026" s="216">
        <f ca="1">IF(B1015="Лікар загальної практики - сімейний лікар",AG1026*Законод!$C$9/4*Законод!$J$16,IF(B1015="Лікар-педіатр",AG1026*Законод!$C$9/4*Законод!$J$16,IF(B1015="Лікар-терапевт",AG1026*Законод!$C$9/4*Законод!$J$16,0)))</f>
        <v>0</v>
      </c>
      <c r="AR1026" s="217">
        <f t="shared" si="105"/>
        <v>0</v>
      </c>
    </row>
    <row r="1027" spans="1:44" s="247" customFormat="1" ht="23.45" hidden="1" customHeight="1" thickBot="1">
      <c r="A1027" s="243"/>
      <c r="B1027" s="244"/>
      <c r="C1027" s="244"/>
      <c r="D1027" s="244"/>
      <c r="E1027" s="244"/>
      <c r="F1027" s="245"/>
      <c r="G1027" s="246"/>
      <c r="H1027" s="246"/>
      <c r="L1027" s="248"/>
      <c r="S1027" s="248"/>
      <c r="Z1027" s="248"/>
      <c r="AG1027" s="248"/>
      <c r="AM1027" s="249"/>
      <c r="AR1027" s="250"/>
    </row>
    <row r="1028" spans="1:44" s="191" customFormat="1" ht="24.6" hidden="1" customHeight="1">
      <c r="A1028" s="194">
        <f>A1015+1</f>
        <v>77</v>
      </c>
      <c r="B1028" s="892"/>
      <c r="C1028" s="895"/>
      <c r="D1028" s="911"/>
      <c r="E1028" s="908"/>
      <c r="F1028" s="234" t="s">
        <v>582</v>
      </c>
      <c r="G1028" s="196">
        <f>IF($B$1028="Лікар-педіатр",G1031*L1028,IF($B$1028="Лікар-терапевт","х",IF($B$1028="Лікар загальної практики - сімейний лікар",G1031*L1028,0)))</f>
        <v>0</v>
      </c>
      <c r="H1028" s="196">
        <f>IF($B$1028="Лікар-педіатр",H1031*L1028,IF($B$1028="Лікар-терапевт","х",IF($B$1028="Лікар загальної практики - сімейний лікар",H1031*L1028,0)))</f>
        <v>0</v>
      </c>
      <c r="I1028" s="196">
        <f>IF($B$1028="Лікар-педіатр","x",IF($B$1028="Лікар-терапевт",I1031*L1028,IF($B$1028="Лікар загальної практики - сімейний лікар",I1031*L1028,0)))</f>
        <v>0</v>
      </c>
      <c r="J1028" s="196">
        <f>IF($B$1028="Лікар-педіатр","x",IF($B$1028="Лікар-терапевт",J1031*L1028,IF($B$1028="Лікар загальної практики - сімейний лікар",J1031*L1028,0)))</f>
        <v>0</v>
      </c>
      <c r="K1028" s="196">
        <f>IF($B$1028="Лікар-педіатр","x",IF($B$1028="Лікар-терапевт",K1031*L1028,IF($B$1028="Лікар загальної практики - сімейний лікар",K1031*L1028,0)))</f>
        <v>0</v>
      </c>
      <c r="L1028" s="558"/>
      <c r="M1028" s="929"/>
      <c r="N1028" s="196">
        <f>IF($B$1028="Лікар-педіатр",N1031*S1028,IF($B$1028="Лікар-терапевт","х",IF($B$1028="Лікар загальної практики - сімейний лікар",N1031*S1028,0)))</f>
        <v>0</v>
      </c>
      <c r="O1028" s="196">
        <f>IF($B$1028="Лікар-педіатр",O1031*S1028,IF($B$1028="Лікар-терапевт","х",IF($B$1028="Лікар загальної практики - сімейний лікар",O1031*S1028,0)))</f>
        <v>0</v>
      </c>
      <c r="P1028" s="196">
        <f>IF($B$1028="Лікар-педіатр","x",IF($B$1028="Лікар-терапевт",P1031*S1028,IF($B$1028="Лікар загальної практики - сімейний лікар",P1031*S1028,0)))</f>
        <v>0</v>
      </c>
      <c r="Q1028" s="196">
        <f>IF($B$1028="Лікар-педіатр","x",IF($B$1028="Лікар-терапевт",Q1031*S1028,IF($B$1028="Лікар загальної практики - сімейний лікар",Q1031*S1028,0)))</f>
        <v>0</v>
      </c>
      <c r="R1028" s="196">
        <f>IF($B$1028="Лікар-педіатр","x",IF($B$1028="Лікар-терапевт",R1031*S1028,IF($B$1028="Лікар загальної практики - сімейний лікар",R1031*S1028,0)))</f>
        <v>0</v>
      </c>
      <c r="S1028" s="558"/>
      <c r="T1028" s="929"/>
      <c r="U1028" s="196">
        <f>IF($B$1028="Лікар-педіатр",U1031*Z1028,IF($B$1028="Лікар-терапевт","х",IF($B$1028="Лікар загальної практики - сімейний лікар",U1031*Z1028,0)))</f>
        <v>0</v>
      </c>
      <c r="V1028" s="196">
        <f>IF($B$1028="Лікар-педіатр",V1031*Z1028,IF($B$1028="Лікар-терапевт","х",IF($B$1028="Лікар загальної практики - сімейний лікар",V1031*Z1028,0)))</f>
        <v>0</v>
      </c>
      <c r="W1028" s="196">
        <f>IF($B$1028="Лікар-педіатр","x",IF($B$1028="Лікар-терапевт",W1031*Z1028,IF($B$1028="Лікар загальної практики - сімейний лікар",W1031*Z1028,0)))</f>
        <v>0</v>
      </c>
      <c r="X1028" s="196">
        <f>IF($B$1028="Лікар-педіатр","x",IF($B$1028="Лікар-терапевт",X1031*Z1028,IF($B$1028="Лікар загальної практики - сімейний лікар",X1031*Z1028,0)))</f>
        <v>0</v>
      </c>
      <c r="Y1028" s="196">
        <f>IF($B$1028="Лікар-педіатр","x",IF($B$1028="Лікар-терапевт",Y1031*Z1028,IF($B$1028="Лікар загальної практики - сімейний лікар",Y1031*Z1028,0)))</f>
        <v>0</v>
      </c>
      <c r="Z1028" s="558"/>
      <c r="AA1028" s="929"/>
      <c r="AB1028" s="196">
        <f>IF($B$1028="Лікар-педіатр",AB1031*AG1028,IF($B$1028="Лікар-терапевт","х",IF($B$1028="Лікар загальної практики - сімейний лікар",AB1031*AG1028,0)))</f>
        <v>0</v>
      </c>
      <c r="AC1028" s="196">
        <f>IF($B$1028="Лікар-педіатр",AC1031*AG1028,IF($B$1028="Лікар-терапевт","х",IF($B$1028="Лікар загальної практики - сімейний лікар",AC1031*AG1028,0)))</f>
        <v>0</v>
      </c>
      <c r="AD1028" s="196">
        <f>IF($B$1028="Лікар-педіатр","x",IF($B$1028="Лікар-терапевт",AD1031*AG1028,IF($B$1028="Лікар загальної практики - сімейний лікар",AD1031*AG1028,0)))</f>
        <v>0</v>
      </c>
      <c r="AE1028" s="196">
        <f>IF($B$1028="Лікар-педіатр","x",IF($B$1028="Лікар-терапевт",AE1031*AG1028,IF($B$1028="Лікар загальної практики - сімейний лікар",AE1031*AG1028,0)))</f>
        <v>0</v>
      </c>
      <c r="AF1028" s="196">
        <f>IF($B$1028="Лікар-педіатр","x",IF($B$1028="Лікар-терапевт",AF1031*AG1028,IF($B$1028="Лікар загальної практики - сімейний лікар",AF1031*AG1028,0)))</f>
        <v>0</v>
      </c>
      <c r="AG1028" s="558"/>
      <c r="AH1028" s="929"/>
      <c r="AI1028" s="541">
        <f>A1028</f>
        <v>77</v>
      </c>
      <c r="AJ1028" s="932">
        <f>B1028</f>
        <v>0</v>
      </c>
      <c r="AK1028" s="926">
        <f>C1028</f>
        <v>0</v>
      </c>
      <c r="AL1028" s="926">
        <f>D1028</f>
        <v>0</v>
      </c>
      <c r="AM1028" s="901" t="s">
        <v>785</v>
      </c>
      <c r="AN1028" s="923">
        <f>SUM(AN1033:AN1039)</f>
        <v>0</v>
      </c>
      <c r="AO1028" s="923">
        <f>SUM(AO1033:AO1039)</f>
        <v>0</v>
      </c>
      <c r="AP1028" s="923">
        <f>SUM(AP1033:AP1039)</f>
        <v>0</v>
      </c>
      <c r="AQ1028" s="923">
        <f>SUM(AQ1033:AQ1039)</f>
        <v>0</v>
      </c>
      <c r="AR1028" s="914">
        <f>SUM(AN1028:AQ1032)</f>
        <v>0</v>
      </c>
    </row>
    <row r="1029" spans="1:44" s="50" customFormat="1" ht="28.15" hidden="1" customHeight="1">
      <c r="A1029" s="197"/>
      <c r="B1029" s="893"/>
      <c r="C1029" s="896"/>
      <c r="D1029" s="912"/>
      <c r="E1029" s="909"/>
      <c r="F1029" s="234" t="s">
        <v>583</v>
      </c>
      <c r="G1029" s="196">
        <f>IF($B$1028="Лікар-педіатр",G1031*L1029,IF($B$1028="Лікар-терапевт","х",IF($B$1028="Лікар загальної практики - сімейний лікар",G1031*L1029,0)))</f>
        <v>0</v>
      </c>
      <c r="H1029" s="196">
        <f>IF($B$1028="Лікар-педіатр",H1031*L1029,IF($B$1028="Лікар-терапевт","х",IF($B$1028="Лікар загальної практики - сімейний лікар",H1031*L1029,0)))</f>
        <v>0</v>
      </c>
      <c r="I1029" s="196">
        <f>IF($B$1028="Лікар-педіатр","x",IF($B$1028="Лікар-терапевт",I1031*L1029,IF($B$1028="Лікар загальної практики - сімейний лікар",I1031*L1029,0)))</f>
        <v>0</v>
      </c>
      <c r="J1029" s="196">
        <f>IF($B$1028="Лікар-педіатр","x",IF($B$1028="Лікар-терапевт",J1031*L1029,IF($B$1028="Лікар загальної практики - сімейний лікар",J1031*L1029,0)))</f>
        <v>0</v>
      </c>
      <c r="K1029" s="196">
        <f>IF($B$1028="Лікар-педіатр","x",IF($B$1028="Лікар-терапевт",K1031*L1029,IF($B$1028="Лікар загальної практики - сімейний лікар",K1031*L1029,0)))</f>
        <v>0</v>
      </c>
      <c r="L1029" s="558"/>
      <c r="M1029" s="930"/>
      <c r="N1029" s="196">
        <f>IF($B$1028="Лікар-педіатр",N1031*S1029,IF($B$1028="Лікар-терапевт","х",IF($B$1028="Лікар загальної практики - сімейний лікар",N1031*S1029,0)))</f>
        <v>0</v>
      </c>
      <c r="O1029" s="196">
        <f>IF($B$1028="Лікар-педіатр",O1031*S1029,IF($B$1028="Лікар-терапевт","х",IF($B$1028="Лікар загальної практики - сімейний лікар",O1031*S1029,0)))</f>
        <v>0</v>
      </c>
      <c r="P1029" s="196">
        <f>IF($B$1028="Лікар-педіатр","x",IF($B$1028="Лікар-терапевт",P1031*S1029,IF($B$1028="Лікар загальної практики - сімейний лікар",P1031*S1029,0)))</f>
        <v>0</v>
      </c>
      <c r="Q1029" s="196">
        <f>IF($B$1028="Лікар-педіатр","x",IF($B$1028="Лікар-терапевт",Q1031*S1029,IF($B$1028="Лікар загальної практики - сімейний лікар",Q1031*S1029,0)))</f>
        <v>0</v>
      </c>
      <c r="R1029" s="196">
        <f>IF($B$1028="Лікар-педіатр","x",IF($B$1028="Лікар-терапевт",R1031*S1029,IF($B$1028="Лікар загальної практики - сімейний лікар",R1031*S1029,0)))</f>
        <v>0</v>
      </c>
      <c r="S1029" s="558"/>
      <c r="T1029" s="930"/>
      <c r="U1029" s="196">
        <f>IF($B$1028="Лікар-педіатр",U1031*Z1029,IF($B$1028="Лікар-терапевт","х",IF($B$1028="Лікар загальної практики - сімейний лікар",U1031*Z1029,0)))</f>
        <v>0</v>
      </c>
      <c r="V1029" s="196">
        <f>IF($B$1028="Лікар-педіатр",V1031*Z1029,IF($B$1028="Лікар-терапевт","х",IF($B$1028="Лікар загальної практики - сімейний лікар",V1031*Z1029,0)))</f>
        <v>0</v>
      </c>
      <c r="W1029" s="196">
        <f>IF($B$1028="Лікар-педіатр","x",IF($B$1028="Лікар-терапевт",W1031*Z1029,IF($B$1028="Лікар загальної практики - сімейний лікар",W1031*Z1029,0)))</f>
        <v>0</v>
      </c>
      <c r="X1029" s="196">
        <f>IF($B$1028="Лікар-педіатр","x",IF($B$1028="Лікар-терапевт",X1031*Z1029,IF($B$1028="Лікар загальної практики - сімейний лікар",X1031*Z1029,0)))</f>
        <v>0</v>
      </c>
      <c r="Y1029" s="196">
        <f>IF($B$1028="Лікар-педіатр","x",IF($B$1028="Лікар-терапевт",Y1031*Z1029,IF($B$1028="Лікар загальної практики - сімейний лікар",Y1031*Z1029,0)))</f>
        <v>0</v>
      </c>
      <c r="Z1029" s="558"/>
      <c r="AA1029" s="930"/>
      <c r="AB1029" s="196">
        <f>IF($B$1028="Лікар-педіатр",AB1031*AG1029,IF($B$1028="Лікар-терапевт","х",IF($B$1028="Лікар загальної практики - сімейний лікар",AB1031*AG1029,0)))</f>
        <v>0</v>
      </c>
      <c r="AC1029" s="196">
        <f>IF($B$1028="Лікар-педіатр",AC1031*AG1029,IF($B$1028="Лікар-терапевт","х",IF($B$1028="Лікар загальної практики - сімейний лікар",AC1031*AG1029,0)))</f>
        <v>0</v>
      </c>
      <c r="AD1029" s="196">
        <f>IF($B$1028="Лікар-педіатр","x",IF($B$1028="Лікар-терапевт",AD1031*AG1029,IF($B$1028="Лікар загальної практики - сімейний лікар",AD1031*AG1029,0)))</f>
        <v>0</v>
      </c>
      <c r="AE1029" s="196">
        <f>IF($B$1028="Лікар-педіатр","x",IF($B$1028="Лікар-терапевт",AE1031*AG1029,IF($B$1028="Лікар загальної практики - сімейний лікар",AE1031*AG1029,0)))</f>
        <v>0</v>
      </c>
      <c r="AF1029" s="196">
        <f>IF($B$1028="Лікар-педіатр","x",IF($B$1028="Лікар-терапевт",AF1031*AG1029,IF($B$1028="Лікар загальної практики - сімейний лікар",AF1031*AG1029,0)))</f>
        <v>0</v>
      </c>
      <c r="AG1029" s="558"/>
      <c r="AH1029" s="930"/>
      <c r="AI1029" s="198"/>
      <c r="AJ1029" s="933"/>
      <c r="AK1029" s="927"/>
      <c r="AL1029" s="927"/>
      <c r="AM1029" s="902"/>
      <c r="AN1029" s="924"/>
      <c r="AO1029" s="924"/>
      <c r="AP1029" s="924"/>
      <c r="AQ1029" s="924"/>
      <c r="AR1029" s="915"/>
    </row>
    <row r="1030" spans="1:44" s="90" customFormat="1" ht="31.15" hidden="1" customHeight="1">
      <c r="A1030" s="240"/>
      <c r="B1030" s="893"/>
      <c r="C1030" s="896"/>
      <c r="D1030" s="912"/>
      <c r="E1030" s="909"/>
      <c r="F1030" s="241" t="s">
        <v>584</v>
      </c>
      <c r="G1030" s="199">
        <f>IF(B1028="Лікар загальної практики - сімейний лікар"," ",IF(B1028="Лікар-педіатр"," ",IF(B1028="Лікар-терапевт","х",0)))</f>
        <v>0</v>
      </c>
      <c r="H1030" s="199">
        <f>IF(B1028="Лікар загальної практики - сімейний лікар"," ",IF(B1028="Лікар-педіатр"," ",IF(B1028="Лікар-терапевт","х",0)))</f>
        <v>0</v>
      </c>
      <c r="I1030" s="199">
        <f>IF(B1028="Лікар загальної практики - сімейний лікар"," ",IF(B1028="Лікар-педіатр","х",IF(B1028="Лікар-терапевт"," ",0)))</f>
        <v>0</v>
      </c>
      <c r="J1030" s="199">
        <f>IF(B1028="Лікар загальної практики - сімейний лікар"," ",IF(B1028="Лікар-педіатр","х",IF(B1028="Лікар-терапевт"," ",0)))</f>
        <v>0</v>
      </c>
      <c r="K1030" s="199">
        <f>IF(B1028="Лікар загальної практики - сімейний лікар"," ",IF(B1028="Лікар-педіатр","х",IF(B1028="Лікар-терапевт"," ",0)))</f>
        <v>0</v>
      </c>
      <c r="L1030" s="200">
        <f>SUM(G1030:K1030)</f>
        <v>0</v>
      </c>
      <c r="M1030" s="930"/>
      <c r="N1030" s="199">
        <f>IF(B1028="Лікар загальної практики - сімейний лікар"," ",IF(B1028="Лікар-педіатр"," ",IF(B1028="Лікар-терапевт","х",0)))</f>
        <v>0</v>
      </c>
      <c r="O1030" s="199">
        <f>IF(B1028="Лікар загальної практики - сімейний лікар"," ",IF(B1028="Лікар-педіатр"," ",IF(B1028="Лікар-терапевт","х",0)))</f>
        <v>0</v>
      </c>
      <c r="P1030" s="199">
        <f>IF(B1028="Лікар загальної практики - сімейний лікар"," ",IF(B1028="Лікар-педіатр","х",IF(B1028="Лікар-терапевт"," ",0)))</f>
        <v>0</v>
      </c>
      <c r="Q1030" s="199">
        <f>IF(B1028="Лікар загальної практики - сімейний лікар"," ",IF(B1028="Лікар-педіатр","х",IF(B1028="Лікар-терапевт"," ",0)))</f>
        <v>0</v>
      </c>
      <c r="R1030" s="199">
        <f>IF(B1028="Лікар загальної практики - сімейний лікар"," ",IF(B1028="Лікар-педіатр","х",IF(B1028="Лікар-терапевт"," ",0)))</f>
        <v>0</v>
      </c>
      <c r="S1030" s="200">
        <f>SUM(N1030:R1030)</f>
        <v>0</v>
      </c>
      <c r="T1030" s="930"/>
      <c r="U1030" s="199">
        <f>IF(B1028="Лікар загальної практики - сімейний лікар"," ",IF(B1028="Лікар-педіатр"," ",IF(B1028="Лікар-терапевт","х",0)))</f>
        <v>0</v>
      </c>
      <c r="V1030" s="199">
        <f>IF(B1028="Лікар загальної практики - сімейний лікар"," ",IF(B1028="Лікар-педіатр"," ",IF(B1028="Лікар-терапевт","х",0)))</f>
        <v>0</v>
      </c>
      <c r="W1030" s="199">
        <f>IF(B1028="Лікар загальної практики - сімейний лікар"," ",IF(B1028="Лікар-педіатр","х",IF(B1028="Лікар-терапевт"," ",0)))</f>
        <v>0</v>
      </c>
      <c r="X1030" s="199">
        <f>IF(B1028="Лікар загальної практики - сімейний лікар"," ",IF(B1028="Лікар-педіатр","х",IF(B1028="Лікар-терапевт"," ",0)))</f>
        <v>0</v>
      </c>
      <c r="Y1030" s="199">
        <f>IF(B1028="Лікар загальної практики - сімейний лікар"," ",IF(B1028="Лікар-педіатр","х",IF(B1028="Лікар-терапевт"," ",0)))</f>
        <v>0</v>
      </c>
      <c r="Z1030" s="200">
        <f>SUM(U1030:Y1030)</f>
        <v>0</v>
      </c>
      <c r="AA1030" s="930"/>
      <c r="AB1030" s="199">
        <f>IF(B1028="Лікар загальної практики - сімейний лікар"," ",IF(B1028="Лікар-педіатр"," ",IF(B1028="Лікар-терапевт","х",0)))</f>
        <v>0</v>
      </c>
      <c r="AC1030" s="199">
        <f>IF(B1028="Лікар загальної практики - сімейний лікар"," ",IF(B1028="Лікар-педіатр"," ",IF(B1028="Лікар-терапевт","х",0)))</f>
        <v>0</v>
      </c>
      <c r="AD1030" s="199">
        <f>IF(B1028="Лікар загальної практики - сімейний лікар"," ",IF(B1028="Лікар-педіатр","х",IF(B1028="Лікар-терапевт"," ",0)))</f>
        <v>0</v>
      </c>
      <c r="AE1030" s="199">
        <f>IF(B1028="Лікар загальної практики - сімейний лікар"," ",IF(B1028="Лікар-педіатр","х",IF(B1028="Лікар-терапевт"," ",0)))</f>
        <v>0</v>
      </c>
      <c r="AF1030" s="199">
        <f>IF(B1028="Лікар загальної практики - сімейний лікар"," ",IF(B1028="Лікар-педіатр","х",IF(B1028="Лікар-терапевт"," ",0)))</f>
        <v>0</v>
      </c>
      <c r="AG1030" s="200">
        <f>SUM(AB1030:AF1030)</f>
        <v>0</v>
      </c>
      <c r="AH1030" s="930"/>
      <c r="AI1030" s="242"/>
      <c r="AJ1030" s="933"/>
      <c r="AK1030" s="927"/>
      <c r="AL1030" s="927"/>
      <c r="AM1030" s="902"/>
      <c r="AN1030" s="924"/>
      <c r="AO1030" s="924"/>
      <c r="AP1030" s="924"/>
      <c r="AQ1030" s="924"/>
      <c r="AR1030" s="915"/>
    </row>
    <row r="1031" spans="1:44" s="50" customFormat="1" ht="31.9" hidden="1" customHeight="1" thickBot="1">
      <c r="A1031" s="197"/>
      <c r="B1031" s="893"/>
      <c r="C1031" s="896"/>
      <c r="D1031" s="912"/>
      <c r="E1031" s="909"/>
      <c r="F1031" s="236" t="s">
        <v>349</v>
      </c>
      <c r="G1031" s="203">
        <f>IF($B$1028="Лікар-педіатр",G1030/L1030,IF($B$1028="Лікар-терапевт","х",IF($B$1028="Лікар загальної практики - сімейний лікар",G1030/L1030,0)))</f>
        <v>0</v>
      </c>
      <c r="H1031" s="203">
        <f>IF($B$1028="Лікар-педіатр",H1030/L1030,IF($B$1028="Лікар-терапевт","х",IF($B$1028="Лікар загальної практики - сімейний лікар",H1030/L1030,0)))</f>
        <v>0</v>
      </c>
      <c r="I1031" s="203">
        <f>IF($B$1028="Лікар-педіатр","x",IF($B$1028="Лікар-терапевт",I1030/L1030,IF($B$1028="Лікар загальної практики - сімейний лікар",I1030/L1030,0)))</f>
        <v>0</v>
      </c>
      <c r="J1031" s="203">
        <f>IF($B$1028="Лікар-педіатр","x",IF($B$1028="Лікар-терапевт",J1030/L1030,IF($B$1028="Лікар загальної практики - сімейний лікар",J1030/L1030,0)))</f>
        <v>0</v>
      </c>
      <c r="K1031" s="203">
        <f>IF($B$1028="Лікар-педіатр","x",IF($B$1028="Лікар-терапевт",K1030/L1030,IF($B$1028="Лікар загальної практики - сімейний лікар",K1030/L1030,0)))</f>
        <v>0</v>
      </c>
      <c r="L1031" s="203">
        <f>SUM(G1031:K1031)</f>
        <v>0</v>
      </c>
      <c r="M1031" s="930"/>
      <c r="N1031" s="203">
        <f>IF($B$1028="Лікар-педіатр",N1030/S1030,IF($B$1028="Лікар-терапевт","х",IF($B$1028="Лікар загальної практики - сімейний лікар",N1030/S1030,0)))</f>
        <v>0</v>
      </c>
      <c r="O1031" s="203">
        <f>IF($B$1028="Лікар-педіатр",O1030/S1030,IF($B$1028="Лікар-терапевт","х",IF($B$1028="Лікар загальної практики - сімейний лікар",O1030/S1030,0)))</f>
        <v>0</v>
      </c>
      <c r="P1031" s="203">
        <f>IF($B$1028="Лікар-педіатр","x",IF($B$1028="Лікар-терапевт",P1030/S1030,IF($B$1028="Лікар загальної практики - сімейний лікар",P1030/S1030,0)))</f>
        <v>0</v>
      </c>
      <c r="Q1031" s="203">
        <f>IF($B$1028="Лікар-педіатр","x",IF($B$1028="Лікар-терапевт",Q1030/S1030,IF($B$1028="Лікар загальної практики - сімейний лікар",Q1030/S1030,0)))</f>
        <v>0</v>
      </c>
      <c r="R1031" s="203">
        <f>IF($B$1028="Лікар-педіатр","x",IF($B$1028="Лікар-терапевт",R1030/S1030,IF($B$1028="Лікар загальної практики - сімейний лікар",R1030/S1030,0)))</f>
        <v>0</v>
      </c>
      <c r="S1031" s="203">
        <f>SUM(N1031:R1031)</f>
        <v>0</v>
      </c>
      <c r="T1031" s="930"/>
      <c r="U1031" s="203">
        <f>IF($B$1028="Лікар-педіатр",U1030/Z1030,IF($B$1028="Лікар-терапевт","х",IF($B$1028="Лікар загальної практики - сімейний лікар",U1030/Z1030,0)))</f>
        <v>0</v>
      </c>
      <c r="V1031" s="203">
        <f>IF($B$1028="Лікар-педіатр",V1030/Z1030,IF($B$1028="Лікар-терапевт","х",IF($B$1028="Лікар загальної практики - сімейний лікар",V1030/Z1030,0)))</f>
        <v>0</v>
      </c>
      <c r="W1031" s="203">
        <f>IF($B$1028="Лікар-педіатр","x",IF($B$1028="Лікар-терапевт",W1030/Z1030,IF($B$1028="Лікар загальної практики - сімейний лікар",W1030/Z1030,0)))</f>
        <v>0</v>
      </c>
      <c r="X1031" s="203">
        <f>IF($B$1028="Лікар-педіатр","x",IF($B$1028="Лікар-терапевт",X1030/Z1030,IF($B$1028="Лікар загальної практики - сімейний лікар",X1030/Z1030,0)))</f>
        <v>0</v>
      </c>
      <c r="Y1031" s="203">
        <f>IF($B$1028="Лікар-педіатр","x",IF($B$1028="Лікар-терапевт",Y1030/Z1030,IF($B$1028="Лікар загальної практики - сімейний лікар",Y1030/Z1030,0)))</f>
        <v>0</v>
      </c>
      <c r="Z1031" s="203">
        <f>SUM(U1031:Y1031)</f>
        <v>0</v>
      </c>
      <c r="AA1031" s="930"/>
      <c r="AB1031" s="203">
        <f>IF($B$1028="Лікар-педіатр",AB1030/AG1030,IF($B$1028="Лікар-терапевт","х",IF($B$1028="Лікар загальної практики - сімейний лікар",AB1030/AG1030,0)))</f>
        <v>0</v>
      </c>
      <c r="AC1031" s="203">
        <f>IF($B$1028="Лікар-педіатр",AC1030/AG1030,IF($B$1028="Лікар-терапевт","х",IF($B$1028="Лікар загальної практики - сімейний лікар",AC1030/AG1030,0)))</f>
        <v>0</v>
      </c>
      <c r="AD1031" s="203">
        <f>IF($B$1028="Лікар-педіатр","x",IF($B$1028="Лікар-терапевт",AD1030/AG1030,IF($B$1028="Лікар загальної практики - сімейний лікар",AD1030/AG1030,0)))</f>
        <v>0</v>
      </c>
      <c r="AE1031" s="203">
        <f>IF($B$1028="Лікар-педіатр","x",IF($B$1028="Лікар-терапевт",AE1030/AG1030,IF($B$1028="Лікар загальної практики - сімейний лікар",AE1030/AG1030,0)))</f>
        <v>0</v>
      </c>
      <c r="AF1031" s="203">
        <f>IF($B$1028="Лікар-педіатр","x",IF($B$1028="Лікар-терапевт",AF1030/AG1030,IF($B$1028="Лікар загальної практики - сімейний лікар",AF1030/AG1030,0)))</f>
        <v>0</v>
      </c>
      <c r="AG1031" s="203">
        <f>SUM(AB1031:AF1031)</f>
        <v>0</v>
      </c>
      <c r="AH1031" s="930"/>
      <c r="AI1031" s="201"/>
      <c r="AJ1031" s="933"/>
      <c r="AK1031" s="927"/>
      <c r="AL1031" s="927"/>
      <c r="AM1031" s="902"/>
      <c r="AN1031" s="924"/>
      <c r="AO1031" s="924"/>
      <c r="AP1031" s="924"/>
      <c r="AQ1031" s="924"/>
      <c r="AR1031" s="915"/>
    </row>
    <row r="1032" spans="1:44" s="50" customFormat="1" ht="45" hidden="1" customHeight="1" thickBot="1">
      <c r="A1032" s="197"/>
      <c r="B1032" s="893"/>
      <c r="C1032" s="896"/>
      <c r="D1032" s="912"/>
      <c r="E1032" s="909"/>
      <c r="F1032" s="204" t="s">
        <v>585</v>
      </c>
      <c r="G1032" s="205">
        <f>IF($B$1028="Лікар загальної практики - сімейний лікар",AVERAGE(G1028:G1030),IF($B$1028="Лікар-педіатр",AVERAGE(G1028:G1030),IF($B$1028="Лікар-терапевт","х",0)))</f>
        <v>0</v>
      </c>
      <c r="H1032" s="205">
        <f>IF($B$1028="Лікар загальної практики - сімейний лікар",AVERAGE(H1028:H1030),IF($B$1028="Лікар-педіатр",AVERAGE(H1028:H1030),IF($B$1028="Лікар-терапевт","х",0)))</f>
        <v>0</v>
      </c>
      <c r="I1032" s="205">
        <f>IF($B$1028="Лікар загальної практики - сімейний лікар",AVERAGE(I1028:I1030),IF($B$1028="Лікар-педіатр","x",IF($B$1028="Лікар-терапевт",AVERAGE(I1028:I1030),0)))</f>
        <v>0</v>
      </c>
      <c r="J1032" s="205">
        <f>IF($B$1028="Лікар загальної практики - сімейний лікар",AVERAGE(J1028:J1030),IF($B$1028="Лікар-педіатр","x",IF($B$1028="Лікар-терапевт",AVERAGE(J1028:J1030),0)))</f>
        <v>0</v>
      </c>
      <c r="K1032" s="205">
        <f>IF($B$1028="Лікар загальної практики - сімейний лікар",AVERAGE(K1028:K1030),IF($B$1028="Лікар-педіатр","x",IF($B$1028="Лікар-терапевт",AVERAGE(K1028:K1030),0)))</f>
        <v>0</v>
      </c>
      <c r="L1032" s="206">
        <f>SUM(G1032:K1032)</f>
        <v>0</v>
      </c>
      <c r="M1032" s="930"/>
      <c r="N1032" s="205">
        <f>IF($B$1028="Лікар загальної практики - сімейний лікар",AVERAGE(N1028:N1030),IF($B$1028="Лікар-педіатр",AVERAGE(N1028:N1030),IF($B$1028="Лікар-терапевт","х",0)))</f>
        <v>0</v>
      </c>
      <c r="O1032" s="205">
        <f>IF($B$1028="Лікар загальної практики - сімейний лікар",AVERAGE(O1028:O1030),IF($B$1028="Лікар-педіатр",AVERAGE(O1028:O1030),IF($B$1028="Лікар-терапевт","х",0)))</f>
        <v>0</v>
      </c>
      <c r="P1032" s="205">
        <f>IF($B$1028="Лікар загальної практики - сімейний лікар",AVERAGE(P1028:P1030),IF($B$1028="Лікар-педіатр","x",IF($B$1028="Лікар-терапевт",AVERAGE(P1028:P1030),0)))</f>
        <v>0</v>
      </c>
      <c r="Q1032" s="205">
        <f>IF($B$1028="Лікар загальної практики - сімейний лікар",AVERAGE(Q1028:Q1030),IF($B$1028="Лікар-педіатр","x",IF($B$1028="Лікар-терапевт",AVERAGE(Q1028:Q1030),0)))</f>
        <v>0</v>
      </c>
      <c r="R1032" s="205">
        <f>IF($B$1028="Лікар загальної практики - сімейний лікар",AVERAGE(R1028:R1030),IF($B$1028="Лікар-педіатр","x",IF($B$1028="Лікар-терапевт",AVERAGE(R1028:R1030),0)))</f>
        <v>0</v>
      </c>
      <c r="S1032" s="206">
        <f>SUM(N1032:R1032)</f>
        <v>0</v>
      </c>
      <c r="T1032" s="930"/>
      <c r="U1032" s="205">
        <f>IF($B$1028="Лікар загальної практики - сімейний лікар",AVERAGE(U1028:U1030),IF($B$1028="Лікар-педіатр",AVERAGE(U1028:U1030),IF($B$1028="Лікар-терапевт","х",0)))</f>
        <v>0</v>
      </c>
      <c r="V1032" s="205">
        <f>IF($B$1028="Лікар загальної практики - сімейний лікар",AVERAGE(V1028:V1030),IF($B$1028="Лікар-педіатр",AVERAGE(V1028:V1030),IF($B$1028="Лікар-терапевт","х",0)))</f>
        <v>0</v>
      </c>
      <c r="W1032" s="205">
        <f>IF($B$1028="Лікар загальної практики - сімейний лікар",AVERAGE(W1028:W1030),IF($B$1028="Лікар-педіатр","x",IF($B$1028="Лікар-терапевт",AVERAGE(W1028:W1030),0)))</f>
        <v>0</v>
      </c>
      <c r="X1032" s="205">
        <f>IF($B$1028="Лікар загальної практики - сімейний лікар",AVERAGE(X1028:X1030),IF($B$1028="Лікар-педіатр","x",IF($B$1028="Лікар-терапевт",AVERAGE(X1028:X1030),0)))</f>
        <v>0</v>
      </c>
      <c r="Y1032" s="205">
        <f>IF($B$1028="Лікар загальної практики - сімейний лікар",AVERAGE(Y1028:Y1030),IF($B$1028="Лікар-педіатр","x",IF($B$1028="Лікар-терапевт",AVERAGE(Y1028:Y1030),0)))</f>
        <v>0</v>
      </c>
      <c r="Z1032" s="206">
        <f>SUM(U1032:Y1032)</f>
        <v>0</v>
      </c>
      <c r="AA1032" s="930"/>
      <c r="AB1032" s="205">
        <f>IF($B$1028="Лікар загальної практики - сімейний лікар",AVERAGE(AB1028:AB1030),IF($B$1028="Лікар-педіатр",AVERAGE(AB1028:AB1030),IF($B$1028="Лікар-терапевт","х",0)))</f>
        <v>0</v>
      </c>
      <c r="AC1032" s="205">
        <f>IF($B$1028="Лікар загальної практики - сімейний лікар",AVERAGE(AC1028:AC1030),IF($B$1028="Лікар-педіатр",AVERAGE(AC1028:AC1030),IF($B$1028="Лікар-терапевт","х",0)))</f>
        <v>0</v>
      </c>
      <c r="AD1032" s="205">
        <f>IF($B$1028="Лікар загальної практики - сімейний лікар",AVERAGE(AD1028:AD1030),IF($B$1028="Лікар-педіатр","x",IF($B$1028="Лікар-терапевт",AVERAGE(AD1028:AD1030),0)))</f>
        <v>0</v>
      </c>
      <c r="AE1032" s="205">
        <f>IF($B$1028="Лікар загальної практики - сімейний лікар",AVERAGE(AE1028:AE1030),IF($B$1028="Лікар-педіатр","x",IF($B$1028="Лікар-терапевт",AVERAGE(AE1028:AE1030),0)))</f>
        <v>0</v>
      </c>
      <c r="AF1032" s="205">
        <f>IF($B$1028="Лікар загальної практики - сімейний лікар",AVERAGE(AF1028:AF1030),IF($B$1028="Лікар-педіатр","x",IF($B$1028="Лікар-терапевт",AVERAGE(AF1028:AF1030),0)))</f>
        <v>0</v>
      </c>
      <c r="AG1032" s="206">
        <f>SUM(AB1032:AF1032)</f>
        <v>0</v>
      </c>
      <c r="AH1032" s="930"/>
      <c r="AI1032" s="201"/>
      <c r="AJ1032" s="933"/>
      <c r="AK1032" s="927"/>
      <c r="AL1032" s="927"/>
      <c r="AM1032" s="903"/>
      <c r="AN1032" s="925"/>
      <c r="AO1032" s="925"/>
      <c r="AP1032" s="925"/>
      <c r="AQ1032" s="925"/>
      <c r="AR1032" s="916"/>
    </row>
    <row r="1033" spans="1:44" s="50" customFormat="1" ht="40.5" hidden="1">
      <c r="A1033" s="197"/>
      <c r="B1033" s="893"/>
      <c r="C1033" s="896"/>
      <c r="D1033" s="912"/>
      <c r="E1033" s="909"/>
      <c r="F1033" s="237" t="str">
        <f ca="1">IF(B1028="Лікар-педіатр",Законод!$C$17,IF(B1028="Лікар загальної практики - сімейний лікар",Законод!$C$21,IF(B1028="Лікар-терапевт",Законод!$C$25,"х")))</f>
        <v>х</v>
      </c>
      <c r="G1033" s="208">
        <f ca="1">IF($B$1028="Лікар загальної практики - сімейний лікар",IF(L1032&lt;=Законод!$C$22,G1032,Законод!$C$22*'01_Доходи'!G1031),IF($B$1028="Лікар-педіатр",IF(L1032&lt;=Законод!$C$18,G1032,Законод!$C$18*'01_Доходи'!G1031),IF($B$1028="Лікар-терапевт","x",0)))</f>
        <v>0</v>
      </c>
      <c r="H1033" s="208">
        <f ca="1">IF($B$1028="Лікар загальної практики - сімейний лікар",IF(L1032&lt;=Законод!$C$22,H1032,Законод!$C$22*'01_Доходи'!H1031),IF($B$1028="Лікар-педіатр",IF(L1032&lt;=Законод!$C$18,H1032,Законод!$C$18*'01_Доходи'!H1031),IF($B$1028="Лікар-терапевт","x",0)))</f>
        <v>0</v>
      </c>
      <c r="I1033" s="208">
        <f ca="1">IF($B$1028="Лікар загальної практики - сімейний лікар",IF(L1032&lt;=Законод!$C$22,I1032,Законод!$C$22*'01_Доходи'!I1031),IF($B$1028="Лікар-педіатр","x",IF($B$1028="Лікар-терапевт",IF(L1032&lt;=Законод!$C$26,I1032,Законод!$C$26*'01_Доходи'!I1031),0)))</f>
        <v>0</v>
      </c>
      <c r="J1033" s="208">
        <f ca="1">IF($B$1028="Лікар загальної практики - сімейний лікар",IF(L1032&lt;=Законод!$C$22,J1032,Законод!$C$22*'01_Доходи'!J1031),IF($B$1028="Лікар-педіатр","x",IF($B$1028="Лікар-терапевт",IF(L1032&lt;=Законод!$C$26,J1032,Законод!$C$26*'01_Доходи'!J1031),0)))</f>
        <v>0</v>
      </c>
      <c r="K1033" s="208">
        <f ca="1">IF($B$1028="Лікар загальної практики - сімейний лікар",IF(L1032&lt;=Законод!$C$22,K1032,Законод!$C$22*'01_Доходи'!K1031),IF($B$1028="Лікар-педіатр","x",IF($B$1028="Лікар-терапевт",IF(L1032&lt;=Законод!$C$26,K1032,Законод!$C$26*'01_Доходи'!K1031),0)))</f>
        <v>0</v>
      </c>
      <c r="L1033" s="209">
        <f ca="1">SUM(G1033:K1033)</f>
        <v>0</v>
      </c>
      <c r="M1033" s="930"/>
      <c r="N1033" s="208">
        <f ca="1">IF($B$1028="Лікар загальної практики - сімейний лікар",IF(S1032&lt;=Законод!$C$22,N1032,Законод!$C$22*'01_Доходи'!N1031),IF($B$1028="Лікар-педіатр",IF(S1032&lt;=Законод!$C$18,N1032,Законод!$C$18*'01_Доходи'!N1031),IF($B$1028="Лікар-терапевт","x",0)))</f>
        <v>0</v>
      </c>
      <c r="O1033" s="208">
        <f ca="1">IF($B$1028="Лікар загальної практики - сімейний лікар",IF(S1032&lt;=Законод!$C$22,O1032,Законод!$C$22*'01_Доходи'!O1031),IF($B$1028="Лікар-педіатр",IF(S1032&lt;=Законод!$C$18,O1032,Законод!$C$18*'01_Доходи'!O1031),IF($B$1028="Лікар-терапевт","x",0)))</f>
        <v>0</v>
      </c>
      <c r="P1033" s="208">
        <f ca="1">IF($B$1028="Лікар загальної практики - сімейний лікар",IF(S1032&lt;=Законод!$C$22,P1032,Законод!$C$22*'01_Доходи'!P1031),IF($B$1028="Лікар-педіатр","x",IF($B$1028="Лікар-терапевт",IF(S1032&lt;=Законод!$C$26,P1032,Законод!$C$26*'01_Доходи'!P1031),0)))</f>
        <v>0</v>
      </c>
      <c r="Q1033" s="208">
        <f ca="1">IF($B$1028="Лікар загальної практики - сімейний лікар",IF(S1032&lt;=Законод!$C$22,Q1032,Законод!$C$22*'01_Доходи'!Q1031),IF($B$1028="Лікар-педіатр","x",IF($B$1028="Лікар-терапевт",IF(S1032&lt;=Законод!$C$26,Q1032,Законод!$C$26*'01_Доходи'!Q1031),0)))</f>
        <v>0</v>
      </c>
      <c r="R1033" s="208">
        <f ca="1">IF($B$1028="Лікар загальної практики - сімейний лікар",IF(S1032&lt;=Законод!$C$22,R1032,Законод!$C$22*'01_Доходи'!R1031),IF($B$1028="Лікар-педіатр","x",IF($B$1028="Лікар-терапевт",IF(S1032&lt;=Законод!$C$26,R1032,Законод!$C$26*'01_Доходи'!R1031),0)))</f>
        <v>0</v>
      </c>
      <c r="S1033" s="209">
        <f ca="1">SUM(N1033:R1033)</f>
        <v>0</v>
      </c>
      <c r="T1033" s="930"/>
      <c r="U1033" s="208">
        <f ca="1">IF($B$1028="Лікар загальної практики - сімейний лікар",IF(Z1032&lt;=Законод!$C$22,U1032,Законод!$C$22*'01_Доходи'!U1031),IF($B$1028="Лікар-педіатр",IF(Z1032&lt;=Законод!$C$18,U1032,Законод!$C$18*'01_Доходи'!U1031),IF($B$1028="Лікар-терапевт","x",0)))</f>
        <v>0</v>
      </c>
      <c r="V1033" s="208">
        <f ca="1">IF($B$1028="Лікар загальної практики - сімейний лікар",IF(Z1032&lt;=Законод!$C$22,V1032,Законод!$C$22*'01_Доходи'!V1031),IF($B$1028="Лікар-педіатр",IF(Z1032&lt;=Законод!$C$18,V1032,Законод!$C$18*'01_Доходи'!V1031),IF($B$1028="Лікар-терапевт","x",0)))</f>
        <v>0</v>
      </c>
      <c r="W1033" s="208">
        <f ca="1">IF($B$1028="Лікар загальної практики - сімейний лікар",IF(Z1032&lt;=Законод!$C$22,W1032,Законод!$C$22*'01_Доходи'!W1031),IF($B$1028="Лікар-педіатр","x",IF($B$1028="Лікар-терапевт",IF(Z1032&lt;=Законод!$C$26,W1032,Законод!$C$26*'01_Доходи'!W1031),0)))</f>
        <v>0</v>
      </c>
      <c r="X1033" s="208">
        <f ca="1">IF($B$1028="Лікар загальної практики - сімейний лікар",IF(Z1032&lt;=Законод!$C$22,X1032,Законод!$C$22*'01_Доходи'!X1031),IF($B$1028="Лікар-педіатр","x",IF($B$1028="Лікар-терапевт",IF(Z1032&lt;=Законод!$C$26,X1032,Законод!$C$26*'01_Доходи'!X1031),0)))</f>
        <v>0</v>
      </c>
      <c r="Y1033" s="208">
        <f ca="1">IF($B$1028="Лікар загальної практики - сімейний лікар",IF(Z1032&lt;=Законод!$C$22,Y1032,Законод!$C$22*'01_Доходи'!Y1031),IF($B$1028="Лікар-педіатр","x",IF($B$1028="Лікар-терапевт",IF(Z1032&lt;=Законод!$C$26,Y1032,Законод!$C$26*'01_Доходи'!Y1031),0)))</f>
        <v>0</v>
      </c>
      <c r="Z1033" s="209">
        <f ca="1">SUM(U1033:Y1033)</f>
        <v>0</v>
      </c>
      <c r="AA1033" s="930"/>
      <c r="AB1033" s="208">
        <f ca="1">IF($B$1028="Лікар загальної практики - сімейний лікар",IF(AG1032&lt;=Законод!$C$22,AB1032,Законод!$C$22*'01_Доходи'!AB1031),IF($B$1028="Лікар-педіатр",IF(AG1032&lt;=Законод!$C$18,AB1032,Законод!$C$18*'01_Доходи'!AB1031),IF($B$1028="Лікар-терапевт","x",0)))</f>
        <v>0</v>
      </c>
      <c r="AC1033" s="208">
        <f ca="1">IF($B$1028="Лікар загальної практики - сімейний лікар",IF(AG1032&lt;=Законод!$C$22,AC1032,Законод!$C$22*'01_Доходи'!AC1031),IF($B$1028="Лікар-педіатр",IF(AG1032&lt;=Законод!$C$18,AC1032,Законод!$C$18*'01_Доходи'!AC1031),IF($B$1028="Лікар-терапевт","x",0)))</f>
        <v>0</v>
      </c>
      <c r="AD1033" s="208">
        <f ca="1">IF($B$1028="Лікар загальної практики - сімейний лікар",IF(AG1032&lt;=Законод!$C$22,AD1032,Законод!$C$22*'01_Доходи'!AD1031),IF($B$1028="Лікар-педіатр","x",IF($B$1028="Лікар-терапевт",IF(AG1032&lt;=Законод!$C$26,AD1032,Законод!$C$26*'01_Доходи'!AD1031),0)))</f>
        <v>0</v>
      </c>
      <c r="AE1033" s="208">
        <f ca="1">IF($B$1028="Лікар загальної практики - сімейний лікар",IF(AG1032&lt;=Законод!$C$22,AE1032,Законод!$C$22*'01_Доходи'!AE1031),IF($B$1028="Лікар-педіатр","x",IF($B$1028="Лікар-терапевт",IF(AG1032&lt;=Законод!$C$26,AE1032,Законод!$C$26*'01_Доходи'!AE1031),0)))</f>
        <v>0</v>
      </c>
      <c r="AF1033" s="208">
        <f ca="1">IF($B$1028="Лікар загальної практики - сімейний лікар",IF(AG1032&lt;=Законод!$C$22,AF1032,Законод!$C$22*'01_Доходи'!AF1031),IF($B$1028="Лікар-педіатр","x",IF($B$1028="Лікар-терапевт",IF(AG1032&lt;=Законод!$C$26,AF1032,Законод!$C$26*'01_Доходи'!AF1031),0)))</f>
        <v>0</v>
      </c>
      <c r="AG1033" s="209">
        <f ca="1">SUM(AB1033:AF1033)</f>
        <v>0</v>
      </c>
      <c r="AH1033" s="930"/>
      <c r="AI1033" s="201"/>
      <c r="AJ1033" s="933"/>
      <c r="AK1033" s="927"/>
      <c r="AL1033" s="927"/>
      <c r="AM1033" s="348" t="s">
        <v>374</v>
      </c>
      <c r="AN1033" s="210">
        <f ca="1">IF(B1028="Лікар загальної практики - сімейний лікар",G1033*Законод!$C$11+'01_Доходи'!H1033*Законод!$D$11+'01_Доходи'!I1033*Законод!$E$11+'01_Доходи'!J1033*Законод!$F$11+'01_Доходи'!K1033*Законод!$G$11,IF(B1028="Лікар-педіатр",G1033*Законод!$C$11+'01_Доходи'!H1033*Законод!$D$11,IF(B1028="Лікар-терапевт",'01_Доходи'!I1033*Законод!$E$11+'01_Доходи'!J1033*Законод!$F$11+'01_Доходи'!K1033*Законод!$G$11,0)))</f>
        <v>0</v>
      </c>
      <c r="AO1033" s="210">
        <f ca="1">IF(B1028="Лікар загальної практики - сімейний лікар",N1033*Законод!$C$11+'01_Доходи'!O1033*Законод!$D$11+'01_Доходи'!P1033*Законод!$E$11+'01_Доходи'!Q1033*Законод!$F$11+'01_Доходи'!R1033*Законод!$G$11,IF(B1028="Лікар-педіатр",N1033*Законод!$C$11+'01_Доходи'!O1033*Законод!$D$11,IF(B1028="Лікар-терапевт",'01_Доходи'!P1033*Законод!$E$11+'01_Доходи'!Q1033*Законод!$F$11+'01_Доходи'!R1033*Законод!$G$11,0)))</f>
        <v>0</v>
      </c>
      <c r="AP1033" s="210">
        <f ca="1">IF(B1028="Лікар загальної практики - сімейний лікар",U1033*Законод!$C$11+'01_Доходи'!V1033*Законод!$D$11+'01_Доходи'!W1033*Законод!$E$11+'01_Доходи'!X1033*Законод!$F$11+'01_Доходи'!Y1033*Законод!$G$11,IF(B1028="Лікар-педіатр",U1033*Законод!$C$11+'01_Доходи'!V1033*Законод!$D$11,IF(B1028="Лікар-терапевт",'01_Доходи'!W1033*Законод!$E$11+'01_Доходи'!X1033*Законод!$F$11+'01_Доходи'!Y1033*Законод!$G$11,0)))</f>
        <v>0</v>
      </c>
      <c r="AQ1033" s="210">
        <f ca="1">IF(B1028="Лікар загальної практики - сімейний лікар",AB1033*Законод!$C$11+'01_Доходи'!AC1033*Законод!$D$11+'01_Доходи'!AD1033*Законод!$E$11+'01_Доходи'!AE1033*Законод!$F$11+'01_Доходи'!AF1033*Законод!$G$11,IF(B1028="Лікар-педіатр",AB1033*Законод!$C$11+'01_Доходи'!AC1033*Законод!$D$11,IF(B1028="Лікар-терапевт",'01_Доходи'!AD1033*Законод!$E$11+'01_Доходи'!AE1033*Законод!$F$11+'01_Доходи'!AF1033*Законод!$G$11,0)))</f>
        <v>0</v>
      </c>
      <c r="AR1033" s="211">
        <f t="shared" ref="AR1033:AR1039" si="106">SUM(AN1033:AQ1033)</f>
        <v>0</v>
      </c>
    </row>
    <row r="1034" spans="1:44" s="50" customFormat="1" ht="31.9" hidden="1" customHeight="1">
      <c r="A1034" s="197"/>
      <c r="B1034" s="893"/>
      <c r="C1034" s="896"/>
      <c r="D1034" s="912"/>
      <c r="E1034" s="909"/>
      <c r="F1034" s="238" t="str">
        <f ca="1">IF(B1028="Лікар-педіатр",Законод!$E$17,IF(B1028="Лікар загальної практики - сімейний лікар",Законод!$E$21,IF(B1028="Лікар-терапевт",Законод!$E$25,"х")))</f>
        <v>х</v>
      </c>
      <c r="G1034" s="889" t="s">
        <v>346</v>
      </c>
      <c r="H1034" s="890"/>
      <c r="I1034" s="890"/>
      <c r="J1034" s="890"/>
      <c r="K1034" s="891"/>
      <c r="L1034" s="196">
        <f ca="1">IF($B$1028="Лікар загальної практики - сімейний лікар",IF(L1032&lt;Законод!$C$22,0,(IF(AND(L1032&gt;=Законод!$E$22,L1032&lt;=Законод!$E$23),L1032-Законод!$C$22,IF('01_Доходи'!L1032&gt;=Законод!$F$22,Законод!$E$24,0)))),IF($B$1028="Лікар-педіатр",IF(L1032&lt;Законод!$C$18,0,(IF(AND(L1032&gt;=Законод!$E$18,L1032&lt;=Законод!$E$19),L1032-Законод!$C$18,IF('01_Доходи'!L1032&gt;=Законод!$F$18,Законод!$E$20,0)))),IF($B$1028="Лікар-терапевт",IF(L1032&lt;Законод!$C$26,0,(IF(AND(L1032&gt;=Законод!$E$26,L1032&lt;=Законод!$E$27),L1032-Законод!$C$26,IF('01_Доходи'!L1032&gt;=Законод!$F$26,Законод!$E$28,0)))),0)))</f>
        <v>0</v>
      </c>
      <c r="M1034" s="930"/>
      <c r="N1034" s="889" t="s">
        <v>346</v>
      </c>
      <c r="O1034" s="890"/>
      <c r="P1034" s="890"/>
      <c r="Q1034" s="890"/>
      <c r="R1034" s="891"/>
      <c r="S1034" s="196">
        <f ca="1">IF($B$1028="Лікар загальної практики - сімейний лікар",IF(S1032&lt;Законод!$C$22,0,(IF(AND(S1032&gt;=Законод!$E$22,S1032&lt;=Законод!$E$23),S1032-Законод!$C$22,IF('01_Доходи'!S1032&gt;=Законод!$F$22,Законод!$E$24,0)))),IF($B$1028="Лікар-педіатр",IF(S1032&lt;Законод!$C$18,0,(IF(AND(S1032&gt;=Законод!$E$18,S1032&lt;=Законод!$E$19),S1032-Законод!$C$18,IF('01_Доходи'!S1032&gt;=Законод!$F$18,Законод!$E$20,0)))),IF($B$1028="Лікар-терапевт",IF(S1032&lt;Законод!$C$26,0,(IF(AND(S1032&gt;=Законод!$E$26,S1032&lt;=Законод!$E$27),S1032-Законод!$C$26,IF('01_Доходи'!S1032&gt;=Законод!$F$26,Законод!$E$28,0)))),0)))</f>
        <v>0</v>
      </c>
      <c r="T1034" s="930"/>
      <c r="U1034" s="889" t="s">
        <v>346</v>
      </c>
      <c r="V1034" s="890"/>
      <c r="W1034" s="890"/>
      <c r="X1034" s="890"/>
      <c r="Y1034" s="891"/>
      <c r="Z1034" s="196">
        <f ca="1">IF($B$1028="Лікар загальної практики - сімейний лікар",IF(Z1032&lt;Законод!$C$22,0,(IF(AND(Z1032&gt;=Законод!$E$22,Z1032&lt;=Законод!$E$23),Z1032-Законод!$C$22,IF('01_Доходи'!Z1032&gt;=Законод!$F$22,Законод!$E$24,0)))),IF($B$1028="Лікар-педіатр",IF(Z1032&lt;Законод!$C$18,0,(IF(AND(Z1032&gt;=Законод!$E$18,Z1032&lt;=Законод!$E$19),Z1032-Законод!$C$18,IF('01_Доходи'!Z1032&gt;=Законод!$F$18,Законод!$E$20,0)))),IF($B$1028="Лікар-терапевт",IF(Z1032&lt;Законод!$C$26,0,(IF(AND(Z1032&gt;=Законод!$E$26,Z1032&lt;=Законод!$E$27),Z1032-Законод!$C$26,IF('01_Доходи'!Z1032&gt;=Законод!$F$26,Законод!$E$28,0)))),0)))</f>
        <v>0</v>
      </c>
      <c r="AA1034" s="930"/>
      <c r="AB1034" s="889" t="s">
        <v>346</v>
      </c>
      <c r="AC1034" s="890"/>
      <c r="AD1034" s="890"/>
      <c r="AE1034" s="890"/>
      <c r="AF1034" s="891"/>
      <c r="AG1034" s="196">
        <f ca="1">IF($B$1028="Лікар загальної практики - сімейний лікар",IF(AG1032&lt;Законод!$C$22,0,(IF(AND(AG1032&gt;=Законод!$E$22,AG1032&lt;=Законод!$E$23),AG1032-Законод!$C$22,IF('01_Доходи'!AG1032&gt;=Законод!$F$22,Законод!$E$24,0)))),IF($B$1028="Лікар-педіатр",IF(AG1032&lt;Законод!$C$18,0,(IF(AND(AG1032&gt;=Законод!$E$18,AG1032&lt;=Законод!$E$19),AG1032-Законод!$C$18,IF('01_Доходи'!AG1032&gt;=Законод!$F$18,Законод!$E$20,0)))),IF($B$1028="Лікар-терапевт",IF(AG1032&lt;Законод!$C$26,0,(IF(AND(AG1032&gt;=Законод!$E$26,AG1032&lt;=Законод!$E$27),AG1032-Законод!$C$26,IF('01_Доходи'!AG1032&gt;=Законод!$F$26,Законод!$E$28,0)))),0)))</f>
        <v>0</v>
      </c>
      <c r="AH1034" s="930"/>
      <c r="AI1034" s="201"/>
      <c r="AJ1034" s="933"/>
      <c r="AK1034" s="927"/>
      <c r="AL1034" s="927"/>
      <c r="AM1034" s="898" t="s">
        <v>375</v>
      </c>
      <c r="AN1034" s="210">
        <f ca="1">IF(B1028="Лікар загальної практики - сімейний лікар",L1034*Законод!$C$9/4*Законод!$E$16,IF(B1028="Лікар-педіатр",L1034*Законод!$C$9/4*Законод!$E$16,IF(B1028="Лікар-терапевт",L1034*Законод!$C$9/4*Законод!$E$16,0)))</f>
        <v>0</v>
      </c>
      <c r="AO1034" s="210">
        <f ca="1">IF(B1028="Лікар загальної практики - сімейний лікар",S1034*Законод!$C$9/4*Законод!$E$16,IF(B1028="Лікар-педіатр",S1034*Законод!$C$9/4*Законод!$E$16,IF(B1028="Лікар-терапевт",S1034*Законод!$C$9/4*Законод!$E$16,0)))</f>
        <v>0</v>
      </c>
      <c r="AP1034" s="210">
        <f ca="1">IF(B1028="Лікар загальної практики - сімейний лікар",Z1034*Законод!$C$9/4*Законод!$E$16,IF(B1028="Лікар-педіатр",Z1034*Законод!$C$9/4*Законод!$E$16,IF(B1028="Лікар-терапевт",Z1034*Законод!$C$9/4*Законод!$E$16,0)))</f>
        <v>0</v>
      </c>
      <c r="AQ1034" s="210">
        <f ca="1">IF(B1028="Лікар загальної практики - сімейний лікар",AG1034*Законод!$C$9/4*Законод!$E$16,IF(B1028="Лікар-педіатр",AG1034*Законод!$C$9/4*Законод!$E$16,IF(B1028="Лікар-терапевт",AG1034*Законод!$C$9/4*Законод!$E$16,0)))</f>
        <v>0</v>
      </c>
      <c r="AR1034" s="211">
        <f t="shared" si="106"/>
        <v>0</v>
      </c>
    </row>
    <row r="1035" spans="1:44" s="50" customFormat="1" ht="31.9" hidden="1" customHeight="1">
      <c r="A1035" s="197"/>
      <c r="B1035" s="893"/>
      <c r="C1035" s="896"/>
      <c r="D1035" s="912"/>
      <c r="E1035" s="909"/>
      <c r="F1035" s="238" t="str">
        <f ca="1">IF(B1028="Лікар-педіатр",Законод!$F$17,IF(B1028="Лікар загальної практики - сімейний лікар",Законод!$F$21,IF(B1028="Лікар-терапевт",Законод!$F$25,"х")))</f>
        <v>х</v>
      </c>
      <c r="G1035" s="889" t="s">
        <v>346</v>
      </c>
      <c r="H1035" s="890"/>
      <c r="I1035" s="890"/>
      <c r="J1035" s="890"/>
      <c r="K1035" s="891"/>
      <c r="L1035" s="196">
        <f ca="1">IF($B$1028="Лікар загальної практики - сімейний лікар",IF(L1032&lt;Законод!$C$22,0,(IF(AND(L1032&gt;=Законод!$F$22,L1032&lt;=Законод!$F$23),L1032-Законод!$E$23,IF('01_Доходи'!L1032&gt;=Законод!$G$22,Законод!$F$24,0)))),IF($B$1028="Лікар-педіатр",IF(L1032&lt;Законод!$C$18,0,(IF(AND(L1032&gt;=Законод!$F$18,L1032&lt;=Законод!$F$19),L1032-Законод!$E$19,IF('01_Доходи'!L1032&gt;=Законод!$G$18,Законод!$F$20,0)))),IF($B$1028="Лікар-терапевт",IF(L1032&lt;Законод!$C$26,0,(IF(AND(L1032&gt;=Законод!$F$26,L1032&lt;=Законод!$F$27),L1032-Законод!$E$27,IF('01_Доходи'!L1032&gt;=Законод!$G$26,Законод!$F$28,0)))),0)))</f>
        <v>0</v>
      </c>
      <c r="M1035" s="930"/>
      <c r="N1035" s="889" t="s">
        <v>346</v>
      </c>
      <c r="O1035" s="890"/>
      <c r="P1035" s="890"/>
      <c r="Q1035" s="890"/>
      <c r="R1035" s="891"/>
      <c r="S1035" s="196">
        <f ca="1">IF($B$1028="Лікар загальної практики - сімейний лікар",IF(S1032&lt;Законод!$C$22,0,(IF(AND(S1032&gt;=Законод!$F$22,S1032&lt;=Законод!$F$23),S1032-Законод!$E$23,IF('01_Доходи'!S1032&gt;=Законод!$G$22,Законод!$F$24,0)))),IF($B$1028="Лікар-педіатр",IF(S1032&lt;Законод!$C$18,0,(IF(AND(S1032&gt;=Законод!$F$18,S1032&lt;=Законод!$F$19),S1032-Законод!$E$19,IF('01_Доходи'!S1032&gt;=Законод!$G$18,Законод!$F$20,0)))),IF($B$1028="Лікар-терапевт",IF(S1032&lt;Законод!$C$26,0,(IF(AND(S1032&gt;=Законод!$F$26,S1032&lt;=Законод!$F$27),S1032-Законод!$E$27,IF('01_Доходи'!S1032&gt;=Законод!$G$26,Законод!$F$28,0)))),0)))</f>
        <v>0</v>
      </c>
      <c r="T1035" s="930"/>
      <c r="U1035" s="889" t="s">
        <v>346</v>
      </c>
      <c r="V1035" s="890"/>
      <c r="W1035" s="890"/>
      <c r="X1035" s="890"/>
      <c r="Y1035" s="891"/>
      <c r="Z1035" s="196">
        <f ca="1">IF($B$1028="Лікар загальної практики - сімейний лікар",IF(Z1032&lt;Законод!$C$22,0,(IF(AND(Z1032&gt;=Законод!$F$22,Z1032&lt;=Законод!$F$23),Z1032-Законод!$E$23,IF('01_Доходи'!Z1032&gt;=Законод!$G$22,Законод!$F$24,0)))),IF($B$1028="Лікар-педіатр",IF(Z1032&lt;Законод!$C$18,0,(IF(AND(Z1032&gt;=Законод!$F$18,Z1032&lt;=Законод!$F$19),Z1032-Законод!$E$19,IF('01_Доходи'!Z1032&gt;=Законод!$G$18,Законод!$F$20,0)))),IF($B$1028="Лікар-терапевт",IF(Z1032&lt;Законод!$C$26,0,(IF(AND(Z1032&gt;=Законод!$F$26,Z1032&lt;=Законод!$F$27),Z1032-Законод!$E$27,IF('01_Доходи'!Z1032&gt;=Законод!$G$26,Законод!$F$28,0)))),0)))</f>
        <v>0</v>
      </c>
      <c r="AA1035" s="930"/>
      <c r="AB1035" s="889" t="s">
        <v>346</v>
      </c>
      <c r="AC1035" s="890"/>
      <c r="AD1035" s="890"/>
      <c r="AE1035" s="890"/>
      <c r="AF1035" s="891"/>
      <c r="AG1035" s="196">
        <f ca="1">IF($B$1028="Лікар загальної практики - сімейний лікар",IF(AG1032&lt;Законод!$C$22,0,(IF(AND(AG1032&gt;=Законод!$F$22,AG1032&lt;=Законод!$F$23),AG1032-Законод!$E$23,IF('01_Доходи'!AG1032&gt;=Законод!$G$22,Законод!$F$24,0)))),IF($B$1028="Лікар-педіатр",IF(AG1032&lt;Законод!$C$18,0,(IF(AND(AG1032&gt;=Законод!$F$18,AG1032&lt;=Законод!$F$19),AG1032-Законод!$E$19,IF('01_Доходи'!AG1032&gt;=Законод!$G$18,Законод!$F$20,0)))),IF($B$1028="Лікар-терапевт",IF(AG1032&lt;Законод!$C$26,0,(IF(AND(AG1032&gt;=Законод!$F$26,AG1032&lt;=Законод!$F$27),AG1032-Законод!$E$27,IF('01_Доходи'!AG1032&gt;=Законод!$G$26,Законод!$F$28,0)))),0)))</f>
        <v>0</v>
      </c>
      <c r="AH1035" s="930"/>
      <c r="AI1035" s="201"/>
      <c r="AJ1035" s="933"/>
      <c r="AK1035" s="927"/>
      <c r="AL1035" s="927"/>
      <c r="AM1035" s="899"/>
      <c r="AN1035" s="210">
        <f ca="1">IF(B1028="Лікар загальної практики - сімейний лікар",L1035*Законод!$C$9/4*Законод!$F$16,IF(B1028="Лікар-педіатр",L1035*Законод!$C$9/4*Законод!$F$16,IF(B1028="Лікар-терапевт",L1035*Законод!$C$9/4*Законод!$F$16,0)))</f>
        <v>0</v>
      </c>
      <c r="AO1035" s="210">
        <f ca="1">IF(B1028="Лікар загальної практики - сімейний лікар",S1035*Законод!$C$9/4*Законод!$F$16,IF(B1028="Лікар-педіатр",S1035*Законод!$C$9/4*Законод!$F$16,IF(B1028="Лікар-терапевт",S1035*Законод!$C$9/4*Законод!$F$16,0)))</f>
        <v>0</v>
      </c>
      <c r="AP1035" s="210">
        <f ca="1">IF(B1028="Лікар загальної практики - сімейний лікар",Z1035*Законод!$C$9/4*Законод!$F$16,IF(B1028="Лікар-педіатр",Z1035*Законод!$C$9/4*Законод!$F$16,IF(B1028="Лікар-терапевт",Z1035*Законод!$C$9/4*Законод!$F$16,0)))</f>
        <v>0</v>
      </c>
      <c r="AQ1035" s="210">
        <f ca="1">IF(B1028="Лікар загальної практики - сімейний лікар",AG1035*Законод!$C$9/4*Законод!$F$16,IF(B1028="Лікар-педіатр",AG1035*Законод!$C$9/4*Законод!$F$16,IF(B1028="Лікар-терапевт",AG1035*Законод!$C$9/4*Законод!$F$16,0)))</f>
        <v>0</v>
      </c>
      <c r="AR1035" s="211">
        <f t="shared" si="106"/>
        <v>0</v>
      </c>
    </row>
    <row r="1036" spans="1:44" s="50" customFormat="1" ht="31.9" hidden="1" customHeight="1">
      <c r="A1036" s="197"/>
      <c r="B1036" s="893"/>
      <c r="C1036" s="896"/>
      <c r="D1036" s="912"/>
      <c r="E1036" s="909"/>
      <c r="F1036" s="238" t="str">
        <f ca="1">IF(B1028="Лікар-педіатр",Законод!$G$17,IF(B1028="Лікар загальної практики - сімейний лікар",Законод!$G$21,IF(B1028="Лікар-терапевт",Законод!$G$25,"х")))</f>
        <v>х</v>
      </c>
      <c r="G1036" s="889" t="s">
        <v>346</v>
      </c>
      <c r="H1036" s="890"/>
      <c r="I1036" s="890"/>
      <c r="J1036" s="890"/>
      <c r="K1036" s="891"/>
      <c r="L1036" s="196">
        <f ca="1">IF($B$1028="Лікар загальної практики - сімейний лікар",IF(L1032&lt;Законод!$C$22,0,(IF(AND(L1032&gt;=Законод!$G$22,L1032&lt;=Законод!$G$23),L1032-Законод!$F$23,IF('01_Доходи'!L1032&gt;=Законод!$H$22,Законод!$G$24,0)))),IF($B$1028="Лікар-педіатр",IF(L1032&lt;Законод!$C$18,0,(IF(AND(L1032&gt;=Законод!$G$18,L1032&lt;=Законод!$G$19),L1032-Законод!$F$19,IF('01_Доходи'!L1032&gt;=Законод!$H$18,Законод!$G$20,0)))),IF($B$1028="Лікар-терапевт",IF(L1032&lt;Законод!$C$26,0,(IF(AND(L1032&gt;=Законод!$G$26,L1032&lt;=Законод!$G$27),L1032-Законод!$F$27,IF('01_Доходи'!L1032&gt;=Законод!$H$26,Законод!$G$28,0)))),0)))</f>
        <v>0</v>
      </c>
      <c r="M1036" s="930"/>
      <c r="N1036" s="889" t="s">
        <v>346</v>
      </c>
      <c r="O1036" s="890"/>
      <c r="P1036" s="890"/>
      <c r="Q1036" s="890"/>
      <c r="R1036" s="891"/>
      <c r="S1036" s="196">
        <f ca="1">IF($B$1028="Лікар загальної практики - сімейний лікар",IF(S1032&lt;Законод!$C$22,0,(IF(AND(S1032&gt;=Законод!$G$22,S1032&lt;=Законод!$G$23),S1032-Законод!$F$23,IF('01_Доходи'!S1032&gt;=Законод!$H$22,Законод!$G$24,0)))),IF($B$1028="Лікар-педіатр",IF(S1032&lt;Законод!$C$18,0,(IF(AND(S1032&gt;=Законод!$G$18,S1032&lt;=Законод!$G$19),S1032-Законод!$F$19,IF('01_Доходи'!S1032&gt;=Законод!$H$18,Законод!$G$20,0)))),IF($B$1028="Лікар-терапевт",IF(S1032&lt;Законод!$C$26,0,(IF(AND(S1032&gt;=Законод!$G$26,S1032&lt;=Законод!$G$27),S1032-Законод!$F$27,IF('01_Доходи'!S1032&gt;=Законод!$H$26,Законод!$G$28,0)))),0)))</f>
        <v>0</v>
      </c>
      <c r="T1036" s="930"/>
      <c r="U1036" s="889" t="s">
        <v>346</v>
      </c>
      <c r="V1036" s="890"/>
      <c r="W1036" s="890"/>
      <c r="X1036" s="890"/>
      <c r="Y1036" s="891"/>
      <c r="Z1036" s="196">
        <f ca="1">IF($B$1028="Лікар загальної практики - сімейний лікар",IF(Z1032&lt;Законод!$C$22,0,(IF(AND(Z1032&gt;=Законод!$G$22,Z1032&lt;=Законод!$G$23),Z1032-Законод!$F$23,IF('01_Доходи'!Z1032&gt;=Законод!$H$22,Законод!$G$24,0)))),IF($B$1028="Лікар-педіатр",IF(Z1032&lt;Законод!$C$18,0,(IF(AND(Z1032&gt;=Законод!$G$18,Z1032&lt;=Законод!$G$19),Z1032-Законод!$F$19,IF('01_Доходи'!Z1032&gt;=Законод!$H$18,Законод!$G$20,0)))),IF($B$1028="Лікар-терапевт",IF(Z1032&lt;Законод!$C$26,0,(IF(AND(Z1032&gt;=Законод!$G$26,Z1032&lt;=Законод!$G$27),Z1032-Законод!$F$27,IF('01_Доходи'!Z1032&gt;=Законод!$H$26,Законод!$G$28,0)))),0)))</f>
        <v>0</v>
      </c>
      <c r="AA1036" s="930"/>
      <c r="AB1036" s="889" t="s">
        <v>346</v>
      </c>
      <c r="AC1036" s="890"/>
      <c r="AD1036" s="890"/>
      <c r="AE1036" s="890"/>
      <c r="AF1036" s="891"/>
      <c r="AG1036" s="196">
        <f ca="1">IF($B$1028="Лікар загальної практики - сімейний лікар",IF(AG1032&lt;Законод!$C$22,0,(IF(AND(AG1032&gt;=Законод!$G$22,AG1032&lt;=Законод!$G$23),AG1032-Законод!$F$23,IF('01_Доходи'!AG1032&gt;=Законод!$H$22,Законод!$G$24,0)))),IF($B$1028="Лікар-педіатр",IF(AG1032&lt;Законод!$C$18,0,(IF(AND(AG1032&gt;=Законод!$G$18,AG1032&lt;=Законод!$G$19),AG1032-Законод!$F$19,IF('01_Доходи'!AG1032&gt;=Законод!$H$18,Законод!$G$20,0)))),IF($B$1028="Лікар-терапевт",IF(AG1032&lt;Законод!$C$26,0,(IF(AND(AG1032&gt;=Законод!$G$26,AG1032&lt;=Законод!$G$27),AG1032-Законод!$F$27,IF('01_Доходи'!AG1032&gt;=Законод!$H$26,Законод!$G$28,0)))),0)))</f>
        <v>0</v>
      </c>
      <c r="AH1036" s="930"/>
      <c r="AI1036" s="201"/>
      <c r="AJ1036" s="933"/>
      <c r="AK1036" s="927"/>
      <c r="AL1036" s="927"/>
      <c r="AM1036" s="899"/>
      <c r="AN1036" s="210">
        <f ca="1">IF(B1028="Лікар загальної практики - сімейний лікар",L1036*Законод!$C$9/4*Законод!$G$16,IF(B1028="Лікар-педіатр",L1036*Законод!$C$9/4*Законод!$G$16,IF(B1028="Лікар-терапевт",L1036*Законод!$C$9/4*Законод!$G$16,0)))</f>
        <v>0</v>
      </c>
      <c r="AO1036" s="210">
        <f ca="1">IF(B1028="Лікар загальної практики - сімейний лікар",S1036*Законод!$C$9/4*Законод!$G$16,IF(B1028="Лікар-педіатр",S1036*Законод!$C$9/4*Законод!$G$16,IF(B1028="Лікар-терапевт",S1036*Законод!$C$9/4*Законод!$G$16,0)))</f>
        <v>0</v>
      </c>
      <c r="AP1036" s="210">
        <f ca="1">IF(B1028="Лікар загальної практики - сімейний лікар",Z1036*Законод!$C$9/4*Законод!$G$16,IF(B1028="Лікар-педіатр",Z1036*Законод!$C$9/4*Законод!$G$16,IF(B1028="Лікар-терапевт",Z1036*Законод!$C$9/4*Законод!$G$16,0)))</f>
        <v>0</v>
      </c>
      <c r="AQ1036" s="210">
        <f ca="1">IF(B1028="Лікар загальної практики - сімейний лікар",AG1036*Законод!$C$9/4*Законод!$G$16,IF(B1028="Лікар-педіатр",AG1036*Законод!$C$9/4*Законод!$G$16,IF(B1028="Лікар-терапевт",AG1036*Законод!$C$9/4*Законод!$G$16,0)))</f>
        <v>0</v>
      </c>
      <c r="AR1036" s="211">
        <f t="shared" si="106"/>
        <v>0</v>
      </c>
    </row>
    <row r="1037" spans="1:44" s="50" customFormat="1" ht="31.9" hidden="1" customHeight="1">
      <c r="A1037" s="197"/>
      <c r="B1037" s="893"/>
      <c r="C1037" s="896"/>
      <c r="D1037" s="912"/>
      <c r="E1037" s="909"/>
      <c r="F1037" s="238" t="str">
        <f ca="1">IF(B1028="Лікар-педіатр",Законод!$H$17,IF(B1028="Лікар загальної практики - сімейний лікар",Законод!$H$21,IF(B1028="Лікар-терапевт",Законод!$H$25,"х")))</f>
        <v>х</v>
      </c>
      <c r="G1037" s="889" t="s">
        <v>346</v>
      </c>
      <c r="H1037" s="890"/>
      <c r="I1037" s="890"/>
      <c r="J1037" s="890"/>
      <c r="K1037" s="891"/>
      <c r="L1037" s="196">
        <f ca="1">IF($B$1028="Лікар загальної практики - сімейний лікар",IF(L1032&lt;Законод!$C$22,0,(IF(AND(L1032&gt;=Законод!$H$22,L1032&lt;=Законод!$H$23),L1032-Законод!$G$23,IF('01_Доходи'!L1032&gt;=Законод!$I$22,Законод!$H$24,0)))),IF($B$1028="Лікар-педіатр",IF(L1032&lt;Законод!$C$18,0,(IF(AND(L1032&gt;=Законод!$H$18,L1032&lt;=Законод!$H$19),L1032-Законод!$G$19,IF('01_Доходи'!L1032&gt;=Законод!$I$18,Законод!$H$20,0)))),IF($B$1028="Лікар-терапевт",IF(L1032&lt;Законод!$C$26,0,(IF(AND(L1032&gt;=Законод!$H$26,L1032&lt;=Законод!$H$27),L1032-Законод!$G$27,IF(L1032&gt;=Законод!$I$26,Законод!$H$28,0)))),0)))</f>
        <v>0</v>
      </c>
      <c r="M1037" s="930"/>
      <c r="N1037" s="889" t="s">
        <v>346</v>
      </c>
      <c r="O1037" s="890"/>
      <c r="P1037" s="890"/>
      <c r="Q1037" s="890"/>
      <c r="R1037" s="891"/>
      <c r="S1037" s="196">
        <f ca="1">IF($B$1028="Лікар загальної практики - сімейний лікар",IF(S1032&lt;Законод!$C$22,0,(IF(AND(S1032&gt;=Законод!$H$22,S1032&lt;=Законод!$H$23),S1032-Законод!$G$23,IF('01_Доходи'!S1032&gt;=Законод!$I$22,Законод!$H$24,0)))),IF($B$1028="Лікар-педіатр",IF(S1032&lt;Законод!$C$18,0,(IF(AND(S1032&gt;=Законод!$H$18,S1032&lt;=Законод!$H$19),S1032-Законод!$G$19,IF('01_Доходи'!S1032&gt;=Законод!$I$18,Законод!$H$20,0)))),IF($B$1028="Лікар-терапевт",IF(S1032&lt;Законод!$C$26,0,(IF(AND(S1032&gt;=Законод!$H$26,S1032&lt;=Законод!$H$27),S1032-Законод!$G$27,IF(S1032&gt;=Законод!$I$26,Законод!$H$28,0)))),0)))</f>
        <v>0</v>
      </c>
      <c r="T1037" s="930"/>
      <c r="U1037" s="889" t="s">
        <v>346</v>
      </c>
      <c r="V1037" s="890"/>
      <c r="W1037" s="890"/>
      <c r="X1037" s="890"/>
      <c r="Y1037" s="891"/>
      <c r="Z1037" s="196">
        <f ca="1">IF($B$1028="Лікар загальної практики - сімейний лікар",IF(Z1032&lt;Законод!$C$22,0,(IF(AND(Z1032&gt;=Законод!$H$22,Z1032&lt;=Законод!$H$23),Z1032-Законод!$G$23,IF('01_Доходи'!Z1032&gt;=Законод!$I$22,Законод!$H$24,0)))),IF($B$1028="Лікар-педіатр",IF(Z1032&lt;Законод!$C$18,0,(IF(AND(Z1032&gt;=Законод!$H$18,Z1032&lt;=Законод!$H$19),Z1032-Законод!$G$19,IF('01_Доходи'!Z1032&gt;=Законод!$I$18,Законод!$H$20,0)))),IF($B$1028="Лікар-терапевт",IF(Z1032&lt;Законод!$C$26,0,(IF(AND(Z1032&gt;=Законод!$H$26,Z1032&lt;=Законод!$H$27),Z1032-Законод!$G$27,IF(Z1032&gt;=Законод!$I$26,Законод!$H$28,0)))),0)))</f>
        <v>0</v>
      </c>
      <c r="AA1037" s="930"/>
      <c r="AB1037" s="889" t="s">
        <v>346</v>
      </c>
      <c r="AC1037" s="890"/>
      <c r="AD1037" s="890"/>
      <c r="AE1037" s="890"/>
      <c r="AF1037" s="891"/>
      <c r="AG1037" s="196">
        <f ca="1">IF($B$1028="Лікар загальної практики - сімейний лікар",IF(AG1032&lt;Законод!$C$22,0,(IF(AND(AG1032&gt;=Законод!$H$22,AG1032&lt;=Законод!$H$23),AG1032-Законод!$G$23,IF('01_Доходи'!AG1032&gt;=Законод!$I$22,Законод!$H$24,0)))),IF($B$1028="Лікар-педіатр",IF(AG1032&lt;Законод!$C$18,0,(IF(AND(AG1032&gt;=Законод!$H$18,AG1032&lt;=Законод!$H$19),AG1032-Законод!$G$19,IF('01_Доходи'!AG1032&gt;=Законод!$I$18,Законод!$H$20,0)))),IF($B$1028="Лікар-терапевт",IF(AG1032&lt;Законод!$C$26,0,(IF(AND(AG1032&gt;=Законод!$H$26,AG1032&lt;=Законод!$H$27),AG1032-Законод!$G$27,IF(AG1032&gt;=Законод!$I$26,Законод!$H$28,0)))),0)))</f>
        <v>0</v>
      </c>
      <c r="AH1037" s="930"/>
      <c r="AI1037" s="201"/>
      <c r="AJ1037" s="933"/>
      <c r="AK1037" s="927"/>
      <c r="AL1037" s="927"/>
      <c r="AM1037" s="899"/>
      <c r="AN1037" s="210">
        <f ca="1">IF(B1028="Лікар загальної практики - сімейний лікар",L1037*Законод!$C$9/4*Законод!$H$16,IF(B1028="Лікар-педіатр",L1037*Законод!$C$9/4*Законод!$H$16,IF(B1028="Лікар-терапевт",L1037*Законод!$C$9/4*Законод!$H$16,0)))</f>
        <v>0</v>
      </c>
      <c r="AO1037" s="210">
        <f ca="1">IF(B1028="Лікар загальної практики - сімейний лікар",S1037*Законод!$C$9/4*Законод!$H$16,IF(B1028="Лікар-педіатр",S1037*Законод!$C$9/4*Законод!$H$16,IF(B1028="Лікар-терапевт",S1037*Законод!$C$9/4*Законод!$H$16,0)))</f>
        <v>0</v>
      </c>
      <c r="AP1037" s="210">
        <f ca="1">IF(B1028="Лікар загальної практики - сімейний лікар",Z1037*Законод!$C$9/4*Законод!$H$16,IF(B1028="Лікар-педіатр",Z1037*Законод!$C$9/4*Законод!$H$16,IF(B1028="Лікар-терапевт",Z1037*Законод!$C$9/4*Законод!$H$16,0)))</f>
        <v>0</v>
      </c>
      <c r="AQ1037" s="210">
        <f ca="1">IF(B1028="Лікар загальної практики - сімейний лікар",AG1037*Законод!$C$9/4*Законод!$H$16,IF(B1028="Лікар-педіатр",AG1037*Законод!$C$9/4*Законод!$H$16,IF(B1028="Лікар-терапевт",AG1037*Законод!$C$9/4*Законод!$H$16,0)))</f>
        <v>0</v>
      </c>
      <c r="AR1037" s="211">
        <f t="shared" si="106"/>
        <v>0</v>
      </c>
    </row>
    <row r="1038" spans="1:44" s="50" customFormat="1" ht="31.9" hidden="1" customHeight="1">
      <c r="A1038" s="197"/>
      <c r="B1038" s="893"/>
      <c r="C1038" s="896"/>
      <c r="D1038" s="912"/>
      <c r="E1038" s="909"/>
      <c r="F1038" s="238" t="str">
        <f ca="1">IF(B1028="Лікар-педіатр",Законод!$I$17,IF(B1028="Лікар загальної практики - сімейний лікар",Законод!$I$21,IF(B1028="Лікар-терапевт",Законод!$I$25,"х")))</f>
        <v>х</v>
      </c>
      <c r="G1038" s="889" t="s">
        <v>346</v>
      </c>
      <c r="H1038" s="890"/>
      <c r="I1038" s="890"/>
      <c r="J1038" s="890"/>
      <c r="K1038" s="891"/>
      <c r="L1038" s="196">
        <f ca="1">IF($B$1028="Лікар загальної практики - сімейний лікар",IF(L1032&lt;Законод!$C$22,0,(IF(AND(L1032&gt;=Законод!$I$22,L1032&lt;=Законод!$I$23),L1032-Законод!$H$23,IF('01_Доходи'!L1032&gt;=Законод!$I$22,Законод!$I$24,0)))),IF($B$1028="Лікар-педіатр",IF(L1032&lt;Законод!$C$18,0,(IF(AND(L1032&gt;=Законод!$I$18,L1032&lt;=Законод!$I$19),L1032-Законод!$H$19,IF('01_Доходи'!L1032&gt;=Законод!$I$18,Законод!$H$20,0)))),IF($B$1028="Лікар-терапевт",IF(L1032&lt;Законод!$C$26,0,(IF(AND(L1032&gt;=Законод!$I$26,L1032&lt;=Законод!$I$27),L1032-Законод!$H$27,IF('01_Доходи'!L1032&gt;=Законод!$I$26,Законод!$H$28,0)))),0)))</f>
        <v>0</v>
      </c>
      <c r="M1038" s="930"/>
      <c r="N1038" s="889" t="s">
        <v>346</v>
      </c>
      <c r="O1038" s="890"/>
      <c r="P1038" s="890"/>
      <c r="Q1038" s="890"/>
      <c r="R1038" s="891"/>
      <c r="S1038" s="196">
        <f ca="1">IF($B$1028="Лікар загальної практики - сімейний лікар",IF(S1032&lt;Законод!$C$22,0,(IF(AND(S1032&gt;=Законод!$I$22,S1032&lt;=Законод!$I$23),S1032-Законод!$H$23,IF('01_Доходи'!S1032&gt;=Законод!$I$22,Законод!$I$24,0)))),IF($B$1028="Лікар-педіатр",IF(S1032&lt;Законод!$C$18,0,(IF(AND(S1032&gt;=Законод!$I$18,S1032&lt;=Законод!$I$19),S1032-Законод!$H$19,IF('01_Доходи'!S1032&gt;=Законод!$I$18,Законод!$H$20,0)))),IF($B$1028="Лікар-терапевт",IF(S1032&lt;Законод!$C$26,0,(IF(AND(S1032&gt;=Законод!$I$26,S1032&lt;=Законод!$I$27),S1032-Законод!$H$27,IF('01_Доходи'!S1032&gt;=Законод!$I$26,Законод!$H$28,0)))),0)))</f>
        <v>0</v>
      </c>
      <c r="T1038" s="930"/>
      <c r="U1038" s="889" t="s">
        <v>346</v>
      </c>
      <c r="V1038" s="890"/>
      <c r="W1038" s="890"/>
      <c r="X1038" s="890"/>
      <c r="Y1038" s="891"/>
      <c r="Z1038" s="196">
        <f ca="1">IF($B$1028="Лікар загальної практики - сімейний лікар",IF(Z1032&lt;Законод!$C$22,0,(IF(AND(Z1032&gt;=Законод!$I$22,Z1032&lt;=Законод!$I$23),Z1032-Законод!$H$23,IF('01_Доходи'!Z1032&gt;=Законод!$I$22,Законод!$I$24,0)))),IF($B$1028="Лікар-педіатр",IF(Z1032&lt;Законод!$C$18,0,(IF(AND(Z1032&gt;=Законод!$I$18,Z1032&lt;=Законод!$I$19),Z1032-Законод!$H$19,IF('01_Доходи'!Z1032&gt;=Законод!$I$18,Законод!$H$20,0)))),IF($B$1028="Лікар-терапевт",IF(Z1032&lt;Законод!$C$26,0,(IF(AND(Z1032&gt;=Законод!$I$26,Z1032&lt;=Законод!$I$27),Z1032-Законод!$H$27,IF('01_Доходи'!Z1032&gt;=Законод!$I$26,Законод!$H$28,0)))),0)))</f>
        <v>0</v>
      </c>
      <c r="AA1038" s="930"/>
      <c r="AB1038" s="889" t="s">
        <v>346</v>
      </c>
      <c r="AC1038" s="890"/>
      <c r="AD1038" s="890"/>
      <c r="AE1038" s="890"/>
      <c r="AF1038" s="891"/>
      <c r="AG1038" s="196">
        <f ca="1">IF($B$1028="Лікар загальної практики - сімейний лікар",IF(AG1032&lt;Законод!$C$22,0,(IF(AND(AG1032&gt;=Законод!$I$22,AG1032&lt;=Законод!$I$23),AG1032-Законод!$H$23,IF('01_Доходи'!AG1032&gt;=Законод!$I$22,Законод!$I$24,0)))),IF($B$1028="Лікар-педіатр",IF(AG1032&lt;Законод!$C$18,0,(IF(AND(AG1032&gt;=Законод!$I$18,AG1032&lt;=Законод!$I$19),AG1032-Законод!$H$19,IF('01_Доходи'!AG1032&gt;=Законод!$I$18,Законод!$H$20,0)))),IF($B$1028="Лікар-терапевт",IF(AG1032&lt;Законод!$C$26,0,(IF(AND(AG1032&gt;=Законод!$I$26,AG1032&lt;=Законод!$I$27),AG1032-Законод!$H$27,IF('01_Доходи'!AG1032&gt;=Законод!$I$26,Законод!$H$28,0)))),0)))</f>
        <v>0</v>
      </c>
      <c r="AH1038" s="930"/>
      <c r="AI1038" s="201"/>
      <c r="AJ1038" s="933"/>
      <c r="AK1038" s="927"/>
      <c r="AL1038" s="927"/>
      <c r="AM1038" s="899"/>
      <c r="AN1038" s="210">
        <f ca="1">IF(B1028="Лікар загальної практики - сімейний лікар",L1038*Законод!$C$9/4*Законод!$I$16,IF(B1028="Лікар-педіатр",L1038*Законод!$C$9/4*Законод!$I$16,IF(B1028="Лікар-терапевт",L1038*Законод!$C$9/4*Законод!$I$16,0)))</f>
        <v>0</v>
      </c>
      <c r="AO1038" s="210">
        <f ca="1">IF(B1028="Лікар загальної практики - сімейний лікар",S1038*Законод!$C$9/4*Законод!$I$16,IF(B1028="Лікар-педіатр",S1038*Законод!$C$9/4*Законод!$I$16,IF(B1028="Лікар-терапевт",S1038*Законод!$C$9/4*Законод!$I$16,0)))</f>
        <v>0</v>
      </c>
      <c r="AP1038" s="210">
        <f ca="1">IF(B1028="Лікар загальної практики - сімейний лікар",Z1038*Законод!$C$9/4*Законод!$I$16,IF(B1028="Лікар-педіатр",Z1038*Законод!$C$9/4*Законод!$I$16,IF(B1028="Лікар-терапевт",Z1038*Законод!$C$9/4*Законод!$I$16,0)))</f>
        <v>0</v>
      </c>
      <c r="AQ1038" s="210">
        <f ca="1">IF(B1028="Лікар загальної практики - сімейний лікар",AG1038*Законод!$C$9/4*Законод!$I$16,IF(B1028="Лікар-педіатр",AG1038*Законод!$C$9/4*Законод!$I$16,IF(B1028="Лікар-терапевт",AG1038*Законод!$C$9/4*Законод!$I$16,0)))</f>
        <v>0</v>
      </c>
      <c r="AR1038" s="211">
        <f t="shared" si="106"/>
        <v>0</v>
      </c>
    </row>
    <row r="1039" spans="1:44" s="218" customFormat="1" ht="31.9" hidden="1" customHeight="1" thickBot="1">
      <c r="A1039" s="213"/>
      <c r="B1039" s="894"/>
      <c r="C1039" s="897"/>
      <c r="D1039" s="913"/>
      <c r="E1039" s="910"/>
      <c r="F1039" s="239" t="str">
        <f ca="1">IF(B1028="Лікар-педіатр",Законод!$J$17,IF(B1028="Лікар загальної практики - сімейний лікар",Законод!$J$21,IF(B1028="Лікар-терапевт",Законод!$J$25,"х")))</f>
        <v>х</v>
      </c>
      <c r="G1039" s="935" t="s">
        <v>346</v>
      </c>
      <c r="H1039" s="936"/>
      <c r="I1039" s="936"/>
      <c r="J1039" s="936"/>
      <c r="K1039" s="937"/>
      <c r="L1039" s="196">
        <f ca="1">IF($B$1028="Лікар загальної практики - сімейний лікар",IF(L1032&gt;=Законод!$J$22,'01_Доходи'!L1032-('01_Доходи'!L1033+'01_Доходи'!L1034+'01_Доходи'!L1035+'01_Доходи'!L1036+'01_Доходи'!L1037+'01_Доходи'!L1038),0),IF($B$1028="Лікар-педіатр",IF(L1032&gt;=Законод!$J$18,'01_Доходи'!L1032-('01_Доходи'!L1033+'01_Доходи'!L1034+'01_Доходи'!L1035+'01_Доходи'!L1036+'01_Доходи'!L1037+'01_Доходи'!L1038),0),IF($B$1028="Лікар-терапевт",IF('01_Доходи'!L1032&gt;=Законод!$J$26,L1032-Законод!$I$27,0),0)))</f>
        <v>0</v>
      </c>
      <c r="M1039" s="931"/>
      <c r="N1039" s="935" t="s">
        <v>346</v>
      </c>
      <c r="O1039" s="936"/>
      <c r="P1039" s="936"/>
      <c r="Q1039" s="936"/>
      <c r="R1039" s="937"/>
      <c r="S1039" s="196">
        <f ca="1">IF($B$1028="Лікар загальної практики - сімейний лікар",IF(S1032&gt;=Законод!$J$22,'01_Доходи'!S1032-('01_Доходи'!S1033+'01_Доходи'!S1034+'01_Доходи'!S1035+'01_Доходи'!S1036+'01_Доходи'!S1037+'01_Доходи'!S1038),0),IF($B$1028="Лікар-педіатр",IF(S1032&gt;=Законод!$J$18,'01_Доходи'!S1032-('01_Доходи'!S1033+'01_Доходи'!S1034+'01_Доходи'!S1035+'01_Доходи'!S1036+'01_Доходи'!S1037+'01_Доходи'!S1038),0),IF($B$1028="Лікар-терапевт",IF('01_Доходи'!S1032&gt;=Законод!$J$26,S1032-Законод!$I$27,0),0)))</f>
        <v>0</v>
      </c>
      <c r="T1039" s="931"/>
      <c r="U1039" s="935" t="s">
        <v>346</v>
      </c>
      <c r="V1039" s="936"/>
      <c r="W1039" s="936"/>
      <c r="X1039" s="936"/>
      <c r="Y1039" s="937"/>
      <c r="Z1039" s="196">
        <f ca="1">IF($B$1028="Лікар загальної практики - сімейний лікар",IF(Z1032&gt;=Законод!$J$22,'01_Доходи'!Z1032-('01_Доходи'!Z1033+'01_Доходи'!Z1034+'01_Доходи'!Z1035+'01_Доходи'!Z1036+'01_Доходи'!Z1037+'01_Доходи'!Z1038),0),IF($B$1028="Лікар-педіатр",IF(Z1032&gt;=Законод!$J$18,'01_Доходи'!Z1032-('01_Доходи'!Z1033+'01_Доходи'!Z1034+'01_Доходи'!Z1035+'01_Доходи'!Z1036+'01_Доходи'!Z1037+'01_Доходи'!Z1038),0),IF($B$1028="Лікар-терапевт",IF('01_Доходи'!Z1032&gt;=Законод!$J$26,Z1032-Законод!$I$27,0),0)))</f>
        <v>0</v>
      </c>
      <c r="AA1039" s="931"/>
      <c r="AB1039" s="935" t="s">
        <v>346</v>
      </c>
      <c r="AC1039" s="936"/>
      <c r="AD1039" s="936"/>
      <c r="AE1039" s="936"/>
      <c r="AF1039" s="937"/>
      <c r="AG1039" s="196">
        <f ca="1">IF($B$1028="Лікар загальної практики - сімейний лікар",IF(AG1032&gt;=Законод!$J$22,'01_Доходи'!AG1032-('01_Доходи'!AG1033+'01_Доходи'!AG1034+'01_Доходи'!AG1035+'01_Доходи'!AG1036+'01_Доходи'!AG1037+'01_Доходи'!AG1038),0),IF($B$1028="Лікар-педіатр",IF(AG1032&gt;=Законод!$J$18,'01_Доходи'!AG1032-('01_Доходи'!AG1033+'01_Доходи'!AG1034+'01_Доходи'!AG1035+'01_Доходи'!AG1036+'01_Доходи'!AG1037+'01_Доходи'!AG1038),0),IF($B$1028="Лікар-терапевт",IF('01_Доходи'!AG1032&gt;=Законод!$J$26,AG1032-Законод!$I$27,0),0)))</f>
        <v>0</v>
      </c>
      <c r="AH1039" s="931"/>
      <c r="AI1039" s="215"/>
      <c r="AJ1039" s="934"/>
      <c r="AK1039" s="928"/>
      <c r="AL1039" s="928"/>
      <c r="AM1039" s="900"/>
      <c r="AN1039" s="216">
        <f ca="1">IF(B1028="Лікар загальної практики - сімейний лікар",L1039*Законод!$C$9/4*Законод!$J$16,IF(B1028="Лікар-педіатр",L1039*Законод!$C$9/4*Законод!$J$16,IF(B1028="Лікар-терапевт",L1039*Законод!$C$9/4*Законод!$J$16,0)))</f>
        <v>0</v>
      </c>
      <c r="AO1039" s="216">
        <f ca="1">IF(B1028="Лікар загальної практики - сімейний лікар",S1039*Законод!$C$9/4*Законод!$J$16,IF(B1028="Лікар-педіатр",S1039*Законод!$C$9/4*Законод!$J$16,IF(B1028="Лікар-терапевт",S1039*Законод!$C$9/4*Законод!$J$16,0)))</f>
        <v>0</v>
      </c>
      <c r="AP1039" s="216">
        <f ca="1">IF(B1028="Лікар загальної практики - сімейний лікар",S1039*Законод!$C$9/4*Законод!$J$16,IF(B1028="Лікар-педіатр",S1039*Законод!$C$9/4*Законод!$J$16,IF(B1028="Лікар-терапевт",S1039*Законод!$C$9/4*Законод!$J$16,0)))</f>
        <v>0</v>
      </c>
      <c r="AQ1039" s="216">
        <f ca="1">IF(B1028="Лікар загальної практики - сімейний лікар",AG1039*Законод!$C$9/4*Законод!$J$16,IF(B1028="Лікар-педіатр",AG1039*Законод!$C$9/4*Законод!$J$16,IF(B1028="Лікар-терапевт",AG1039*Законод!$C$9/4*Законод!$J$16,0)))</f>
        <v>0</v>
      </c>
      <c r="AR1039" s="217">
        <f t="shared" si="106"/>
        <v>0</v>
      </c>
    </row>
    <row r="1040" spans="1:44" s="247" customFormat="1" ht="23.45" hidden="1" customHeight="1" thickBot="1">
      <c r="A1040" s="243"/>
      <c r="B1040" s="244"/>
      <c r="C1040" s="244"/>
      <c r="D1040" s="244"/>
      <c r="E1040" s="244"/>
      <c r="F1040" s="245"/>
      <c r="G1040" s="246"/>
      <c r="H1040" s="246"/>
      <c r="L1040" s="248"/>
      <c r="S1040" s="248"/>
      <c r="Z1040" s="248"/>
      <c r="AG1040" s="248"/>
      <c r="AM1040" s="249"/>
      <c r="AR1040" s="250"/>
    </row>
    <row r="1041" spans="1:44" s="191" customFormat="1" ht="24.6" hidden="1" customHeight="1">
      <c r="A1041" s="194">
        <f>A1028+1</f>
        <v>78</v>
      </c>
      <c r="B1041" s="892"/>
      <c r="C1041" s="895"/>
      <c r="D1041" s="911"/>
      <c r="E1041" s="908"/>
      <c r="F1041" s="234" t="s">
        <v>582</v>
      </c>
      <c r="G1041" s="196">
        <f>IF($B$1041="Лікар-педіатр",G1044*L1041,IF($B$1041="Лікар-терапевт","х",IF($B$1041="Лікар загальної практики - сімейний лікар",G1044*L1041,0)))</f>
        <v>0</v>
      </c>
      <c r="H1041" s="196">
        <f>IF($B$1041="Лікар-педіатр",H1044*L1041,IF($B$1041="Лікар-терапевт","х",IF($B$1041="Лікар загальної практики - сімейний лікар",H1044*L1041,0)))</f>
        <v>0</v>
      </c>
      <c r="I1041" s="196">
        <f>IF($B$1041="Лікар-педіатр","x",IF($B$1041="Лікар-терапевт",I1044*L1041,IF($B$1041="Лікар загальної практики - сімейний лікар",I1044*L1041,0)))</f>
        <v>0</v>
      </c>
      <c r="J1041" s="196">
        <f>IF($B$1041="Лікар-педіатр","x",IF($B$1041="Лікар-терапевт",J1044*L1041,IF($B$1041="Лікар загальної практики - сімейний лікар",J1044*L1041,0)))</f>
        <v>0</v>
      </c>
      <c r="K1041" s="196">
        <f>IF($B$1041="Лікар-педіатр","x",IF($B$1041="Лікар-терапевт",K1044*L1041,IF($B$1041="Лікар загальної практики - сімейний лікар",K1044*L1041,0)))</f>
        <v>0</v>
      </c>
      <c r="L1041" s="558"/>
      <c r="M1041" s="929"/>
      <c r="N1041" s="196">
        <f>IF($B$1041="Лікар-педіатр",N1044*S1041,IF($B$1041="Лікар-терапевт","х",IF($B$1041="Лікар загальної практики - сімейний лікар",N1044*S1041,0)))</f>
        <v>0</v>
      </c>
      <c r="O1041" s="196">
        <f>IF($B$1041="Лікар-педіатр",O1044*S1041,IF($B$1041="Лікар-терапевт","х",IF($B$1041="Лікар загальної практики - сімейний лікар",O1044*S1041,0)))</f>
        <v>0</v>
      </c>
      <c r="P1041" s="196">
        <f>IF($B$1041="Лікар-педіатр","x",IF($B$1041="Лікар-терапевт",P1044*S1041,IF($B$1041="Лікар загальної практики - сімейний лікар",P1044*S1041,0)))</f>
        <v>0</v>
      </c>
      <c r="Q1041" s="196">
        <f>IF($B$1041="Лікар-педіатр","x",IF($B$1041="Лікар-терапевт",Q1044*S1041,IF($B$1041="Лікар загальної практики - сімейний лікар",Q1044*S1041,0)))</f>
        <v>0</v>
      </c>
      <c r="R1041" s="196">
        <f>IF($B$1041="Лікар-педіатр","x",IF($B$1041="Лікар-терапевт",R1044*S1041,IF($B$1041="Лікар загальної практики - сімейний лікар",R1044*S1041,0)))</f>
        <v>0</v>
      </c>
      <c r="S1041" s="558"/>
      <c r="T1041" s="929"/>
      <c r="U1041" s="196">
        <f>IF($B$1041="Лікар-педіатр",U1044*Z1041,IF($B$1041="Лікар-терапевт","х",IF($B$1041="Лікар загальної практики - сімейний лікар",U1044*Z1041,0)))</f>
        <v>0</v>
      </c>
      <c r="V1041" s="196">
        <f>IF($B$1041="Лікар-педіатр",V1044*Z1041,IF($B$1041="Лікар-терапевт","х",IF($B$1041="Лікар загальної практики - сімейний лікар",V1044*Z1041,0)))</f>
        <v>0</v>
      </c>
      <c r="W1041" s="196">
        <f>IF($B$1041="Лікар-педіатр","x",IF($B$1041="Лікар-терапевт",W1044*Z1041,IF($B$1041="Лікар загальної практики - сімейний лікар",W1044*Z1041,0)))</f>
        <v>0</v>
      </c>
      <c r="X1041" s="196">
        <f>IF($B$1041="Лікар-педіатр","x",IF($B$1041="Лікар-терапевт",X1044*Z1041,IF($B$1041="Лікар загальної практики - сімейний лікар",X1044*Z1041,0)))</f>
        <v>0</v>
      </c>
      <c r="Y1041" s="196">
        <f>IF($B$1041="Лікар-педіатр","x",IF($B$1041="Лікар-терапевт",Y1044*Z1041,IF($B$1041="Лікар загальної практики - сімейний лікар",Y1044*Z1041,0)))</f>
        <v>0</v>
      </c>
      <c r="Z1041" s="558"/>
      <c r="AA1041" s="929"/>
      <c r="AB1041" s="196">
        <f>IF($B$1041="Лікар-педіатр",AB1044*AG1041,IF($B$1041="Лікар-терапевт","х",IF($B$1041="Лікар загальної практики - сімейний лікар",AB1044*AG1041,0)))</f>
        <v>0</v>
      </c>
      <c r="AC1041" s="196">
        <f>IF($B$1041="Лікар-педіатр",AC1044*AG1041,IF($B$1041="Лікар-терапевт","х",IF($B$1041="Лікар загальної практики - сімейний лікар",AC1044*AG1041,0)))</f>
        <v>0</v>
      </c>
      <c r="AD1041" s="196">
        <f>IF($B$1041="Лікар-педіатр","x",IF($B$1041="Лікар-терапевт",AD1044*AG1041,IF($B$1041="Лікар загальної практики - сімейний лікар",AD1044*AG1041,0)))</f>
        <v>0</v>
      </c>
      <c r="AE1041" s="196">
        <f>IF($B$1041="Лікар-педіатр","x",IF($B$1041="Лікар-терапевт",AE1044*AG1041,IF($B$1041="Лікар загальної практики - сімейний лікар",AE1044*AG1041,0)))</f>
        <v>0</v>
      </c>
      <c r="AF1041" s="196">
        <f>IF($B$1041="Лікар-педіатр","x",IF($B$1041="Лікар-терапевт",AF1044*AG1041,IF($B$1041="Лікар загальної практики - сімейний лікар",AF1044*AG1041,0)))</f>
        <v>0</v>
      </c>
      <c r="AG1041" s="558"/>
      <c r="AH1041" s="929"/>
      <c r="AI1041" s="541">
        <f>A1041</f>
        <v>78</v>
      </c>
      <c r="AJ1041" s="932">
        <f>B1041</f>
        <v>0</v>
      </c>
      <c r="AK1041" s="926">
        <f>C1041</f>
        <v>0</v>
      </c>
      <c r="AL1041" s="926">
        <f>D1041</f>
        <v>0</v>
      </c>
      <c r="AM1041" s="901" t="s">
        <v>785</v>
      </c>
      <c r="AN1041" s="923">
        <f>SUM(AN1046:AN1052)</f>
        <v>0</v>
      </c>
      <c r="AO1041" s="923">
        <f>SUM(AO1046:AO1052)</f>
        <v>0</v>
      </c>
      <c r="AP1041" s="923">
        <f>SUM(AP1046:AP1052)</f>
        <v>0</v>
      </c>
      <c r="AQ1041" s="923">
        <f>SUM(AQ1046:AQ1052)</f>
        <v>0</v>
      </c>
      <c r="AR1041" s="914">
        <f>SUM(AN1041:AQ1045)</f>
        <v>0</v>
      </c>
    </row>
    <row r="1042" spans="1:44" s="50" customFormat="1" ht="28.15" hidden="1" customHeight="1">
      <c r="A1042" s="197"/>
      <c r="B1042" s="893"/>
      <c r="C1042" s="896"/>
      <c r="D1042" s="912"/>
      <c r="E1042" s="909"/>
      <c r="F1042" s="234" t="s">
        <v>583</v>
      </c>
      <c r="G1042" s="196">
        <f>IF($B$1041="Лікар-педіатр",G1044*L1042,IF($B$1041="Лікар-терапевт","х",IF($B$1041="Лікар загальної практики - сімейний лікар",G1044*L1042,0)))</f>
        <v>0</v>
      </c>
      <c r="H1042" s="196">
        <f>IF($B$1041="Лікар-педіатр",H1044*L1042,IF($B$1041="Лікар-терапевт","х",IF($B$1041="Лікар загальної практики - сімейний лікар",H1044*L1042,0)))</f>
        <v>0</v>
      </c>
      <c r="I1042" s="196">
        <f>IF($B$1041="Лікар-педіатр","x",IF($B$1041="Лікар-терапевт",I1044*L1042,IF($B$1041="Лікар загальної практики - сімейний лікар",I1044*L1042,0)))</f>
        <v>0</v>
      </c>
      <c r="J1042" s="196">
        <f>IF($B$1041="Лікар-педіатр","x",IF($B$1041="Лікар-терапевт",J1044*L1042,IF($B$1041="Лікар загальної практики - сімейний лікар",J1044*L1042,0)))</f>
        <v>0</v>
      </c>
      <c r="K1042" s="196">
        <f>IF($B$1041="Лікар-педіатр","x",IF($B$1041="Лікар-терапевт",K1044*L1042,IF($B$1041="Лікар загальної практики - сімейний лікар",K1044*L1042,0)))</f>
        <v>0</v>
      </c>
      <c r="L1042" s="558"/>
      <c r="M1042" s="930"/>
      <c r="N1042" s="196">
        <f>IF($B$1041="Лікар-педіатр",N1044*S1042,IF($B$1041="Лікар-терапевт","х",IF($B$1041="Лікар загальної практики - сімейний лікар",N1044*S1042,0)))</f>
        <v>0</v>
      </c>
      <c r="O1042" s="196">
        <f>IF($B$1041="Лікар-педіатр",O1044*S1042,IF($B$1041="Лікар-терапевт","х",IF($B$1041="Лікар загальної практики - сімейний лікар",O1044*S1042,0)))</f>
        <v>0</v>
      </c>
      <c r="P1042" s="196">
        <f>IF($B$1041="Лікар-педіатр","x",IF($B$1041="Лікар-терапевт",P1044*S1042,IF($B$1041="Лікар загальної практики - сімейний лікар",P1044*S1042,0)))</f>
        <v>0</v>
      </c>
      <c r="Q1042" s="196">
        <f>IF($B$1041="Лікар-педіатр","x",IF($B$1041="Лікар-терапевт",Q1044*S1042,IF($B$1041="Лікар загальної практики - сімейний лікар",Q1044*S1042,0)))</f>
        <v>0</v>
      </c>
      <c r="R1042" s="196">
        <f>IF($B$1041="Лікар-педіатр","x",IF($B$1041="Лікар-терапевт",R1044*S1042,IF($B$1041="Лікар загальної практики - сімейний лікар",R1044*S1042,0)))</f>
        <v>0</v>
      </c>
      <c r="S1042" s="558"/>
      <c r="T1042" s="930"/>
      <c r="U1042" s="196">
        <f>IF($B$1041="Лікар-педіатр",U1044*Z1042,IF($B$1041="Лікар-терапевт","х",IF($B$1041="Лікар загальної практики - сімейний лікар",U1044*Z1042,0)))</f>
        <v>0</v>
      </c>
      <c r="V1042" s="196">
        <f>IF($B$1041="Лікар-педіатр",V1044*Z1042,IF($B$1041="Лікар-терапевт","х",IF($B$1041="Лікар загальної практики - сімейний лікар",V1044*Z1042,0)))</f>
        <v>0</v>
      </c>
      <c r="W1042" s="196">
        <f>IF($B$1041="Лікар-педіатр","x",IF($B$1041="Лікар-терапевт",W1044*Z1042,IF($B$1041="Лікар загальної практики - сімейний лікар",W1044*Z1042,0)))</f>
        <v>0</v>
      </c>
      <c r="X1042" s="196">
        <f>IF($B$1041="Лікар-педіатр","x",IF($B$1041="Лікар-терапевт",X1044*Z1042,IF($B$1041="Лікар загальної практики - сімейний лікар",X1044*Z1042,0)))</f>
        <v>0</v>
      </c>
      <c r="Y1042" s="196">
        <f>IF($B$1041="Лікар-педіатр","x",IF($B$1041="Лікар-терапевт",Y1044*Z1042,IF($B$1041="Лікар загальної практики - сімейний лікар",Y1044*Z1042,0)))</f>
        <v>0</v>
      </c>
      <c r="Z1042" s="558"/>
      <c r="AA1042" s="930"/>
      <c r="AB1042" s="196">
        <f>IF($B$1041="Лікар-педіатр",AB1044*AG1042,IF($B$1041="Лікар-терапевт","х",IF($B$1041="Лікар загальної практики - сімейний лікар",AB1044*AG1042,0)))</f>
        <v>0</v>
      </c>
      <c r="AC1042" s="196">
        <f>IF($B$1041="Лікар-педіатр",AC1044*AG1042,IF($B$1041="Лікар-терапевт","х",IF($B$1041="Лікар загальної практики - сімейний лікар",AC1044*AG1042,0)))</f>
        <v>0</v>
      </c>
      <c r="AD1042" s="196">
        <f>IF($B$1041="Лікар-педіатр","x",IF($B$1041="Лікар-терапевт",AD1044*AG1042,IF($B$1041="Лікар загальної практики - сімейний лікар",AD1044*AG1042,0)))</f>
        <v>0</v>
      </c>
      <c r="AE1042" s="196">
        <f>IF($B$1041="Лікар-педіатр","x",IF($B$1041="Лікар-терапевт",AE1044*AG1042,IF($B$1041="Лікар загальної практики - сімейний лікар",AE1044*AG1042,0)))</f>
        <v>0</v>
      </c>
      <c r="AF1042" s="196">
        <f>IF($B$1041="Лікар-педіатр","x",IF($B$1041="Лікар-терапевт",AF1044*AG1042,IF($B$1041="Лікар загальної практики - сімейний лікар",AF1044*AG1042,0)))</f>
        <v>0</v>
      </c>
      <c r="AG1042" s="558"/>
      <c r="AH1042" s="930"/>
      <c r="AI1042" s="198"/>
      <c r="AJ1042" s="933"/>
      <c r="AK1042" s="927"/>
      <c r="AL1042" s="927"/>
      <c r="AM1042" s="902"/>
      <c r="AN1042" s="924"/>
      <c r="AO1042" s="924"/>
      <c r="AP1042" s="924"/>
      <c r="AQ1042" s="924"/>
      <c r="AR1042" s="915"/>
    </row>
    <row r="1043" spans="1:44" s="90" customFormat="1" ht="31.15" hidden="1" customHeight="1">
      <c r="A1043" s="240"/>
      <c r="B1043" s="893"/>
      <c r="C1043" s="896"/>
      <c r="D1043" s="912"/>
      <c r="E1043" s="909"/>
      <c r="F1043" s="241" t="s">
        <v>584</v>
      </c>
      <c r="G1043" s="199">
        <f>IF(B1041="Лікар загальної практики - сімейний лікар"," ",IF(B1041="Лікар-педіатр"," ",IF(B1041="Лікар-терапевт","х",0)))</f>
        <v>0</v>
      </c>
      <c r="H1043" s="199">
        <f>IF(B1041="Лікар загальної практики - сімейний лікар"," ",IF(B1041="Лікар-педіатр"," ",IF(B1041="Лікар-терапевт","х",0)))</f>
        <v>0</v>
      </c>
      <c r="I1043" s="199">
        <f>IF(B1041="Лікар загальної практики - сімейний лікар"," ",IF(B1041="Лікар-педіатр","х",IF(B1041="Лікар-терапевт"," ",0)))</f>
        <v>0</v>
      </c>
      <c r="J1043" s="199">
        <f>IF(B1041="Лікар загальної практики - сімейний лікар"," ",IF(B1041="Лікар-педіатр","х",IF(B1041="Лікар-терапевт"," ",0)))</f>
        <v>0</v>
      </c>
      <c r="K1043" s="199">
        <f>IF(B1041="Лікар загальної практики - сімейний лікар"," ",IF(B1041="Лікар-педіатр","х",IF(B1041="Лікар-терапевт"," ",0)))</f>
        <v>0</v>
      </c>
      <c r="L1043" s="200">
        <f>SUM(G1043:K1043)</f>
        <v>0</v>
      </c>
      <c r="M1043" s="930"/>
      <c r="N1043" s="199">
        <f>IF(B1041="Лікар загальної практики - сімейний лікар"," ",IF(B1041="Лікар-педіатр"," ",IF(B1041="Лікар-терапевт","х",0)))</f>
        <v>0</v>
      </c>
      <c r="O1043" s="199">
        <f>IF(B1041="Лікар загальної практики - сімейний лікар"," ",IF(B1041="Лікар-педіатр"," ",IF(B1041="Лікар-терапевт","х",0)))</f>
        <v>0</v>
      </c>
      <c r="P1043" s="199">
        <f>IF(B1041="Лікар загальної практики - сімейний лікар"," ",IF(B1041="Лікар-педіатр","х",IF(B1041="Лікар-терапевт"," ",0)))</f>
        <v>0</v>
      </c>
      <c r="Q1043" s="199">
        <f>IF(B1041="Лікар загальної практики - сімейний лікар"," ",IF(B1041="Лікар-педіатр","х",IF(B1041="Лікар-терапевт"," ",0)))</f>
        <v>0</v>
      </c>
      <c r="R1043" s="199">
        <f>IF(B1041="Лікар загальної практики - сімейний лікар"," ",IF(B1041="Лікар-педіатр","х",IF(B1041="Лікар-терапевт"," ",0)))</f>
        <v>0</v>
      </c>
      <c r="S1043" s="200">
        <f>SUM(N1043:R1043)</f>
        <v>0</v>
      </c>
      <c r="T1043" s="930"/>
      <c r="U1043" s="199">
        <f>IF(B1041="Лікар загальної практики - сімейний лікар"," ",IF(B1041="Лікар-педіатр"," ",IF(B1041="Лікар-терапевт","х",0)))</f>
        <v>0</v>
      </c>
      <c r="V1043" s="199">
        <f>IF(B1041="Лікар загальної практики - сімейний лікар"," ",IF(B1041="Лікар-педіатр"," ",IF(B1041="Лікар-терапевт","х",0)))</f>
        <v>0</v>
      </c>
      <c r="W1043" s="199">
        <f>IF(B1041="Лікар загальної практики - сімейний лікар"," ",IF(B1041="Лікар-педіатр","х",IF(B1041="Лікар-терапевт"," ",0)))</f>
        <v>0</v>
      </c>
      <c r="X1043" s="199">
        <f>IF(B1041="Лікар загальної практики - сімейний лікар"," ",IF(B1041="Лікар-педіатр","х",IF(B1041="Лікар-терапевт"," ",0)))</f>
        <v>0</v>
      </c>
      <c r="Y1043" s="199">
        <f>IF(B1041="Лікар загальної практики - сімейний лікар"," ",IF(B1041="Лікар-педіатр","х",IF(B1041="Лікар-терапевт"," ",0)))</f>
        <v>0</v>
      </c>
      <c r="Z1043" s="200">
        <f>SUM(U1043:Y1043)</f>
        <v>0</v>
      </c>
      <c r="AA1043" s="930"/>
      <c r="AB1043" s="199">
        <f>IF(B1041="Лікар загальної практики - сімейний лікар"," ",IF(B1041="Лікар-педіатр"," ",IF(B1041="Лікар-терапевт","х",0)))</f>
        <v>0</v>
      </c>
      <c r="AC1043" s="199">
        <f>IF(B1041="Лікар загальної практики - сімейний лікар"," ",IF(B1041="Лікар-педіатр"," ",IF(B1041="Лікар-терапевт","х",0)))</f>
        <v>0</v>
      </c>
      <c r="AD1043" s="199">
        <f>IF(B1041="Лікар загальної практики - сімейний лікар"," ",IF(B1041="Лікар-педіатр","х",IF(B1041="Лікар-терапевт"," ",0)))</f>
        <v>0</v>
      </c>
      <c r="AE1043" s="199">
        <f>IF(B1041="Лікар загальної практики - сімейний лікар"," ",IF(B1041="Лікар-педіатр","х",IF(B1041="Лікар-терапевт"," ",0)))</f>
        <v>0</v>
      </c>
      <c r="AF1043" s="199">
        <f>IF(B1041="Лікар загальної практики - сімейний лікар"," ",IF(B1041="Лікар-педіатр","х",IF(B1041="Лікар-терапевт"," ",0)))</f>
        <v>0</v>
      </c>
      <c r="AG1043" s="200">
        <f>SUM(AB1043:AF1043)</f>
        <v>0</v>
      </c>
      <c r="AH1043" s="930"/>
      <c r="AI1043" s="242"/>
      <c r="AJ1043" s="933"/>
      <c r="AK1043" s="927"/>
      <c r="AL1043" s="927"/>
      <c r="AM1043" s="902"/>
      <c r="AN1043" s="924"/>
      <c r="AO1043" s="924"/>
      <c r="AP1043" s="924"/>
      <c r="AQ1043" s="924"/>
      <c r="AR1043" s="915"/>
    </row>
    <row r="1044" spans="1:44" s="50" customFormat="1" ht="31.9" hidden="1" customHeight="1" thickBot="1">
      <c r="A1044" s="197"/>
      <c r="B1044" s="893"/>
      <c r="C1044" s="896"/>
      <c r="D1044" s="912"/>
      <c r="E1044" s="909"/>
      <c r="F1044" s="236" t="s">
        <v>349</v>
      </c>
      <c r="G1044" s="203">
        <f>IF($B$1041="Лікар-педіатр",G1043/L1043,IF($B$1041="Лікар-терапевт","х",IF($B$1041="Лікар загальної практики - сімейний лікар",G1043/L1043,0)))</f>
        <v>0</v>
      </c>
      <c r="H1044" s="203">
        <f>IF($B$1041="Лікар-педіатр",H1043/L1043,IF($B$1041="Лікар-терапевт","х",IF($B$1041="Лікар загальної практики - сімейний лікар",H1043/L1043,0)))</f>
        <v>0</v>
      </c>
      <c r="I1044" s="203">
        <f>IF($B$1041="Лікар-педіатр","x",IF($B$1041="Лікар-терапевт",I1043/L1043,IF($B$1041="Лікар загальної практики - сімейний лікар",I1043/L1043,0)))</f>
        <v>0</v>
      </c>
      <c r="J1044" s="203">
        <f>IF($B$1041="Лікар-педіатр","x",IF($B$1041="Лікар-терапевт",J1043/L1043,IF($B$1041="Лікар загальної практики - сімейний лікар",J1043/L1043,0)))</f>
        <v>0</v>
      </c>
      <c r="K1044" s="203">
        <f>IF($B$1041="Лікар-педіатр","x",IF($B$1041="Лікар-терапевт",K1043/L1043,IF($B$1041="Лікар загальної практики - сімейний лікар",K1043/L1043,0)))</f>
        <v>0</v>
      </c>
      <c r="L1044" s="203">
        <f>SUM(G1044:K1044)</f>
        <v>0</v>
      </c>
      <c r="M1044" s="930"/>
      <c r="N1044" s="203">
        <f>IF($B$1041="Лікар-педіатр",N1043/S1043,IF($B$1041="Лікар-терапевт","х",IF($B$1041="Лікар загальної практики - сімейний лікар",N1043/S1043,0)))</f>
        <v>0</v>
      </c>
      <c r="O1044" s="203">
        <f>IF($B$1041="Лікар-педіатр",O1043/S1043,IF($B$1041="Лікар-терапевт","х",IF($B$1041="Лікар загальної практики - сімейний лікар",O1043/S1043,0)))</f>
        <v>0</v>
      </c>
      <c r="P1044" s="203">
        <f>IF($B$1041="Лікар-педіатр","x",IF($B$1041="Лікар-терапевт",P1043/S1043,IF($B$1041="Лікар загальної практики - сімейний лікар",P1043/S1043,0)))</f>
        <v>0</v>
      </c>
      <c r="Q1044" s="203">
        <f>IF($B$1041="Лікар-педіатр","x",IF($B$1041="Лікар-терапевт",Q1043/S1043,IF($B$1041="Лікар загальної практики - сімейний лікар",Q1043/S1043,0)))</f>
        <v>0</v>
      </c>
      <c r="R1044" s="203">
        <f>IF($B$1041="Лікар-педіатр","x",IF($B$1041="Лікар-терапевт",R1043/S1043,IF($B$1041="Лікар загальної практики - сімейний лікар",R1043/S1043,0)))</f>
        <v>0</v>
      </c>
      <c r="S1044" s="203">
        <f>SUM(N1044:R1044)</f>
        <v>0</v>
      </c>
      <c r="T1044" s="930"/>
      <c r="U1044" s="203">
        <f>IF($B$1041="Лікар-педіатр",U1043/Z1043,IF($B$1041="Лікар-терапевт","х",IF($B$1041="Лікар загальної практики - сімейний лікар",U1043/Z1043,0)))</f>
        <v>0</v>
      </c>
      <c r="V1044" s="203">
        <f>IF($B$1041="Лікар-педіатр",V1043/Z1043,IF($B$1041="Лікар-терапевт","х",IF($B$1041="Лікар загальної практики - сімейний лікар",V1043/Z1043,0)))</f>
        <v>0</v>
      </c>
      <c r="W1044" s="203">
        <f>IF($B$1041="Лікар-педіатр","x",IF($B$1041="Лікар-терапевт",W1043/Z1043,IF($B$1041="Лікар загальної практики - сімейний лікар",W1043/Z1043,0)))</f>
        <v>0</v>
      </c>
      <c r="X1044" s="203">
        <f>IF($B$1041="Лікар-педіатр","x",IF($B$1041="Лікар-терапевт",X1043/Z1043,IF($B$1041="Лікар загальної практики - сімейний лікар",X1043/Z1043,0)))</f>
        <v>0</v>
      </c>
      <c r="Y1044" s="203">
        <f>IF($B$1041="Лікар-педіатр","x",IF($B$1041="Лікар-терапевт",Y1043/Z1043,IF($B$1041="Лікар загальної практики - сімейний лікар",Y1043/Z1043,0)))</f>
        <v>0</v>
      </c>
      <c r="Z1044" s="203">
        <f>SUM(U1044:Y1044)</f>
        <v>0</v>
      </c>
      <c r="AA1044" s="930"/>
      <c r="AB1044" s="203">
        <f>IF($B$1041="Лікар-педіатр",AB1043/AG1043,IF($B$1041="Лікар-терапевт","х",IF($B$1041="Лікар загальної практики - сімейний лікар",AB1043/AG1043,0)))</f>
        <v>0</v>
      </c>
      <c r="AC1044" s="203">
        <f>IF($B$1041="Лікар-педіатр",AC1043/AG1043,IF($B$1041="Лікар-терапевт","х",IF($B$1041="Лікар загальної практики - сімейний лікар",AC1043/AG1043,0)))</f>
        <v>0</v>
      </c>
      <c r="AD1044" s="203">
        <f>IF($B$1041="Лікар-педіатр","x",IF($B$1041="Лікар-терапевт",AD1043/AG1043,IF($B$1041="Лікар загальної практики - сімейний лікар",AD1043/AG1043,0)))</f>
        <v>0</v>
      </c>
      <c r="AE1044" s="203">
        <f>IF($B$1041="Лікар-педіатр","x",IF($B$1041="Лікар-терапевт",AE1043/AG1043,IF($B$1041="Лікар загальної практики - сімейний лікар",AE1043/AG1043,0)))</f>
        <v>0</v>
      </c>
      <c r="AF1044" s="203">
        <f>IF($B$1041="Лікар-педіатр","x",IF($B$1041="Лікар-терапевт",AF1043/AG1043,IF($B$1041="Лікар загальної практики - сімейний лікар",AF1043/AG1043,0)))</f>
        <v>0</v>
      </c>
      <c r="AG1044" s="203">
        <f>SUM(AB1044:AF1044)</f>
        <v>0</v>
      </c>
      <c r="AH1044" s="930"/>
      <c r="AI1044" s="201"/>
      <c r="AJ1044" s="933"/>
      <c r="AK1044" s="927"/>
      <c r="AL1044" s="927"/>
      <c r="AM1044" s="902"/>
      <c r="AN1044" s="924"/>
      <c r="AO1044" s="924"/>
      <c r="AP1044" s="924"/>
      <c r="AQ1044" s="924"/>
      <c r="AR1044" s="915"/>
    </row>
    <row r="1045" spans="1:44" s="50" customFormat="1" ht="45" hidden="1" customHeight="1" thickBot="1">
      <c r="A1045" s="197"/>
      <c r="B1045" s="893"/>
      <c r="C1045" s="896"/>
      <c r="D1045" s="912"/>
      <c r="E1045" s="909"/>
      <c r="F1045" s="204" t="s">
        <v>585</v>
      </c>
      <c r="G1045" s="205">
        <f>IF($B$1041="Лікар загальної практики - сімейний лікар",AVERAGE(G1041:G1043),IF($B$1041="Лікар-педіатр",AVERAGE(G1041:G1043),IF($B$1041="Лікар-терапевт","х",0)))</f>
        <v>0</v>
      </c>
      <c r="H1045" s="205">
        <f>IF($B$1041="Лікар загальної практики - сімейний лікар",AVERAGE(H1041:H1043),IF($B$1041="Лікар-педіатр",AVERAGE(H1041:H1043),IF($B$1041="Лікар-терапевт","х",0)))</f>
        <v>0</v>
      </c>
      <c r="I1045" s="205">
        <f>IF($B$1041="Лікар загальної практики - сімейний лікар",AVERAGE(I1041:I1043),IF($B$1041="Лікар-педіатр","x",IF($B$1041="Лікар-терапевт",AVERAGE(I1041:I1043),0)))</f>
        <v>0</v>
      </c>
      <c r="J1045" s="205">
        <f>IF($B$1041="Лікар загальної практики - сімейний лікар",AVERAGE(J1041:J1043),IF($B$1041="Лікар-педіатр","x",IF($B$1041="Лікар-терапевт",AVERAGE(J1041:J1043),0)))</f>
        <v>0</v>
      </c>
      <c r="K1045" s="205">
        <f>IF($B$1041="Лікар загальної практики - сімейний лікар",AVERAGE(K1041:K1043),IF($B$1041="Лікар-педіатр","x",IF($B$1041="Лікар-терапевт",AVERAGE(K1041:K1043),0)))</f>
        <v>0</v>
      </c>
      <c r="L1045" s="206">
        <f>SUM(G1045:K1045)</f>
        <v>0</v>
      </c>
      <c r="M1045" s="930"/>
      <c r="N1045" s="205">
        <f>IF($B$1041="Лікар загальної практики - сімейний лікар",AVERAGE(N1041:N1043),IF($B$1041="Лікар-педіатр",AVERAGE(N1041:N1043),IF($B$1041="Лікар-терапевт","х",0)))</f>
        <v>0</v>
      </c>
      <c r="O1045" s="205">
        <f>IF($B$1041="Лікар загальної практики - сімейний лікар",AVERAGE(O1041:O1043),IF($B$1041="Лікар-педіатр",AVERAGE(O1041:O1043),IF($B$1041="Лікар-терапевт","х",0)))</f>
        <v>0</v>
      </c>
      <c r="P1045" s="205">
        <f>IF($B$1041="Лікар загальної практики - сімейний лікар",AVERAGE(P1041:P1043),IF($B$1041="Лікар-педіатр","x",IF($B$1041="Лікар-терапевт",AVERAGE(P1041:P1043),0)))</f>
        <v>0</v>
      </c>
      <c r="Q1045" s="205">
        <f>IF($B$1041="Лікар загальної практики - сімейний лікар",AVERAGE(Q1041:Q1043),IF($B$1041="Лікар-педіатр","x",IF($B$1041="Лікар-терапевт",AVERAGE(Q1041:Q1043),0)))</f>
        <v>0</v>
      </c>
      <c r="R1045" s="205">
        <f>IF($B$1041="Лікар загальної практики - сімейний лікар",AVERAGE(R1041:R1043),IF($B$1041="Лікар-педіатр","x",IF($B$1041="Лікар-терапевт",AVERAGE(R1041:R1043),0)))</f>
        <v>0</v>
      </c>
      <c r="S1045" s="206">
        <f>SUM(N1045:R1045)</f>
        <v>0</v>
      </c>
      <c r="T1045" s="930"/>
      <c r="U1045" s="205">
        <f>IF($B$1041="Лікар загальної практики - сімейний лікар",AVERAGE(U1041:U1043),IF($B$1041="Лікар-педіатр",AVERAGE(U1041:U1043),IF($B$1041="Лікар-терапевт","х",0)))</f>
        <v>0</v>
      </c>
      <c r="V1045" s="205">
        <f>IF($B$1041="Лікар загальної практики - сімейний лікар",AVERAGE(V1041:V1043),IF($B$1041="Лікар-педіатр",AVERAGE(V1041:V1043),IF($B$1041="Лікар-терапевт","х",0)))</f>
        <v>0</v>
      </c>
      <c r="W1045" s="205">
        <f>IF($B$1041="Лікар загальної практики - сімейний лікар",AVERAGE(W1041:W1043),IF($B$1041="Лікар-педіатр","x",IF($B$1041="Лікар-терапевт",AVERAGE(W1041:W1043),0)))</f>
        <v>0</v>
      </c>
      <c r="X1045" s="205">
        <f>IF($B$1041="Лікар загальної практики - сімейний лікар",AVERAGE(X1041:X1043),IF($B$1041="Лікар-педіатр","x",IF($B$1041="Лікар-терапевт",AVERAGE(X1041:X1043),0)))</f>
        <v>0</v>
      </c>
      <c r="Y1045" s="205">
        <f>IF($B$1041="Лікар загальної практики - сімейний лікар",AVERAGE(Y1041:Y1043),IF($B$1041="Лікар-педіатр","x",IF($B$1041="Лікар-терапевт",AVERAGE(Y1041:Y1043),0)))</f>
        <v>0</v>
      </c>
      <c r="Z1045" s="206">
        <f>SUM(U1045:Y1045)</f>
        <v>0</v>
      </c>
      <c r="AA1045" s="930"/>
      <c r="AB1045" s="205">
        <f>IF($B$1041="Лікар загальної практики - сімейний лікар",AVERAGE(AB1041:AB1043),IF($B$1041="Лікар-педіатр",AVERAGE(AB1041:AB1043),IF($B$1041="Лікар-терапевт","х",0)))</f>
        <v>0</v>
      </c>
      <c r="AC1045" s="205">
        <f>IF($B$1041="Лікар загальної практики - сімейний лікар",AVERAGE(AC1041:AC1043),IF($B$1041="Лікар-педіатр",AVERAGE(AC1041:AC1043),IF($B$1041="Лікар-терапевт","х",0)))</f>
        <v>0</v>
      </c>
      <c r="AD1045" s="205">
        <f>IF($B$1041="Лікар загальної практики - сімейний лікар",AVERAGE(AD1041:AD1043),IF($B$1041="Лікар-педіатр","x",IF($B$1041="Лікар-терапевт",AVERAGE(AD1041:AD1043),0)))</f>
        <v>0</v>
      </c>
      <c r="AE1045" s="205">
        <f>IF($B$1041="Лікар загальної практики - сімейний лікар",AVERAGE(AE1041:AE1043),IF($B$1041="Лікар-педіатр","x",IF($B$1041="Лікар-терапевт",AVERAGE(AE1041:AE1043),0)))</f>
        <v>0</v>
      </c>
      <c r="AF1045" s="205">
        <f>IF($B$1041="Лікар загальної практики - сімейний лікар",AVERAGE(AF1041:AF1043),IF($B$1041="Лікар-педіатр","x",IF($B$1041="Лікар-терапевт",AVERAGE(AF1041:AF1043),0)))</f>
        <v>0</v>
      </c>
      <c r="AG1045" s="206">
        <f>SUM(AB1045:AF1045)</f>
        <v>0</v>
      </c>
      <c r="AH1045" s="930"/>
      <c r="AI1045" s="201"/>
      <c r="AJ1045" s="933"/>
      <c r="AK1045" s="927"/>
      <c r="AL1045" s="927"/>
      <c r="AM1045" s="903"/>
      <c r="AN1045" s="925"/>
      <c r="AO1045" s="925"/>
      <c r="AP1045" s="925"/>
      <c r="AQ1045" s="925"/>
      <c r="AR1045" s="916"/>
    </row>
    <row r="1046" spans="1:44" s="50" customFormat="1" ht="40.5" hidden="1">
      <c r="A1046" s="197"/>
      <c r="B1046" s="893"/>
      <c r="C1046" s="896"/>
      <c r="D1046" s="912"/>
      <c r="E1046" s="909"/>
      <c r="F1046" s="237" t="str">
        <f ca="1">IF(B1041="Лікар-педіатр",Законод!$C$17,IF(B1041="Лікар загальної практики - сімейний лікар",Законод!$C$21,IF(B1041="Лікар-терапевт",Законод!$C$25,"х")))</f>
        <v>х</v>
      </c>
      <c r="G1046" s="208">
        <f ca="1">IF($B$1041="Лікар загальної практики - сімейний лікар",IF(L1045&lt;=Законод!$C$22,G1045,Законод!$C$22*'01_Доходи'!G1044),IF($B$1041="Лікар-педіатр",IF(L1045&lt;=Законод!$C$18,G1045,Законод!$C$18*'01_Доходи'!G1044),IF($B$1041="Лікар-терапевт","x",0)))</f>
        <v>0</v>
      </c>
      <c r="H1046" s="208">
        <f ca="1">IF($B$1041="Лікар загальної практики - сімейний лікар",IF(L1045&lt;=Законод!$C$22,H1045,Законод!$C$22*'01_Доходи'!H1044),IF($B$1041="Лікар-педіатр",IF(L1045&lt;=Законод!$C$18,H1045,Законод!$C$18*'01_Доходи'!H1044),IF($B$1041="Лікар-терапевт","x",0)))</f>
        <v>0</v>
      </c>
      <c r="I1046" s="208">
        <f ca="1">IF($B$1041="Лікар загальної практики - сімейний лікар",IF(L1045&lt;=Законод!$C$22,I1045,Законод!$C$22*'01_Доходи'!I1044),IF($B$1041="Лікар-педіатр","x",IF($B$1041="Лікар-терапевт",IF(L1045&lt;=Законод!$C$26,I1045,Законод!$C$26*'01_Доходи'!I1044),0)))</f>
        <v>0</v>
      </c>
      <c r="J1046" s="208">
        <f ca="1">IF($B$1041="Лікар загальної практики - сімейний лікар",IF(L1045&lt;=Законод!$C$22,J1045,Законод!$C$22*'01_Доходи'!J1044),IF($B$1041="Лікар-педіатр","x",IF($B$1041="Лікар-терапевт",IF(L1045&lt;=Законод!$C$26,J1045,Законод!$C$26*'01_Доходи'!J1044),0)))</f>
        <v>0</v>
      </c>
      <c r="K1046" s="208">
        <f ca="1">IF($B$1041="Лікар загальної практики - сімейний лікар",IF(L1045&lt;=Законод!$C$22,K1045,Законод!$C$22*'01_Доходи'!K1044),IF($B$1041="Лікар-педіатр","x",IF($B$1041="Лікар-терапевт",IF(L1045&lt;=Законод!$C$26,K1045,Законод!$C$26*'01_Доходи'!K1044),0)))</f>
        <v>0</v>
      </c>
      <c r="L1046" s="209">
        <f ca="1">SUM(G1046:K1046)</f>
        <v>0</v>
      </c>
      <c r="M1046" s="930"/>
      <c r="N1046" s="208">
        <f ca="1">IF($B$1041="Лікар загальної практики - сімейний лікар",IF(S1045&lt;=Законод!$C$22,N1045,Законод!$C$22*'01_Доходи'!N1044),IF($B$1041="Лікар-педіатр",IF(S1045&lt;=Законод!$C$18,N1045,Законод!$C$18*'01_Доходи'!N1044),IF($B$1041="Лікар-терапевт","x",0)))</f>
        <v>0</v>
      </c>
      <c r="O1046" s="208">
        <f ca="1">IF($B$1041="Лікар загальної практики - сімейний лікар",IF(S1045&lt;=Законод!$C$22,O1045,Законод!$C$22*'01_Доходи'!O1044),IF($B$1041="Лікар-педіатр",IF(S1045&lt;=Законод!$C$18,O1045,Законод!$C$18*'01_Доходи'!O1044),IF($B$1041="Лікар-терапевт","x",0)))</f>
        <v>0</v>
      </c>
      <c r="P1046" s="208">
        <f ca="1">IF($B$1041="Лікар загальної практики - сімейний лікар",IF(S1045&lt;=Законод!$C$22,P1045,Законод!$C$22*'01_Доходи'!P1044),IF($B$1041="Лікар-педіатр","x",IF($B$1041="Лікар-терапевт",IF(S1045&lt;=Законод!$C$26,P1045,Законод!$C$26*'01_Доходи'!P1044),0)))</f>
        <v>0</v>
      </c>
      <c r="Q1046" s="208">
        <f ca="1">IF($B$1041="Лікар загальної практики - сімейний лікар",IF(S1045&lt;=Законод!$C$22,Q1045,Законод!$C$22*'01_Доходи'!Q1044),IF($B$1041="Лікар-педіатр","x",IF($B$1041="Лікар-терапевт",IF(S1045&lt;=Законод!$C$26,Q1045,Законод!$C$26*'01_Доходи'!Q1044),0)))</f>
        <v>0</v>
      </c>
      <c r="R1046" s="208">
        <f ca="1">IF($B$1041="Лікар загальної практики - сімейний лікар",IF(S1045&lt;=Законод!$C$22,R1045,Законод!$C$22*'01_Доходи'!R1044),IF($B$1041="Лікар-педіатр","x",IF($B$1041="Лікар-терапевт",IF(S1045&lt;=Законод!$C$26,R1045,Законод!$C$26*'01_Доходи'!R1044),0)))</f>
        <v>0</v>
      </c>
      <c r="S1046" s="209">
        <f ca="1">SUM(N1046:R1046)</f>
        <v>0</v>
      </c>
      <c r="T1046" s="930"/>
      <c r="U1046" s="208">
        <f ca="1">IF($B$1041="Лікар загальної практики - сімейний лікар",IF(Z1045&lt;=Законод!$C$22,U1045,Законод!$C$22*'01_Доходи'!U1044),IF($B$1041="Лікар-педіатр",IF(Z1045&lt;=Законод!$C$18,U1045,Законод!$C$18*'01_Доходи'!U1044),IF($B$1041="Лікар-терапевт","x",0)))</f>
        <v>0</v>
      </c>
      <c r="V1046" s="208">
        <f ca="1">IF($B$1041="Лікар загальної практики - сімейний лікар",IF(Z1045&lt;=Законод!$C$22,V1045,Законод!$C$22*'01_Доходи'!V1044),IF($B$1041="Лікар-педіатр",IF(Z1045&lt;=Законод!$C$18,V1045,Законод!$C$18*'01_Доходи'!V1044),IF($B$1041="Лікар-терапевт","x",0)))</f>
        <v>0</v>
      </c>
      <c r="W1046" s="208">
        <f ca="1">IF($B$1041="Лікар загальної практики - сімейний лікар",IF(Z1045&lt;=Законод!$C$22,W1045,Законод!$C$22*'01_Доходи'!W1044),IF($B$1041="Лікар-педіатр","x",IF($B$1041="Лікар-терапевт",IF(Z1045&lt;=Законод!$C$26,W1045,Законод!$C$26*'01_Доходи'!W1044),0)))</f>
        <v>0</v>
      </c>
      <c r="X1046" s="208">
        <f ca="1">IF($B$1041="Лікар загальної практики - сімейний лікар",IF(Z1045&lt;=Законод!$C$22,X1045,Законод!$C$22*'01_Доходи'!X1044),IF($B$1041="Лікар-педіатр","x",IF($B$1041="Лікар-терапевт",IF(Z1045&lt;=Законод!$C$26,X1045,Законод!$C$26*'01_Доходи'!X1044),0)))</f>
        <v>0</v>
      </c>
      <c r="Y1046" s="208">
        <f ca="1">IF($B$1041="Лікар загальної практики - сімейний лікар",IF(Z1045&lt;=Законод!$C$22,Y1045,Законод!$C$22*'01_Доходи'!Y1044),IF($B$1041="Лікар-педіатр","x",IF($B$1041="Лікар-терапевт",IF(Z1045&lt;=Законод!$C$26,Y1045,Законод!$C$26*'01_Доходи'!Y1044),0)))</f>
        <v>0</v>
      </c>
      <c r="Z1046" s="209">
        <f ca="1">SUM(U1046:Y1046)</f>
        <v>0</v>
      </c>
      <c r="AA1046" s="930"/>
      <c r="AB1046" s="208">
        <f ca="1">IF($B$1041="Лікар загальної практики - сімейний лікар",IF(AG1045&lt;=Законод!$C$22,AB1045,Законод!$C$22*'01_Доходи'!AB1044),IF($B$1041="Лікар-педіатр",IF(AG1045&lt;=Законод!$C$18,AB1045,Законод!$C$18*'01_Доходи'!AB1044),IF($B$1041="Лікар-терапевт","x",0)))</f>
        <v>0</v>
      </c>
      <c r="AC1046" s="208">
        <f ca="1">IF($B$1041="Лікар загальної практики - сімейний лікар",IF(AG1045&lt;=Законод!$C$22,AC1045,Законод!$C$22*'01_Доходи'!AC1044),IF($B$1041="Лікар-педіатр",IF(AG1045&lt;=Законод!$C$18,AC1045,Законод!$C$18*'01_Доходи'!AC1044),IF($B$1041="Лікар-терапевт","x",0)))</f>
        <v>0</v>
      </c>
      <c r="AD1046" s="208">
        <f ca="1">IF($B$1041="Лікар загальної практики - сімейний лікар",IF(AG1045&lt;=Законод!$C$22,AD1045,Законод!$C$22*'01_Доходи'!AD1044),IF($B$1041="Лікар-педіатр","x",IF($B$1041="Лікар-терапевт",IF(AG1045&lt;=Законод!$C$26,AD1045,Законод!$C$26*'01_Доходи'!AD1044),0)))</f>
        <v>0</v>
      </c>
      <c r="AE1046" s="208">
        <f ca="1">IF($B$1041="Лікар загальної практики - сімейний лікар",IF(AG1045&lt;=Законод!$C$22,AE1045,Законод!$C$22*'01_Доходи'!AE1044),IF($B$1041="Лікар-педіатр","x",IF($B$1041="Лікар-терапевт",IF(AG1045&lt;=Законод!$C$26,AE1045,Законод!$C$26*'01_Доходи'!AE1044),0)))</f>
        <v>0</v>
      </c>
      <c r="AF1046" s="208">
        <f ca="1">IF($B$1041="Лікар загальної практики - сімейний лікар",IF(AG1045&lt;=Законод!$C$22,AF1045,Законод!$C$22*'01_Доходи'!AF1044),IF($B$1041="Лікар-педіатр","x",IF($B$1041="Лікар-терапевт",IF(AG1045&lt;=Законод!$C$26,AF1045,Законод!$C$26*'01_Доходи'!AF1044),0)))</f>
        <v>0</v>
      </c>
      <c r="AG1046" s="209">
        <f ca="1">SUM(AB1046:AF1046)</f>
        <v>0</v>
      </c>
      <c r="AH1046" s="930"/>
      <c r="AI1046" s="201"/>
      <c r="AJ1046" s="933"/>
      <c r="AK1046" s="927"/>
      <c r="AL1046" s="927"/>
      <c r="AM1046" s="348" t="s">
        <v>374</v>
      </c>
      <c r="AN1046" s="210">
        <f ca="1">IF(B1041="Лікар загальної практики - сімейний лікар",G1046*Законод!$C$11+'01_Доходи'!H1046*Законод!$D$11+'01_Доходи'!I1046*Законод!$E$11+'01_Доходи'!J1046*Законод!$F$11+'01_Доходи'!K1046*Законод!$G$11,IF(B1041="Лікар-педіатр",G1046*Законод!$C$11+'01_Доходи'!H1046*Законод!$D$11,IF(B1041="Лікар-терапевт",'01_Доходи'!I1046*Законод!$E$11+'01_Доходи'!J1046*Законод!$F$11+'01_Доходи'!K1046*Законод!$G$11,0)))</f>
        <v>0</v>
      </c>
      <c r="AO1046" s="210">
        <f ca="1">IF(B1041="Лікар загальної практики - сімейний лікар",N1046*Законод!$C$11+'01_Доходи'!O1046*Законод!$D$11+'01_Доходи'!P1046*Законод!$E$11+'01_Доходи'!Q1046*Законод!$F$11+'01_Доходи'!R1046*Законод!$G$11,IF(B1041="Лікар-педіатр",N1046*Законод!$C$11+'01_Доходи'!O1046*Законод!$D$11,IF(B1041="Лікар-терапевт",'01_Доходи'!P1046*Законод!$E$11+'01_Доходи'!Q1046*Законод!$F$11+'01_Доходи'!R1046*Законод!$G$11,0)))</f>
        <v>0</v>
      </c>
      <c r="AP1046" s="210">
        <f ca="1">IF(B1041="Лікар загальної практики - сімейний лікар",U1046*Законод!$C$11+'01_Доходи'!V1046*Законод!$D$11+'01_Доходи'!W1046*Законод!$E$11+'01_Доходи'!X1046*Законод!$F$11+'01_Доходи'!Y1046*Законод!$G$11,IF(B1041="Лікар-педіатр",U1046*Законод!$C$11+'01_Доходи'!V1046*Законод!$D$11,IF(B1041="Лікар-терапевт",'01_Доходи'!W1046*Законод!$E$11+'01_Доходи'!X1046*Законод!$F$11+'01_Доходи'!Y1046*Законод!$G$11,0)))</f>
        <v>0</v>
      </c>
      <c r="AQ1046" s="210">
        <f ca="1">IF(B1041="Лікар загальної практики - сімейний лікар",AB1046*Законод!$C$11+'01_Доходи'!AC1046*Законод!$D$11+'01_Доходи'!AD1046*Законод!$E$11+'01_Доходи'!AE1046*Законод!$F$11+'01_Доходи'!AF1046*Законод!$G$11,IF(B1041="Лікар-педіатр",AB1046*Законод!$C$11+'01_Доходи'!AC1046*Законод!$D$11,IF(B1041="Лікар-терапевт",'01_Доходи'!AD1046*Законод!$E$11+'01_Доходи'!AE1046*Законод!$F$11+'01_Доходи'!AF1046*Законод!$G$11,0)))</f>
        <v>0</v>
      </c>
      <c r="AR1046" s="211">
        <f t="shared" ref="AR1046:AR1052" si="107">SUM(AN1046:AQ1046)</f>
        <v>0</v>
      </c>
    </row>
    <row r="1047" spans="1:44" s="50" customFormat="1" ht="31.9" hidden="1" customHeight="1">
      <c r="A1047" s="197"/>
      <c r="B1047" s="893"/>
      <c r="C1047" s="896"/>
      <c r="D1047" s="912"/>
      <c r="E1047" s="909"/>
      <c r="F1047" s="238" t="str">
        <f ca="1">IF(B1041="Лікар-педіатр",Законод!$E$17,IF(B1041="Лікар загальної практики - сімейний лікар",Законод!$E$21,IF(B1041="Лікар-терапевт",Законод!$E$25,"х")))</f>
        <v>х</v>
      </c>
      <c r="G1047" s="889" t="s">
        <v>346</v>
      </c>
      <c r="H1047" s="890"/>
      <c r="I1047" s="890"/>
      <c r="J1047" s="890"/>
      <c r="K1047" s="891"/>
      <c r="L1047" s="196">
        <f ca="1">IF($B$1041="Лікар загальної практики - сімейний лікар",IF(L1045&lt;Законод!$C$22,0,(IF(AND(L1045&gt;=Законод!$E$22,L1045&lt;=Законод!$E$23),L1045-Законод!$C$22,IF('01_Доходи'!L1045&gt;=Законод!$F$22,Законод!$E$24,0)))),IF($B$1041="Лікар-педіатр",IF(L1045&lt;Законод!$C$18,0,(IF(AND(L1045&gt;=Законод!$E$18,L1045&lt;=Законод!$E$19),L1045-Законод!$C$18,IF('01_Доходи'!L1045&gt;=Законод!$F$18,Законод!$E$20,0)))),IF($B$1041="Лікар-терапевт",IF(L1045&lt;Законод!$C$26,0,(IF(AND(L1045&gt;=Законод!$E$26,L1045&lt;=Законод!$E$27),L1045-Законод!$C$26,IF('01_Доходи'!L1045&gt;=Законод!$F$26,Законод!$E$28,0)))),0)))</f>
        <v>0</v>
      </c>
      <c r="M1047" s="930"/>
      <c r="N1047" s="889" t="s">
        <v>346</v>
      </c>
      <c r="O1047" s="890"/>
      <c r="P1047" s="890"/>
      <c r="Q1047" s="890"/>
      <c r="R1047" s="891"/>
      <c r="S1047" s="196">
        <f ca="1">IF($B$1041="Лікар загальної практики - сімейний лікар",IF(S1045&lt;Законод!$C$22,0,(IF(AND(S1045&gt;=Законод!$E$22,S1045&lt;=Законод!$E$23),S1045-Законод!$C$22,IF('01_Доходи'!S1045&gt;=Законод!$F$22,Законод!$E$24,0)))),IF($B$1041="Лікар-педіатр",IF(S1045&lt;Законод!$C$18,0,(IF(AND(S1045&gt;=Законод!$E$18,S1045&lt;=Законод!$E$19),S1045-Законод!$C$18,IF('01_Доходи'!S1045&gt;=Законод!$F$18,Законод!$E$20,0)))),IF($B$1041="Лікар-терапевт",IF(S1045&lt;Законод!$C$26,0,(IF(AND(S1045&gt;=Законод!$E$26,S1045&lt;=Законод!$E$27),S1045-Законод!$C$26,IF('01_Доходи'!S1045&gt;=Законод!$F$26,Законод!$E$28,0)))),0)))</f>
        <v>0</v>
      </c>
      <c r="T1047" s="930"/>
      <c r="U1047" s="889" t="s">
        <v>346</v>
      </c>
      <c r="V1047" s="890"/>
      <c r="W1047" s="890"/>
      <c r="X1047" s="890"/>
      <c r="Y1047" s="891"/>
      <c r="Z1047" s="196">
        <f ca="1">IF($B$1041="Лікар загальної практики - сімейний лікар",IF(Z1045&lt;Законод!$C$22,0,(IF(AND(Z1045&gt;=Законод!$E$22,Z1045&lt;=Законод!$E$23),Z1045-Законод!$C$22,IF('01_Доходи'!Z1045&gt;=Законод!$F$22,Законод!$E$24,0)))),IF($B$1041="Лікар-педіатр",IF(Z1045&lt;Законод!$C$18,0,(IF(AND(Z1045&gt;=Законод!$E$18,Z1045&lt;=Законод!$E$19),Z1045-Законод!$C$18,IF('01_Доходи'!Z1045&gt;=Законод!$F$18,Законод!$E$20,0)))),IF($B$1041="Лікар-терапевт",IF(Z1045&lt;Законод!$C$26,0,(IF(AND(Z1045&gt;=Законод!$E$26,Z1045&lt;=Законод!$E$27),Z1045-Законод!$C$26,IF('01_Доходи'!Z1045&gt;=Законод!$F$26,Законод!$E$28,0)))),0)))</f>
        <v>0</v>
      </c>
      <c r="AA1047" s="930"/>
      <c r="AB1047" s="889" t="s">
        <v>346</v>
      </c>
      <c r="AC1047" s="890"/>
      <c r="AD1047" s="890"/>
      <c r="AE1047" s="890"/>
      <c r="AF1047" s="891"/>
      <c r="AG1047" s="196">
        <f ca="1">IF($B$1041="Лікар загальної практики - сімейний лікар",IF(AG1045&lt;Законод!$C$22,0,(IF(AND(AG1045&gt;=Законод!$E$22,AG1045&lt;=Законод!$E$23),AG1045-Законод!$C$22,IF('01_Доходи'!AG1045&gt;=Законод!$F$22,Законод!$E$24,0)))),IF($B$1041="Лікар-педіатр",IF(AG1045&lt;Законод!$C$18,0,(IF(AND(AG1045&gt;=Законод!$E$18,AG1045&lt;=Законод!$E$19),AG1045-Законод!$C$18,IF('01_Доходи'!AG1045&gt;=Законод!$F$18,Законод!$E$20,0)))),IF($B$1041="Лікар-терапевт",IF(AG1045&lt;Законод!$C$26,0,(IF(AND(AG1045&gt;=Законод!$E$26,AG1045&lt;=Законод!$E$27),AG1045-Законод!$C$26,IF('01_Доходи'!AG1045&gt;=Законод!$F$26,Законод!$E$28,0)))),0)))</f>
        <v>0</v>
      </c>
      <c r="AH1047" s="930"/>
      <c r="AI1047" s="201"/>
      <c r="AJ1047" s="933"/>
      <c r="AK1047" s="927"/>
      <c r="AL1047" s="927"/>
      <c r="AM1047" s="898" t="s">
        <v>375</v>
      </c>
      <c r="AN1047" s="210">
        <f ca="1">IF(B1041="Лікар загальної практики - сімейний лікар",L1047*Законод!$C$9/4*Законод!$E$16,IF(B1041="Лікар-педіатр",L1047*Законод!$C$9/4*Законод!$E$16,IF(B1041="Лікар-терапевт",L1047*Законод!$C$9/4*Законод!$E$16,0)))</f>
        <v>0</v>
      </c>
      <c r="AO1047" s="210">
        <f ca="1">IF(B1041="Лікар загальної практики - сімейний лікар",S1047*Законод!$C$9/4*Законод!$E$16,IF(B1041="Лікар-педіатр",S1047*Законод!$C$9/4*Законод!$E$16,IF(B1041="Лікар-терапевт",S1047*Законод!$C$9/4*Законод!$E$16,0)))</f>
        <v>0</v>
      </c>
      <c r="AP1047" s="210">
        <f ca="1">IF(B1041="Лікар загальної практики - сімейний лікар",Z1047*Законод!$C$9/4*Законод!$E$16,IF(B1041="Лікар-педіатр",Z1047*Законод!$C$9/4*Законод!$E$16,IF(B1041="Лікар-терапевт",Z1047*Законод!$C$9/4*Законод!$E$16,0)))</f>
        <v>0</v>
      </c>
      <c r="AQ1047" s="210">
        <f ca="1">IF(B1041="Лікар загальної практики - сімейний лікар",AG1047*Законод!$C$9/4*Законод!$E$16,IF(B1041="Лікар-педіатр",AG1047*Законод!$C$9/4*Законод!$E$16,IF(B1041="Лікар-терапевт",AG1047*Законод!$C$9/4*Законод!$E$16,0)))</f>
        <v>0</v>
      </c>
      <c r="AR1047" s="211">
        <f t="shared" si="107"/>
        <v>0</v>
      </c>
    </row>
    <row r="1048" spans="1:44" s="50" customFormat="1" ht="31.9" hidden="1" customHeight="1">
      <c r="A1048" s="197"/>
      <c r="B1048" s="893"/>
      <c r="C1048" s="896"/>
      <c r="D1048" s="912"/>
      <c r="E1048" s="909"/>
      <c r="F1048" s="238" t="str">
        <f ca="1">IF(B1041="Лікар-педіатр",Законод!$F$17,IF(B1041="Лікар загальної практики - сімейний лікар",Законод!$F$21,IF(B1041="Лікар-терапевт",Законод!$F$25,"х")))</f>
        <v>х</v>
      </c>
      <c r="G1048" s="889" t="s">
        <v>346</v>
      </c>
      <c r="H1048" s="890"/>
      <c r="I1048" s="890"/>
      <c r="J1048" s="890"/>
      <c r="K1048" s="891"/>
      <c r="L1048" s="196">
        <f ca="1">IF($B$1041="Лікар загальної практики - сімейний лікар",IF(L1045&lt;Законод!$C$22,0,(IF(AND(L1045&gt;=Законод!$F$22,L1045&lt;=Законод!$F$23),L1045-Законод!$E$23,IF('01_Доходи'!L1045&gt;=Законод!$G$22,Законод!$F$24,0)))),IF($B$1041="Лікар-педіатр",IF(L1045&lt;Законод!$C$18,0,(IF(AND(L1045&gt;=Законод!$F$18,L1045&lt;=Законод!$F$19),L1045-Законод!$E$19,IF('01_Доходи'!L1045&gt;=Законод!$G$18,Законод!$F$20,0)))),IF($B$1041="Лікар-терапевт",IF(L1045&lt;Законод!$C$26,0,(IF(AND(L1045&gt;=Законод!$F$26,L1045&lt;=Законод!$F$27),L1045-Законод!$E$27,IF('01_Доходи'!L1045&gt;=Законод!$G$26,Законод!$F$28,0)))),0)))</f>
        <v>0</v>
      </c>
      <c r="M1048" s="930"/>
      <c r="N1048" s="889" t="s">
        <v>346</v>
      </c>
      <c r="O1048" s="890"/>
      <c r="P1048" s="890"/>
      <c r="Q1048" s="890"/>
      <c r="R1048" s="891"/>
      <c r="S1048" s="196">
        <f ca="1">IF($B$1041="Лікар загальної практики - сімейний лікар",IF(S1045&lt;Законод!$C$22,0,(IF(AND(S1045&gt;=Законод!$F$22,S1045&lt;=Законод!$F$23),S1045-Законод!$E$23,IF('01_Доходи'!S1045&gt;=Законод!$G$22,Законод!$F$24,0)))),IF($B$1041="Лікар-педіатр",IF(S1045&lt;Законод!$C$18,0,(IF(AND(S1045&gt;=Законод!$F$18,S1045&lt;=Законод!$F$19),S1045-Законод!$E$19,IF('01_Доходи'!S1045&gt;=Законод!$G$18,Законод!$F$20,0)))),IF($B$1041="Лікар-терапевт",IF(S1045&lt;Законод!$C$26,0,(IF(AND(S1045&gt;=Законод!$F$26,S1045&lt;=Законод!$F$27),S1045-Законод!$E$27,IF('01_Доходи'!S1045&gt;=Законод!$G$26,Законод!$F$28,0)))),0)))</f>
        <v>0</v>
      </c>
      <c r="T1048" s="930"/>
      <c r="U1048" s="889" t="s">
        <v>346</v>
      </c>
      <c r="V1048" s="890"/>
      <c r="W1048" s="890"/>
      <c r="X1048" s="890"/>
      <c r="Y1048" s="891"/>
      <c r="Z1048" s="196">
        <f ca="1">IF($B$1041="Лікар загальної практики - сімейний лікар",IF(Z1045&lt;Законод!$C$22,0,(IF(AND(Z1045&gt;=Законод!$F$22,Z1045&lt;=Законод!$F$23),Z1045-Законод!$E$23,IF('01_Доходи'!Z1045&gt;=Законод!$G$22,Законод!$F$24,0)))),IF($B$1041="Лікар-педіатр",IF(Z1045&lt;Законод!$C$18,0,(IF(AND(Z1045&gt;=Законод!$F$18,Z1045&lt;=Законод!$F$19),Z1045-Законод!$E$19,IF('01_Доходи'!Z1045&gt;=Законод!$G$18,Законод!$F$20,0)))),IF($B$1041="Лікар-терапевт",IF(Z1045&lt;Законод!$C$26,0,(IF(AND(Z1045&gt;=Законод!$F$26,Z1045&lt;=Законод!$F$27),Z1045-Законод!$E$27,IF('01_Доходи'!Z1045&gt;=Законод!$G$26,Законод!$F$28,0)))),0)))</f>
        <v>0</v>
      </c>
      <c r="AA1048" s="930"/>
      <c r="AB1048" s="889" t="s">
        <v>346</v>
      </c>
      <c r="AC1048" s="890"/>
      <c r="AD1048" s="890"/>
      <c r="AE1048" s="890"/>
      <c r="AF1048" s="891"/>
      <c r="AG1048" s="196">
        <f ca="1">IF($B$1041="Лікар загальної практики - сімейний лікар",IF(AG1045&lt;Законод!$C$22,0,(IF(AND(AG1045&gt;=Законод!$F$22,AG1045&lt;=Законод!$F$23),AG1045-Законод!$E$23,IF('01_Доходи'!AG1045&gt;=Законод!$G$22,Законод!$F$24,0)))),IF($B$1041="Лікар-педіатр",IF(AG1045&lt;Законод!$C$18,0,(IF(AND(AG1045&gt;=Законод!$F$18,AG1045&lt;=Законод!$F$19),AG1045-Законод!$E$19,IF('01_Доходи'!AG1045&gt;=Законод!$G$18,Законод!$F$20,0)))),IF($B$1041="Лікар-терапевт",IF(AG1045&lt;Законод!$C$26,0,(IF(AND(AG1045&gt;=Законод!$F$26,AG1045&lt;=Законод!$F$27),AG1045-Законод!$E$27,IF('01_Доходи'!AG1045&gt;=Законод!$G$26,Законод!$F$28,0)))),0)))</f>
        <v>0</v>
      </c>
      <c r="AH1048" s="930"/>
      <c r="AI1048" s="201"/>
      <c r="AJ1048" s="933"/>
      <c r="AK1048" s="927"/>
      <c r="AL1048" s="927"/>
      <c r="AM1048" s="899"/>
      <c r="AN1048" s="210">
        <f ca="1">IF(B1041="Лікар загальної практики - сімейний лікар",L1048*Законод!$C$9/4*Законод!$F$16,IF(B1041="Лікар-педіатр",L1048*Законод!$C$9/4*Законод!$F$16,IF(B1041="Лікар-терапевт",L1048*Законод!$C$9/4*Законод!$F$16,0)))</f>
        <v>0</v>
      </c>
      <c r="AO1048" s="210">
        <f ca="1">IF(B1041="Лікар загальної практики - сімейний лікар",S1048*Законод!$C$9/4*Законод!$F$16,IF(B1041="Лікар-педіатр",S1048*Законод!$C$9/4*Законод!$F$16,IF(B1041="Лікар-терапевт",S1048*Законод!$C$9/4*Законод!$F$16,0)))</f>
        <v>0</v>
      </c>
      <c r="AP1048" s="210">
        <f ca="1">IF(B1041="Лікар загальної практики - сімейний лікар",Z1048*Законод!$C$9/4*Законод!$F$16,IF(B1041="Лікар-педіатр",Z1048*Законод!$C$9/4*Законод!$F$16,IF(B1041="Лікар-терапевт",Z1048*Законод!$C$9/4*Законод!$F$16,0)))</f>
        <v>0</v>
      </c>
      <c r="AQ1048" s="210">
        <f ca="1">IF(B1041="Лікар загальної практики - сімейний лікар",AG1048*Законод!$C$9/4*Законод!$F$16,IF(B1041="Лікар-педіатр",AG1048*Законод!$C$9/4*Законод!$F$16,IF(B1041="Лікар-терапевт",AG1048*Законод!$C$9/4*Законод!$F$16,0)))</f>
        <v>0</v>
      </c>
      <c r="AR1048" s="211">
        <f t="shared" si="107"/>
        <v>0</v>
      </c>
    </row>
    <row r="1049" spans="1:44" s="50" customFormat="1" ht="31.9" hidden="1" customHeight="1">
      <c r="A1049" s="197"/>
      <c r="B1049" s="893"/>
      <c r="C1049" s="896"/>
      <c r="D1049" s="912"/>
      <c r="E1049" s="909"/>
      <c r="F1049" s="238" t="str">
        <f ca="1">IF(B1041="Лікар-педіатр",Законод!$G$17,IF(B1041="Лікар загальної практики - сімейний лікар",Законод!$G$21,IF(B1041="Лікар-терапевт",Законод!$G$25,"х")))</f>
        <v>х</v>
      </c>
      <c r="G1049" s="889" t="s">
        <v>346</v>
      </c>
      <c r="H1049" s="890"/>
      <c r="I1049" s="890"/>
      <c r="J1049" s="890"/>
      <c r="K1049" s="891"/>
      <c r="L1049" s="196">
        <f ca="1">IF($B$1041="Лікар загальної практики - сімейний лікар",IF(L1045&lt;Законод!$C$22,0,(IF(AND(L1045&gt;=Законод!$G$22,L1045&lt;=Законод!$G$23),L1045-Законод!$F$23,IF('01_Доходи'!L1045&gt;=Законод!$H$22,Законод!$G$24,0)))),IF($B$1041="Лікар-педіатр",IF(L1045&lt;Законод!$C$18,0,(IF(AND(L1045&gt;=Законод!$G$18,L1045&lt;=Законод!$G$19),L1045-Законод!$F$19,IF('01_Доходи'!L1045&gt;=Законод!$H$18,Законод!$G$20,0)))),IF($B$1041="Лікар-терапевт",IF(L1045&lt;Законод!$C$26,0,(IF(AND(L1045&gt;=Законод!$G$26,L1045&lt;=Законод!$G$27),L1045-Законод!$F$27,IF('01_Доходи'!L1045&gt;=Законод!$H$26,Законод!$G$28,0)))),0)))</f>
        <v>0</v>
      </c>
      <c r="M1049" s="930"/>
      <c r="N1049" s="889" t="s">
        <v>346</v>
      </c>
      <c r="O1049" s="890"/>
      <c r="P1049" s="890"/>
      <c r="Q1049" s="890"/>
      <c r="R1049" s="891"/>
      <c r="S1049" s="196">
        <f ca="1">IF($B$1041="Лікар загальної практики - сімейний лікар",IF(S1045&lt;Законод!$C$22,0,(IF(AND(S1045&gt;=Законод!$G$22,S1045&lt;=Законод!$G$23),S1045-Законод!$F$23,IF('01_Доходи'!S1045&gt;=Законод!$H$22,Законод!$G$24,0)))),IF($B$1041="Лікар-педіатр",IF(S1045&lt;Законод!$C$18,0,(IF(AND(S1045&gt;=Законод!$G$18,S1045&lt;=Законод!$G$19),S1045-Законод!$F$19,IF('01_Доходи'!S1045&gt;=Законод!$H$18,Законод!$G$20,0)))),IF($B$1041="Лікар-терапевт",IF(S1045&lt;Законод!$C$26,0,(IF(AND(S1045&gt;=Законод!$G$26,S1045&lt;=Законод!$G$27),S1045-Законод!$F$27,IF('01_Доходи'!S1045&gt;=Законод!$H$26,Законод!$G$28,0)))),0)))</f>
        <v>0</v>
      </c>
      <c r="T1049" s="930"/>
      <c r="U1049" s="889" t="s">
        <v>346</v>
      </c>
      <c r="V1049" s="890"/>
      <c r="W1049" s="890"/>
      <c r="X1049" s="890"/>
      <c r="Y1049" s="891"/>
      <c r="Z1049" s="196">
        <f ca="1">IF($B$1041="Лікар загальної практики - сімейний лікар",IF(Z1045&lt;Законод!$C$22,0,(IF(AND(Z1045&gt;=Законод!$G$22,Z1045&lt;=Законод!$G$23),Z1045-Законод!$F$23,IF('01_Доходи'!Z1045&gt;=Законод!$H$22,Законод!$G$24,0)))),IF($B$1041="Лікар-педіатр",IF(Z1045&lt;Законод!$C$18,0,(IF(AND(Z1045&gt;=Законод!$G$18,Z1045&lt;=Законод!$G$19),Z1045-Законод!$F$19,IF('01_Доходи'!Z1045&gt;=Законод!$H$18,Законод!$G$20,0)))),IF($B$1041="Лікар-терапевт",IF(Z1045&lt;Законод!$C$26,0,(IF(AND(Z1045&gt;=Законод!$G$26,Z1045&lt;=Законод!$G$27),Z1045-Законод!$F$27,IF('01_Доходи'!Z1045&gt;=Законод!$H$26,Законод!$G$28,0)))),0)))</f>
        <v>0</v>
      </c>
      <c r="AA1049" s="930"/>
      <c r="AB1049" s="889" t="s">
        <v>346</v>
      </c>
      <c r="AC1049" s="890"/>
      <c r="AD1049" s="890"/>
      <c r="AE1049" s="890"/>
      <c r="AF1049" s="891"/>
      <c r="AG1049" s="196">
        <f ca="1">IF($B$1041="Лікар загальної практики - сімейний лікар",IF(AG1045&lt;Законод!$C$22,0,(IF(AND(AG1045&gt;=Законод!$G$22,AG1045&lt;=Законод!$G$23),AG1045-Законод!$F$23,IF('01_Доходи'!AG1045&gt;=Законод!$H$22,Законод!$G$24,0)))),IF($B$1041="Лікар-педіатр",IF(AG1045&lt;Законод!$C$18,0,(IF(AND(AG1045&gt;=Законод!$G$18,AG1045&lt;=Законод!$G$19),AG1045-Законод!$F$19,IF('01_Доходи'!AG1045&gt;=Законод!$H$18,Законод!$G$20,0)))),IF($B$1041="Лікар-терапевт",IF(AG1045&lt;Законод!$C$26,0,(IF(AND(AG1045&gt;=Законод!$G$26,AG1045&lt;=Законод!$G$27),AG1045-Законод!$F$27,IF('01_Доходи'!AG1045&gt;=Законод!$H$26,Законод!$G$28,0)))),0)))</f>
        <v>0</v>
      </c>
      <c r="AH1049" s="930"/>
      <c r="AI1049" s="201"/>
      <c r="AJ1049" s="933"/>
      <c r="AK1049" s="927"/>
      <c r="AL1049" s="927"/>
      <c r="AM1049" s="899"/>
      <c r="AN1049" s="210">
        <f ca="1">IF(B1041="Лікар загальної практики - сімейний лікар",L1049*Законод!$C$9/4*Законод!$G$16,IF(B1041="Лікар-педіатр",L1049*Законод!$C$9/4*Законод!$G$16,IF(B1041="Лікар-терапевт",L1049*Законод!$C$9/4*Законод!$G$16,0)))</f>
        <v>0</v>
      </c>
      <c r="AO1049" s="210">
        <f ca="1">IF(B1041="Лікар загальної практики - сімейний лікар",S1049*Законод!$C$9/4*Законод!$G$16,IF(B1041="Лікар-педіатр",S1049*Законод!$C$9/4*Законод!$G$16,IF(B1041="Лікар-терапевт",S1049*Законод!$C$9/4*Законод!$G$16,0)))</f>
        <v>0</v>
      </c>
      <c r="AP1049" s="210">
        <f ca="1">IF(B1041="Лікар загальної практики - сімейний лікар",Z1049*Законод!$C$9/4*Законод!$G$16,IF(B1041="Лікар-педіатр",Z1049*Законод!$C$9/4*Законод!$G$16,IF(B1041="Лікар-терапевт",Z1049*Законод!$C$9/4*Законод!$G$16,0)))</f>
        <v>0</v>
      </c>
      <c r="AQ1049" s="210">
        <f ca="1">IF(B1041="Лікар загальної практики - сімейний лікар",AG1049*Законод!$C$9/4*Законод!$G$16,IF(B1041="Лікар-педіатр",AG1049*Законод!$C$9/4*Законод!$G$16,IF(B1041="Лікар-терапевт",AG1049*Законод!$C$9/4*Законод!$G$16,0)))</f>
        <v>0</v>
      </c>
      <c r="AR1049" s="211">
        <f t="shared" si="107"/>
        <v>0</v>
      </c>
    </row>
    <row r="1050" spans="1:44" s="50" customFormat="1" ht="31.9" hidden="1" customHeight="1">
      <c r="A1050" s="197"/>
      <c r="B1050" s="893"/>
      <c r="C1050" s="896"/>
      <c r="D1050" s="912"/>
      <c r="E1050" s="909"/>
      <c r="F1050" s="238" t="str">
        <f ca="1">IF(B1041="Лікар-педіатр",Законод!$H$17,IF(B1041="Лікар загальної практики - сімейний лікар",Законод!$H$21,IF(B1041="Лікар-терапевт",Законод!$H$25,"х")))</f>
        <v>х</v>
      </c>
      <c r="G1050" s="889" t="s">
        <v>346</v>
      </c>
      <c r="H1050" s="890"/>
      <c r="I1050" s="890"/>
      <c r="J1050" s="890"/>
      <c r="K1050" s="891"/>
      <c r="L1050" s="196">
        <f ca="1">IF($B$1041="Лікар загальної практики - сімейний лікар",IF(L1045&lt;Законод!$C$22,0,(IF(AND(L1045&gt;=Законод!$H$22,L1045&lt;=Законод!$H$23),L1045-Законод!$G$23,IF('01_Доходи'!L1045&gt;=Законод!$I$22,Законод!$H$24,0)))),IF($B$1041="Лікар-педіатр",IF(L1045&lt;Законод!$C$18,0,(IF(AND(L1045&gt;=Законод!$H$18,L1045&lt;=Законод!$H$19),L1045-Законод!$G$19,IF('01_Доходи'!L1045&gt;=Законод!$I$18,Законод!$H$20,0)))),IF($B$1041="Лікар-терапевт",IF(L1045&lt;Законод!$C$26,0,(IF(AND(L1045&gt;=Законод!$H$26,L1045&lt;=Законод!$H$27),L1045-Законод!$G$27,IF(L1045&gt;=Законод!$I$26,Законод!$H$28,0)))),0)))</f>
        <v>0</v>
      </c>
      <c r="M1050" s="930"/>
      <c r="N1050" s="889" t="s">
        <v>346</v>
      </c>
      <c r="O1050" s="890"/>
      <c r="P1050" s="890"/>
      <c r="Q1050" s="890"/>
      <c r="R1050" s="891"/>
      <c r="S1050" s="196">
        <f ca="1">IF($B$1041="Лікар загальної практики - сімейний лікар",IF(S1045&lt;Законод!$C$22,0,(IF(AND(S1045&gt;=Законод!$H$22,S1045&lt;=Законод!$H$23),S1045-Законод!$G$23,IF('01_Доходи'!S1045&gt;=Законод!$I$22,Законод!$H$24,0)))),IF($B$1041="Лікар-педіатр",IF(S1045&lt;Законод!$C$18,0,(IF(AND(S1045&gt;=Законод!$H$18,S1045&lt;=Законод!$H$19),S1045-Законод!$G$19,IF('01_Доходи'!S1045&gt;=Законод!$I$18,Законод!$H$20,0)))),IF($B$1041="Лікар-терапевт",IF(S1045&lt;Законод!$C$26,0,(IF(AND(S1045&gt;=Законод!$H$26,S1045&lt;=Законод!$H$27),S1045-Законод!$G$27,IF(S1045&gt;=Законод!$I$26,Законод!$H$28,0)))),0)))</f>
        <v>0</v>
      </c>
      <c r="T1050" s="930"/>
      <c r="U1050" s="889" t="s">
        <v>346</v>
      </c>
      <c r="V1050" s="890"/>
      <c r="W1050" s="890"/>
      <c r="X1050" s="890"/>
      <c r="Y1050" s="891"/>
      <c r="Z1050" s="196">
        <f ca="1">IF($B$1041="Лікар загальної практики - сімейний лікар",IF(Z1045&lt;Законод!$C$22,0,(IF(AND(Z1045&gt;=Законод!$H$22,Z1045&lt;=Законод!$H$23),Z1045-Законод!$G$23,IF('01_Доходи'!Z1045&gt;=Законод!$I$22,Законод!$H$24,0)))),IF($B$1041="Лікар-педіатр",IF(Z1045&lt;Законод!$C$18,0,(IF(AND(Z1045&gt;=Законод!$H$18,Z1045&lt;=Законод!$H$19),Z1045-Законод!$G$19,IF('01_Доходи'!Z1045&gt;=Законод!$I$18,Законод!$H$20,0)))),IF($B$1041="Лікар-терапевт",IF(Z1045&lt;Законод!$C$26,0,(IF(AND(Z1045&gt;=Законод!$H$26,Z1045&lt;=Законод!$H$27),Z1045-Законод!$G$27,IF(Z1045&gt;=Законод!$I$26,Законод!$H$28,0)))),0)))</f>
        <v>0</v>
      </c>
      <c r="AA1050" s="930"/>
      <c r="AB1050" s="889" t="s">
        <v>346</v>
      </c>
      <c r="AC1050" s="890"/>
      <c r="AD1050" s="890"/>
      <c r="AE1050" s="890"/>
      <c r="AF1050" s="891"/>
      <c r="AG1050" s="196">
        <f ca="1">IF($B$1041="Лікар загальної практики - сімейний лікар",IF(AG1045&lt;Законод!$C$22,0,(IF(AND(AG1045&gt;=Законод!$H$22,AG1045&lt;=Законод!$H$23),AG1045-Законод!$G$23,IF('01_Доходи'!AG1045&gt;=Законод!$I$22,Законод!$H$24,0)))),IF($B$1041="Лікар-педіатр",IF(AG1045&lt;Законод!$C$18,0,(IF(AND(AG1045&gt;=Законод!$H$18,AG1045&lt;=Законод!$H$19),AG1045-Законод!$G$19,IF('01_Доходи'!AG1045&gt;=Законод!$I$18,Законод!$H$20,0)))),IF($B$1041="Лікар-терапевт",IF(AG1045&lt;Законод!$C$26,0,(IF(AND(AG1045&gt;=Законод!$H$26,AG1045&lt;=Законод!$H$27),AG1045-Законод!$G$27,IF(AG1045&gt;=Законод!$I$26,Законод!$H$28,0)))),0)))</f>
        <v>0</v>
      </c>
      <c r="AH1050" s="930"/>
      <c r="AI1050" s="201"/>
      <c r="AJ1050" s="933"/>
      <c r="AK1050" s="927"/>
      <c r="AL1050" s="927"/>
      <c r="AM1050" s="899"/>
      <c r="AN1050" s="210">
        <f ca="1">IF(B1041="Лікар загальної практики - сімейний лікар",L1050*Законод!$C$9/4*Законод!$H$16,IF(B1041="Лікар-педіатр",L1050*Законод!$C$9/4*Законод!$H$16,IF(B1041="Лікар-терапевт",L1050*Законод!$C$9/4*Законод!$H$16,0)))</f>
        <v>0</v>
      </c>
      <c r="AO1050" s="210">
        <f ca="1">IF(B1041="Лікар загальної практики - сімейний лікар",S1050*Законод!$C$9/4*Законод!$H$16,IF(B1041="Лікар-педіатр",S1050*Законод!$C$9/4*Законод!$H$16,IF(B1041="Лікар-терапевт",S1050*Законод!$C$9/4*Законод!$H$16,0)))</f>
        <v>0</v>
      </c>
      <c r="AP1050" s="210">
        <f ca="1">IF(B1041="Лікар загальної практики - сімейний лікар",Z1050*Законод!$C$9/4*Законод!$H$16,IF(B1041="Лікар-педіатр",Z1050*Законод!$C$9/4*Законод!$H$16,IF(B1041="Лікар-терапевт",Z1050*Законод!$C$9/4*Законод!$H$16,0)))</f>
        <v>0</v>
      </c>
      <c r="AQ1050" s="210">
        <f ca="1">IF(B1041="Лікар загальної практики - сімейний лікар",AG1050*Законод!$C$9/4*Законод!$H$16,IF(B1041="Лікар-педіатр",AG1050*Законод!$C$9/4*Законод!$H$16,IF(B1041="Лікар-терапевт",AG1050*Законод!$C$9/4*Законод!$H$16,0)))</f>
        <v>0</v>
      </c>
      <c r="AR1050" s="211">
        <f t="shared" si="107"/>
        <v>0</v>
      </c>
    </row>
    <row r="1051" spans="1:44" s="50" customFormat="1" ht="31.9" hidden="1" customHeight="1">
      <c r="A1051" s="197"/>
      <c r="B1051" s="893"/>
      <c r="C1051" s="896"/>
      <c r="D1051" s="912"/>
      <c r="E1051" s="909"/>
      <c r="F1051" s="238" t="str">
        <f ca="1">IF(B1041="Лікар-педіатр",Законод!$I$17,IF(B1041="Лікар загальної практики - сімейний лікар",Законод!$I$21,IF(B1041="Лікар-терапевт",Законод!$I$25,"х")))</f>
        <v>х</v>
      </c>
      <c r="G1051" s="889" t="s">
        <v>346</v>
      </c>
      <c r="H1051" s="890"/>
      <c r="I1051" s="890"/>
      <c r="J1051" s="890"/>
      <c r="K1051" s="891"/>
      <c r="L1051" s="196">
        <f ca="1">IF($B$1041="Лікар загальної практики - сімейний лікар",IF(L1045&lt;Законод!$C$22,0,(IF(AND(L1045&gt;=Законод!$I$22,L1045&lt;=Законод!$I$23),L1045-Законод!$H$23,IF('01_Доходи'!L1045&gt;=Законод!$I$22,Законод!$I$24,0)))),IF($B$1041="Лікар-педіатр",IF(L1045&lt;Законод!$C$18,0,(IF(AND(L1045&gt;=Законод!$I$18,L1045&lt;=Законод!$I$19),L1045-Законод!$H$19,IF('01_Доходи'!L1045&gt;=Законод!$I$18,Законод!$H$20,0)))),IF($B$1041="Лікар-терапевт",IF(L1045&lt;Законод!$C$26,0,(IF(AND(L1045&gt;=Законод!$I$26,L1045&lt;=Законод!$I$27),L1045-Законод!$H$27,IF('01_Доходи'!L1045&gt;=Законод!$I$26,Законод!$H$28,0)))),0)))</f>
        <v>0</v>
      </c>
      <c r="M1051" s="930"/>
      <c r="N1051" s="889" t="s">
        <v>346</v>
      </c>
      <c r="O1051" s="890"/>
      <c r="P1051" s="890"/>
      <c r="Q1051" s="890"/>
      <c r="R1051" s="891"/>
      <c r="S1051" s="196">
        <f ca="1">IF($B$1041="Лікар загальної практики - сімейний лікар",IF(S1045&lt;Законод!$C$22,0,(IF(AND(S1045&gt;=Законод!$I$22,S1045&lt;=Законод!$I$23),S1045-Законод!$H$23,IF('01_Доходи'!S1045&gt;=Законод!$I$22,Законод!$I$24,0)))),IF($B$1041="Лікар-педіатр",IF(S1045&lt;Законод!$C$18,0,(IF(AND(S1045&gt;=Законод!$I$18,S1045&lt;=Законод!$I$19),S1045-Законод!$H$19,IF('01_Доходи'!S1045&gt;=Законод!$I$18,Законод!$H$20,0)))),IF($B$1041="Лікар-терапевт",IF(S1045&lt;Законод!$C$26,0,(IF(AND(S1045&gt;=Законод!$I$26,S1045&lt;=Законод!$I$27),S1045-Законод!$H$27,IF('01_Доходи'!S1045&gt;=Законод!$I$26,Законод!$H$28,0)))),0)))</f>
        <v>0</v>
      </c>
      <c r="T1051" s="930"/>
      <c r="U1051" s="889" t="s">
        <v>346</v>
      </c>
      <c r="V1051" s="890"/>
      <c r="W1051" s="890"/>
      <c r="X1051" s="890"/>
      <c r="Y1051" s="891"/>
      <c r="Z1051" s="196">
        <f ca="1">IF($B$1041="Лікар загальної практики - сімейний лікар",IF(Z1045&lt;Законод!$C$22,0,(IF(AND(Z1045&gt;=Законод!$I$22,Z1045&lt;=Законод!$I$23),Z1045-Законод!$H$23,IF('01_Доходи'!Z1045&gt;=Законод!$I$22,Законод!$I$24,0)))),IF($B$1041="Лікар-педіатр",IF(Z1045&lt;Законод!$C$18,0,(IF(AND(Z1045&gt;=Законод!$I$18,Z1045&lt;=Законод!$I$19),Z1045-Законод!$H$19,IF('01_Доходи'!Z1045&gt;=Законод!$I$18,Законод!$H$20,0)))),IF($B$1041="Лікар-терапевт",IF(Z1045&lt;Законод!$C$26,0,(IF(AND(Z1045&gt;=Законод!$I$26,Z1045&lt;=Законод!$I$27),Z1045-Законод!$H$27,IF('01_Доходи'!Z1045&gt;=Законод!$I$26,Законод!$H$28,0)))),0)))</f>
        <v>0</v>
      </c>
      <c r="AA1051" s="930"/>
      <c r="AB1051" s="889" t="s">
        <v>346</v>
      </c>
      <c r="AC1051" s="890"/>
      <c r="AD1051" s="890"/>
      <c r="AE1051" s="890"/>
      <c r="AF1051" s="891"/>
      <c r="AG1051" s="196">
        <f ca="1">IF($B$1041="Лікар загальної практики - сімейний лікар",IF(AG1045&lt;Законод!$C$22,0,(IF(AND(AG1045&gt;=Законод!$I$22,AG1045&lt;=Законод!$I$23),AG1045-Законод!$H$23,IF('01_Доходи'!AG1045&gt;=Законод!$I$22,Законод!$I$24,0)))),IF($B$1041="Лікар-педіатр",IF(AG1045&lt;Законод!$C$18,0,(IF(AND(AG1045&gt;=Законод!$I$18,AG1045&lt;=Законод!$I$19),AG1045-Законод!$H$19,IF('01_Доходи'!AG1045&gt;=Законод!$I$18,Законод!$H$20,0)))),IF($B$1041="Лікар-терапевт",IF(AG1045&lt;Законод!$C$26,0,(IF(AND(AG1045&gt;=Законод!$I$26,AG1045&lt;=Законод!$I$27),AG1045-Законод!$H$27,IF('01_Доходи'!AG1045&gt;=Законод!$I$26,Законод!$H$28,0)))),0)))</f>
        <v>0</v>
      </c>
      <c r="AH1051" s="930"/>
      <c r="AI1051" s="201"/>
      <c r="AJ1051" s="933"/>
      <c r="AK1051" s="927"/>
      <c r="AL1051" s="927"/>
      <c r="AM1051" s="899"/>
      <c r="AN1051" s="210">
        <f ca="1">IF(B1041="Лікар загальної практики - сімейний лікар",L1051*Законод!$C$9/4*Законод!$I$16,IF(B1041="Лікар-педіатр",L1051*Законод!$C$9/4*Законод!$I$16,IF(B1041="Лікар-терапевт",L1051*Законод!$C$9/4*Законод!$I$16,0)))</f>
        <v>0</v>
      </c>
      <c r="AO1051" s="210">
        <f ca="1">IF(B1041="Лікар загальної практики - сімейний лікар",S1051*Законод!$C$9/4*Законод!$I$16,IF(B1041="Лікар-педіатр",S1051*Законод!$C$9/4*Законод!$I$16,IF(B1041="Лікар-терапевт",S1051*Законод!$C$9/4*Законод!$I$16,0)))</f>
        <v>0</v>
      </c>
      <c r="AP1051" s="210">
        <f ca="1">IF(B1041="Лікар загальної практики - сімейний лікар",Z1051*Законод!$C$9/4*Законод!$I$16,IF(B1041="Лікар-педіатр",Z1051*Законод!$C$9/4*Законод!$I$16,IF(B1041="Лікар-терапевт",Z1051*Законод!$C$9/4*Законод!$I$16,0)))</f>
        <v>0</v>
      </c>
      <c r="AQ1051" s="210">
        <f ca="1">IF(B1041="Лікар загальної практики - сімейний лікар",AG1051*Законод!$C$9/4*Законод!$I$16,IF(B1041="Лікар-педіатр",AG1051*Законод!$C$9/4*Законод!$I$16,IF(B1041="Лікар-терапевт",AG1051*Законод!$C$9/4*Законод!$I$16,0)))</f>
        <v>0</v>
      </c>
      <c r="AR1051" s="211">
        <f t="shared" si="107"/>
        <v>0</v>
      </c>
    </row>
    <row r="1052" spans="1:44" s="218" customFormat="1" ht="31.9" hidden="1" customHeight="1" thickBot="1">
      <c r="A1052" s="213"/>
      <c r="B1052" s="894"/>
      <c r="C1052" s="897"/>
      <c r="D1052" s="913"/>
      <c r="E1052" s="910"/>
      <c r="F1052" s="239" t="str">
        <f ca="1">IF(B1041="Лікар-педіатр",Законод!$J$17,IF(B1041="Лікар загальної практики - сімейний лікар",Законод!$J$21,IF(B1041="Лікар-терапевт",Законод!$J$25,"х")))</f>
        <v>х</v>
      </c>
      <c r="G1052" s="935" t="s">
        <v>346</v>
      </c>
      <c r="H1052" s="936"/>
      <c r="I1052" s="936"/>
      <c r="J1052" s="936"/>
      <c r="K1052" s="937"/>
      <c r="L1052" s="196">
        <f ca="1">IF($B$1041="Лікар загальної практики - сімейний лікар",IF(L1045&gt;=Законод!$J$22,'01_Доходи'!L1045-('01_Доходи'!L1046+'01_Доходи'!L1047+'01_Доходи'!L1048+'01_Доходи'!L1049+'01_Доходи'!L1050+'01_Доходи'!L1051),0),IF($B$1041="Лікар-педіатр",IF(L1045&gt;=Законод!$J$18,'01_Доходи'!L1045-('01_Доходи'!L1046+'01_Доходи'!L1047+'01_Доходи'!L1048+'01_Доходи'!L1049+'01_Доходи'!L1050+'01_Доходи'!L1051),0),IF($B$1041="Лікар-терапевт",IF('01_Доходи'!L1045&gt;=Законод!$J$26,L1045-Законод!$I$27,0),0)))</f>
        <v>0</v>
      </c>
      <c r="M1052" s="931"/>
      <c r="N1052" s="935" t="s">
        <v>346</v>
      </c>
      <c r="O1052" s="936"/>
      <c r="P1052" s="936"/>
      <c r="Q1052" s="936"/>
      <c r="R1052" s="937"/>
      <c r="S1052" s="196">
        <f ca="1">IF($B$1041="Лікар загальної практики - сімейний лікар",IF(S1045&gt;=Законод!$J$22,'01_Доходи'!S1045-('01_Доходи'!S1046+'01_Доходи'!S1047+'01_Доходи'!S1048+'01_Доходи'!S1049+'01_Доходи'!S1050+'01_Доходи'!S1051),0),IF($B$1041="Лікар-педіатр",IF(S1045&gt;=Законод!$J$18,'01_Доходи'!S1045-('01_Доходи'!S1046+'01_Доходи'!S1047+'01_Доходи'!S1048+'01_Доходи'!S1049+'01_Доходи'!S1050+'01_Доходи'!S1051),0),IF($B$1041="Лікар-терапевт",IF('01_Доходи'!S1045&gt;=Законод!$J$26,S1045-Законод!$I$27,0),0)))</f>
        <v>0</v>
      </c>
      <c r="T1052" s="931"/>
      <c r="U1052" s="935" t="s">
        <v>346</v>
      </c>
      <c r="V1052" s="936"/>
      <c r="W1052" s="936"/>
      <c r="X1052" s="936"/>
      <c r="Y1052" s="937"/>
      <c r="Z1052" s="196">
        <f ca="1">IF($B$1041="Лікар загальної практики - сімейний лікар",IF(Z1045&gt;=Законод!$J$22,'01_Доходи'!Z1045-('01_Доходи'!Z1046+'01_Доходи'!Z1047+'01_Доходи'!Z1048+'01_Доходи'!Z1049+'01_Доходи'!Z1050+'01_Доходи'!Z1051),0),IF($B$1041="Лікар-педіатр",IF(Z1045&gt;=Законод!$J$18,'01_Доходи'!Z1045-('01_Доходи'!Z1046+'01_Доходи'!Z1047+'01_Доходи'!Z1048+'01_Доходи'!Z1049+'01_Доходи'!Z1050+'01_Доходи'!Z1051),0),IF($B$1041="Лікар-терапевт",IF('01_Доходи'!Z1045&gt;=Законод!$J$26,Z1045-Законод!$I$27,0),0)))</f>
        <v>0</v>
      </c>
      <c r="AA1052" s="931"/>
      <c r="AB1052" s="935" t="s">
        <v>346</v>
      </c>
      <c r="AC1052" s="936"/>
      <c r="AD1052" s="936"/>
      <c r="AE1052" s="936"/>
      <c r="AF1052" s="937"/>
      <c r="AG1052" s="196">
        <f ca="1">IF($B$1041="Лікар загальної практики - сімейний лікар",IF(AG1045&gt;=Законод!$J$22,'01_Доходи'!AG1045-('01_Доходи'!AG1046+'01_Доходи'!AG1047+'01_Доходи'!AG1048+'01_Доходи'!AG1049+'01_Доходи'!AG1050+'01_Доходи'!AG1051),0),IF($B$1041="Лікар-педіатр",IF(AG1045&gt;=Законод!$J$18,'01_Доходи'!AG1045-('01_Доходи'!AG1046+'01_Доходи'!AG1047+'01_Доходи'!AG1048+'01_Доходи'!AG1049+'01_Доходи'!AG1050+'01_Доходи'!AG1051),0),IF($B$1041="Лікар-терапевт",IF('01_Доходи'!AG1045&gt;=Законод!$J$26,AG1045-Законод!$I$27,0),0)))</f>
        <v>0</v>
      </c>
      <c r="AH1052" s="931"/>
      <c r="AI1052" s="215"/>
      <c r="AJ1052" s="934"/>
      <c r="AK1052" s="928"/>
      <c r="AL1052" s="928"/>
      <c r="AM1052" s="900"/>
      <c r="AN1052" s="216">
        <f ca="1">IF(B1041="Лікар загальної практики - сімейний лікар",L1052*Законод!$C$9/4*Законод!$J$16,IF(B1041="Лікар-педіатр",L1052*Законод!$C$9/4*Законод!$J$16,IF(B1041="Лікар-терапевт",L1052*Законод!$C$9/4*Законод!$J$16,0)))</f>
        <v>0</v>
      </c>
      <c r="AO1052" s="216">
        <f ca="1">IF(B1041="Лікар загальної практики - сімейний лікар",S1052*Законод!$C$9/4*Законод!$J$16,IF(B1041="Лікар-педіатр",S1052*Законод!$C$9/4*Законод!$J$16,IF(B1041="Лікар-терапевт",S1052*Законод!$C$9/4*Законод!$J$16,0)))</f>
        <v>0</v>
      </c>
      <c r="AP1052" s="216">
        <f ca="1">IF(B1041="Лікар загальної практики - сімейний лікар",S1052*Законод!$C$9/4*Законод!$J$16,IF(B1041="Лікар-педіатр",S1052*Законод!$C$9/4*Законод!$J$16,IF(B1041="Лікар-терапевт",S1052*Законод!$C$9/4*Законод!$J$16,0)))</f>
        <v>0</v>
      </c>
      <c r="AQ1052" s="216">
        <f ca="1">IF(B1041="Лікар загальної практики - сімейний лікар",AG1052*Законод!$C$9/4*Законод!$J$16,IF(B1041="Лікар-педіатр",AG1052*Законод!$C$9/4*Законод!$J$16,IF(B1041="Лікар-терапевт",AG1052*Законод!$C$9/4*Законод!$J$16,0)))</f>
        <v>0</v>
      </c>
      <c r="AR1052" s="217">
        <f t="shared" si="107"/>
        <v>0</v>
      </c>
    </row>
    <row r="1053" spans="1:44" s="247" customFormat="1" ht="23.45" hidden="1" customHeight="1" thickBot="1">
      <c r="A1053" s="243"/>
      <c r="B1053" s="244"/>
      <c r="C1053" s="244"/>
      <c r="D1053" s="244"/>
      <c r="E1053" s="244"/>
      <c r="F1053" s="245"/>
      <c r="G1053" s="246"/>
      <c r="H1053" s="246"/>
      <c r="L1053" s="248"/>
      <c r="S1053" s="248"/>
      <c r="Z1053" s="248"/>
      <c r="AG1053" s="248"/>
      <c r="AM1053" s="249"/>
      <c r="AR1053" s="250"/>
    </row>
    <row r="1054" spans="1:44" s="191" customFormat="1" ht="24.6" hidden="1" customHeight="1">
      <c r="A1054" s="194">
        <f>A1041+1</f>
        <v>79</v>
      </c>
      <c r="B1054" s="892"/>
      <c r="C1054" s="895"/>
      <c r="D1054" s="911"/>
      <c r="E1054" s="908"/>
      <c r="F1054" s="234" t="s">
        <v>582</v>
      </c>
      <c r="G1054" s="196">
        <f>IF($B$1054="Лікар-педіатр",G1057*L1054,IF($B$1054="Лікар-терапевт","х",IF($B$1054="Лікар загальної практики - сімейний лікар",G1057*L1054,0)))</f>
        <v>0</v>
      </c>
      <c r="H1054" s="196">
        <f>IF($B$1054="Лікар-педіатр",H1057*L1054,IF($B$1054="Лікар-терапевт","х",IF($B$1054="Лікар загальної практики - сімейний лікар",H1057*L1054,0)))</f>
        <v>0</v>
      </c>
      <c r="I1054" s="196">
        <f>IF($B$1054="Лікар-педіатр","x",IF($B$1054="Лікар-терапевт",I1057*L1054,IF($B$1054="Лікар загальної практики - сімейний лікар",I1057*L1054,0)))</f>
        <v>0</v>
      </c>
      <c r="J1054" s="196">
        <f>IF($B$1054="Лікар-педіатр","x",IF($B$1054="Лікар-терапевт",J1057*L1054,IF($B$1054="Лікар загальної практики - сімейний лікар",J1057*L1054,0)))</f>
        <v>0</v>
      </c>
      <c r="K1054" s="196">
        <f>IF($B$1054="Лікар-педіатр","x",IF($B$1054="Лікар-терапевт",K1057*L1054,IF($B$1054="Лікар загальної практики - сімейний лікар",K1057*L1054,0)))</f>
        <v>0</v>
      </c>
      <c r="L1054" s="558"/>
      <c r="M1054" s="929"/>
      <c r="N1054" s="196">
        <f>IF($B$1054="Лікар-педіатр",N1057*S1054,IF($B$1054="Лікар-терапевт","х",IF($B$1054="Лікар загальної практики - сімейний лікар",N1057*S1054,0)))</f>
        <v>0</v>
      </c>
      <c r="O1054" s="196">
        <f>IF($B$1054="Лікар-педіатр",O1057*S1054,IF($B$1054="Лікар-терапевт","х",IF($B$1054="Лікар загальної практики - сімейний лікар",O1057*S1054,0)))</f>
        <v>0</v>
      </c>
      <c r="P1054" s="196">
        <f>IF($B$1054="Лікар-педіатр","x",IF($B$1054="Лікар-терапевт",P1057*S1054,IF($B$1054="Лікар загальної практики - сімейний лікар",P1057*S1054,0)))</f>
        <v>0</v>
      </c>
      <c r="Q1054" s="196">
        <f>IF($B$1054="Лікар-педіатр","x",IF($B$1054="Лікар-терапевт",Q1057*S1054,IF($B$1054="Лікар загальної практики - сімейний лікар",Q1057*S1054,0)))</f>
        <v>0</v>
      </c>
      <c r="R1054" s="196">
        <f>IF($B$1054="Лікар-педіатр","x",IF($B$1054="Лікар-терапевт",R1057*S1054,IF($B$1054="Лікар загальної практики - сімейний лікар",R1057*S1054,0)))</f>
        <v>0</v>
      </c>
      <c r="S1054" s="558"/>
      <c r="T1054" s="929"/>
      <c r="U1054" s="196">
        <f>IF($B$1054="Лікар-педіатр",U1057*Z1054,IF($B$1054="Лікар-терапевт","х",IF($B$1054="Лікар загальної практики - сімейний лікар",U1057*Z1054,0)))</f>
        <v>0</v>
      </c>
      <c r="V1054" s="196">
        <f>IF($B$1054="Лікар-педіатр",V1057*Z1054,IF($B$1054="Лікар-терапевт","х",IF($B$1054="Лікар загальної практики - сімейний лікар",V1057*Z1054,0)))</f>
        <v>0</v>
      </c>
      <c r="W1054" s="196">
        <f>IF($B$1054="Лікар-педіатр","x",IF($B$1054="Лікар-терапевт",W1057*Z1054,IF($B$1054="Лікар загальної практики - сімейний лікар",W1057*Z1054,0)))</f>
        <v>0</v>
      </c>
      <c r="X1054" s="196">
        <f>IF($B$1054="Лікар-педіатр","x",IF($B$1054="Лікар-терапевт",X1057*Z1054,IF($B$1054="Лікар загальної практики - сімейний лікар",X1057*Z1054,0)))</f>
        <v>0</v>
      </c>
      <c r="Y1054" s="196">
        <f>IF($B$1054="Лікар-педіатр","x",IF($B$1054="Лікар-терапевт",Y1057*Z1054,IF($B$1054="Лікар загальної практики - сімейний лікар",Y1057*Z1054,0)))</f>
        <v>0</v>
      </c>
      <c r="Z1054" s="558"/>
      <c r="AA1054" s="929"/>
      <c r="AB1054" s="196">
        <f>IF($B$1054="Лікар-педіатр",AB1057*AG1054,IF($B$1054="Лікар-терапевт","х",IF($B$1054="Лікар загальної практики - сімейний лікар",AB1057*AG1054,0)))</f>
        <v>0</v>
      </c>
      <c r="AC1054" s="196">
        <f>IF($B$1054="Лікар-педіатр",AC1057*AG1054,IF($B$1054="Лікар-терапевт","х",IF($B$1054="Лікар загальної практики - сімейний лікар",AC1057*AG1054,0)))</f>
        <v>0</v>
      </c>
      <c r="AD1054" s="196">
        <f>IF($B$1054="Лікар-педіатр","x",IF($B$1054="Лікар-терапевт",AD1057*AG1054,IF($B$1054="Лікар загальної практики - сімейний лікар",AD1057*AG1054,0)))</f>
        <v>0</v>
      </c>
      <c r="AE1054" s="196">
        <f>IF($B$1054="Лікар-педіатр","x",IF($B$1054="Лікар-терапевт",AE1057*AG1054,IF($B$1054="Лікар загальної практики - сімейний лікар",AE1057*AG1054,0)))</f>
        <v>0</v>
      </c>
      <c r="AF1054" s="196">
        <f>IF($B$1054="Лікар-педіатр","x",IF($B$1054="Лікар-терапевт",AF1057*AG1054,IF($B$1054="Лікар загальної практики - сімейний лікар",AF1057*AG1054,0)))</f>
        <v>0</v>
      </c>
      <c r="AG1054" s="558"/>
      <c r="AH1054" s="929"/>
      <c r="AI1054" s="541">
        <f>A1054</f>
        <v>79</v>
      </c>
      <c r="AJ1054" s="932">
        <f>B1054</f>
        <v>0</v>
      </c>
      <c r="AK1054" s="926">
        <f>C1054</f>
        <v>0</v>
      </c>
      <c r="AL1054" s="926">
        <f>D1054</f>
        <v>0</v>
      </c>
      <c r="AM1054" s="901" t="s">
        <v>785</v>
      </c>
      <c r="AN1054" s="923">
        <f>SUM(AN1059:AN1065)</f>
        <v>0</v>
      </c>
      <c r="AO1054" s="923">
        <f>SUM(AO1059:AO1065)</f>
        <v>0</v>
      </c>
      <c r="AP1054" s="923">
        <f>SUM(AP1059:AP1065)</f>
        <v>0</v>
      </c>
      <c r="AQ1054" s="923">
        <f>SUM(AQ1059:AQ1065)</f>
        <v>0</v>
      </c>
      <c r="AR1054" s="914">
        <f>SUM(AN1054:AQ1058)</f>
        <v>0</v>
      </c>
    </row>
    <row r="1055" spans="1:44" s="50" customFormat="1" ht="28.15" hidden="1" customHeight="1">
      <c r="A1055" s="197"/>
      <c r="B1055" s="893"/>
      <c r="C1055" s="896"/>
      <c r="D1055" s="912"/>
      <c r="E1055" s="909"/>
      <c r="F1055" s="234" t="s">
        <v>583</v>
      </c>
      <c r="G1055" s="196">
        <f>IF($B$1054="Лікар-педіатр",G1057*L1055,IF($B$1054="Лікар-терапевт","х",IF($B$1054="Лікар загальної практики - сімейний лікар",G1057*L1055,0)))</f>
        <v>0</v>
      </c>
      <c r="H1055" s="196">
        <f>IF($B$1054="Лікар-педіатр",H1057*L1055,IF($B$1054="Лікар-терапевт","х",IF($B$1054="Лікар загальної практики - сімейний лікар",H1057*L1055,0)))</f>
        <v>0</v>
      </c>
      <c r="I1055" s="196">
        <f>IF($B$1054="Лікар-педіатр","x",IF($B$1054="Лікар-терапевт",I1057*L1055,IF($B$1054="Лікар загальної практики - сімейний лікар",I1057*L1055,0)))</f>
        <v>0</v>
      </c>
      <c r="J1055" s="196">
        <f>IF($B$1054="Лікар-педіатр","x",IF($B$1054="Лікар-терапевт",J1057*L1055,IF($B$1054="Лікар загальної практики - сімейний лікар",J1057*L1055,0)))</f>
        <v>0</v>
      </c>
      <c r="K1055" s="196">
        <f>IF($B$1054="Лікар-педіатр","x",IF($B$1054="Лікар-терапевт",K1057*L1055,IF($B$1054="Лікар загальної практики - сімейний лікар",K1057*L1055,0)))</f>
        <v>0</v>
      </c>
      <c r="L1055" s="558"/>
      <c r="M1055" s="930"/>
      <c r="N1055" s="196">
        <f>IF($B$1054="Лікар-педіатр",N1057*S1055,IF($B$1054="Лікар-терапевт","х",IF($B$1054="Лікар загальної практики - сімейний лікар",N1057*S1055,0)))</f>
        <v>0</v>
      </c>
      <c r="O1055" s="196">
        <f>IF($B$1054="Лікар-педіатр",O1057*S1055,IF($B$1054="Лікар-терапевт","х",IF($B$1054="Лікар загальної практики - сімейний лікар",O1057*S1055,0)))</f>
        <v>0</v>
      </c>
      <c r="P1055" s="196">
        <f>IF($B$1054="Лікар-педіатр","x",IF($B$1054="Лікар-терапевт",P1057*S1055,IF($B$1054="Лікар загальної практики - сімейний лікар",P1057*S1055,0)))</f>
        <v>0</v>
      </c>
      <c r="Q1055" s="196">
        <f>IF($B$1054="Лікар-педіатр","x",IF($B$1054="Лікар-терапевт",Q1057*S1055,IF($B$1054="Лікар загальної практики - сімейний лікар",Q1057*S1055,0)))</f>
        <v>0</v>
      </c>
      <c r="R1055" s="196">
        <f>IF($B$1054="Лікар-педіатр","x",IF($B$1054="Лікар-терапевт",R1057*S1055,IF($B$1054="Лікар загальної практики - сімейний лікар",R1057*S1055,0)))</f>
        <v>0</v>
      </c>
      <c r="S1055" s="558"/>
      <c r="T1055" s="930"/>
      <c r="U1055" s="196">
        <f>IF($B$1054="Лікар-педіатр",U1057*Z1055,IF($B$1054="Лікар-терапевт","х",IF($B$1054="Лікар загальної практики - сімейний лікар",U1057*Z1055,0)))</f>
        <v>0</v>
      </c>
      <c r="V1055" s="196">
        <f>IF($B$1054="Лікар-педіатр",V1057*Z1055,IF($B$1054="Лікар-терапевт","х",IF($B$1054="Лікар загальної практики - сімейний лікар",V1057*Z1055,0)))</f>
        <v>0</v>
      </c>
      <c r="W1055" s="196">
        <f>IF($B$1054="Лікар-педіатр","x",IF($B$1054="Лікар-терапевт",W1057*Z1055,IF($B$1054="Лікар загальної практики - сімейний лікар",W1057*Z1055,0)))</f>
        <v>0</v>
      </c>
      <c r="X1055" s="196">
        <f>IF($B$1054="Лікар-педіатр","x",IF($B$1054="Лікар-терапевт",X1057*Z1055,IF($B$1054="Лікар загальної практики - сімейний лікар",X1057*Z1055,0)))</f>
        <v>0</v>
      </c>
      <c r="Y1055" s="196">
        <f>IF($B$1054="Лікар-педіатр","x",IF($B$1054="Лікар-терапевт",Y1057*Z1055,IF($B$1054="Лікар загальної практики - сімейний лікар",Y1057*Z1055,0)))</f>
        <v>0</v>
      </c>
      <c r="Z1055" s="558"/>
      <c r="AA1055" s="930"/>
      <c r="AB1055" s="196">
        <f>IF($B$1054="Лікар-педіатр",AB1057*AG1055,IF($B$1054="Лікар-терапевт","х",IF($B$1054="Лікар загальної практики - сімейний лікар",AB1057*AG1055,0)))</f>
        <v>0</v>
      </c>
      <c r="AC1055" s="196">
        <f>IF($B$1054="Лікар-педіатр",AC1057*AG1055,IF($B$1054="Лікар-терапевт","х",IF($B$1054="Лікар загальної практики - сімейний лікар",AC1057*AG1055,0)))</f>
        <v>0</v>
      </c>
      <c r="AD1055" s="196">
        <f>IF($B$1054="Лікар-педіатр","x",IF($B$1054="Лікар-терапевт",AD1057*AG1055,IF($B$1054="Лікар загальної практики - сімейний лікар",AD1057*AG1055,0)))</f>
        <v>0</v>
      </c>
      <c r="AE1055" s="196">
        <f>IF($B$1054="Лікар-педіатр","x",IF($B$1054="Лікар-терапевт",AE1057*AG1055,IF($B$1054="Лікар загальної практики - сімейний лікар",AE1057*AG1055,0)))</f>
        <v>0</v>
      </c>
      <c r="AF1055" s="196">
        <f>IF($B$1054="Лікар-педіатр","x",IF($B$1054="Лікар-терапевт",AF1057*AG1055,IF($B$1054="Лікар загальної практики - сімейний лікар",AF1057*AG1055,0)))</f>
        <v>0</v>
      </c>
      <c r="AG1055" s="558"/>
      <c r="AH1055" s="930"/>
      <c r="AI1055" s="198"/>
      <c r="AJ1055" s="933"/>
      <c r="AK1055" s="927"/>
      <c r="AL1055" s="927"/>
      <c r="AM1055" s="902"/>
      <c r="AN1055" s="924"/>
      <c r="AO1055" s="924"/>
      <c r="AP1055" s="924"/>
      <c r="AQ1055" s="924"/>
      <c r="AR1055" s="915"/>
    </row>
    <row r="1056" spans="1:44" s="90" customFormat="1" ht="31.15" hidden="1" customHeight="1">
      <c r="A1056" s="240"/>
      <c r="B1056" s="893"/>
      <c r="C1056" s="896"/>
      <c r="D1056" s="912"/>
      <c r="E1056" s="909"/>
      <c r="F1056" s="241" t="s">
        <v>584</v>
      </c>
      <c r="G1056" s="199">
        <f>IF(B1054="Лікар загальної практики - сімейний лікар"," ",IF(B1054="Лікар-педіатр"," ",IF(B1054="Лікар-терапевт","х",0)))</f>
        <v>0</v>
      </c>
      <c r="H1056" s="199">
        <f>IF(B1054="Лікар загальної практики - сімейний лікар"," ",IF(B1054="Лікар-педіатр"," ",IF(B1054="Лікар-терапевт","х",0)))</f>
        <v>0</v>
      </c>
      <c r="I1056" s="199">
        <f>IF(B1054="Лікар загальної практики - сімейний лікар"," ",IF(B1054="Лікар-педіатр","х",IF(B1054="Лікар-терапевт"," ",0)))</f>
        <v>0</v>
      </c>
      <c r="J1056" s="199">
        <f>IF(B1054="Лікар загальної практики - сімейний лікар"," ",IF(B1054="Лікар-педіатр","х",IF(B1054="Лікар-терапевт"," ",0)))</f>
        <v>0</v>
      </c>
      <c r="K1056" s="199">
        <f>IF(B1054="Лікар загальної практики - сімейний лікар"," ",IF(B1054="Лікар-педіатр","х",IF(B1054="Лікар-терапевт"," ",0)))</f>
        <v>0</v>
      </c>
      <c r="L1056" s="200">
        <f>SUM(G1056:K1056)</f>
        <v>0</v>
      </c>
      <c r="M1056" s="930"/>
      <c r="N1056" s="199">
        <f>IF(B1054="Лікар загальної практики - сімейний лікар"," ",IF(B1054="Лікар-педіатр"," ",IF(B1054="Лікар-терапевт","х",0)))</f>
        <v>0</v>
      </c>
      <c r="O1056" s="199">
        <f>IF(B1054="Лікар загальної практики - сімейний лікар"," ",IF(B1054="Лікар-педіатр"," ",IF(B1054="Лікар-терапевт","х",0)))</f>
        <v>0</v>
      </c>
      <c r="P1056" s="199">
        <f>IF(B1054="Лікар загальної практики - сімейний лікар"," ",IF(B1054="Лікар-педіатр","х",IF(B1054="Лікар-терапевт"," ",0)))</f>
        <v>0</v>
      </c>
      <c r="Q1056" s="199">
        <f>IF(B1054="Лікар загальної практики - сімейний лікар"," ",IF(B1054="Лікар-педіатр","х",IF(B1054="Лікар-терапевт"," ",0)))</f>
        <v>0</v>
      </c>
      <c r="R1056" s="199">
        <f>IF(B1054="Лікар загальної практики - сімейний лікар"," ",IF(B1054="Лікар-педіатр","х",IF(B1054="Лікар-терапевт"," ",0)))</f>
        <v>0</v>
      </c>
      <c r="S1056" s="200">
        <f>SUM(N1056:R1056)</f>
        <v>0</v>
      </c>
      <c r="T1056" s="930"/>
      <c r="U1056" s="199">
        <f>IF(B1054="Лікар загальної практики - сімейний лікар"," ",IF(B1054="Лікар-педіатр"," ",IF(B1054="Лікар-терапевт","х",0)))</f>
        <v>0</v>
      </c>
      <c r="V1056" s="199">
        <f>IF(B1054="Лікар загальної практики - сімейний лікар"," ",IF(B1054="Лікар-педіатр"," ",IF(B1054="Лікар-терапевт","х",0)))</f>
        <v>0</v>
      </c>
      <c r="W1056" s="199">
        <f>IF(B1054="Лікар загальної практики - сімейний лікар"," ",IF(B1054="Лікар-педіатр","х",IF(B1054="Лікар-терапевт"," ",0)))</f>
        <v>0</v>
      </c>
      <c r="X1056" s="199">
        <f>IF(B1054="Лікар загальної практики - сімейний лікар"," ",IF(B1054="Лікар-педіатр","х",IF(B1054="Лікар-терапевт"," ",0)))</f>
        <v>0</v>
      </c>
      <c r="Y1056" s="199">
        <f>IF(B1054="Лікар загальної практики - сімейний лікар"," ",IF(B1054="Лікар-педіатр","х",IF(B1054="Лікар-терапевт"," ",0)))</f>
        <v>0</v>
      </c>
      <c r="Z1056" s="200">
        <f>SUM(U1056:Y1056)</f>
        <v>0</v>
      </c>
      <c r="AA1056" s="930"/>
      <c r="AB1056" s="199">
        <f>IF(B1054="Лікар загальної практики - сімейний лікар"," ",IF(B1054="Лікар-педіатр"," ",IF(B1054="Лікар-терапевт","х",0)))</f>
        <v>0</v>
      </c>
      <c r="AC1056" s="199">
        <f>IF(B1054="Лікар загальної практики - сімейний лікар"," ",IF(B1054="Лікар-педіатр"," ",IF(B1054="Лікар-терапевт","х",0)))</f>
        <v>0</v>
      </c>
      <c r="AD1056" s="199">
        <f>IF(B1054="Лікар загальної практики - сімейний лікар"," ",IF(B1054="Лікар-педіатр","х",IF(B1054="Лікар-терапевт"," ",0)))</f>
        <v>0</v>
      </c>
      <c r="AE1056" s="199">
        <f>IF(B1054="Лікар загальної практики - сімейний лікар"," ",IF(B1054="Лікар-педіатр","х",IF(B1054="Лікар-терапевт"," ",0)))</f>
        <v>0</v>
      </c>
      <c r="AF1056" s="199">
        <f>IF(B1054="Лікар загальної практики - сімейний лікар"," ",IF(B1054="Лікар-педіатр","х",IF(B1054="Лікар-терапевт"," ",0)))</f>
        <v>0</v>
      </c>
      <c r="AG1056" s="200">
        <f>SUM(AB1056:AF1056)</f>
        <v>0</v>
      </c>
      <c r="AH1056" s="930"/>
      <c r="AI1056" s="242"/>
      <c r="AJ1056" s="933"/>
      <c r="AK1056" s="927"/>
      <c r="AL1056" s="927"/>
      <c r="AM1056" s="902"/>
      <c r="AN1056" s="924"/>
      <c r="AO1056" s="924"/>
      <c r="AP1056" s="924"/>
      <c r="AQ1056" s="924"/>
      <c r="AR1056" s="915"/>
    </row>
    <row r="1057" spans="1:44" s="50" customFormat="1" ht="31.9" hidden="1" customHeight="1" thickBot="1">
      <c r="A1057" s="197"/>
      <c r="B1057" s="893"/>
      <c r="C1057" s="896"/>
      <c r="D1057" s="912"/>
      <c r="E1057" s="909"/>
      <c r="F1057" s="236" t="s">
        <v>349</v>
      </c>
      <c r="G1057" s="203">
        <f>IF($B$1054="Лікар-педіатр",G1056/L1056,IF($B$1054="Лікар-терапевт","х",IF($B$1054="Лікар загальної практики - сімейний лікар",G1056/L1056,0)))</f>
        <v>0</v>
      </c>
      <c r="H1057" s="203">
        <f>IF($B$1054="Лікар-педіатр",H1056/L1056,IF($B$1054="Лікар-терапевт","х",IF($B$1054="Лікар загальної практики - сімейний лікар",H1056/L1056,0)))</f>
        <v>0</v>
      </c>
      <c r="I1057" s="203">
        <f>IF($B$1054="Лікар-педіатр","x",IF($B$1054="Лікар-терапевт",I1056/L1056,IF($B$1054="Лікар загальної практики - сімейний лікар",I1056/L1056,0)))</f>
        <v>0</v>
      </c>
      <c r="J1057" s="203">
        <f>IF($B$1054="Лікар-педіатр","x",IF($B$1054="Лікар-терапевт",J1056/L1056,IF($B$1054="Лікар загальної практики - сімейний лікар",J1056/L1056,0)))</f>
        <v>0</v>
      </c>
      <c r="K1057" s="203">
        <f>IF($B$1054="Лікар-педіатр","x",IF($B$1054="Лікар-терапевт",K1056/L1056,IF($B$1054="Лікар загальної практики - сімейний лікар",K1056/L1056,0)))</f>
        <v>0</v>
      </c>
      <c r="L1057" s="203">
        <f>SUM(G1057:K1057)</f>
        <v>0</v>
      </c>
      <c r="M1057" s="930"/>
      <c r="N1057" s="203">
        <f>IF($B$1054="Лікар-педіатр",N1056/S1056,IF($B$1054="Лікар-терапевт","х",IF($B$1054="Лікар загальної практики - сімейний лікар",N1056/S1056,0)))</f>
        <v>0</v>
      </c>
      <c r="O1057" s="203">
        <f>IF($B$1054="Лікар-педіатр",O1056/S1056,IF($B$1054="Лікар-терапевт","х",IF($B$1054="Лікар загальної практики - сімейний лікар",O1056/S1056,0)))</f>
        <v>0</v>
      </c>
      <c r="P1057" s="203">
        <f>IF($B$1054="Лікар-педіатр","x",IF($B$1054="Лікар-терапевт",P1056/S1056,IF($B$1054="Лікар загальної практики - сімейний лікар",P1056/S1056,0)))</f>
        <v>0</v>
      </c>
      <c r="Q1057" s="203">
        <f>IF($B$1054="Лікар-педіатр","x",IF($B$1054="Лікар-терапевт",Q1056/S1056,IF($B$1054="Лікар загальної практики - сімейний лікар",Q1056/S1056,0)))</f>
        <v>0</v>
      </c>
      <c r="R1057" s="203">
        <f>IF($B$1054="Лікар-педіатр","x",IF($B$1054="Лікар-терапевт",R1056/S1056,IF($B$1054="Лікар загальної практики - сімейний лікар",R1056/S1056,0)))</f>
        <v>0</v>
      </c>
      <c r="S1057" s="203">
        <f>SUM(N1057:R1057)</f>
        <v>0</v>
      </c>
      <c r="T1057" s="930"/>
      <c r="U1057" s="203">
        <f>IF($B$1054="Лікар-педіатр",U1056/Z1056,IF($B$1054="Лікар-терапевт","х",IF($B$1054="Лікар загальної практики - сімейний лікар",U1056/Z1056,0)))</f>
        <v>0</v>
      </c>
      <c r="V1057" s="203">
        <f>IF($B$1054="Лікар-педіатр",V1056/Z1056,IF($B$1054="Лікар-терапевт","х",IF($B$1054="Лікар загальної практики - сімейний лікар",V1056/Z1056,0)))</f>
        <v>0</v>
      </c>
      <c r="W1057" s="203">
        <f>IF($B$1054="Лікар-педіатр","x",IF($B$1054="Лікар-терапевт",W1056/Z1056,IF($B$1054="Лікар загальної практики - сімейний лікар",W1056/Z1056,0)))</f>
        <v>0</v>
      </c>
      <c r="X1057" s="203">
        <f>IF($B$1054="Лікар-педіатр","x",IF($B$1054="Лікар-терапевт",X1056/Z1056,IF($B$1054="Лікар загальної практики - сімейний лікар",X1056/Z1056,0)))</f>
        <v>0</v>
      </c>
      <c r="Y1057" s="203">
        <f>IF($B$1054="Лікар-педіатр","x",IF($B$1054="Лікар-терапевт",Y1056/Z1056,IF($B$1054="Лікар загальної практики - сімейний лікар",Y1056/Z1056,0)))</f>
        <v>0</v>
      </c>
      <c r="Z1057" s="203">
        <f>SUM(U1057:Y1057)</f>
        <v>0</v>
      </c>
      <c r="AA1057" s="930"/>
      <c r="AB1057" s="203">
        <f>IF($B$1054="Лікар-педіатр",AB1056/AG1056,IF($B$1054="Лікар-терапевт","х",IF($B$1054="Лікар загальної практики - сімейний лікар",AB1056/AG1056,0)))</f>
        <v>0</v>
      </c>
      <c r="AC1057" s="203">
        <f>IF($B$1054="Лікар-педіатр",AC1056/AG1056,IF($B$1054="Лікар-терапевт","х",IF($B$1054="Лікар загальної практики - сімейний лікар",AC1056/AG1056,0)))</f>
        <v>0</v>
      </c>
      <c r="AD1057" s="203">
        <f>IF($B$1054="Лікар-педіатр","x",IF($B$1054="Лікар-терапевт",AD1056/AG1056,IF($B$1054="Лікар загальної практики - сімейний лікар",AD1056/AG1056,0)))</f>
        <v>0</v>
      </c>
      <c r="AE1057" s="203">
        <f>IF($B$1054="Лікар-педіатр","x",IF($B$1054="Лікар-терапевт",AE1056/AG1056,IF($B$1054="Лікар загальної практики - сімейний лікар",AE1056/AG1056,0)))</f>
        <v>0</v>
      </c>
      <c r="AF1057" s="203">
        <f>IF($B$1054="Лікар-педіатр","x",IF($B$1054="Лікар-терапевт",AF1056/AG1056,IF($B$1054="Лікар загальної практики - сімейний лікар",AF1056/AG1056,0)))</f>
        <v>0</v>
      </c>
      <c r="AG1057" s="203">
        <f>SUM(AB1057:AF1057)</f>
        <v>0</v>
      </c>
      <c r="AH1057" s="930"/>
      <c r="AI1057" s="201"/>
      <c r="AJ1057" s="933"/>
      <c r="AK1057" s="927"/>
      <c r="AL1057" s="927"/>
      <c r="AM1057" s="902"/>
      <c r="AN1057" s="924"/>
      <c r="AO1057" s="924"/>
      <c r="AP1057" s="924"/>
      <c r="AQ1057" s="924"/>
      <c r="AR1057" s="915"/>
    </row>
    <row r="1058" spans="1:44" s="50" customFormat="1" ht="45" hidden="1" customHeight="1" thickBot="1">
      <c r="A1058" s="197"/>
      <c r="B1058" s="893"/>
      <c r="C1058" s="896"/>
      <c r="D1058" s="912"/>
      <c r="E1058" s="909"/>
      <c r="F1058" s="204" t="s">
        <v>585</v>
      </c>
      <c r="G1058" s="205">
        <f>IF($B$1054="Лікар загальної практики - сімейний лікар",AVERAGE(G1054:G1056),IF($B$1054="Лікар-педіатр",AVERAGE(G1054:G1056),IF($B$1054="Лікар-терапевт","х",0)))</f>
        <v>0</v>
      </c>
      <c r="H1058" s="205">
        <f>IF($B$1054="Лікар загальної практики - сімейний лікар",AVERAGE(H1054:H1056),IF($B$1054="Лікар-педіатр",AVERAGE(H1054:H1056),IF($B$1054="Лікар-терапевт","х",0)))</f>
        <v>0</v>
      </c>
      <c r="I1058" s="205">
        <f>IF($B$1054="Лікар загальної практики - сімейний лікар",AVERAGE(I1054:I1056),IF($B$1054="Лікар-педіатр","x",IF($B$1054="Лікар-терапевт",AVERAGE(I1054:I1056),0)))</f>
        <v>0</v>
      </c>
      <c r="J1058" s="205">
        <f>IF($B$1054="Лікар загальної практики - сімейний лікар",AVERAGE(J1054:J1056),IF($B$1054="Лікар-педіатр","x",IF($B$1054="Лікар-терапевт",AVERAGE(J1054:J1056),0)))</f>
        <v>0</v>
      </c>
      <c r="K1058" s="205">
        <f>IF($B$1054="Лікар загальної практики - сімейний лікар",AVERAGE(K1054:K1056),IF($B$1054="Лікар-педіатр","x",IF($B$1054="Лікар-терапевт",AVERAGE(K1054:K1056),0)))</f>
        <v>0</v>
      </c>
      <c r="L1058" s="206">
        <f>SUM(G1058:K1058)</f>
        <v>0</v>
      </c>
      <c r="M1058" s="930"/>
      <c r="N1058" s="205">
        <f>IF($B$1054="Лікар загальної практики - сімейний лікар",AVERAGE(N1054:N1056),IF($B$1054="Лікар-педіатр",AVERAGE(N1054:N1056),IF($B$1054="Лікар-терапевт","х",0)))</f>
        <v>0</v>
      </c>
      <c r="O1058" s="205">
        <f>IF($B$1054="Лікар загальної практики - сімейний лікар",AVERAGE(O1054:O1056),IF($B$1054="Лікар-педіатр",AVERAGE(O1054:O1056),IF($B$1054="Лікар-терапевт","х",0)))</f>
        <v>0</v>
      </c>
      <c r="P1058" s="205">
        <f>IF($B$1054="Лікар загальної практики - сімейний лікар",AVERAGE(P1054:P1056),IF($B$1054="Лікар-педіатр","x",IF($B$1054="Лікар-терапевт",AVERAGE(P1054:P1056),0)))</f>
        <v>0</v>
      </c>
      <c r="Q1058" s="205">
        <f>IF($B$1054="Лікар загальної практики - сімейний лікар",AVERAGE(Q1054:Q1056),IF($B$1054="Лікар-педіатр","x",IF($B$1054="Лікар-терапевт",AVERAGE(Q1054:Q1056),0)))</f>
        <v>0</v>
      </c>
      <c r="R1058" s="205">
        <f>IF($B$1054="Лікар загальної практики - сімейний лікар",AVERAGE(R1054:R1056),IF($B$1054="Лікар-педіатр","x",IF($B$1054="Лікар-терапевт",AVERAGE(R1054:R1056),0)))</f>
        <v>0</v>
      </c>
      <c r="S1058" s="206">
        <f>SUM(N1058:R1058)</f>
        <v>0</v>
      </c>
      <c r="T1058" s="930"/>
      <c r="U1058" s="205">
        <f>IF($B$1054="Лікар загальної практики - сімейний лікар",AVERAGE(U1054:U1056),IF($B$1054="Лікар-педіатр",AVERAGE(U1054:U1056),IF($B$1054="Лікар-терапевт","х",0)))</f>
        <v>0</v>
      </c>
      <c r="V1058" s="205">
        <f>IF($B$1054="Лікар загальної практики - сімейний лікар",AVERAGE(V1054:V1056),IF($B$1054="Лікар-педіатр",AVERAGE(V1054:V1056),IF($B$1054="Лікар-терапевт","х",0)))</f>
        <v>0</v>
      </c>
      <c r="W1058" s="205">
        <f>IF($B$1054="Лікар загальної практики - сімейний лікар",AVERAGE(W1054:W1056),IF($B$1054="Лікар-педіатр","x",IF($B$1054="Лікар-терапевт",AVERAGE(W1054:W1056),0)))</f>
        <v>0</v>
      </c>
      <c r="X1058" s="205">
        <f>IF($B$1054="Лікар загальної практики - сімейний лікар",AVERAGE(X1054:X1056),IF($B$1054="Лікар-педіатр","x",IF($B$1054="Лікар-терапевт",AVERAGE(X1054:X1056),0)))</f>
        <v>0</v>
      </c>
      <c r="Y1058" s="205">
        <f>IF($B$1054="Лікар загальної практики - сімейний лікар",AVERAGE(Y1054:Y1056),IF($B$1054="Лікар-педіатр","x",IF($B$1054="Лікар-терапевт",AVERAGE(Y1054:Y1056),0)))</f>
        <v>0</v>
      </c>
      <c r="Z1058" s="206">
        <f>SUM(U1058:Y1058)</f>
        <v>0</v>
      </c>
      <c r="AA1058" s="930"/>
      <c r="AB1058" s="205">
        <f>IF($B$1054="Лікар загальної практики - сімейний лікар",AVERAGE(AB1054:AB1056),IF($B$1054="Лікар-педіатр",AVERAGE(AB1054:AB1056),IF($B$1054="Лікар-терапевт","х",0)))</f>
        <v>0</v>
      </c>
      <c r="AC1058" s="205">
        <f>IF($B$1054="Лікар загальної практики - сімейний лікар",AVERAGE(AC1054:AC1056),IF($B$1054="Лікар-педіатр",AVERAGE(AC1054:AC1056),IF($B$1054="Лікар-терапевт","х",0)))</f>
        <v>0</v>
      </c>
      <c r="AD1058" s="205">
        <f>IF($B$1054="Лікар загальної практики - сімейний лікар",AVERAGE(AD1054:AD1056),IF($B$1054="Лікар-педіатр","x",IF($B$1054="Лікар-терапевт",AVERAGE(AD1054:AD1056),0)))</f>
        <v>0</v>
      </c>
      <c r="AE1058" s="205">
        <f>IF($B$1054="Лікар загальної практики - сімейний лікар",AVERAGE(AE1054:AE1056),IF($B$1054="Лікар-педіатр","x",IF($B$1054="Лікар-терапевт",AVERAGE(AE1054:AE1056),0)))</f>
        <v>0</v>
      </c>
      <c r="AF1058" s="205">
        <f>IF($B$1054="Лікар загальної практики - сімейний лікар",AVERAGE(AF1054:AF1056),IF($B$1054="Лікар-педіатр","x",IF($B$1054="Лікар-терапевт",AVERAGE(AF1054:AF1056),0)))</f>
        <v>0</v>
      </c>
      <c r="AG1058" s="206">
        <f>SUM(AB1058:AF1058)</f>
        <v>0</v>
      </c>
      <c r="AH1058" s="930"/>
      <c r="AI1058" s="201"/>
      <c r="AJ1058" s="933"/>
      <c r="AK1058" s="927"/>
      <c r="AL1058" s="927"/>
      <c r="AM1058" s="903"/>
      <c r="AN1058" s="925"/>
      <c r="AO1058" s="925"/>
      <c r="AP1058" s="925"/>
      <c r="AQ1058" s="925"/>
      <c r="AR1058" s="916"/>
    </row>
    <row r="1059" spans="1:44" s="50" customFormat="1" ht="40.5" hidden="1">
      <c r="A1059" s="197"/>
      <c r="B1059" s="893"/>
      <c r="C1059" s="896"/>
      <c r="D1059" s="912"/>
      <c r="E1059" s="909"/>
      <c r="F1059" s="237" t="str">
        <f ca="1">IF(B1054="Лікар-педіатр",Законод!$C$17,IF(B1054="Лікар загальної практики - сімейний лікар",Законод!$C$21,IF(B1054="Лікар-терапевт",Законод!$C$25,"х")))</f>
        <v>х</v>
      </c>
      <c r="G1059" s="208">
        <f ca="1">IF($B$1054="Лікар загальної практики - сімейний лікар",IF(L1058&lt;=Законод!$C$22,G1058,Законод!$C$22*'01_Доходи'!G1057),IF($B$1054="Лікар-педіатр",IF(L1058&lt;=Законод!$C$18,G1058,Законод!$C$18*'01_Доходи'!G1057),IF($B$1054="Лікар-терапевт","x",0)))</f>
        <v>0</v>
      </c>
      <c r="H1059" s="208">
        <f ca="1">IF($B$1054="Лікар загальної практики - сімейний лікар",IF(L1058&lt;=Законод!$C$22,H1058,Законод!$C$22*'01_Доходи'!H1057),IF($B$1054="Лікар-педіатр",IF(L1058&lt;=Законод!$C$18,H1058,Законод!$C$18*'01_Доходи'!H1057),IF($B$1054="Лікар-терапевт","x",0)))</f>
        <v>0</v>
      </c>
      <c r="I1059" s="208">
        <f ca="1">IF($B$1054="Лікар загальної практики - сімейний лікар",IF(L1058&lt;=Законод!$C$22,I1058,Законод!$C$22*'01_Доходи'!I1057),IF($B$1054="Лікар-педіатр","x",IF($B$1054="Лікар-терапевт",IF(L1058&lt;=Законод!$C$26,I1058,Законод!$C$26*'01_Доходи'!I1057),0)))</f>
        <v>0</v>
      </c>
      <c r="J1059" s="208">
        <f ca="1">IF($B$1054="Лікар загальної практики - сімейний лікар",IF(L1058&lt;=Законод!$C$22,J1058,Законод!$C$22*'01_Доходи'!J1057),IF($B$1054="Лікар-педіатр","x",IF($B$1054="Лікар-терапевт",IF(L1058&lt;=Законод!$C$26,J1058,Законод!$C$26*'01_Доходи'!J1057),0)))</f>
        <v>0</v>
      </c>
      <c r="K1059" s="208">
        <f ca="1">IF($B$1054="Лікар загальної практики - сімейний лікар",IF(L1058&lt;=Законод!$C$22,K1058,Законод!$C$22*'01_Доходи'!K1057),IF($B$1054="Лікар-педіатр","x",IF($B$1054="Лікар-терапевт",IF(L1058&lt;=Законод!$C$26,K1058,Законод!$C$26*'01_Доходи'!K1057),0)))</f>
        <v>0</v>
      </c>
      <c r="L1059" s="209">
        <f ca="1">SUM(G1059:K1059)</f>
        <v>0</v>
      </c>
      <c r="M1059" s="930"/>
      <c r="N1059" s="208">
        <f ca="1">IF($B$1054="Лікар загальної практики - сімейний лікар",IF(S1058&lt;=Законод!$C$22,N1058,Законод!$C$22*'01_Доходи'!N1057),IF($B$1054="Лікар-педіатр",IF(S1058&lt;=Законод!$C$18,N1058,Законод!$C$18*'01_Доходи'!N1057),IF($B$1054="Лікар-терапевт","x",0)))</f>
        <v>0</v>
      </c>
      <c r="O1059" s="208">
        <f ca="1">IF($B$1054="Лікар загальної практики - сімейний лікар",IF(S1058&lt;=Законод!$C$22,O1058,Законод!$C$22*'01_Доходи'!O1057),IF($B$1054="Лікар-педіатр",IF(S1058&lt;=Законод!$C$18,O1058,Законод!$C$18*'01_Доходи'!O1057),IF($B$1054="Лікар-терапевт","x",0)))</f>
        <v>0</v>
      </c>
      <c r="P1059" s="208">
        <f ca="1">IF($B$1054="Лікар загальної практики - сімейний лікар",IF(S1058&lt;=Законод!$C$22,P1058,Законод!$C$22*'01_Доходи'!P1057),IF($B$1054="Лікар-педіатр","x",IF($B$1054="Лікар-терапевт",IF(S1058&lt;=Законод!$C$26,P1058,Законод!$C$26*'01_Доходи'!P1057),0)))</f>
        <v>0</v>
      </c>
      <c r="Q1059" s="208">
        <f ca="1">IF($B$1054="Лікар загальної практики - сімейний лікар",IF(S1058&lt;=Законод!$C$22,Q1058,Законод!$C$22*'01_Доходи'!Q1057),IF($B$1054="Лікар-педіатр","x",IF($B$1054="Лікар-терапевт",IF(S1058&lt;=Законод!$C$26,Q1058,Законод!$C$26*'01_Доходи'!Q1057),0)))</f>
        <v>0</v>
      </c>
      <c r="R1059" s="208">
        <f ca="1">IF($B$1054="Лікар загальної практики - сімейний лікар",IF(S1058&lt;=Законод!$C$22,R1058,Законод!$C$22*'01_Доходи'!R1057),IF($B$1054="Лікар-педіатр","x",IF($B$1054="Лікар-терапевт",IF(S1058&lt;=Законод!$C$26,R1058,Законод!$C$26*'01_Доходи'!R1057),0)))</f>
        <v>0</v>
      </c>
      <c r="S1059" s="209">
        <f ca="1">SUM(N1059:R1059)</f>
        <v>0</v>
      </c>
      <c r="T1059" s="930"/>
      <c r="U1059" s="208">
        <f ca="1">IF($B$1054="Лікар загальної практики - сімейний лікар",IF(Z1058&lt;=Законод!$C$22,U1058,Законод!$C$22*'01_Доходи'!U1057),IF($B$1054="Лікар-педіатр",IF(Z1058&lt;=Законод!$C$18,U1058,Законод!$C$18*'01_Доходи'!U1057),IF($B$1054="Лікар-терапевт","x",0)))</f>
        <v>0</v>
      </c>
      <c r="V1059" s="208">
        <f ca="1">IF($B$1054="Лікар загальної практики - сімейний лікар",IF(Z1058&lt;=Законод!$C$22,V1058,Законод!$C$22*'01_Доходи'!V1057),IF($B$1054="Лікар-педіатр",IF(Z1058&lt;=Законод!$C$18,V1058,Законод!$C$18*'01_Доходи'!V1057),IF($B$1054="Лікар-терапевт","x",0)))</f>
        <v>0</v>
      </c>
      <c r="W1059" s="208">
        <f ca="1">IF($B$1054="Лікар загальної практики - сімейний лікар",IF(Z1058&lt;=Законод!$C$22,W1058,Законод!$C$22*'01_Доходи'!W1057),IF($B$1054="Лікар-педіатр","x",IF($B$1054="Лікар-терапевт",IF(Z1058&lt;=Законод!$C$26,W1058,Законод!$C$26*'01_Доходи'!W1057),0)))</f>
        <v>0</v>
      </c>
      <c r="X1059" s="208">
        <f ca="1">IF($B$1054="Лікар загальної практики - сімейний лікар",IF(Z1058&lt;=Законод!$C$22,X1058,Законод!$C$22*'01_Доходи'!X1057),IF($B$1054="Лікар-педіатр","x",IF($B$1054="Лікар-терапевт",IF(Z1058&lt;=Законод!$C$26,X1058,Законод!$C$26*'01_Доходи'!X1057),0)))</f>
        <v>0</v>
      </c>
      <c r="Y1059" s="208">
        <f ca="1">IF($B$1054="Лікар загальної практики - сімейний лікар",IF(Z1058&lt;=Законод!$C$22,Y1058,Законод!$C$22*'01_Доходи'!Y1057),IF($B$1054="Лікар-педіатр","x",IF($B$1054="Лікар-терапевт",IF(Z1058&lt;=Законод!$C$26,Y1058,Законод!$C$26*'01_Доходи'!Y1057),0)))</f>
        <v>0</v>
      </c>
      <c r="Z1059" s="209">
        <f ca="1">SUM(U1059:Y1059)</f>
        <v>0</v>
      </c>
      <c r="AA1059" s="930"/>
      <c r="AB1059" s="208">
        <f ca="1">IF($B$1054="Лікар загальної практики - сімейний лікар",IF(AG1058&lt;=Законод!$C$22,AB1058,Законод!$C$22*'01_Доходи'!AB1057),IF($B$1054="Лікар-педіатр",IF(AG1058&lt;=Законод!$C$18,AB1058,Законод!$C$18*'01_Доходи'!AB1057),IF($B$1054="Лікар-терапевт","x",0)))</f>
        <v>0</v>
      </c>
      <c r="AC1059" s="208">
        <f ca="1">IF($B$1054="Лікар загальної практики - сімейний лікар",IF(AG1058&lt;=Законод!$C$22,AC1058,Законод!$C$22*'01_Доходи'!AC1057),IF($B$1054="Лікар-педіатр",IF(AG1058&lt;=Законод!$C$18,AC1058,Законод!$C$18*'01_Доходи'!AC1057),IF($B$1054="Лікар-терапевт","x",0)))</f>
        <v>0</v>
      </c>
      <c r="AD1059" s="208">
        <f ca="1">IF($B$1054="Лікар загальної практики - сімейний лікар",IF(AG1058&lt;=Законод!$C$22,AD1058,Законод!$C$22*'01_Доходи'!AD1057),IF($B$1054="Лікар-педіатр","x",IF($B$1054="Лікар-терапевт",IF(AG1058&lt;=Законод!$C$26,AD1058,Законод!$C$26*'01_Доходи'!AD1057),0)))</f>
        <v>0</v>
      </c>
      <c r="AE1059" s="208">
        <f ca="1">IF($B$1054="Лікар загальної практики - сімейний лікар",IF(AG1058&lt;=Законод!$C$22,AE1058,Законод!$C$22*'01_Доходи'!AE1057),IF($B$1054="Лікар-педіатр","x",IF($B$1054="Лікар-терапевт",IF(AG1058&lt;=Законод!$C$26,AE1058,Законод!$C$26*'01_Доходи'!AE1057),0)))</f>
        <v>0</v>
      </c>
      <c r="AF1059" s="208">
        <f ca="1">IF($B$1054="Лікар загальної практики - сімейний лікар",IF(AG1058&lt;=Законод!$C$22,AF1058,Законод!$C$22*'01_Доходи'!AF1057),IF($B$1054="Лікар-педіатр","x",IF($B$1054="Лікар-терапевт",IF(AG1058&lt;=Законод!$C$26,AF1058,Законод!$C$26*'01_Доходи'!AF1057),0)))</f>
        <v>0</v>
      </c>
      <c r="AG1059" s="209">
        <f ca="1">SUM(AB1059:AF1059)</f>
        <v>0</v>
      </c>
      <c r="AH1059" s="930"/>
      <c r="AI1059" s="201"/>
      <c r="AJ1059" s="933"/>
      <c r="AK1059" s="927"/>
      <c r="AL1059" s="927"/>
      <c r="AM1059" s="348" t="s">
        <v>374</v>
      </c>
      <c r="AN1059" s="210">
        <f ca="1">IF(B1054="Лікар загальної практики - сімейний лікар",G1059*Законод!$C$11+'01_Доходи'!H1059*Законод!$D$11+'01_Доходи'!I1059*Законод!$E$11+'01_Доходи'!J1059*Законод!$F$11+'01_Доходи'!K1059*Законод!$G$11,IF(B1054="Лікар-педіатр",G1059*Законод!$C$11+'01_Доходи'!H1059*Законод!$D$11,IF(B1054="Лікар-терапевт",'01_Доходи'!I1059*Законод!$E$11+'01_Доходи'!J1059*Законод!$F$11+'01_Доходи'!K1059*Законод!$G$11,0)))</f>
        <v>0</v>
      </c>
      <c r="AO1059" s="210">
        <f ca="1">IF(B1054="Лікар загальної практики - сімейний лікар",N1059*Законод!$C$11+'01_Доходи'!O1059*Законод!$D$11+'01_Доходи'!P1059*Законод!$E$11+'01_Доходи'!Q1059*Законод!$F$11+'01_Доходи'!R1059*Законод!$G$11,IF(B1054="Лікар-педіатр",N1059*Законод!$C$11+'01_Доходи'!O1059*Законод!$D$11,IF(B1054="Лікар-терапевт",'01_Доходи'!P1059*Законод!$E$11+'01_Доходи'!Q1059*Законод!$F$11+'01_Доходи'!R1059*Законод!$G$11,0)))</f>
        <v>0</v>
      </c>
      <c r="AP1059" s="210">
        <f ca="1">IF(B1054="Лікар загальної практики - сімейний лікар",U1059*Законод!$C$11+'01_Доходи'!V1059*Законод!$D$11+'01_Доходи'!W1059*Законод!$E$11+'01_Доходи'!X1059*Законод!$F$11+'01_Доходи'!Y1059*Законод!$G$11,IF(B1054="Лікар-педіатр",U1059*Законод!$C$11+'01_Доходи'!V1059*Законод!$D$11,IF(B1054="Лікар-терапевт",'01_Доходи'!W1059*Законод!$E$11+'01_Доходи'!X1059*Законод!$F$11+'01_Доходи'!Y1059*Законод!$G$11,0)))</f>
        <v>0</v>
      </c>
      <c r="AQ1059" s="210">
        <f ca="1">IF(B1054="Лікар загальної практики - сімейний лікар",AB1059*Законод!$C$11+'01_Доходи'!AC1059*Законод!$D$11+'01_Доходи'!AD1059*Законод!$E$11+'01_Доходи'!AE1059*Законод!$F$11+'01_Доходи'!AF1059*Законод!$G$11,IF(B1054="Лікар-педіатр",AB1059*Законод!$C$11+'01_Доходи'!AC1059*Законод!$D$11,IF(B1054="Лікар-терапевт",'01_Доходи'!AD1059*Законод!$E$11+'01_Доходи'!AE1059*Законод!$F$11+'01_Доходи'!AF1059*Законод!$G$11,0)))</f>
        <v>0</v>
      </c>
      <c r="AR1059" s="211">
        <f t="shared" ref="AR1059:AR1065" si="108">SUM(AN1059:AQ1059)</f>
        <v>0</v>
      </c>
    </row>
    <row r="1060" spans="1:44" s="50" customFormat="1" ht="31.9" hidden="1" customHeight="1">
      <c r="A1060" s="197"/>
      <c r="B1060" s="893"/>
      <c r="C1060" s="896"/>
      <c r="D1060" s="912"/>
      <c r="E1060" s="909"/>
      <c r="F1060" s="238" t="str">
        <f ca="1">IF(B1054="Лікар-педіатр",Законод!$E$17,IF(B1054="Лікар загальної практики - сімейний лікар",Законод!$E$21,IF(B1054="Лікар-терапевт",Законод!$E$25,"х")))</f>
        <v>х</v>
      </c>
      <c r="G1060" s="889" t="s">
        <v>346</v>
      </c>
      <c r="H1060" s="890"/>
      <c r="I1060" s="890"/>
      <c r="J1060" s="890"/>
      <c r="K1060" s="891"/>
      <c r="L1060" s="196">
        <f ca="1">IF($B$1054="Лікар загальної практики - сімейний лікар",IF(L1058&lt;Законод!$C$22,0,(IF(AND(L1058&gt;=Законод!$E$22,L1058&lt;=Законод!$E$23),L1058-Законод!$C$22,IF('01_Доходи'!L1058&gt;=Законод!$F$22,Законод!$E$24,0)))),IF($B$1054="Лікар-педіатр",IF(L1058&lt;Законод!$C$18,0,(IF(AND(L1058&gt;=Законод!$E$18,L1058&lt;=Законод!$E$19),L1058-Законод!$C$18,IF('01_Доходи'!L1058&gt;=Законод!$F$18,Законод!$E$20,0)))),IF($B$1054="Лікар-терапевт",IF(L1058&lt;Законод!$C$26,0,(IF(AND(L1058&gt;=Законод!$E$26,L1058&lt;=Законод!$E$27),L1058-Законод!$C$26,IF('01_Доходи'!L1058&gt;=Законод!$F$26,Законод!$E$28,0)))),0)))</f>
        <v>0</v>
      </c>
      <c r="M1060" s="930"/>
      <c r="N1060" s="889" t="s">
        <v>346</v>
      </c>
      <c r="O1060" s="890"/>
      <c r="P1060" s="890"/>
      <c r="Q1060" s="890"/>
      <c r="R1060" s="891"/>
      <c r="S1060" s="196">
        <f ca="1">IF($B$1054="Лікар загальної практики - сімейний лікар",IF(S1058&lt;Законод!$C$22,0,(IF(AND(S1058&gt;=Законод!$E$22,S1058&lt;=Законод!$E$23),S1058-Законод!$C$22,IF('01_Доходи'!S1058&gt;=Законод!$F$22,Законод!$E$24,0)))),IF($B$1054="Лікар-педіатр",IF(S1058&lt;Законод!$C$18,0,(IF(AND(S1058&gt;=Законод!$E$18,S1058&lt;=Законод!$E$19),S1058-Законод!$C$18,IF('01_Доходи'!S1058&gt;=Законод!$F$18,Законод!$E$20,0)))),IF($B$1054="Лікар-терапевт",IF(S1058&lt;Законод!$C$26,0,(IF(AND(S1058&gt;=Законод!$E$26,S1058&lt;=Законод!$E$27),S1058-Законод!$C$26,IF('01_Доходи'!S1058&gt;=Законод!$F$26,Законод!$E$28,0)))),0)))</f>
        <v>0</v>
      </c>
      <c r="T1060" s="930"/>
      <c r="U1060" s="889" t="s">
        <v>346</v>
      </c>
      <c r="V1060" s="890"/>
      <c r="W1060" s="890"/>
      <c r="X1060" s="890"/>
      <c r="Y1060" s="891"/>
      <c r="Z1060" s="196">
        <f ca="1">IF($B$1054="Лікар загальної практики - сімейний лікар",IF(Z1058&lt;Законод!$C$22,0,(IF(AND(Z1058&gt;=Законод!$E$22,Z1058&lt;=Законод!$E$23),Z1058-Законод!$C$22,IF('01_Доходи'!Z1058&gt;=Законод!$F$22,Законод!$E$24,0)))),IF($B$1054="Лікар-педіатр",IF(Z1058&lt;Законод!$C$18,0,(IF(AND(Z1058&gt;=Законод!$E$18,Z1058&lt;=Законод!$E$19),Z1058-Законод!$C$18,IF('01_Доходи'!Z1058&gt;=Законод!$F$18,Законод!$E$20,0)))),IF($B$1054="Лікар-терапевт",IF(Z1058&lt;Законод!$C$26,0,(IF(AND(Z1058&gt;=Законод!$E$26,Z1058&lt;=Законод!$E$27),Z1058-Законод!$C$26,IF('01_Доходи'!Z1058&gt;=Законод!$F$26,Законод!$E$28,0)))),0)))</f>
        <v>0</v>
      </c>
      <c r="AA1060" s="930"/>
      <c r="AB1060" s="889" t="s">
        <v>346</v>
      </c>
      <c r="AC1060" s="890"/>
      <c r="AD1060" s="890"/>
      <c r="AE1060" s="890"/>
      <c r="AF1060" s="891"/>
      <c r="AG1060" s="196">
        <f ca="1">IF($B$1054="Лікар загальної практики - сімейний лікар",IF(AG1058&lt;Законод!$C$22,0,(IF(AND(AG1058&gt;=Законод!$E$22,AG1058&lt;=Законод!$E$23),AG1058-Законод!$C$22,IF('01_Доходи'!AG1058&gt;=Законод!$F$22,Законод!$E$24,0)))),IF($B$1054="Лікар-педіатр",IF(AG1058&lt;Законод!$C$18,0,(IF(AND(AG1058&gt;=Законод!$E$18,AG1058&lt;=Законод!$E$19),AG1058-Законод!$C$18,IF('01_Доходи'!AG1058&gt;=Законод!$F$18,Законод!$E$20,0)))),IF($B$1054="Лікар-терапевт",IF(AG1058&lt;Законод!$C$26,0,(IF(AND(AG1058&gt;=Законод!$E$26,AG1058&lt;=Законод!$E$27),AG1058-Законод!$C$26,IF('01_Доходи'!AG1058&gt;=Законод!$F$26,Законод!$E$28,0)))),0)))</f>
        <v>0</v>
      </c>
      <c r="AH1060" s="930"/>
      <c r="AI1060" s="201"/>
      <c r="AJ1060" s="933"/>
      <c r="AK1060" s="927"/>
      <c r="AL1060" s="927"/>
      <c r="AM1060" s="898" t="s">
        <v>375</v>
      </c>
      <c r="AN1060" s="210">
        <f ca="1">IF(B1054="Лікар загальної практики - сімейний лікар",L1060*Законод!$C$9/4*Законод!$E$16,IF(B1054="Лікар-педіатр",L1060*Законод!$C$9/4*Законод!$E$16,IF(B1054="Лікар-терапевт",L1060*Законод!$C$9/4*Законод!$E$16,0)))</f>
        <v>0</v>
      </c>
      <c r="AO1060" s="210">
        <f ca="1">IF(B1054="Лікар загальної практики - сімейний лікар",S1060*Законод!$C$9/4*Законод!$E$16,IF(B1054="Лікар-педіатр",S1060*Законод!$C$9/4*Законод!$E$16,IF(B1054="Лікар-терапевт",S1060*Законод!$C$9/4*Законод!$E$16,0)))</f>
        <v>0</v>
      </c>
      <c r="AP1060" s="210">
        <f ca="1">IF(B1054="Лікар загальної практики - сімейний лікар",Z1060*Законод!$C$9/4*Законод!$E$16,IF(B1054="Лікар-педіатр",Z1060*Законод!$C$9/4*Законод!$E$16,IF(B1054="Лікар-терапевт",Z1060*Законод!$C$9/4*Законод!$E$16,0)))</f>
        <v>0</v>
      </c>
      <c r="AQ1060" s="210">
        <f ca="1">IF(B1054="Лікар загальної практики - сімейний лікар",AG1060*Законод!$C$9/4*Законод!$E$16,IF(B1054="Лікар-педіатр",AG1060*Законод!$C$9/4*Законод!$E$16,IF(B1054="Лікар-терапевт",AG1060*Законод!$C$9/4*Законод!$E$16,0)))</f>
        <v>0</v>
      </c>
      <c r="AR1060" s="211">
        <f t="shared" si="108"/>
        <v>0</v>
      </c>
    </row>
    <row r="1061" spans="1:44" s="50" customFormat="1" ht="31.9" hidden="1" customHeight="1">
      <c r="A1061" s="197"/>
      <c r="B1061" s="893"/>
      <c r="C1061" s="896"/>
      <c r="D1061" s="912"/>
      <c r="E1061" s="909"/>
      <c r="F1061" s="238" t="str">
        <f ca="1">IF(B1054="Лікар-педіатр",Законод!$F$17,IF(B1054="Лікар загальної практики - сімейний лікар",Законод!$F$21,IF(B1054="Лікар-терапевт",Законод!$F$25,"х")))</f>
        <v>х</v>
      </c>
      <c r="G1061" s="889" t="s">
        <v>346</v>
      </c>
      <c r="H1061" s="890"/>
      <c r="I1061" s="890"/>
      <c r="J1061" s="890"/>
      <c r="K1061" s="891"/>
      <c r="L1061" s="196">
        <f ca="1">IF($B$1054="Лікар загальної практики - сімейний лікар",IF(L1058&lt;Законод!$C$22,0,(IF(AND(L1058&gt;=Законод!$F$22,L1058&lt;=Законод!$F$23),L1058-Законод!$E$23,IF('01_Доходи'!L1058&gt;=Законод!$G$22,Законод!$F$24,0)))),IF($B$1054="Лікар-педіатр",IF(L1058&lt;Законод!$C$18,0,(IF(AND(L1058&gt;=Законод!$F$18,L1058&lt;=Законод!$F$19),L1058-Законод!$E$19,IF('01_Доходи'!L1058&gt;=Законод!$G$18,Законод!$F$20,0)))),IF($B$1054="Лікар-терапевт",IF(L1058&lt;Законод!$C$26,0,(IF(AND(L1058&gt;=Законод!$F$26,L1058&lt;=Законод!$F$27),L1058-Законод!$E$27,IF('01_Доходи'!L1058&gt;=Законод!$G$26,Законод!$F$28,0)))),0)))</f>
        <v>0</v>
      </c>
      <c r="M1061" s="930"/>
      <c r="N1061" s="889" t="s">
        <v>346</v>
      </c>
      <c r="O1061" s="890"/>
      <c r="P1061" s="890"/>
      <c r="Q1061" s="890"/>
      <c r="R1061" s="891"/>
      <c r="S1061" s="196">
        <f ca="1">IF($B$1054="Лікар загальної практики - сімейний лікар",IF(S1058&lt;Законод!$C$22,0,(IF(AND(S1058&gt;=Законод!$F$22,S1058&lt;=Законод!$F$23),S1058-Законод!$E$23,IF('01_Доходи'!S1058&gt;=Законод!$G$22,Законод!$F$24,0)))),IF($B$1054="Лікар-педіатр",IF(S1058&lt;Законод!$C$18,0,(IF(AND(S1058&gt;=Законод!$F$18,S1058&lt;=Законод!$F$19),S1058-Законод!$E$19,IF('01_Доходи'!S1058&gt;=Законод!$G$18,Законод!$F$20,0)))),IF($B$1054="Лікар-терапевт",IF(S1058&lt;Законод!$C$26,0,(IF(AND(S1058&gt;=Законод!$F$26,S1058&lt;=Законод!$F$27),S1058-Законод!$E$27,IF('01_Доходи'!S1058&gt;=Законод!$G$26,Законод!$F$28,0)))),0)))</f>
        <v>0</v>
      </c>
      <c r="T1061" s="930"/>
      <c r="U1061" s="889" t="s">
        <v>346</v>
      </c>
      <c r="V1061" s="890"/>
      <c r="W1061" s="890"/>
      <c r="X1061" s="890"/>
      <c r="Y1061" s="891"/>
      <c r="Z1061" s="196">
        <f ca="1">IF($B$1054="Лікар загальної практики - сімейний лікар",IF(Z1058&lt;Законод!$C$22,0,(IF(AND(Z1058&gt;=Законод!$F$22,Z1058&lt;=Законод!$F$23),Z1058-Законод!$E$23,IF('01_Доходи'!Z1058&gt;=Законод!$G$22,Законод!$F$24,0)))),IF($B$1054="Лікар-педіатр",IF(Z1058&lt;Законод!$C$18,0,(IF(AND(Z1058&gt;=Законод!$F$18,Z1058&lt;=Законод!$F$19),Z1058-Законод!$E$19,IF('01_Доходи'!Z1058&gt;=Законод!$G$18,Законод!$F$20,0)))),IF($B$1054="Лікар-терапевт",IF(Z1058&lt;Законод!$C$26,0,(IF(AND(Z1058&gt;=Законод!$F$26,Z1058&lt;=Законод!$F$27),Z1058-Законод!$E$27,IF('01_Доходи'!Z1058&gt;=Законод!$G$26,Законод!$F$28,0)))),0)))</f>
        <v>0</v>
      </c>
      <c r="AA1061" s="930"/>
      <c r="AB1061" s="889" t="s">
        <v>346</v>
      </c>
      <c r="AC1061" s="890"/>
      <c r="AD1061" s="890"/>
      <c r="AE1061" s="890"/>
      <c r="AF1061" s="891"/>
      <c r="AG1061" s="196">
        <f ca="1">IF($B$1054="Лікар загальної практики - сімейний лікар",IF(AG1058&lt;Законод!$C$22,0,(IF(AND(AG1058&gt;=Законод!$F$22,AG1058&lt;=Законод!$F$23),AG1058-Законод!$E$23,IF('01_Доходи'!AG1058&gt;=Законод!$G$22,Законод!$F$24,0)))),IF($B$1054="Лікар-педіатр",IF(AG1058&lt;Законод!$C$18,0,(IF(AND(AG1058&gt;=Законод!$F$18,AG1058&lt;=Законод!$F$19),AG1058-Законод!$E$19,IF('01_Доходи'!AG1058&gt;=Законод!$G$18,Законод!$F$20,0)))),IF($B$1054="Лікар-терапевт",IF(AG1058&lt;Законод!$C$26,0,(IF(AND(AG1058&gt;=Законод!$F$26,AG1058&lt;=Законод!$F$27),AG1058-Законод!$E$27,IF('01_Доходи'!AG1058&gt;=Законод!$G$26,Законод!$F$28,0)))),0)))</f>
        <v>0</v>
      </c>
      <c r="AH1061" s="930"/>
      <c r="AI1061" s="201"/>
      <c r="AJ1061" s="933"/>
      <c r="AK1061" s="927"/>
      <c r="AL1061" s="927"/>
      <c r="AM1061" s="899"/>
      <c r="AN1061" s="210">
        <f ca="1">IF(B1054="Лікар загальної практики - сімейний лікар",L1061*Законод!$C$9/4*Законод!$F$16,IF(B1054="Лікар-педіатр",L1061*Законод!$C$9/4*Законод!$F$16,IF(B1054="Лікар-терапевт",L1061*Законод!$C$9/4*Законод!$F$16,0)))</f>
        <v>0</v>
      </c>
      <c r="AO1061" s="210">
        <f ca="1">IF(B1054="Лікар загальної практики - сімейний лікар",S1061*Законод!$C$9/4*Законод!$F$16,IF(B1054="Лікар-педіатр",S1061*Законод!$C$9/4*Законод!$F$16,IF(B1054="Лікар-терапевт",S1061*Законод!$C$9/4*Законод!$F$16,0)))</f>
        <v>0</v>
      </c>
      <c r="AP1061" s="210">
        <f ca="1">IF(B1054="Лікар загальної практики - сімейний лікар",Z1061*Законод!$C$9/4*Законод!$F$16,IF(B1054="Лікар-педіатр",Z1061*Законод!$C$9/4*Законод!$F$16,IF(B1054="Лікар-терапевт",Z1061*Законод!$C$9/4*Законод!$F$16,0)))</f>
        <v>0</v>
      </c>
      <c r="AQ1061" s="210">
        <f ca="1">IF(B1054="Лікар загальної практики - сімейний лікар",AG1061*Законод!$C$9/4*Законод!$F$16,IF(B1054="Лікар-педіатр",AG1061*Законод!$C$9/4*Законод!$F$16,IF(B1054="Лікар-терапевт",AG1061*Законод!$C$9/4*Законод!$F$16,0)))</f>
        <v>0</v>
      </c>
      <c r="AR1061" s="211">
        <f t="shared" si="108"/>
        <v>0</v>
      </c>
    </row>
    <row r="1062" spans="1:44" s="50" customFormat="1" ht="31.9" hidden="1" customHeight="1">
      <c r="A1062" s="197"/>
      <c r="B1062" s="893"/>
      <c r="C1062" s="896"/>
      <c r="D1062" s="912"/>
      <c r="E1062" s="909"/>
      <c r="F1062" s="238" t="str">
        <f ca="1">IF(B1054="Лікар-педіатр",Законод!$G$17,IF(B1054="Лікар загальної практики - сімейний лікар",Законод!$G$21,IF(B1054="Лікар-терапевт",Законод!$G$25,"х")))</f>
        <v>х</v>
      </c>
      <c r="G1062" s="889" t="s">
        <v>346</v>
      </c>
      <c r="H1062" s="890"/>
      <c r="I1062" s="890"/>
      <c r="J1062" s="890"/>
      <c r="K1062" s="891"/>
      <c r="L1062" s="196">
        <f ca="1">IF($B$1054="Лікар загальної практики - сімейний лікар",IF(L1058&lt;Законод!$C$22,0,(IF(AND(L1058&gt;=Законод!$G$22,L1058&lt;=Законод!$G$23),L1058-Законод!$F$23,IF('01_Доходи'!L1058&gt;=Законод!$H$22,Законод!$G$24,0)))),IF($B$1054="Лікар-педіатр",IF(L1058&lt;Законод!$C$18,0,(IF(AND(L1058&gt;=Законод!$G$18,L1058&lt;=Законод!$G$19),L1058-Законод!$F$19,IF('01_Доходи'!L1058&gt;=Законод!$H$18,Законод!$G$20,0)))),IF($B$1054="Лікар-терапевт",IF(L1058&lt;Законод!$C$26,0,(IF(AND(L1058&gt;=Законод!$G$26,L1058&lt;=Законод!$G$27),L1058-Законод!$F$27,IF('01_Доходи'!L1058&gt;=Законод!$H$26,Законод!$G$28,0)))),0)))</f>
        <v>0</v>
      </c>
      <c r="M1062" s="930"/>
      <c r="N1062" s="889" t="s">
        <v>346</v>
      </c>
      <c r="O1062" s="890"/>
      <c r="P1062" s="890"/>
      <c r="Q1062" s="890"/>
      <c r="R1062" s="891"/>
      <c r="S1062" s="196">
        <f ca="1">IF($B$1054="Лікар загальної практики - сімейний лікар",IF(S1058&lt;Законод!$C$22,0,(IF(AND(S1058&gt;=Законод!$G$22,S1058&lt;=Законод!$G$23),S1058-Законод!$F$23,IF('01_Доходи'!S1058&gt;=Законод!$H$22,Законод!$G$24,0)))),IF($B$1054="Лікар-педіатр",IF(S1058&lt;Законод!$C$18,0,(IF(AND(S1058&gt;=Законод!$G$18,S1058&lt;=Законод!$G$19),S1058-Законод!$F$19,IF('01_Доходи'!S1058&gt;=Законод!$H$18,Законод!$G$20,0)))),IF($B$1054="Лікар-терапевт",IF(S1058&lt;Законод!$C$26,0,(IF(AND(S1058&gt;=Законод!$G$26,S1058&lt;=Законод!$G$27),S1058-Законод!$F$27,IF('01_Доходи'!S1058&gt;=Законод!$H$26,Законод!$G$28,0)))),0)))</f>
        <v>0</v>
      </c>
      <c r="T1062" s="930"/>
      <c r="U1062" s="889" t="s">
        <v>346</v>
      </c>
      <c r="V1062" s="890"/>
      <c r="W1062" s="890"/>
      <c r="X1062" s="890"/>
      <c r="Y1062" s="891"/>
      <c r="Z1062" s="196">
        <f ca="1">IF($B$1054="Лікар загальної практики - сімейний лікар",IF(Z1058&lt;Законод!$C$22,0,(IF(AND(Z1058&gt;=Законод!$G$22,Z1058&lt;=Законод!$G$23),Z1058-Законод!$F$23,IF('01_Доходи'!Z1058&gt;=Законод!$H$22,Законод!$G$24,0)))),IF($B$1054="Лікар-педіатр",IF(Z1058&lt;Законод!$C$18,0,(IF(AND(Z1058&gt;=Законод!$G$18,Z1058&lt;=Законод!$G$19),Z1058-Законод!$F$19,IF('01_Доходи'!Z1058&gt;=Законод!$H$18,Законод!$G$20,0)))),IF($B$1054="Лікар-терапевт",IF(Z1058&lt;Законод!$C$26,0,(IF(AND(Z1058&gt;=Законод!$G$26,Z1058&lt;=Законод!$G$27),Z1058-Законод!$F$27,IF('01_Доходи'!Z1058&gt;=Законод!$H$26,Законод!$G$28,0)))),0)))</f>
        <v>0</v>
      </c>
      <c r="AA1062" s="930"/>
      <c r="AB1062" s="889" t="s">
        <v>346</v>
      </c>
      <c r="AC1062" s="890"/>
      <c r="AD1062" s="890"/>
      <c r="AE1062" s="890"/>
      <c r="AF1062" s="891"/>
      <c r="AG1062" s="196">
        <f ca="1">IF($B$1054="Лікар загальної практики - сімейний лікар",IF(AG1058&lt;Законод!$C$22,0,(IF(AND(AG1058&gt;=Законод!$G$22,AG1058&lt;=Законод!$G$23),AG1058-Законод!$F$23,IF('01_Доходи'!AG1058&gt;=Законод!$H$22,Законод!$G$24,0)))),IF($B$1054="Лікар-педіатр",IF(AG1058&lt;Законод!$C$18,0,(IF(AND(AG1058&gt;=Законод!$G$18,AG1058&lt;=Законод!$G$19),AG1058-Законод!$F$19,IF('01_Доходи'!AG1058&gt;=Законод!$H$18,Законод!$G$20,0)))),IF($B$1054="Лікар-терапевт",IF(AG1058&lt;Законод!$C$26,0,(IF(AND(AG1058&gt;=Законод!$G$26,AG1058&lt;=Законод!$G$27),AG1058-Законод!$F$27,IF('01_Доходи'!AG1058&gt;=Законод!$H$26,Законод!$G$28,0)))),0)))</f>
        <v>0</v>
      </c>
      <c r="AH1062" s="930"/>
      <c r="AI1062" s="201"/>
      <c r="AJ1062" s="933"/>
      <c r="AK1062" s="927"/>
      <c r="AL1062" s="927"/>
      <c r="AM1062" s="899"/>
      <c r="AN1062" s="210">
        <f ca="1">IF(B1054="Лікар загальної практики - сімейний лікар",L1062*Законод!$C$9/4*Законод!$G$16,IF(B1054="Лікар-педіатр",L1062*Законод!$C$9/4*Законод!$G$16,IF(B1054="Лікар-терапевт",L1062*Законод!$C$9/4*Законод!$G$16,0)))</f>
        <v>0</v>
      </c>
      <c r="AO1062" s="210">
        <f ca="1">IF(B1054="Лікар загальної практики - сімейний лікар",S1062*Законод!$C$9/4*Законод!$G$16,IF(B1054="Лікар-педіатр",S1062*Законод!$C$9/4*Законод!$G$16,IF(B1054="Лікар-терапевт",S1062*Законод!$C$9/4*Законод!$G$16,0)))</f>
        <v>0</v>
      </c>
      <c r="AP1062" s="210">
        <f ca="1">IF(B1054="Лікар загальної практики - сімейний лікар",Z1062*Законод!$C$9/4*Законод!$G$16,IF(B1054="Лікар-педіатр",Z1062*Законод!$C$9/4*Законод!$G$16,IF(B1054="Лікар-терапевт",Z1062*Законод!$C$9/4*Законод!$G$16,0)))</f>
        <v>0</v>
      </c>
      <c r="AQ1062" s="210">
        <f ca="1">IF(B1054="Лікар загальної практики - сімейний лікар",AG1062*Законод!$C$9/4*Законод!$G$16,IF(B1054="Лікар-педіатр",AG1062*Законод!$C$9/4*Законод!$G$16,IF(B1054="Лікар-терапевт",AG1062*Законод!$C$9/4*Законод!$G$16,0)))</f>
        <v>0</v>
      </c>
      <c r="AR1062" s="211">
        <f t="shared" si="108"/>
        <v>0</v>
      </c>
    </row>
    <row r="1063" spans="1:44" s="50" customFormat="1" ht="31.9" hidden="1" customHeight="1">
      <c r="A1063" s="197"/>
      <c r="B1063" s="893"/>
      <c r="C1063" s="896"/>
      <c r="D1063" s="912"/>
      <c r="E1063" s="909"/>
      <c r="F1063" s="238" t="str">
        <f ca="1">IF(B1054="Лікар-педіатр",Законод!$H$17,IF(B1054="Лікар загальної практики - сімейний лікар",Законод!$H$21,IF(B1054="Лікар-терапевт",Законод!$H$25,"х")))</f>
        <v>х</v>
      </c>
      <c r="G1063" s="889" t="s">
        <v>346</v>
      </c>
      <c r="H1063" s="890"/>
      <c r="I1063" s="890"/>
      <c r="J1063" s="890"/>
      <c r="K1063" s="891"/>
      <c r="L1063" s="196">
        <f ca="1">IF($B$1054="Лікар загальної практики - сімейний лікар",IF(L1058&lt;Законод!$C$22,0,(IF(AND(L1058&gt;=Законод!$H$22,L1058&lt;=Законод!$H$23),L1058-Законод!$G$23,IF('01_Доходи'!L1058&gt;=Законод!$I$22,Законод!$H$24,0)))),IF($B$1054="Лікар-педіатр",IF(L1058&lt;Законод!$C$18,0,(IF(AND(L1058&gt;=Законод!$H$18,L1058&lt;=Законод!$H$19),L1058-Законод!$G$19,IF('01_Доходи'!L1058&gt;=Законод!$I$18,Законод!$H$20,0)))),IF($B$1054="Лікар-терапевт",IF(L1058&lt;Законод!$C$26,0,(IF(AND(L1058&gt;=Законод!$H$26,L1058&lt;=Законод!$H$27),L1058-Законод!$G$27,IF(L1058&gt;=Законод!$I$26,Законод!$H$28,0)))),0)))</f>
        <v>0</v>
      </c>
      <c r="M1063" s="930"/>
      <c r="N1063" s="889" t="s">
        <v>346</v>
      </c>
      <c r="O1063" s="890"/>
      <c r="P1063" s="890"/>
      <c r="Q1063" s="890"/>
      <c r="R1063" s="891"/>
      <c r="S1063" s="196">
        <f ca="1">IF($B$1054="Лікар загальної практики - сімейний лікар",IF(S1058&lt;Законод!$C$22,0,(IF(AND(S1058&gt;=Законод!$H$22,S1058&lt;=Законод!$H$23),S1058-Законод!$G$23,IF('01_Доходи'!S1058&gt;=Законод!$I$22,Законод!$H$24,0)))),IF($B$1054="Лікар-педіатр",IF(S1058&lt;Законод!$C$18,0,(IF(AND(S1058&gt;=Законод!$H$18,S1058&lt;=Законод!$H$19),S1058-Законод!$G$19,IF('01_Доходи'!S1058&gt;=Законод!$I$18,Законод!$H$20,0)))),IF($B$1054="Лікар-терапевт",IF(S1058&lt;Законод!$C$26,0,(IF(AND(S1058&gt;=Законод!$H$26,S1058&lt;=Законод!$H$27),S1058-Законод!$G$27,IF(S1058&gt;=Законод!$I$26,Законод!$H$28,0)))),0)))</f>
        <v>0</v>
      </c>
      <c r="T1063" s="930"/>
      <c r="U1063" s="889" t="s">
        <v>346</v>
      </c>
      <c r="V1063" s="890"/>
      <c r="W1063" s="890"/>
      <c r="X1063" s="890"/>
      <c r="Y1063" s="891"/>
      <c r="Z1063" s="196">
        <f ca="1">IF($B$1054="Лікар загальної практики - сімейний лікар",IF(Z1058&lt;Законод!$C$22,0,(IF(AND(Z1058&gt;=Законод!$H$22,Z1058&lt;=Законод!$H$23),Z1058-Законод!$G$23,IF('01_Доходи'!Z1058&gt;=Законод!$I$22,Законод!$H$24,0)))),IF($B$1054="Лікар-педіатр",IF(Z1058&lt;Законод!$C$18,0,(IF(AND(Z1058&gt;=Законод!$H$18,Z1058&lt;=Законод!$H$19),Z1058-Законод!$G$19,IF('01_Доходи'!Z1058&gt;=Законод!$I$18,Законод!$H$20,0)))),IF($B$1054="Лікар-терапевт",IF(Z1058&lt;Законод!$C$26,0,(IF(AND(Z1058&gt;=Законод!$H$26,Z1058&lt;=Законод!$H$27),Z1058-Законод!$G$27,IF(Z1058&gt;=Законод!$I$26,Законод!$H$28,0)))),0)))</f>
        <v>0</v>
      </c>
      <c r="AA1063" s="930"/>
      <c r="AB1063" s="889" t="s">
        <v>346</v>
      </c>
      <c r="AC1063" s="890"/>
      <c r="AD1063" s="890"/>
      <c r="AE1063" s="890"/>
      <c r="AF1063" s="891"/>
      <c r="AG1063" s="196">
        <f ca="1">IF($B$1054="Лікар загальної практики - сімейний лікар",IF(AG1058&lt;Законод!$C$22,0,(IF(AND(AG1058&gt;=Законод!$H$22,AG1058&lt;=Законод!$H$23),AG1058-Законод!$G$23,IF('01_Доходи'!AG1058&gt;=Законод!$I$22,Законод!$H$24,0)))),IF($B$1054="Лікар-педіатр",IF(AG1058&lt;Законод!$C$18,0,(IF(AND(AG1058&gt;=Законод!$H$18,AG1058&lt;=Законод!$H$19),AG1058-Законод!$G$19,IF('01_Доходи'!AG1058&gt;=Законод!$I$18,Законод!$H$20,0)))),IF($B$1054="Лікар-терапевт",IF(AG1058&lt;Законод!$C$26,0,(IF(AND(AG1058&gt;=Законод!$H$26,AG1058&lt;=Законод!$H$27),AG1058-Законод!$G$27,IF(AG1058&gt;=Законод!$I$26,Законод!$H$28,0)))),0)))</f>
        <v>0</v>
      </c>
      <c r="AH1063" s="930"/>
      <c r="AI1063" s="201"/>
      <c r="AJ1063" s="933"/>
      <c r="AK1063" s="927"/>
      <c r="AL1063" s="927"/>
      <c r="AM1063" s="899"/>
      <c r="AN1063" s="210">
        <f ca="1">IF(B1054="Лікар загальної практики - сімейний лікар",L1063*Законод!$C$9/4*Законод!$H$16,IF(B1054="Лікар-педіатр",L1063*Законод!$C$9/4*Законод!$H$16,IF(B1054="Лікар-терапевт",L1063*Законод!$C$9/4*Законод!$H$16,0)))</f>
        <v>0</v>
      </c>
      <c r="AO1063" s="210">
        <f ca="1">IF(B1054="Лікар загальної практики - сімейний лікар",S1063*Законод!$C$9/4*Законод!$H$16,IF(B1054="Лікар-педіатр",S1063*Законод!$C$9/4*Законод!$H$16,IF(B1054="Лікар-терапевт",S1063*Законод!$C$9/4*Законод!$H$16,0)))</f>
        <v>0</v>
      </c>
      <c r="AP1063" s="210">
        <f ca="1">IF(B1054="Лікар загальної практики - сімейний лікар",Z1063*Законод!$C$9/4*Законод!$H$16,IF(B1054="Лікар-педіатр",Z1063*Законод!$C$9/4*Законод!$H$16,IF(B1054="Лікар-терапевт",Z1063*Законод!$C$9/4*Законод!$H$16,0)))</f>
        <v>0</v>
      </c>
      <c r="AQ1063" s="210">
        <f ca="1">IF(B1054="Лікар загальної практики - сімейний лікар",AG1063*Законод!$C$9/4*Законод!$H$16,IF(B1054="Лікар-педіатр",AG1063*Законод!$C$9/4*Законод!$H$16,IF(B1054="Лікар-терапевт",AG1063*Законод!$C$9/4*Законод!$H$16,0)))</f>
        <v>0</v>
      </c>
      <c r="AR1063" s="211">
        <f t="shared" si="108"/>
        <v>0</v>
      </c>
    </row>
    <row r="1064" spans="1:44" s="50" customFormat="1" ht="31.9" hidden="1" customHeight="1">
      <c r="A1064" s="197"/>
      <c r="B1064" s="893"/>
      <c r="C1064" s="896"/>
      <c r="D1064" s="912"/>
      <c r="E1064" s="909"/>
      <c r="F1064" s="238" t="str">
        <f ca="1">IF(B1054="Лікар-педіатр",Законод!$I$17,IF(B1054="Лікар загальної практики - сімейний лікар",Законод!$I$21,IF(B1054="Лікар-терапевт",Законод!$I$25,"х")))</f>
        <v>х</v>
      </c>
      <c r="G1064" s="889" t="s">
        <v>346</v>
      </c>
      <c r="H1064" s="890"/>
      <c r="I1064" s="890"/>
      <c r="J1064" s="890"/>
      <c r="K1064" s="891"/>
      <c r="L1064" s="196">
        <f ca="1">IF($B$1054="Лікар загальної практики - сімейний лікар",IF(L1058&lt;Законод!$C$22,0,(IF(AND(L1058&gt;=Законод!$I$22,L1058&lt;=Законод!$I$23),L1058-Законод!$H$23,IF('01_Доходи'!L1058&gt;=Законод!$I$22,Законод!$I$24,0)))),IF($B$1054="Лікар-педіатр",IF(L1058&lt;Законод!$C$18,0,(IF(AND(L1058&gt;=Законод!$I$18,L1058&lt;=Законод!$I$19),L1058-Законод!$H$19,IF('01_Доходи'!L1058&gt;=Законод!$I$18,Законод!$H$20,0)))),IF($B$1054="Лікар-терапевт",IF(L1058&lt;Законод!$C$26,0,(IF(AND(L1058&gt;=Законод!$I$26,L1058&lt;=Законод!$I$27),L1058-Законод!$H$27,IF('01_Доходи'!L1058&gt;=Законод!$I$26,Законод!$H$28,0)))),0)))</f>
        <v>0</v>
      </c>
      <c r="M1064" s="930"/>
      <c r="N1064" s="889" t="s">
        <v>346</v>
      </c>
      <c r="O1064" s="890"/>
      <c r="P1064" s="890"/>
      <c r="Q1064" s="890"/>
      <c r="R1064" s="891"/>
      <c r="S1064" s="196">
        <f ca="1">IF($B$1054="Лікар загальної практики - сімейний лікар",IF(S1058&lt;Законод!$C$22,0,(IF(AND(S1058&gt;=Законод!$I$22,S1058&lt;=Законод!$I$23),S1058-Законод!$H$23,IF('01_Доходи'!S1058&gt;=Законод!$I$22,Законод!$I$24,0)))),IF($B$1054="Лікар-педіатр",IF(S1058&lt;Законод!$C$18,0,(IF(AND(S1058&gt;=Законод!$I$18,S1058&lt;=Законод!$I$19),S1058-Законод!$H$19,IF('01_Доходи'!S1058&gt;=Законод!$I$18,Законод!$H$20,0)))),IF($B$1054="Лікар-терапевт",IF(S1058&lt;Законод!$C$26,0,(IF(AND(S1058&gt;=Законод!$I$26,S1058&lt;=Законод!$I$27),S1058-Законод!$H$27,IF('01_Доходи'!S1058&gt;=Законод!$I$26,Законод!$H$28,0)))),0)))</f>
        <v>0</v>
      </c>
      <c r="T1064" s="930"/>
      <c r="U1064" s="889" t="s">
        <v>346</v>
      </c>
      <c r="V1064" s="890"/>
      <c r="W1064" s="890"/>
      <c r="X1064" s="890"/>
      <c r="Y1064" s="891"/>
      <c r="Z1064" s="196">
        <f ca="1">IF($B$1054="Лікар загальної практики - сімейний лікар",IF(Z1058&lt;Законод!$C$22,0,(IF(AND(Z1058&gt;=Законод!$I$22,Z1058&lt;=Законод!$I$23),Z1058-Законод!$H$23,IF('01_Доходи'!Z1058&gt;=Законод!$I$22,Законод!$I$24,0)))),IF($B$1054="Лікар-педіатр",IF(Z1058&lt;Законод!$C$18,0,(IF(AND(Z1058&gt;=Законод!$I$18,Z1058&lt;=Законод!$I$19),Z1058-Законод!$H$19,IF('01_Доходи'!Z1058&gt;=Законод!$I$18,Законод!$H$20,0)))),IF($B$1054="Лікар-терапевт",IF(Z1058&lt;Законод!$C$26,0,(IF(AND(Z1058&gt;=Законод!$I$26,Z1058&lt;=Законод!$I$27),Z1058-Законод!$H$27,IF('01_Доходи'!Z1058&gt;=Законод!$I$26,Законод!$H$28,0)))),0)))</f>
        <v>0</v>
      </c>
      <c r="AA1064" s="930"/>
      <c r="AB1064" s="889" t="s">
        <v>346</v>
      </c>
      <c r="AC1064" s="890"/>
      <c r="AD1064" s="890"/>
      <c r="AE1064" s="890"/>
      <c r="AF1064" s="891"/>
      <c r="AG1064" s="196">
        <f ca="1">IF($B$1054="Лікар загальної практики - сімейний лікар",IF(AG1058&lt;Законод!$C$22,0,(IF(AND(AG1058&gt;=Законод!$I$22,AG1058&lt;=Законод!$I$23),AG1058-Законод!$H$23,IF('01_Доходи'!AG1058&gt;=Законод!$I$22,Законод!$I$24,0)))),IF($B$1054="Лікар-педіатр",IF(AG1058&lt;Законод!$C$18,0,(IF(AND(AG1058&gt;=Законод!$I$18,AG1058&lt;=Законод!$I$19),AG1058-Законод!$H$19,IF('01_Доходи'!AG1058&gt;=Законод!$I$18,Законод!$H$20,0)))),IF($B$1054="Лікар-терапевт",IF(AG1058&lt;Законод!$C$26,0,(IF(AND(AG1058&gt;=Законод!$I$26,AG1058&lt;=Законод!$I$27),AG1058-Законод!$H$27,IF('01_Доходи'!AG1058&gt;=Законод!$I$26,Законод!$H$28,0)))),0)))</f>
        <v>0</v>
      </c>
      <c r="AH1064" s="930"/>
      <c r="AI1064" s="201"/>
      <c r="AJ1064" s="933"/>
      <c r="AK1064" s="927"/>
      <c r="AL1064" s="927"/>
      <c r="AM1064" s="899"/>
      <c r="AN1064" s="210">
        <f ca="1">IF(B1054="Лікар загальної практики - сімейний лікар",L1064*Законод!$C$9/4*Законод!$I$16,IF(B1054="Лікар-педіатр",L1064*Законод!$C$9/4*Законод!$I$16,IF(B1054="Лікар-терапевт",L1064*Законод!$C$9/4*Законод!$I$16,0)))</f>
        <v>0</v>
      </c>
      <c r="AO1064" s="210">
        <f ca="1">IF(B1054="Лікар загальної практики - сімейний лікар",S1064*Законод!$C$9/4*Законод!$I$16,IF(B1054="Лікар-педіатр",S1064*Законод!$C$9/4*Законод!$I$16,IF(B1054="Лікар-терапевт",S1064*Законод!$C$9/4*Законод!$I$16,0)))</f>
        <v>0</v>
      </c>
      <c r="AP1064" s="210">
        <f ca="1">IF(B1054="Лікар загальної практики - сімейний лікар",Z1064*Законод!$C$9/4*Законод!$I$16,IF(B1054="Лікар-педіатр",Z1064*Законод!$C$9/4*Законод!$I$16,IF(B1054="Лікар-терапевт",Z1064*Законод!$C$9/4*Законод!$I$16,0)))</f>
        <v>0</v>
      </c>
      <c r="AQ1064" s="210">
        <f ca="1">IF(B1054="Лікар загальної практики - сімейний лікар",AG1064*Законод!$C$9/4*Законод!$I$16,IF(B1054="Лікар-педіатр",AG1064*Законод!$C$9/4*Законод!$I$16,IF(B1054="Лікар-терапевт",AG1064*Законод!$C$9/4*Законод!$I$16,0)))</f>
        <v>0</v>
      </c>
      <c r="AR1064" s="211">
        <f t="shared" si="108"/>
        <v>0</v>
      </c>
    </row>
    <row r="1065" spans="1:44" s="218" customFormat="1" ht="31.9" hidden="1" customHeight="1" thickBot="1">
      <c r="A1065" s="213"/>
      <c r="B1065" s="894"/>
      <c r="C1065" s="897"/>
      <c r="D1065" s="913"/>
      <c r="E1065" s="910"/>
      <c r="F1065" s="239" t="str">
        <f ca="1">IF(B1054="Лікар-педіатр",Законод!$J$17,IF(B1054="Лікар загальної практики - сімейний лікар",Законод!$J$21,IF(B1054="Лікар-терапевт",Законод!$J$25,"х")))</f>
        <v>х</v>
      </c>
      <c r="G1065" s="935" t="s">
        <v>346</v>
      </c>
      <c r="H1065" s="936"/>
      <c r="I1065" s="936"/>
      <c r="J1065" s="936"/>
      <c r="K1065" s="937"/>
      <c r="L1065" s="196">
        <f ca="1">IF($B$1054="Лікар загальної практики - сімейний лікар",IF(L1058&gt;=Законод!$J$22,'01_Доходи'!L1058-('01_Доходи'!L1059+'01_Доходи'!L1060+'01_Доходи'!L1061+'01_Доходи'!L1062+'01_Доходи'!L1063+'01_Доходи'!L1064),0),IF($B$1054="Лікар-педіатр",IF(L1058&gt;=Законод!$J$18,'01_Доходи'!L1058-('01_Доходи'!L1059+'01_Доходи'!L1060+'01_Доходи'!L1061+'01_Доходи'!L1062+'01_Доходи'!L1063+'01_Доходи'!L1064),0),IF($B$1054="Лікар-терапевт",IF('01_Доходи'!L1058&gt;=Законод!$J$26,L1058-Законод!$I$27,0),0)))</f>
        <v>0</v>
      </c>
      <c r="M1065" s="931"/>
      <c r="N1065" s="935" t="s">
        <v>346</v>
      </c>
      <c r="O1065" s="936"/>
      <c r="P1065" s="936"/>
      <c r="Q1065" s="936"/>
      <c r="R1065" s="937"/>
      <c r="S1065" s="196">
        <f ca="1">IF($B$1054="Лікар загальної практики - сімейний лікар",IF(S1058&gt;=Законод!$J$22,'01_Доходи'!S1058-('01_Доходи'!S1059+'01_Доходи'!S1060+'01_Доходи'!S1061+'01_Доходи'!S1062+'01_Доходи'!S1063+'01_Доходи'!S1064),0),IF($B$1054="Лікар-педіатр",IF(S1058&gt;=Законод!$J$18,'01_Доходи'!S1058-('01_Доходи'!S1059+'01_Доходи'!S1060+'01_Доходи'!S1061+'01_Доходи'!S1062+'01_Доходи'!S1063+'01_Доходи'!S1064),0),IF($B$1054="Лікар-терапевт",IF('01_Доходи'!S1058&gt;=Законод!$J$26,S1058-Законод!$I$27,0),0)))</f>
        <v>0</v>
      </c>
      <c r="T1065" s="931"/>
      <c r="U1065" s="935" t="s">
        <v>346</v>
      </c>
      <c r="V1065" s="936"/>
      <c r="W1065" s="936"/>
      <c r="X1065" s="936"/>
      <c r="Y1065" s="937"/>
      <c r="Z1065" s="196">
        <f ca="1">IF($B$1054="Лікар загальної практики - сімейний лікар",IF(Z1058&gt;=Законод!$J$22,'01_Доходи'!Z1058-('01_Доходи'!Z1059+'01_Доходи'!Z1060+'01_Доходи'!Z1061+'01_Доходи'!Z1062+'01_Доходи'!Z1063+'01_Доходи'!Z1064),0),IF($B$1054="Лікар-педіатр",IF(Z1058&gt;=Законод!$J$18,'01_Доходи'!Z1058-('01_Доходи'!Z1059+'01_Доходи'!Z1060+'01_Доходи'!Z1061+'01_Доходи'!Z1062+'01_Доходи'!Z1063+'01_Доходи'!Z1064),0),IF($B$1054="Лікар-терапевт",IF('01_Доходи'!Z1058&gt;=Законод!$J$26,Z1058-Законод!$I$27,0),0)))</f>
        <v>0</v>
      </c>
      <c r="AA1065" s="931"/>
      <c r="AB1065" s="935" t="s">
        <v>346</v>
      </c>
      <c r="AC1065" s="936"/>
      <c r="AD1065" s="936"/>
      <c r="AE1065" s="936"/>
      <c r="AF1065" s="937"/>
      <c r="AG1065" s="196">
        <f ca="1">IF($B$1054="Лікар загальної практики - сімейний лікар",IF(AG1058&gt;=Законод!$J$22,'01_Доходи'!AG1058-('01_Доходи'!AG1059+'01_Доходи'!AG1060+'01_Доходи'!AG1061+'01_Доходи'!AG1062+'01_Доходи'!AG1063+'01_Доходи'!AG1064),0),IF($B$1054="Лікар-педіатр",IF(AG1058&gt;=Законод!$J$18,'01_Доходи'!AG1058-('01_Доходи'!AG1059+'01_Доходи'!AG1060+'01_Доходи'!AG1061+'01_Доходи'!AG1062+'01_Доходи'!AG1063+'01_Доходи'!AG1064),0),IF($B$1054="Лікар-терапевт",IF('01_Доходи'!AG1058&gt;=Законод!$J$26,AG1058-Законод!$I$27,0),0)))</f>
        <v>0</v>
      </c>
      <c r="AH1065" s="931"/>
      <c r="AI1065" s="215"/>
      <c r="AJ1065" s="934"/>
      <c r="AK1065" s="928"/>
      <c r="AL1065" s="928"/>
      <c r="AM1065" s="900"/>
      <c r="AN1065" s="216">
        <f ca="1">IF(B1054="Лікар загальної практики - сімейний лікар",L1065*Законод!$C$9/4*Законод!$J$16,IF(B1054="Лікар-педіатр",L1065*Законод!$C$9/4*Законод!$J$16,IF(B1054="Лікар-терапевт",L1065*Законод!$C$9/4*Законод!$J$16,0)))</f>
        <v>0</v>
      </c>
      <c r="AO1065" s="216">
        <f ca="1">IF(B1054="Лікар загальної практики - сімейний лікар",S1065*Законод!$C$9/4*Законод!$J$16,IF(B1054="Лікар-педіатр",S1065*Законод!$C$9/4*Законод!$J$16,IF(B1054="Лікар-терапевт",S1065*Законод!$C$9/4*Законод!$J$16,0)))</f>
        <v>0</v>
      </c>
      <c r="AP1065" s="216">
        <f ca="1">IF(B1054="Лікар загальної практики - сімейний лікар",S1065*Законод!$C$9/4*Законод!$J$16,IF(B1054="Лікар-педіатр",S1065*Законод!$C$9/4*Законод!$J$16,IF(B1054="Лікар-терапевт",S1065*Законод!$C$9/4*Законод!$J$16,0)))</f>
        <v>0</v>
      </c>
      <c r="AQ1065" s="216">
        <f ca="1">IF(B1054="Лікар загальної практики - сімейний лікар",AG1065*Законод!$C$9/4*Законод!$J$16,IF(B1054="Лікар-педіатр",AG1065*Законод!$C$9/4*Законод!$J$16,IF(B1054="Лікар-терапевт",AG1065*Законод!$C$9/4*Законод!$J$16,0)))</f>
        <v>0</v>
      </c>
      <c r="AR1065" s="217">
        <f t="shared" si="108"/>
        <v>0</v>
      </c>
    </row>
    <row r="1066" spans="1:44" s="247" customFormat="1" ht="23.45" hidden="1" customHeight="1" thickBot="1">
      <c r="A1066" s="243"/>
      <c r="B1066" s="244"/>
      <c r="C1066" s="244"/>
      <c r="D1066" s="244"/>
      <c r="E1066" s="244"/>
      <c r="F1066" s="245"/>
      <c r="G1066" s="246"/>
      <c r="H1066" s="246"/>
      <c r="L1066" s="248"/>
      <c r="S1066" s="248"/>
      <c r="Z1066" s="248"/>
      <c r="AG1066" s="248"/>
      <c r="AM1066" s="249"/>
      <c r="AR1066" s="250"/>
    </row>
    <row r="1067" spans="1:44" s="191" customFormat="1" ht="24.6" hidden="1" customHeight="1">
      <c r="A1067" s="194">
        <f>A1054+1</f>
        <v>80</v>
      </c>
      <c r="B1067" s="892"/>
      <c r="C1067" s="895"/>
      <c r="D1067" s="911"/>
      <c r="E1067" s="908"/>
      <c r="F1067" s="234" t="s">
        <v>582</v>
      </c>
      <c r="G1067" s="196">
        <f>IF($B$1067="Лікар-педіатр",G1070*L1067,IF($B$1067="Лікар-терапевт","х",IF($B$1067="Лікар загальної практики - сімейний лікар",G1070*L1067,0)))</f>
        <v>0</v>
      </c>
      <c r="H1067" s="196">
        <f>IF($B$1067="Лікар-педіатр",H1070*L1067,IF($B$1067="Лікар-терапевт","х",IF($B$1067="Лікар загальної практики - сімейний лікар",H1070*L1067,0)))</f>
        <v>0</v>
      </c>
      <c r="I1067" s="196">
        <f>IF($B$1067="Лікар-педіатр","x",IF($B$1067="Лікар-терапевт",I1070*L1067,IF($B$1067="Лікар загальної практики - сімейний лікар",I1070*L1067,0)))</f>
        <v>0</v>
      </c>
      <c r="J1067" s="196">
        <f>IF($B$1067="Лікар-педіатр","x",IF($B$1067="Лікар-терапевт",J1070*L1067,IF($B$1067="Лікар загальної практики - сімейний лікар",J1070*L1067,0)))</f>
        <v>0</v>
      </c>
      <c r="K1067" s="196">
        <f>IF($B$1067="Лікар-педіатр","x",IF($B$1067="Лікар-терапевт",K1070*L1067,IF($B$1067="Лікар загальної практики - сімейний лікар",K1070*L1067,0)))</f>
        <v>0</v>
      </c>
      <c r="L1067" s="558"/>
      <c r="M1067" s="929"/>
      <c r="N1067" s="196">
        <f>IF($B$1067="Лікар-педіатр",N1070*S1067,IF($B$1067="Лікар-терапевт","х",IF($B$1067="Лікар загальної практики - сімейний лікар",N1070*S1067,0)))</f>
        <v>0</v>
      </c>
      <c r="O1067" s="196">
        <f>IF($B$1067="Лікар-педіатр",O1070*S1067,IF($B$1067="Лікар-терапевт","х",IF($B$1067="Лікар загальної практики - сімейний лікар",O1070*S1067,0)))</f>
        <v>0</v>
      </c>
      <c r="P1067" s="196">
        <f>IF($B$1067="Лікар-педіатр","x",IF($B$1067="Лікар-терапевт",P1070*S1067,IF($B$1067="Лікар загальної практики - сімейний лікар",P1070*S1067,0)))</f>
        <v>0</v>
      </c>
      <c r="Q1067" s="196">
        <f>IF($B$1067="Лікар-педіатр","x",IF($B$1067="Лікар-терапевт",Q1070*S1067,IF($B$1067="Лікар загальної практики - сімейний лікар",Q1070*S1067,0)))</f>
        <v>0</v>
      </c>
      <c r="R1067" s="196">
        <f>IF($B$1067="Лікар-педіатр","x",IF($B$1067="Лікар-терапевт",R1070*S1067,IF($B$1067="Лікар загальної практики - сімейний лікар",R1070*S1067,0)))</f>
        <v>0</v>
      </c>
      <c r="S1067" s="558"/>
      <c r="T1067" s="929"/>
      <c r="U1067" s="196">
        <f>IF($B$1067="Лікар-педіатр",U1070*Z1067,IF($B$1067="Лікар-терапевт","х",IF($B$1067="Лікар загальної практики - сімейний лікар",U1070*Z1067,0)))</f>
        <v>0</v>
      </c>
      <c r="V1067" s="196">
        <f>IF($B$1067="Лікар-педіатр",V1070*Z1067,IF($B$1067="Лікар-терапевт","х",IF($B$1067="Лікар загальної практики - сімейний лікар",V1070*Z1067,0)))</f>
        <v>0</v>
      </c>
      <c r="W1067" s="196">
        <f>IF($B$1067="Лікар-педіатр","x",IF($B$1067="Лікар-терапевт",W1070*Z1067,IF($B$1067="Лікар загальної практики - сімейний лікар",W1070*Z1067,0)))</f>
        <v>0</v>
      </c>
      <c r="X1067" s="196">
        <f>IF($B$1067="Лікар-педіатр","x",IF($B$1067="Лікар-терапевт",X1070*Z1067,IF($B$1067="Лікар загальної практики - сімейний лікар",X1070*Z1067,0)))</f>
        <v>0</v>
      </c>
      <c r="Y1067" s="196">
        <f>IF($B$1067="Лікар-педіатр","x",IF($B$1067="Лікар-терапевт",Y1070*Z1067,IF($B$1067="Лікар загальної практики - сімейний лікар",Y1070*Z1067,0)))</f>
        <v>0</v>
      </c>
      <c r="Z1067" s="558"/>
      <c r="AA1067" s="929"/>
      <c r="AB1067" s="196">
        <f>IF($B$1067="Лікар-педіатр",AB1070*AG1067,IF($B$1067="Лікар-терапевт","х",IF($B$1067="Лікар загальної практики - сімейний лікар",AB1070*AG1067,0)))</f>
        <v>0</v>
      </c>
      <c r="AC1067" s="196">
        <f>IF($B$1067="Лікар-педіатр",AC1070*AG1067,IF($B$1067="Лікар-терапевт","х",IF($B$1067="Лікар загальної практики - сімейний лікар",AC1070*AG1067,0)))</f>
        <v>0</v>
      </c>
      <c r="AD1067" s="196">
        <f>IF($B$1067="Лікар-педіатр","x",IF($B$1067="Лікар-терапевт",AD1070*AG1067,IF($B$1067="Лікар загальної практики - сімейний лікар",AD1070*AG1067,0)))</f>
        <v>0</v>
      </c>
      <c r="AE1067" s="196">
        <f>IF($B$1067="Лікар-педіатр","x",IF($B$1067="Лікар-терапевт",AE1070*AG1067,IF($B$1067="Лікар загальної практики - сімейний лікар",AE1070*AG1067,0)))</f>
        <v>0</v>
      </c>
      <c r="AF1067" s="196">
        <f>IF($B$1067="Лікар-педіатр","x",IF($B$1067="Лікар-терапевт",AF1070*AG1067,IF($B$1067="Лікар загальної практики - сімейний лікар",AF1070*AG1067,0)))</f>
        <v>0</v>
      </c>
      <c r="AG1067" s="558"/>
      <c r="AH1067" s="929"/>
      <c r="AI1067" s="541">
        <f>A1067</f>
        <v>80</v>
      </c>
      <c r="AJ1067" s="932">
        <f>B1067</f>
        <v>0</v>
      </c>
      <c r="AK1067" s="926">
        <f>C1067</f>
        <v>0</v>
      </c>
      <c r="AL1067" s="926">
        <f>D1067</f>
        <v>0</v>
      </c>
      <c r="AM1067" s="901" t="s">
        <v>785</v>
      </c>
      <c r="AN1067" s="923">
        <f>SUM(AN1072:AN1078)</f>
        <v>0</v>
      </c>
      <c r="AO1067" s="923">
        <f>SUM(AO1072:AO1078)</f>
        <v>0</v>
      </c>
      <c r="AP1067" s="923">
        <f>SUM(AP1072:AP1078)</f>
        <v>0</v>
      </c>
      <c r="AQ1067" s="923">
        <f>SUM(AQ1072:AQ1078)</f>
        <v>0</v>
      </c>
      <c r="AR1067" s="914">
        <f>SUM(AN1067:AQ1071)</f>
        <v>0</v>
      </c>
    </row>
    <row r="1068" spans="1:44" s="50" customFormat="1" ht="28.15" hidden="1" customHeight="1">
      <c r="A1068" s="197"/>
      <c r="B1068" s="893"/>
      <c r="C1068" s="896"/>
      <c r="D1068" s="912"/>
      <c r="E1068" s="909"/>
      <c r="F1068" s="234" t="s">
        <v>583</v>
      </c>
      <c r="G1068" s="196">
        <f>IF($B$1067="Лікар-педіатр",G1070*L1068,IF($B$1067="Лікар-терапевт","х",IF($B$1067="Лікар загальної практики - сімейний лікар",G1070*L1068,0)))</f>
        <v>0</v>
      </c>
      <c r="H1068" s="196">
        <f>IF($B$1067="Лікар-педіатр",H1070*L1068,IF($B$1067="Лікар-терапевт","х",IF($B$1067="Лікар загальної практики - сімейний лікар",H1070*L1068,0)))</f>
        <v>0</v>
      </c>
      <c r="I1068" s="196">
        <f>IF($B$1067="Лікар-педіатр","x",IF($B$1067="Лікар-терапевт",I1070*L1068,IF($B$1067="Лікар загальної практики - сімейний лікар",I1070*L1068,0)))</f>
        <v>0</v>
      </c>
      <c r="J1068" s="196">
        <f>IF($B$1067="Лікар-педіатр","x",IF($B$1067="Лікар-терапевт",J1070*L1068,IF($B$1067="Лікар загальної практики - сімейний лікар",J1070*L1068,0)))</f>
        <v>0</v>
      </c>
      <c r="K1068" s="196">
        <f>IF($B$1067="Лікар-педіатр","x",IF($B$1067="Лікар-терапевт",K1070*L1068,IF($B$1067="Лікар загальної практики - сімейний лікар",K1070*L1068,0)))</f>
        <v>0</v>
      </c>
      <c r="L1068" s="558"/>
      <c r="M1068" s="930"/>
      <c r="N1068" s="196">
        <f>IF($B$1067="Лікар-педіатр",N1070*S1068,IF($B$1067="Лікар-терапевт","х",IF($B$1067="Лікар загальної практики - сімейний лікар",N1070*S1068,0)))</f>
        <v>0</v>
      </c>
      <c r="O1068" s="196">
        <f>IF($B$1067="Лікар-педіатр",O1070*S1068,IF($B$1067="Лікар-терапевт","х",IF($B$1067="Лікар загальної практики - сімейний лікар",O1070*S1068,0)))</f>
        <v>0</v>
      </c>
      <c r="P1068" s="196">
        <f>IF($B$1067="Лікар-педіатр","x",IF($B$1067="Лікар-терапевт",P1070*S1068,IF($B$1067="Лікар загальної практики - сімейний лікар",P1070*S1068,0)))</f>
        <v>0</v>
      </c>
      <c r="Q1068" s="196">
        <f>IF($B$1067="Лікар-педіатр","x",IF($B$1067="Лікар-терапевт",Q1070*S1068,IF($B$1067="Лікар загальної практики - сімейний лікар",Q1070*S1068,0)))</f>
        <v>0</v>
      </c>
      <c r="R1068" s="196">
        <f>IF($B$1067="Лікар-педіатр","x",IF($B$1067="Лікар-терапевт",R1070*S1068,IF($B$1067="Лікар загальної практики - сімейний лікар",R1070*S1068,0)))</f>
        <v>0</v>
      </c>
      <c r="S1068" s="558"/>
      <c r="T1068" s="930"/>
      <c r="U1068" s="196">
        <f>IF($B$1067="Лікар-педіатр",U1070*Z1068,IF($B$1067="Лікар-терапевт","х",IF($B$1067="Лікар загальної практики - сімейний лікар",U1070*Z1068,0)))</f>
        <v>0</v>
      </c>
      <c r="V1068" s="196">
        <f>IF($B$1067="Лікар-педіатр",V1070*Z1068,IF($B$1067="Лікар-терапевт","х",IF($B$1067="Лікар загальної практики - сімейний лікар",V1070*Z1068,0)))</f>
        <v>0</v>
      </c>
      <c r="W1068" s="196">
        <f>IF($B$1067="Лікар-педіатр","x",IF($B$1067="Лікар-терапевт",W1070*Z1068,IF($B$1067="Лікар загальної практики - сімейний лікар",W1070*Z1068,0)))</f>
        <v>0</v>
      </c>
      <c r="X1068" s="196">
        <f>IF($B$1067="Лікар-педіатр","x",IF($B$1067="Лікар-терапевт",X1070*Z1068,IF($B$1067="Лікар загальної практики - сімейний лікар",X1070*Z1068,0)))</f>
        <v>0</v>
      </c>
      <c r="Y1068" s="196">
        <f>IF($B$1067="Лікар-педіатр","x",IF($B$1067="Лікар-терапевт",Y1070*Z1068,IF($B$1067="Лікар загальної практики - сімейний лікар",Y1070*Z1068,0)))</f>
        <v>0</v>
      </c>
      <c r="Z1068" s="558"/>
      <c r="AA1068" s="930"/>
      <c r="AB1068" s="196">
        <f>IF($B$1067="Лікар-педіатр",AB1070*AG1068,IF($B$1067="Лікар-терапевт","х",IF($B$1067="Лікар загальної практики - сімейний лікар",AB1070*AG1068,0)))</f>
        <v>0</v>
      </c>
      <c r="AC1068" s="196">
        <f>IF($B$1067="Лікар-педіатр",AC1070*AG1068,IF($B$1067="Лікар-терапевт","х",IF($B$1067="Лікар загальної практики - сімейний лікар",AC1070*AG1068,0)))</f>
        <v>0</v>
      </c>
      <c r="AD1068" s="196">
        <f>IF($B$1067="Лікар-педіатр","x",IF($B$1067="Лікар-терапевт",AD1070*AG1068,IF($B$1067="Лікар загальної практики - сімейний лікар",AD1070*AG1068,0)))</f>
        <v>0</v>
      </c>
      <c r="AE1068" s="196">
        <f>IF($B$1067="Лікар-педіатр","x",IF($B$1067="Лікар-терапевт",AE1070*AG1068,IF($B$1067="Лікар загальної практики - сімейний лікар",AE1070*AG1068,0)))</f>
        <v>0</v>
      </c>
      <c r="AF1068" s="196">
        <f>IF($B$1067="Лікар-педіатр","x",IF($B$1067="Лікар-терапевт",AF1070*AG1068,IF($B$1067="Лікар загальної практики - сімейний лікар",AF1070*AG1068,0)))</f>
        <v>0</v>
      </c>
      <c r="AG1068" s="558"/>
      <c r="AH1068" s="930"/>
      <c r="AI1068" s="198"/>
      <c r="AJ1068" s="933"/>
      <c r="AK1068" s="927"/>
      <c r="AL1068" s="927"/>
      <c r="AM1068" s="902"/>
      <c r="AN1068" s="924"/>
      <c r="AO1068" s="924"/>
      <c r="AP1068" s="924"/>
      <c r="AQ1068" s="924"/>
      <c r="AR1068" s="915"/>
    </row>
    <row r="1069" spans="1:44" s="90" customFormat="1" ht="31.15" hidden="1" customHeight="1">
      <c r="A1069" s="240"/>
      <c r="B1069" s="893"/>
      <c r="C1069" s="896"/>
      <c r="D1069" s="912"/>
      <c r="E1069" s="909"/>
      <c r="F1069" s="241" t="s">
        <v>584</v>
      </c>
      <c r="G1069" s="199">
        <f>IF(B1067="Лікар загальної практики - сімейний лікар"," ",IF(B1067="Лікар-педіатр"," ",IF(B1067="Лікар-терапевт","х",0)))</f>
        <v>0</v>
      </c>
      <c r="H1069" s="199">
        <f>IF(B1067="Лікар загальної практики - сімейний лікар"," ",IF(B1067="Лікар-педіатр"," ",IF(B1067="Лікар-терапевт","х",0)))</f>
        <v>0</v>
      </c>
      <c r="I1069" s="199">
        <f>IF(B1067="Лікар загальної практики - сімейний лікар"," ",IF(B1067="Лікар-педіатр","х",IF(B1067="Лікар-терапевт"," ",0)))</f>
        <v>0</v>
      </c>
      <c r="J1069" s="199">
        <f>IF(B1067="Лікар загальної практики - сімейний лікар"," ",IF(B1067="Лікар-педіатр","х",IF(B1067="Лікар-терапевт"," ",0)))</f>
        <v>0</v>
      </c>
      <c r="K1069" s="199">
        <f>IF(B1067="Лікар загальної практики - сімейний лікар"," ",IF(B1067="Лікар-педіатр","х",IF(B1067="Лікар-терапевт"," ",0)))</f>
        <v>0</v>
      </c>
      <c r="L1069" s="200">
        <f>SUM(G1069:K1069)</f>
        <v>0</v>
      </c>
      <c r="M1069" s="930"/>
      <c r="N1069" s="199">
        <f>IF(B1067="Лікар загальної практики - сімейний лікар"," ",IF(B1067="Лікар-педіатр"," ",IF(B1067="Лікар-терапевт","х",0)))</f>
        <v>0</v>
      </c>
      <c r="O1069" s="199">
        <f>IF(B1067="Лікар загальної практики - сімейний лікар"," ",IF(B1067="Лікар-педіатр"," ",IF(B1067="Лікар-терапевт","х",0)))</f>
        <v>0</v>
      </c>
      <c r="P1069" s="199">
        <f>IF(B1067="Лікар загальної практики - сімейний лікар"," ",IF(B1067="Лікар-педіатр","х",IF(B1067="Лікар-терапевт"," ",0)))</f>
        <v>0</v>
      </c>
      <c r="Q1069" s="199">
        <f>IF(B1067="Лікар загальної практики - сімейний лікар"," ",IF(B1067="Лікар-педіатр","х",IF(B1067="Лікар-терапевт"," ",0)))</f>
        <v>0</v>
      </c>
      <c r="R1069" s="199">
        <f>IF(B1067="Лікар загальної практики - сімейний лікар"," ",IF(B1067="Лікар-педіатр","х",IF(B1067="Лікар-терапевт"," ",0)))</f>
        <v>0</v>
      </c>
      <c r="S1069" s="200">
        <f>SUM(N1069:R1069)</f>
        <v>0</v>
      </c>
      <c r="T1069" s="930"/>
      <c r="U1069" s="199">
        <f>IF(B1067="Лікар загальної практики - сімейний лікар"," ",IF(B1067="Лікар-педіатр"," ",IF(B1067="Лікар-терапевт","х",0)))</f>
        <v>0</v>
      </c>
      <c r="V1069" s="199">
        <f>IF(B1067="Лікар загальної практики - сімейний лікар"," ",IF(B1067="Лікар-педіатр"," ",IF(B1067="Лікар-терапевт","х",0)))</f>
        <v>0</v>
      </c>
      <c r="W1069" s="199">
        <f>IF(B1067="Лікар загальної практики - сімейний лікар"," ",IF(B1067="Лікар-педіатр","х",IF(B1067="Лікар-терапевт"," ",0)))</f>
        <v>0</v>
      </c>
      <c r="X1069" s="199">
        <f>IF(B1067="Лікар загальної практики - сімейний лікар"," ",IF(B1067="Лікар-педіатр","х",IF(B1067="Лікар-терапевт"," ",0)))</f>
        <v>0</v>
      </c>
      <c r="Y1069" s="199">
        <f>IF(B1067="Лікар загальної практики - сімейний лікар"," ",IF(B1067="Лікар-педіатр","х",IF(B1067="Лікар-терапевт"," ",0)))</f>
        <v>0</v>
      </c>
      <c r="Z1069" s="200">
        <f>SUM(U1069:Y1069)</f>
        <v>0</v>
      </c>
      <c r="AA1069" s="930"/>
      <c r="AB1069" s="199">
        <f>IF(B1067="Лікар загальної практики - сімейний лікар"," ",IF(B1067="Лікар-педіатр"," ",IF(B1067="Лікар-терапевт","х",0)))</f>
        <v>0</v>
      </c>
      <c r="AC1069" s="199">
        <f>IF(B1067="Лікар загальної практики - сімейний лікар"," ",IF(B1067="Лікар-педіатр"," ",IF(B1067="Лікар-терапевт","х",0)))</f>
        <v>0</v>
      </c>
      <c r="AD1069" s="199">
        <f>IF(B1067="Лікар загальної практики - сімейний лікар"," ",IF(B1067="Лікар-педіатр","х",IF(B1067="Лікар-терапевт"," ",0)))</f>
        <v>0</v>
      </c>
      <c r="AE1069" s="199">
        <f>IF(B1067="Лікар загальної практики - сімейний лікар"," ",IF(B1067="Лікар-педіатр","х",IF(B1067="Лікар-терапевт"," ",0)))</f>
        <v>0</v>
      </c>
      <c r="AF1069" s="199">
        <f>IF(B1067="Лікар загальної практики - сімейний лікар"," ",IF(B1067="Лікар-педіатр","х",IF(B1067="Лікар-терапевт"," ",0)))</f>
        <v>0</v>
      </c>
      <c r="AG1069" s="200">
        <f>SUM(AB1069:AF1069)</f>
        <v>0</v>
      </c>
      <c r="AH1069" s="930"/>
      <c r="AI1069" s="242"/>
      <c r="AJ1069" s="933"/>
      <c r="AK1069" s="927"/>
      <c r="AL1069" s="927"/>
      <c r="AM1069" s="902"/>
      <c r="AN1069" s="924"/>
      <c r="AO1069" s="924"/>
      <c r="AP1069" s="924"/>
      <c r="AQ1069" s="924"/>
      <c r="AR1069" s="915"/>
    </row>
    <row r="1070" spans="1:44" s="50" customFormat="1" ht="31.9" hidden="1" customHeight="1" thickBot="1">
      <c r="A1070" s="197"/>
      <c r="B1070" s="893"/>
      <c r="C1070" s="896"/>
      <c r="D1070" s="912"/>
      <c r="E1070" s="909"/>
      <c r="F1070" s="236" t="s">
        <v>349</v>
      </c>
      <c r="G1070" s="203">
        <f>IF($B$1067="Лікар-педіатр",G1069/L1069,IF($B$1067="Лікар-терапевт","х",IF($B$1067="Лікар загальної практики - сімейний лікар",G1069/L1069,0)))</f>
        <v>0</v>
      </c>
      <c r="H1070" s="203">
        <f>IF($B$1067="Лікар-педіатр",H1069/L1069,IF($B$1067="Лікар-терапевт","х",IF($B$1067="Лікар загальної практики - сімейний лікар",H1069/L1069,0)))</f>
        <v>0</v>
      </c>
      <c r="I1070" s="203">
        <f>IF($B$1067="Лікар-педіатр","x",IF($B$1067="Лікар-терапевт",I1069/L1069,IF($B$1067="Лікар загальної практики - сімейний лікар",I1069/L1069,0)))</f>
        <v>0</v>
      </c>
      <c r="J1070" s="203">
        <f>IF($B$1067="Лікар-педіатр","x",IF($B$1067="Лікар-терапевт",J1069/L1069,IF($B$1067="Лікар загальної практики - сімейний лікар",J1069/L1069,0)))</f>
        <v>0</v>
      </c>
      <c r="K1070" s="203">
        <f>IF($B$1067="Лікар-педіатр","x",IF($B$1067="Лікар-терапевт",K1069/L1069,IF($B$1067="Лікар загальної практики - сімейний лікар",K1069/L1069,0)))</f>
        <v>0</v>
      </c>
      <c r="L1070" s="203">
        <f>SUM(G1070:K1070)</f>
        <v>0</v>
      </c>
      <c r="M1070" s="930"/>
      <c r="N1070" s="203">
        <f>IF($B$1067="Лікар-педіатр",N1069/S1069,IF($B$1067="Лікар-терапевт","х",IF($B$1067="Лікар загальної практики - сімейний лікар",N1069/S1069,0)))</f>
        <v>0</v>
      </c>
      <c r="O1070" s="203">
        <f>IF($B$1067="Лікар-педіатр",O1069/S1069,IF($B$1067="Лікар-терапевт","х",IF($B$1067="Лікар загальної практики - сімейний лікар",O1069/S1069,0)))</f>
        <v>0</v>
      </c>
      <c r="P1070" s="203">
        <f>IF($B$1067="Лікар-педіатр","x",IF($B$1067="Лікар-терапевт",P1069/S1069,IF($B$1067="Лікар загальної практики - сімейний лікар",P1069/S1069,0)))</f>
        <v>0</v>
      </c>
      <c r="Q1070" s="203">
        <f>IF($B$1067="Лікар-педіатр","x",IF($B$1067="Лікар-терапевт",Q1069/S1069,IF($B$1067="Лікар загальної практики - сімейний лікар",Q1069/S1069,0)))</f>
        <v>0</v>
      </c>
      <c r="R1070" s="203">
        <f>IF($B$1067="Лікар-педіатр","x",IF($B$1067="Лікар-терапевт",R1069/S1069,IF($B$1067="Лікар загальної практики - сімейний лікар",R1069/S1069,0)))</f>
        <v>0</v>
      </c>
      <c r="S1070" s="203">
        <f>SUM(N1070:R1070)</f>
        <v>0</v>
      </c>
      <c r="T1070" s="930"/>
      <c r="U1070" s="203">
        <f>IF($B$1067="Лікар-педіатр",U1069/Z1069,IF($B$1067="Лікар-терапевт","х",IF($B$1067="Лікар загальної практики - сімейний лікар",U1069/Z1069,0)))</f>
        <v>0</v>
      </c>
      <c r="V1070" s="203">
        <f>IF($B$1067="Лікар-педіатр",V1069/Z1069,IF($B$1067="Лікар-терапевт","х",IF($B$1067="Лікар загальної практики - сімейний лікар",V1069/Z1069,0)))</f>
        <v>0</v>
      </c>
      <c r="W1070" s="203">
        <f>IF($B$1067="Лікар-педіатр","x",IF($B$1067="Лікар-терапевт",W1069/Z1069,IF($B$1067="Лікар загальної практики - сімейний лікар",W1069/Z1069,0)))</f>
        <v>0</v>
      </c>
      <c r="X1070" s="203">
        <f>IF($B$1067="Лікар-педіатр","x",IF($B$1067="Лікар-терапевт",X1069/Z1069,IF($B$1067="Лікар загальної практики - сімейний лікар",X1069/Z1069,0)))</f>
        <v>0</v>
      </c>
      <c r="Y1070" s="203">
        <f>IF($B$1067="Лікар-педіатр","x",IF($B$1067="Лікар-терапевт",Y1069/Z1069,IF($B$1067="Лікар загальної практики - сімейний лікар",Y1069/Z1069,0)))</f>
        <v>0</v>
      </c>
      <c r="Z1070" s="203">
        <f>SUM(U1070:Y1070)</f>
        <v>0</v>
      </c>
      <c r="AA1070" s="930"/>
      <c r="AB1070" s="203">
        <f>IF($B$1067="Лікар-педіатр",AB1069/AG1069,IF($B$1067="Лікар-терапевт","х",IF($B$1067="Лікар загальної практики - сімейний лікар",AB1069/AG1069,0)))</f>
        <v>0</v>
      </c>
      <c r="AC1070" s="203">
        <f>IF($B$1067="Лікар-педіатр",AC1069/AG1069,IF($B$1067="Лікар-терапевт","х",IF($B$1067="Лікар загальної практики - сімейний лікар",AC1069/AG1069,0)))</f>
        <v>0</v>
      </c>
      <c r="AD1070" s="203">
        <f>IF($B$1067="Лікар-педіатр","x",IF($B$1067="Лікар-терапевт",AD1069/AG1069,IF($B$1067="Лікар загальної практики - сімейний лікар",AD1069/AG1069,0)))</f>
        <v>0</v>
      </c>
      <c r="AE1070" s="203">
        <f>IF($B$1067="Лікар-педіатр","x",IF($B$1067="Лікар-терапевт",AE1069/AG1069,IF($B$1067="Лікар загальної практики - сімейний лікар",AE1069/AG1069,0)))</f>
        <v>0</v>
      </c>
      <c r="AF1070" s="203">
        <f>IF($B$1067="Лікар-педіатр","x",IF($B$1067="Лікар-терапевт",AF1069/AG1069,IF($B$1067="Лікар загальної практики - сімейний лікар",AF1069/AG1069,0)))</f>
        <v>0</v>
      </c>
      <c r="AG1070" s="203">
        <f>SUM(AB1070:AF1070)</f>
        <v>0</v>
      </c>
      <c r="AH1070" s="930"/>
      <c r="AI1070" s="201"/>
      <c r="AJ1070" s="933"/>
      <c r="AK1070" s="927"/>
      <c r="AL1070" s="927"/>
      <c r="AM1070" s="902"/>
      <c r="AN1070" s="924"/>
      <c r="AO1070" s="924"/>
      <c r="AP1070" s="924"/>
      <c r="AQ1070" s="924"/>
      <c r="AR1070" s="915"/>
    </row>
    <row r="1071" spans="1:44" s="50" customFormat="1" ht="45" hidden="1" customHeight="1" thickBot="1">
      <c r="A1071" s="197"/>
      <c r="B1071" s="893"/>
      <c r="C1071" s="896"/>
      <c r="D1071" s="912"/>
      <c r="E1071" s="909"/>
      <c r="F1071" s="204" t="s">
        <v>585</v>
      </c>
      <c r="G1071" s="205">
        <f>IF($B$1067="Лікар загальної практики - сімейний лікар",AVERAGE(G1067:G1069),IF($B$1067="Лікар-педіатр",AVERAGE(G1067:G1069),IF($B$1067="Лікар-терапевт","х",0)))</f>
        <v>0</v>
      </c>
      <c r="H1071" s="205">
        <f>IF($B$1067="Лікар загальної практики - сімейний лікар",AVERAGE(H1067:H1069),IF($B$1067="Лікар-педіатр",AVERAGE(H1067:H1069),IF($B$1067="Лікар-терапевт","х",0)))</f>
        <v>0</v>
      </c>
      <c r="I1071" s="205">
        <f>IF($B$1067="Лікар загальної практики - сімейний лікар",AVERAGE(I1067:I1069),IF($B$1067="Лікар-педіатр","x",IF($B$1067="Лікар-терапевт",AVERAGE(I1067:I1069),0)))</f>
        <v>0</v>
      </c>
      <c r="J1071" s="205">
        <f>IF($B$1067="Лікар загальної практики - сімейний лікар",AVERAGE(J1067:J1069),IF($B$1067="Лікар-педіатр","x",IF($B$1067="Лікар-терапевт",AVERAGE(J1067:J1069),0)))</f>
        <v>0</v>
      </c>
      <c r="K1071" s="205">
        <f>IF($B$1067="Лікар загальної практики - сімейний лікар",AVERAGE(K1067:K1069),IF($B$1067="Лікар-педіатр","x",IF($B$1067="Лікар-терапевт",AVERAGE(K1067:K1069),0)))</f>
        <v>0</v>
      </c>
      <c r="L1071" s="206">
        <f>SUM(G1071:K1071)</f>
        <v>0</v>
      </c>
      <c r="M1071" s="930"/>
      <c r="N1071" s="205">
        <f>IF($B$1067="Лікар загальної практики - сімейний лікар",AVERAGE(N1067:N1069),IF($B$1067="Лікар-педіатр",AVERAGE(N1067:N1069),IF($B$1067="Лікар-терапевт","х",0)))</f>
        <v>0</v>
      </c>
      <c r="O1071" s="205">
        <f>IF($B$1067="Лікар загальної практики - сімейний лікар",AVERAGE(O1067:O1069),IF($B$1067="Лікар-педіатр",AVERAGE(O1067:O1069),IF($B$1067="Лікар-терапевт","х",0)))</f>
        <v>0</v>
      </c>
      <c r="P1071" s="205">
        <f>IF($B$1067="Лікар загальної практики - сімейний лікар",AVERAGE(P1067:P1069),IF($B$1067="Лікар-педіатр","x",IF($B$1067="Лікар-терапевт",AVERAGE(P1067:P1069),0)))</f>
        <v>0</v>
      </c>
      <c r="Q1071" s="205">
        <f>IF($B$1067="Лікар загальної практики - сімейний лікар",AVERAGE(Q1067:Q1069),IF($B$1067="Лікар-педіатр","x",IF($B$1067="Лікар-терапевт",AVERAGE(Q1067:Q1069),0)))</f>
        <v>0</v>
      </c>
      <c r="R1071" s="205">
        <f>IF($B$1067="Лікар загальної практики - сімейний лікар",AVERAGE(R1067:R1069),IF($B$1067="Лікар-педіатр","x",IF($B$1067="Лікар-терапевт",AVERAGE(R1067:R1069),0)))</f>
        <v>0</v>
      </c>
      <c r="S1071" s="206">
        <f>SUM(N1071:R1071)</f>
        <v>0</v>
      </c>
      <c r="T1071" s="930"/>
      <c r="U1071" s="205">
        <f>IF($B$1067="Лікар загальної практики - сімейний лікар",AVERAGE(U1067:U1069),IF($B$1067="Лікар-педіатр",AVERAGE(U1067:U1069),IF($B$1067="Лікар-терапевт","х",0)))</f>
        <v>0</v>
      </c>
      <c r="V1071" s="205">
        <f>IF($B$1067="Лікар загальної практики - сімейний лікар",AVERAGE(V1067:V1069),IF($B$1067="Лікар-педіатр",AVERAGE(V1067:V1069),IF($B$1067="Лікар-терапевт","х",0)))</f>
        <v>0</v>
      </c>
      <c r="W1071" s="205">
        <f>IF($B$1067="Лікар загальної практики - сімейний лікар",AVERAGE(W1067:W1069),IF($B$1067="Лікар-педіатр","x",IF($B$1067="Лікар-терапевт",AVERAGE(W1067:W1069),0)))</f>
        <v>0</v>
      </c>
      <c r="X1071" s="205">
        <f>IF($B$1067="Лікар загальної практики - сімейний лікар",AVERAGE(X1067:X1069),IF($B$1067="Лікар-педіатр","x",IF($B$1067="Лікар-терапевт",AVERAGE(X1067:X1069),0)))</f>
        <v>0</v>
      </c>
      <c r="Y1071" s="205">
        <f>IF($B$1067="Лікар загальної практики - сімейний лікар",AVERAGE(Y1067:Y1069),IF($B$1067="Лікар-педіатр","x",IF($B$1067="Лікар-терапевт",AVERAGE(Y1067:Y1069),0)))</f>
        <v>0</v>
      </c>
      <c r="Z1071" s="206">
        <f>SUM(U1071:Y1071)</f>
        <v>0</v>
      </c>
      <c r="AA1071" s="930"/>
      <c r="AB1071" s="205">
        <f>IF($B$1067="Лікар загальної практики - сімейний лікар",AVERAGE(AB1067:AB1069),IF($B$1067="Лікар-педіатр",AVERAGE(AB1067:AB1069),IF($B$1067="Лікар-терапевт","х",0)))</f>
        <v>0</v>
      </c>
      <c r="AC1071" s="205">
        <f>IF($B$1067="Лікар загальної практики - сімейний лікар",AVERAGE(AC1067:AC1069),IF($B$1067="Лікар-педіатр",AVERAGE(AC1067:AC1069),IF($B$1067="Лікар-терапевт","х",0)))</f>
        <v>0</v>
      </c>
      <c r="AD1071" s="205">
        <f>IF($B$1067="Лікар загальної практики - сімейний лікар",AVERAGE(AD1067:AD1069),IF($B$1067="Лікар-педіатр","x",IF($B$1067="Лікар-терапевт",AVERAGE(AD1067:AD1069),0)))</f>
        <v>0</v>
      </c>
      <c r="AE1071" s="205">
        <f>IF($B$1067="Лікар загальної практики - сімейний лікар",AVERAGE(AE1067:AE1069),IF($B$1067="Лікар-педіатр","x",IF($B$1067="Лікар-терапевт",AVERAGE(AE1067:AE1069),0)))</f>
        <v>0</v>
      </c>
      <c r="AF1071" s="205">
        <f>IF($B$1067="Лікар загальної практики - сімейний лікар",AVERAGE(AF1067:AF1069),IF($B$1067="Лікар-педіатр","x",IF($B$1067="Лікар-терапевт",AVERAGE(AF1067:AF1069),0)))</f>
        <v>0</v>
      </c>
      <c r="AG1071" s="206">
        <f>SUM(AB1071:AF1071)</f>
        <v>0</v>
      </c>
      <c r="AH1071" s="930"/>
      <c r="AI1071" s="201"/>
      <c r="AJ1071" s="933"/>
      <c r="AK1071" s="927"/>
      <c r="AL1071" s="927"/>
      <c r="AM1071" s="903"/>
      <c r="AN1071" s="925"/>
      <c r="AO1071" s="925"/>
      <c r="AP1071" s="925"/>
      <c r="AQ1071" s="925"/>
      <c r="AR1071" s="916"/>
    </row>
    <row r="1072" spans="1:44" s="50" customFormat="1" ht="40.5" hidden="1">
      <c r="A1072" s="197"/>
      <c r="B1072" s="893"/>
      <c r="C1072" s="896"/>
      <c r="D1072" s="912"/>
      <c r="E1072" s="909"/>
      <c r="F1072" s="237" t="str">
        <f ca="1">IF(B1067="Лікар-педіатр",Законод!$C$17,IF(B1067="Лікар загальної практики - сімейний лікар",Законод!$C$21,IF(B1067="Лікар-терапевт",Законод!$C$25,"х")))</f>
        <v>х</v>
      </c>
      <c r="G1072" s="208">
        <f ca="1">IF($B$1067="Лікар загальної практики - сімейний лікар",IF(L1071&lt;=Законод!$C$22,G1071,Законод!$C$22*'01_Доходи'!G1070),IF($B$1067="Лікар-педіатр",IF(L1071&lt;=Законод!$C$18,G1071,Законод!$C$18*'01_Доходи'!G1070),IF($B$1067="Лікар-терапевт","x",0)))</f>
        <v>0</v>
      </c>
      <c r="H1072" s="208">
        <f ca="1">IF($B$1067="Лікар загальної практики - сімейний лікар",IF(L1071&lt;=Законод!$C$22,H1071,Законод!$C$22*'01_Доходи'!H1070),IF($B$1067="Лікар-педіатр",IF(L1071&lt;=Законод!$C$18,H1071,Законод!$C$18*'01_Доходи'!H1070),IF($B$1067="Лікар-терапевт","x",0)))</f>
        <v>0</v>
      </c>
      <c r="I1072" s="208">
        <f ca="1">IF($B$1067="Лікар загальної практики - сімейний лікар",IF(L1071&lt;=Законод!$C$22,I1071,Законод!$C$22*'01_Доходи'!I1070),IF($B$1067="Лікар-педіатр","x",IF($B$1067="Лікар-терапевт",IF(L1071&lt;=Законод!$C$26,I1071,Законод!$C$26*'01_Доходи'!I1070),0)))</f>
        <v>0</v>
      </c>
      <c r="J1072" s="208">
        <f ca="1">IF($B$1067="Лікар загальної практики - сімейний лікар",IF(L1071&lt;=Законод!$C$22,J1071,Законод!$C$22*'01_Доходи'!J1070),IF($B$1067="Лікар-педіатр","x",IF($B$1067="Лікар-терапевт",IF(L1071&lt;=Законод!$C$26,J1071,Законод!$C$26*'01_Доходи'!J1070),0)))</f>
        <v>0</v>
      </c>
      <c r="K1072" s="208">
        <f ca="1">IF($B$1067="Лікар загальної практики - сімейний лікар",IF(L1071&lt;=Законод!$C$22,K1071,Законод!$C$22*'01_Доходи'!K1070),IF($B$1067="Лікар-педіатр","x",IF($B$1067="Лікар-терапевт",IF(L1071&lt;=Законод!$C$26,K1071,Законод!$C$26*'01_Доходи'!K1070),0)))</f>
        <v>0</v>
      </c>
      <c r="L1072" s="209">
        <f ca="1">SUM(G1072:K1072)</f>
        <v>0</v>
      </c>
      <c r="M1072" s="930"/>
      <c r="N1072" s="208">
        <f ca="1">IF($B$1067="Лікар загальної практики - сімейний лікар",IF(S1071&lt;=Законод!$C$22,N1071,Законод!$C$22*'01_Доходи'!N1070),IF($B$1067="Лікар-педіатр",IF(S1071&lt;=Законод!$C$18,N1071,Законод!$C$18*'01_Доходи'!N1070),IF($B$1067="Лікар-терапевт","x",0)))</f>
        <v>0</v>
      </c>
      <c r="O1072" s="208">
        <f ca="1">IF($B$1067="Лікар загальної практики - сімейний лікар",IF(S1071&lt;=Законод!$C$22,O1071,Законод!$C$22*'01_Доходи'!O1070),IF($B$1067="Лікар-педіатр",IF(S1071&lt;=Законод!$C$18,O1071,Законод!$C$18*'01_Доходи'!O1070),IF($B$1067="Лікар-терапевт","x",0)))</f>
        <v>0</v>
      </c>
      <c r="P1072" s="208">
        <f ca="1">IF($B$1067="Лікар загальної практики - сімейний лікар",IF(S1071&lt;=Законод!$C$22,P1071,Законод!$C$22*'01_Доходи'!P1070),IF($B$1067="Лікар-педіатр","x",IF($B$1067="Лікар-терапевт",IF(S1071&lt;=Законод!$C$26,P1071,Законод!$C$26*'01_Доходи'!P1070),0)))</f>
        <v>0</v>
      </c>
      <c r="Q1072" s="208">
        <f ca="1">IF($B$1067="Лікар загальної практики - сімейний лікар",IF(S1071&lt;=Законод!$C$22,Q1071,Законод!$C$22*'01_Доходи'!Q1070),IF($B$1067="Лікар-педіатр","x",IF($B$1067="Лікар-терапевт",IF(S1071&lt;=Законод!$C$26,Q1071,Законод!$C$26*'01_Доходи'!Q1070),0)))</f>
        <v>0</v>
      </c>
      <c r="R1072" s="208">
        <f ca="1">IF($B$1067="Лікар загальної практики - сімейний лікар",IF(S1071&lt;=Законод!$C$22,R1071,Законод!$C$22*'01_Доходи'!R1070),IF($B$1067="Лікар-педіатр","x",IF($B$1067="Лікар-терапевт",IF(S1071&lt;=Законод!$C$26,R1071,Законод!$C$26*'01_Доходи'!R1070),0)))</f>
        <v>0</v>
      </c>
      <c r="S1072" s="209">
        <f ca="1">SUM(N1072:R1072)</f>
        <v>0</v>
      </c>
      <c r="T1072" s="930"/>
      <c r="U1072" s="208">
        <f ca="1">IF($B$1067="Лікар загальної практики - сімейний лікар",IF(Z1071&lt;=Законод!$C$22,U1071,Законод!$C$22*'01_Доходи'!U1070),IF($B$1067="Лікар-педіатр",IF(Z1071&lt;=Законод!$C$18,U1071,Законод!$C$18*'01_Доходи'!U1070),IF($B$1067="Лікар-терапевт","x",0)))</f>
        <v>0</v>
      </c>
      <c r="V1072" s="208">
        <f ca="1">IF($B$1067="Лікар загальної практики - сімейний лікар",IF(Z1071&lt;=Законод!$C$22,V1071,Законод!$C$22*'01_Доходи'!V1070),IF($B$1067="Лікар-педіатр",IF(Z1071&lt;=Законод!$C$18,V1071,Законод!$C$18*'01_Доходи'!V1070),IF($B$1067="Лікар-терапевт","x",0)))</f>
        <v>0</v>
      </c>
      <c r="W1072" s="208">
        <f ca="1">IF($B$1067="Лікар загальної практики - сімейний лікар",IF(Z1071&lt;=Законод!$C$22,W1071,Законод!$C$22*'01_Доходи'!W1070),IF($B$1067="Лікар-педіатр","x",IF($B$1067="Лікар-терапевт",IF(Z1071&lt;=Законод!$C$26,W1071,Законод!$C$26*'01_Доходи'!W1070),0)))</f>
        <v>0</v>
      </c>
      <c r="X1072" s="208">
        <f ca="1">IF($B$1067="Лікар загальної практики - сімейний лікар",IF(Z1071&lt;=Законод!$C$22,X1071,Законод!$C$22*'01_Доходи'!X1070),IF($B$1067="Лікар-педіатр","x",IF($B$1067="Лікар-терапевт",IF(Z1071&lt;=Законод!$C$26,X1071,Законод!$C$26*'01_Доходи'!X1070),0)))</f>
        <v>0</v>
      </c>
      <c r="Y1072" s="208">
        <f ca="1">IF($B$1067="Лікар загальної практики - сімейний лікар",IF(Z1071&lt;=Законод!$C$22,Y1071,Законод!$C$22*'01_Доходи'!Y1070),IF($B$1067="Лікар-педіатр","x",IF($B$1067="Лікар-терапевт",IF(Z1071&lt;=Законод!$C$26,Y1071,Законод!$C$26*'01_Доходи'!Y1070),0)))</f>
        <v>0</v>
      </c>
      <c r="Z1072" s="209">
        <f ca="1">SUM(U1072:Y1072)</f>
        <v>0</v>
      </c>
      <c r="AA1072" s="930"/>
      <c r="AB1072" s="208">
        <f ca="1">IF($B$1067="Лікар загальної практики - сімейний лікар",IF(AG1071&lt;=Законод!$C$22,AB1071,Законод!$C$22*'01_Доходи'!AB1070),IF($B$1067="Лікар-педіатр",IF(AG1071&lt;=Законод!$C$18,AB1071,Законод!$C$18*'01_Доходи'!AB1070),IF($B$1067="Лікар-терапевт","x",0)))</f>
        <v>0</v>
      </c>
      <c r="AC1072" s="208">
        <f ca="1">IF($B$1067="Лікар загальної практики - сімейний лікар",IF(AG1071&lt;=Законод!$C$22,AC1071,Законод!$C$22*'01_Доходи'!AC1070),IF($B$1067="Лікар-педіатр",IF(AG1071&lt;=Законод!$C$18,AC1071,Законод!$C$18*'01_Доходи'!AC1070),IF($B$1067="Лікар-терапевт","x",0)))</f>
        <v>0</v>
      </c>
      <c r="AD1072" s="208">
        <f ca="1">IF($B$1067="Лікар загальної практики - сімейний лікар",IF(AG1071&lt;=Законод!$C$22,AD1071,Законод!$C$22*'01_Доходи'!AD1070),IF($B$1067="Лікар-педіатр","x",IF($B$1067="Лікар-терапевт",IF(AG1071&lt;=Законод!$C$26,AD1071,Законод!$C$26*'01_Доходи'!AD1070),0)))</f>
        <v>0</v>
      </c>
      <c r="AE1072" s="208">
        <f ca="1">IF($B$1067="Лікар загальної практики - сімейний лікар",IF(AG1071&lt;=Законод!$C$22,AE1071,Законод!$C$22*'01_Доходи'!AE1070),IF($B$1067="Лікар-педіатр","x",IF($B$1067="Лікар-терапевт",IF(AG1071&lt;=Законод!$C$26,AE1071,Законод!$C$26*'01_Доходи'!AE1070),0)))</f>
        <v>0</v>
      </c>
      <c r="AF1072" s="208">
        <f ca="1">IF($B$1067="Лікар загальної практики - сімейний лікар",IF(AG1071&lt;=Законод!$C$22,AF1071,Законод!$C$22*'01_Доходи'!AF1070),IF($B$1067="Лікар-педіатр","x",IF($B$1067="Лікар-терапевт",IF(AG1071&lt;=Законод!$C$26,AF1071,Законод!$C$26*'01_Доходи'!AF1070),0)))</f>
        <v>0</v>
      </c>
      <c r="AG1072" s="209">
        <f ca="1">SUM(AB1072:AF1072)</f>
        <v>0</v>
      </c>
      <c r="AH1072" s="930"/>
      <c r="AI1072" s="201"/>
      <c r="AJ1072" s="933"/>
      <c r="AK1072" s="927"/>
      <c r="AL1072" s="927"/>
      <c r="AM1072" s="348" t="s">
        <v>374</v>
      </c>
      <c r="AN1072" s="210">
        <f ca="1">IF(B1067="Лікар загальної практики - сімейний лікар",G1072*Законод!$C$11+'01_Доходи'!H1072*Законод!$D$11+'01_Доходи'!I1072*Законод!$E$11+'01_Доходи'!J1072*Законод!$F$11+'01_Доходи'!K1072*Законод!$G$11,IF(B1067="Лікар-педіатр",G1072*Законод!$C$11+'01_Доходи'!H1072*Законод!$D$11,IF(B1067="Лікар-терапевт",'01_Доходи'!I1072*Законод!$E$11+'01_Доходи'!J1072*Законод!$F$11+'01_Доходи'!K1072*Законод!$G$11,0)))</f>
        <v>0</v>
      </c>
      <c r="AO1072" s="210">
        <f ca="1">IF(B1067="Лікар загальної практики - сімейний лікар",N1072*Законод!$C$11+'01_Доходи'!O1072*Законод!$D$11+'01_Доходи'!P1072*Законод!$E$11+'01_Доходи'!Q1072*Законод!$F$11+'01_Доходи'!R1072*Законод!$G$11,IF(B1067="Лікар-педіатр",N1072*Законод!$C$11+'01_Доходи'!O1072*Законод!$D$11,IF(B1067="Лікар-терапевт",'01_Доходи'!P1072*Законод!$E$11+'01_Доходи'!Q1072*Законод!$F$11+'01_Доходи'!R1072*Законод!$G$11,0)))</f>
        <v>0</v>
      </c>
      <c r="AP1072" s="210">
        <f ca="1">IF(B1067="Лікар загальної практики - сімейний лікар",U1072*Законод!$C$11+'01_Доходи'!V1072*Законод!$D$11+'01_Доходи'!W1072*Законод!$E$11+'01_Доходи'!X1072*Законод!$F$11+'01_Доходи'!Y1072*Законод!$G$11,IF(B1067="Лікар-педіатр",U1072*Законод!$C$11+'01_Доходи'!V1072*Законод!$D$11,IF(B1067="Лікар-терапевт",'01_Доходи'!W1072*Законод!$E$11+'01_Доходи'!X1072*Законод!$F$11+'01_Доходи'!Y1072*Законод!$G$11,0)))</f>
        <v>0</v>
      </c>
      <c r="AQ1072" s="210">
        <f ca="1">IF(B1067="Лікар загальної практики - сімейний лікар",AB1072*Законод!$C$11+'01_Доходи'!AC1072*Законод!$D$11+'01_Доходи'!AD1072*Законод!$E$11+'01_Доходи'!AE1072*Законод!$F$11+'01_Доходи'!AF1072*Законод!$G$11,IF(B1067="Лікар-педіатр",AB1072*Законод!$C$11+'01_Доходи'!AC1072*Законод!$D$11,IF(B1067="Лікар-терапевт",'01_Доходи'!AD1072*Законод!$E$11+'01_Доходи'!AE1072*Законод!$F$11+'01_Доходи'!AF1072*Законод!$G$11,0)))</f>
        <v>0</v>
      </c>
      <c r="AR1072" s="211">
        <f t="shared" ref="AR1072:AR1078" si="109">SUM(AN1072:AQ1072)</f>
        <v>0</v>
      </c>
    </row>
    <row r="1073" spans="1:44" s="50" customFormat="1" ht="31.9" hidden="1" customHeight="1">
      <c r="A1073" s="197"/>
      <c r="B1073" s="893"/>
      <c r="C1073" s="896"/>
      <c r="D1073" s="912"/>
      <c r="E1073" s="909"/>
      <c r="F1073" s="238" t="str">
        <f ca="1">IF(B1067="Лікар-педіатр",Законод!$E$17,IF(B1067="Лікар загальної практики - сімейний лікар",Законод!$E$21,IF(B1067="Лікар-терапевт",Законод!$E$25,"х")))</f>
        <v>х</v>
      </c>
      <c r="G1073" s="889" t="s">
        <v>346</v>
      </c>
      <c r="H1073" s="890"/>
      <c r="I1073" s="890"/>
      <c r="J1073" s="890"/>
      <c r="K1073" s="891"/>
      <c r="L1073" s="196">
        <f ca="1">IF($B$1067="Лікар загальної практики - сімейний лікар",IF(L1071&lt;Законод!$C$22,0,(IF(AND(L1071&gt;=Законод!$E$22,L1071&lt;=Законод!$E$23),L1071-Законод!$C$22,IF('01_Доходи'!L1071&gt;=Законод!$F$22,Законод!$E$24,0)))),IF($B$1067="Лікар-педіатр",IF(L1071&lt;Законод!$C$18,0,(IF(AND(L1071&gt;=Законод!$E$18,L1071&lt;=Законод!$E$19),L1071-Законод!$C$18,IF('01_Доходи'!L1071&gt;=Законод!$F$18,Законод!$E$20,0)))),IF($B$1067="Лікар-терапевт",IF(L1071&lt;Законод!$C$26,0,(IF(AND(L1071&gt;=Законод!$E$26,L1071&lt;=Законод!$E$27),L1071-Законод!$C$26,IF('01_Доходи'!L1071&gt;=Законод!$F$26,Законод!$E$28,0)))),0)))</f>
        <v>0</v>
      </c>
      <c r="M1073" s="930"/>
      <c r="N1073" s="889" t="s">
        <v>346</v>
      </c>
      <c r="O1073" s="890"/>
      <c r="P1073" s="890"/>
      <c r="Q1073" s="890"/>
      <c r="R1073" s="891"/>
      <c r="S1073" s="196">
        <f ca="1">IF($B$1067="Лікар загальної практики - сімейний лікар",IF(S1071&lt;Законод!$C$22,0,(IF(AND(S1071&gt;=Законод!$E$22,S1071&lt;=Законод!$E$23),S1071-Законод!$C$22,IF('01_Доходи'!S1071&gt;=Законод!$F$22,Законод!$E$24,0)))),IF($B$1067="Лікар-педіатр",IF(S1071&lt;Законод!$C$18,0,(IF(AND(S1071&gt;=Законод!$E$18,S1071&lt;=Законод!$E$19),S1071-Законод!$C$18,IF('01_Доходи'!S1071&gt;=Законод!$F$18,Законод!$E$20,0)))),IF($B$1067="Лікар-терапевт",IF(S1071&lt;Законод!$C$26,0,(IF(AND(S1071&gt;=Законод!$E$26,S1071&lt;=Законод!$E$27),S1071-Законод!$C$26,IF('01_Доходи'!S1071&gt;=Законод!$F$26,Законод!$E$28,0)))),0)))</f>
        <v>0</v>
      </c>
      <c r="T1073" s="930"/>
      <c r="U1073" s="889" t="s">
        <v>346</v>
      </c>
      <c r="V1073" s="890"/>
      <c r="W1073" s="890"/>
      <c r="X1073" s="890"/>
      <c r="Y1073" s="891"/>
      <c r="Z1073" s="196">
        <f ca="1">IF($B$1067="Лікар загальної практики - сімейний лікар",IF(Z1071&lt;Законод!$C$22,0,(IF(AND(Z1071&gt;=Законод!$E$22,Z1071&lt;=Законод!$E$23),Z1071-Законод!$C$22,IF('01_Доходи'!Z1071&gt;=Законод!$F$22,Законод!$E$24,0)))),IF($B$1067="Лікар-педіатр",IF(Z1071&lt;Законод!$C$18,0,(IF(AND(Z1071&gt;=Законод!$E$18,Z1071&lt;=Законод!$E$19),Z1071-Законод!$C$18,IF('01_Доходи'!Z1071&gt;=Законод!$F$18,Законод!$E$20,0)))),IF($B$1067="Лікар-терапевт",IF(Z1071&lt;Законод!$C$26,0,(IF(AND(Z1071&gt;=Законод!$E$26,Z1071&lt;=Законод!$E$27),Z1071-Законод!$C$26,IF('01_Доходи'!Z1071&gt;=Законод!$F$26,Законод!$E$28,0)))),0)))</f>
        <v>0</v>
      </c>
      <c r="AA1073" s="930"/>
      <c r="AB1073" s="889" t="s">
        <v>346</v>
      </c>
      <c r="AC1073" s="890"/>
      <c r="AD1073" s="890"/>
      <c r="AE1073" s="890"/>
      <c r="AF1073" s="891"/>
      <c r="AG1073" s="196">
        <f ca="1">IF($B$1067="Лікар загальної практики - сімейний лікар",IF(AG1071&lt;Законод!$C$22,0,(IF(AND(AG1071&gt;=Законод!$E$22,AG1071&lt;=Законод!$E$23),AG1071-Законод!$C$22,IF('01_Доходи'!AG1071&gt;=Законод!$F$22,Законод!$E$24,0)))),IF($B$1067="Лікар-педіатр",IF(AG1071&lt;Законод!$C$18,0,(IF(AND(AG1071&gt;=Законод!$E$18,AG1071&lt;=Законод!$E$19),AG1071-Законод!$C$18,IF('01_Доходи'!AG1071&gt;=Законод!$F$18,Законод!$E$20,0)))),IF($B$1067="Лікар-терапевт",IF(AG1071&lt;Законод!$C$26,0,(IF(AND(AG1071&gt;=Законод!$E$26,AG1071&lt;=Законод!$E$27),AG1071-Законод!$C$26,IF('01_Доходи'!AG1071&gt;=Законод!$F$26,Законод!$E$28,0)))),0)))</f>
        <v>0</v>
      </c>
      <c r="AH1073" s="930"/>
      <c r="AI1073" s="201"/>
      <c r="AJ1073" s="933"/>
      <c r="AK1073" s="927"/>
      <c r="AL1073" s="927"/>
      <c r="AM1073" s="898" t="s">
        <v>375</v>
      </c>
      <c r="AN1073" s="210">
        <f ca="1">IF(B1067="Лікар загальної практики - сімейний лікар",L1073*Законод!$C$9/4*Законод!$E$16,IF(B1067="Лікар-педіатр",L1073*Законод!$C$9/4*Законод!$E$16,IF(B1067="Лікар-терапевт",L1073*Законод!$C$9/4*Законод!$E$16,0)))</f>
        <v>0</v>
      </c>
      <c r="AO1073" s="210">
        <f ca="1">IF(B1067="Лікар загальної практики - сімейний лікар",S1073*Законод!$C$9/4*Законод!$E$16,IF(B1067="Лікар-педіатр",S1073*Законод!$C$9/4*Законод!$E$16,IF(B1067="Лікар-терапевт",S1073*Законод!$C$9/4*Законод!$E$16,0)))</f>
        <v>0</v>
      </c>
      <c r="AP1073" s="210">
        <f ca="1">IF(B1067="Лікар загальної практики - сімейний лікар",Z1073*Законод!$C$9/4*Законод!$E$16,IF(B1067="Лікар-педіатр",Z1073*Законод!$C$9/4*Законод!$E$16,IF(B1067="Лікар-терапевт",Z1073*Законод!$C$9/4*Законод!$E$16,0)))</f>
        <v>0</v>
      </c>
      <c r="AQ1073" s="210">
        <f ca="1">IF(B1067="Лікар загальної практики - сімейний лікар",AG1073*Законод!$C$9/4*Законод!$E$16,IF(B1067="Лікар-педіатр",AG1073*Законод!$C$9/4*Законод!$E$16,IF(B1067="Лікар-терапевт",AG1073*Законод!$C$9/4*Законод!$E$16,0)))</f>
        <v>0</v>
      </c>
      <c r="AR1073" s="211">
        <f t="shared" si="109"/>
        <v>0</v>
      </c>
    </row>
    <row r="1074" spans="1:44" s="50" customFormat="1" ht="31.9" hidden="1" customHeight="1">
      <c r="A1074" s="197"/>
      <c r="B1074" s="893"/>
      <c r="C1074" s="896"/>
      <c r="D1074" s="912"/>
      <c r="E1074" s="909"/>
      <c r="F1074" s="238" t="str">
        <f ca="1">IF(B1067="Лікар-педіатр",Законод!$F$17,IF(B1067="Лікар загальної практики - сімейний лікар",Законод!$F$21,IF(B1067="Лікар-терапевт",Законод!$F$25,"х")))</f>
        <v>х</v>
      </c>
      <c r="G1074" s="889" t="s">
        <v>346</v>
      </c>
      <c r="H1074" s="890"/>
      <c r="I1074" s="890"/>
      <c r="J1074" s="890"/>
      <c r="K1074" s="891"/>
      <c r="L1074" s="196">
        <f ca="1">IF($B$1067="Лікар загальної практики - сімейний лікар",IF(L1071&lt;Законод!$C$22,0,(IF(AND(L1071&gt;=Законод!$F$22,L1071&lt;=Законод!$F$23),L1071-Законод!$E$23,IF('01_Доходи'!L1071&gt;=Законод!$G$22,Законод!$F$24,0)))),IF($B$1067="Лікар-педіатр",IF(L1071&lt;Законод!$C$18,0,(IF(AND(L1071&gt;=Законод!$F$18,L1071&lt;=Законод!$F$19),L1071-Законод!$E$19,IF('01_Доходи'!L1071&gt;=Законод!$G$18,Законод!$F$20,0)))),IF($B$1067="Лікар-терапевт",IF(L1071&lt;Законод!$C$26,0,(IF(AND(L1071&gt;=Законод!$F$26,L1071&lt;=Законод!$F$27),L1071-Законод!$E$27,IF('01_Доходи'!L1071&gt;=Законод!$G$26,Законод!$F$28,0)))),0)))</f>
        <v>0</v>
      </c>
      <c r="M1074" s="930"/>
      <c r="N1074" s="889" t="s">
        <v>346</v>
      </c>
      <c r="O1074" s="890"/>
      <c r="P1074" s="890"/>
      <c r="Q1074" s="890"/>
      <c r="R1074" s="891"/>
      <c r="S1074" s="196">
        <f ca="1">IF($B$1067="Лікар загальної практики - сімейний лікар",IF(S1071&lt;Законод!$C$22,0,(IF(AND(S1071&gt;=Законод!$F$22,S1071&lt;=Законод!$F$23),S1071-Законод!$E$23,IF('01_Доходи'!S1071&gt;=Законод!$G$22,Законод!$F$24,0)))),IF($B$1067="Лікар-педіатр",IF(S1071&lt;Законод!$C$18,0,(IF(AND(S1071&gt;=Законод!$F$18,S1071&lt;=Законод!$F$19),S1071-Законод!$E$19,IF('01_Доходи'!S1071&gt;=Законод!$G$18,Законод!$F$20,0)))),IF($B$1067="Лікар-терапевт",IF(S1071&lt;Законод!$C$26,0,(IF(AND(S1071&gt;=Законод!$F$26,S1071&lt;=Законод!$F$27),S1071-Законод!$E$27,IF('01_Доходи'!S1071&gt;=Законод!$G$26,Законод!$F$28,0)))),0)))</f>
        <v>0</v>
      </c>
      <c r="T1074" s="930"/>
      <c r="U1074" s="889" t="s">
        <v>346</v>
      </c>
      <c r="V1074" s="890"/>
      <c r="W1074" s="890"/>
      <c r="X1074" s="890"/>
      <c r="Y1074" s="891"/>
      <c r="Z1074" s="196">
        <f ca="1">IF($B$1067="Лікар загальної практики - сімейний лікар",IF(Z1071&lt;Законод!$C$22,0,(IF(AND(Z1071&gt;=Законод!$F$22,Z1071&lt;=Законод!$F$23),Z1071-Законод!$E$23,IF('01_Доходи'!Z1071&gt;=Законод!$G$22,Законод!$F$24,0)))),IF($B$1067="Лікар-педіатр",IF(Z1071&lt;Законод!$C$18,0,(IF(AND(Z1071&gt;=Законод!$F$18,Z1071&lt;=Законод!$F$19),Z1071-Законод!$E$19,IF('01_Доходи'!Z1071&gt;=Законод!$G$18,Законод!$F$20,0)))),IF($B$1067="Лікар-терапевт",IF(Z1071&lt;Законод!$C$26,0,(IF(AND(Z1071&gt;=Законод!$F$26,Z1071&lt;=Законод!$F$27),Z1071-Законод!$E$27,IF('01_Доходи'!Z1071&gt;=Законод!$G$26,Законод!$F$28,0)))),0)))</f>
        <v>0</v>
      </c>
      <c r="AA1074" s="930"/>
      <c r="AB1074" s="889" t="s">
        <v>346</v>
      </c>
      <c r="AC1074" s="890"/>
      <c r="AD1074" s="890"/>
      <c r="AE1074" s="890"/>
      <c r="AF1074" s="891"/>
      <c r="AG1074" s="196">
        <f ca="1">IF($B$1067="Лікар загальної практики - сімейний лікар",IF(AG1071&lt;Законод!$C$22,0,(IF(AND(AG1071&gt;=Законод!$F$22,AG1071&lt;=Законод!$F$23),AG1071-Законод!$E$23,IF('01_Доходи'!AG1071&gt;=Законод!$G$22,Законод!$F$24,0)))),IF($B$1067="Лікар-педіатр",IF(AG1071&lt;Законод!$C$18,0,(IF(AND(AG1071&gt;=Законод!$F$18,AG1071&lt;=Законод!$F$19),AG1071-Законод!$E$19,IF('01_Доходи'!AG1071&gt;=Законод!$G$18,Законод!$F$20,0)))),IF($B$1067="Лікар-терапевт",IF(AG1071&lt;Законод!$C$26,0,(IF(AND(AG1071&gt;=Законод!$F$26,AG1071&lt;=Законод!$F$27),AG1071-Законод!$E$27,IF('01_Доходи'!AG1071&gt;=Законод!$G$26,Законод!$F$28,0)))),0)))</f>
        <v>0</v>
      </c>
      <c r="AH1074" s="930"/>
      <c r="AI1074" s="201"/>
      <c r="AJ1074" s="933"/>
      <c r="AK1074" s="927"/>
      <c r="AL1074" s="927"/>
      <c r="AM1074" s="899"/>
      <c r="AN1074" s="210">
        <f ca="1">IF(B1067="Лікар загальної практики - сімейний лікар",L1074*Законод!$C$9/4*Законод!$F$16,IF(B1067="Лікар-педіатр",L1074*Законод!$C$9/4*Законод!$F$16,IF(B1067="Лікар-терапевт",L1074*Законод!$C$9/4*Законод!$F$16,0)))</f>
        <v>0</v>
      </c>
      <c r="AO1074" s="210">
        <f ca="1">IF(B1067="Лікар загальної практики - сімейний лікар",S1074*Законод!$C$9/4*Законод!$F$16,IF(B1067="Лікар-педіатр",S1074*Законод!$C$9/4*Законод!$F$16,IF(B1067="Лікар-терапевт",S1074*Законод!$C$9/4*Законод!$F$16,0)))</f>
        <v>0</v>
      </c>
      <c r="AP1074" s="210">
        <f ca="1">IF(B1067="Лікар загальної практики - сімейний лікар",Z1074*Законод!$C$9/4*Законод!$F$16,IF(B1067="Лікар-педіатр",Z1074*Законод!$C$9/4*Законод!$F$16,IF(B1067="Лікар-терапевт",Z1074*Законод!$C$9/4*Законод!$F$16,0)))</f>
        <v>0</v>
      </c>
      <c r="AQ1074" s="210">
        <f ca="1">IF(B1067="Лікар загальної практики - сімейний лікар",AG1074*Законод!$C$9/4*Законод!$F$16,IF(B1067="Лікар-педіатр",AG1074*Законод!$C$9/4*Законод!$F$16,IF(B1067="Лікар-терапевт",AG1074*Законод!$C$9/4*Законод!$F$16,0)))</f>
        <v>0</v>
      </c>
      <c r="AR1074" s="211">
        <f t="shared" si="109"/>
        <v>0</v>
      </c>
    </row>
    <row r="1075" spans="1:44" s="50" customFormat="1" ht="31.9" hidden="1" customHeight="1">
      <c r="A1075" s="197"/>
      <c r="B1075" s="893"/>
      <c r="C1075" s="896"/>
      <c r="D1075" s="912"/>
      <c r="E1075" s="909"/>
      <c r="F1075" s="238" t="str">
        <f ca="1">IF(B1067="Лікар-педіатр",Законод!$G$17,IF(B1067="Лікар загальної практики - сімейний лікар",Законод!$G$21,IF(B1067="Лікар-терапевт",Законод!$G$25,"х")))</f>
        <v>х</v>
      </c>
      <c r="G1075" s="889" t="s">
        <v>346</v>
      </c>
      <c r="H1075" s="890"/>
      <c r="I1075" s="890"/>
      <c r="J1075" s="890"/>
      <c r="K1075" s="891"/>
      <c r="L1075" s="196">
        <f ca="1">IF($B$1067="Лікар загальної практики - сімейний лікар",IF(L1071&lt;Законод!$C$22,0,(IF(AND(L1071&gt;=Законод!$G$22,L1071&lt;=Законод!$G$23),L1071-Законод!$F$23,IF('01_Доходи'!L1071&gt;=Законод!$H$22,Законод!$G$24,0)))),IF($B$1067="Лікар-педіатр",IF(L1071&lt;Законод!$C$18,0,(IF(AND(L1071&gt;=Законод!$G$18,L1071&lt;=Законод!$G$19),L1071-Законод!$F$19,IF('01_Доходи'!L1071&gt;=Законод!$H$18,Законод!$G$20,0)))),IF($B$1067="Лікар-терапевт",IF(L1071&lt;Законод!$C$26,0,(IF(AND(L1071&gt;=Законод!$G$26,L1071&lt;=Законод!$G$27),L1071-Законод!$F$27,IF('01_Доходи'!L1071&gt;=Законод!$H$26,Законод!$G$28,0)))),0)))</f>
        <v>0</v>
      </c>
      <c r="M1075" s="930"/>
      <c r="N1075" s="889" t="s">
        <v>346</v>
      </c>
      <c r="O1075" s="890"/>
      <c r="P1075" s="890"/>
      <c r="Q1075" s="890"/>
      <c r="R1075" s="891"/>
      <c r="S1075" s="196">
        <f ca="1">IF($B$1067="Лікар загальної практики - сімейний лікар",IF(S1071&lt;Законод!$C$22,0,(IF(AND(S1071&gt;=Законод!$G$22,S1071&lt;=Законод!$G$23),S1071-Законод!$F$23,IF('01_Доходи'!S1071&gt;=Законод!$H$22,Законод!$G$24,0)))),IF($B$1067="Лікар-педіатр",IF(S1071&lt;Законод!$C$18,0,(IF(AND(S1071&gt;=Законод!$G$18,S1071&lt;=Законод!$G$19),S1071-Законод!$F$19,IF('01_Доходи'!S1071&gt;=Законод!$H$18,Законод!$G$20,0)))),IF($B$1067="Лікар-терапевт",IF(S1071&lt;Законод!$C$26,0,(IF(AND(S1071&gt;=Законод!$G$26,S1071&lt;=Законод!$G$27),S1071-Законод!$F$27,IF('01_Доходи'!S1071&gt;=Законод!$H$26,Законод!$G$28,0)))),0)))</f>
        <v>0</v>
      </c>
      <c r="T1075" s="930"/>
      <c r="U1075" s="889" t="s">
        <v>346</v>
      </c>
      <c r="V1075" s="890"/>
      <c r="W1075" s="890"/>
      <c r="X1075" s="890"/>
      <c r="Y1075" s="891"/>
      <c r="Z1075" s="196">
        <f ca="1">IF($B$1067="Лікар загальної практики - сімейний лікар",IF(Z1071&lt;Законод!$C$22,0,(IF(AND(Z1071&gt;=Законод!$G$22,Z1071&lt;=Законод!$G$23),Z1071-Законод!$F$23,IF('01_Доходи'!Z1071&gt;=Законод!$H$22,Законод!$G$24,0)))),IF($B$1067="Лікар-педіатр",IF(Z1071&lt;Законод!$C$18,0,(IF(AND(Z1071&gt;=Законод!$G$18,Z1071&lt;=Законод!$G$19),Z1071-Законод!$F$19,IF('01_Доходи'!Z1071&gt;=Законод!$H$18,Законод!$G$20,0)))),IF($B$1067="Лікар-терапевт",IF(Z1071&lt;Законод!$C$26,0,(IF(AND(Z1071&gt;=Законод!$G$26,Z1071&lt;=Законод!$G$27),Z1071-Законод!$F$27,IF('01_Доходи'!Z1071&gt;=Законод!$H$26,Законод!$G$28,0)))),0)))</f>
        <v>0</v>
      </c>
      <c r="AA1075" s="930"/>
      <c r="AB1075" s="889" t="s">
        <v>346</v>
      </c>
      <c r="AC1075" s="890"/>
      <c r="AD1075" s="890"/>
      <c r="AE1075" s="890"/>
      <c r="AF1075" s="891"/>
      <c r="AG1075" s="196">
        <f ca="1">IF($B$1067="Лікар загальної практики - сімейний лікар",IF(AG1071&lt;Законод!$C$22,0,(IF(AND(AG1071&gt;=Законод!$G$22,AG1071&lt;=Законод!$G$23),AG1071-Законод!$F$23,IF('01_Доходи'!AG1071&gt;=Законод!$H$22,Законод!$G$24,0)))),IF($B$1067="Лікар-педіатр",IF(AG1071&lt;Законод!$C$18,0,(IF(AND(AG1071&gt;=Законод!$G$18,AG1071&lt;=Законод!$G$19),AG1071-Законод!$F$19,IF('01_Доходи'!AG1071&gt;=Законод!$H$18,Законод!$G$20,0)))),IF($B$1067="Лікар-терапевт",IF(AG1071&lt;Законод!$C$26,0,(IF(AND(AG1071&gt;=Законод!$G$26,AG1071&lt;=Законод!$G$27),AG1071-Законод!$F$27,IF('01_Доходи'!AG1071&gt;=Законод!$H$26,Законод!$G$28,0)))),0)))</f>
        <v>0</v>
      </c>
      <c r="AH1075" s="930"/>
      <c r="AI1075" s="201"/>
      <c r="AJ1075" s="933"/>
      <c r="AK1075" s="927"/>
      <c r="AL1075" s="927"/>
      <c r="AM1075" s="899"/>
      <c r="AN1075" s="210">
        <f ca="1">IF(B1067="Лікар загальної практики - сімейний лікар",L1075*Законод!$C$9/4*Законод!$G$16,IF(B1067="Лікар-педіатр",L1075*Законод!$C$9/4*Законод!$G$16,IF(B1067="Лікар-терапевт",L1075*Законод!$C$9/4*Законод!$G$16,0)))</f>
        <v>0</v>
      </c>
      <c r="AO1075" s="210">
        <f ca="1">IF(B1067="Лікар загальної практики - сімейний лікар",S1075*Законод!$C$9/4*Законод!$G$16,IF(B1067="Лікар-педіатр",S1075*Законод!$C$9/4*Законод!$G$16,IF(B1067="Лікар-терапевт",S1075*Законод!$C$9/4*Законод!$G$16,0)))</f>
        <v>0</v>
      </c>
      <c r="AP1075" s="210">
        <f ca="1">IF(B1067="Лікар загальної практики - сімейний лікар",Z1075*Законод!$C$9/4*Законод!$G$16,IF(B1067="Лікар-педіатр",Z1075*Законод!$C$9/4*Законод!$G$16,IF(B1067="Лікар-терапевт",Z1075*Законод!$C$9/4*Законод!$G$16,0)))</f>
        <v>0</v>
      </c>
      <c r="AQ1075" s="210">
        <f ca="1">IF(B1067="Лікар загальної практики - сімейний лікар",AG1075*Законод!$C$9/4*Законод!$G$16,IF(B1067="Лікар-педіатр",AG1075*Законод!$C$9/4*Законод!$G$16,IF(B1067="Лікар-терапевт",AG1075*Законод!$C$9/4*Законод!$G$16,0)))</f>
        <v>0</v>
      </c>
      <c r="AR1075" s="211">
        <f t="shared" si="109"/>
        <v>0</v>
      </c>
    </row>
    <row r="1076" spans="1:44" s="50" customFormat="1" ht="31.9" hidden="1" customHeight="1">
      <c r="A1076" s="197"/>
      <c r="B1076" s="893"/>
      <c r="C1076" s="896"/>
      <c r="D1076" s="912"/>
      <c r="E1076" s="909"/>
      <c r="F1076" s="238" t="str">
        <f ca="1">IF(B1067="Лікар-педіатр",Законод!$H$17,IF(B1067="Лікар загальної практики - сімейний лікар",Законод!$H$21,IF(B1067="Лікар-терапевт",Законод!$H$25,"х")))</f>
        <v>х</v>
      </c>
      <c r="G1076" s="889" t="s">
        <v>346</v>
      </c>
      <c r="H1076" s="890"/>
      <c r="I1076" s="890"/>
      <c r="J1076" s="890"/>
      <c r="K1076" s="891"/>
      <c r="L1076" s="196">
        <f ca="1">IF($B$1067="Лікар загальної практики - сімейний лікар",IF(L1071&lt;Законод!$C$22,0,(IF(AND(L1071&gt;=Законод!$H$22,L1071&lt;=Законод!$H$23),L1071-Законод!$G$23,IF('01_Доходи'!L1071&gt;=Законод!$I$22,Законод!$H$24,0)))),IF($B$1067="Лікар-педіатр",IF(L1071&lt;Законод!$C$18,0,(IF(AND(L1071&gt;=Законод!$H$18,L1071&lt;=Законод!$H$19),L1071-Законод!$G$19,IF('01_Доходи'!L1071&gt;=Законод!$I$18,Законод!$H$20,0)))),IF($B$1067="Лікар-терапевт",IF(L1071&lt;Законод!$C$26,0,(IF(AND(L1071&gt;=Законод!$H$26,L1071&lt;=Законод!$H$27),L1071-Законод!$G$27,IF(L1071&gt;=Законод!$I$26,Законод!$H$28,0)))),0)))</f>
        <v>0</v>
      </c>
      <c r="M1076" s="930"/>
      <c r="N1076" s="889" t="s">
        <v>346</v>
      </c>
      <c r="O1076" s="890"/>
      <c r="P1076" s="890"/>
      <c r="Q1076" s="890"/>
      <c r="R1076" s="891"/>
      <c r="S1076" s="196">
        <f ca="1">IF($B$1067="Лікар загальної практики - сімейний лікар",IF(S1071&lt;Законод!$C$22,0,(IF(AND(S1071&gt;=Законод!$H$22,S1071&lt;=Законод!$H$23),S1071-Законод!$G$23,IF('01_Доходи'!S1071&gt;=Законод!$I$22,Законод!$H$24,0)))),IF($B$1067="Лікар-педіатр",IF(S1071&lt;Законод!$C$18,0,(IF(AND(S1071&gt;=Законод!$H$18,S1071&lt;=Законод!$H$19),S1071-Законод!$G$19,IF('01_Доходи'!S1071&gt;=Законод!$I$18,Законод!$H$20,0)))),IF($B$1067="Лікар-терапевт",IF(S1071&lt;Законод!$C$26,0,(IF(AND(S1071&gt;=Законод!$H$26,S1071&lt;=Законод!$H$27),S1071-Законод!$G$27,IF(S1071&gt;=Законод!$I$26,Законод!$H$28,0)))),0)))</f>
        <v>0</v>
      </c>
      <c r="T1076" s="930"/>
      <c r="U1076" s="889" t="s">
        <v>346</v>
      </c>
      <c r="V1076" s="890"/>
      <c r="W1076" s="890"/>
      <c r="X1076" s="890"/>
      <c r="Y1076" s="891"/>
      <c r="Z1076" s="196">
        <f ca="1">IF($B$1067="Лікар загальної практики - сімейний лікар",IF(Z1071&lt;Законод!$C$22,0,(IF(AND(Z1071&gt;=Законод!$H$22,Z1071&lt;=Законод!$H$23),Z1071-Законод!$G$23,IF('01_Доходи'!Z1071&gt;=Законод!$I$22,Законод!$H$24,0)))),IF($B$1067="Лікар-педіатр",IF(Z1071&lt;Законод!$C$18,0,(IF(AND(Z1071&gt;=Законод!$H$18,Z1071&lt;=Законод!$H$19),Z1071-Законод!$G$19,IF('01_Доходи'!Z1071&gt;=Законод!$I$18,Законод!$H$20,0)))),IF($B$1067="Лікар-терапевт",IF(Z1071&lt;Законод!$C$26,0,(IF(AND(Z1071&gt;=Законод!$H$26,Z1071&lt;=Законод!$H$27),Z1071-Законод!$G$27,IF(Z1071&gt;=Законод!$I$26,Законод!$H$28,0)))),0)))</f>
        <v>0</v>
      </c>
      <c r="AA1076" s="930"/>
      <c r="AB1076" s="889" t="s">
        <v>346</v>
      </c>
      <c r="AC1076" s="890"/>
      <c r="AD1076" s="890"/>
      <c r="AE1076" s="890"/>
      <c r="AF1076" s="891"/>
      <c r="AG1076" s="196">
        <f ca="1">IF($B$1067="Лікар загальної практики - сімейний лікар",IF(AG1071&lt;Законод!$C$22,0,(IF(AND(AG1071&gt;=Законод!$H$22,AG1071&lt;=Законод!$H$23),AG1071-Законод!$G$23,IF('01_Доходи'!AG1071&gt;=Законод!$I$22,Законод!$H$24,0)))),IF($B$1067="Лікар-педіатр",IF(AG1071&lt;Законод!$C$18,0,(IF(AND(AG1071&gt;=Законод!$H$18,AG1071&lt;=Законод!$H$19),AG1071-Законод!$G$19,IF('01_Доходи'!AG1071&gt;=Законод!$I$18,Законод!$H$20,0)))),IF($B$1067="Лікар-терапевт",IF(AG1071&lt;Законод!$C$26,0,(IF(AND(AG1071&gt;=Законод!$H$26,AG1071&lt;=Законод!$H$27),AG1071-Законод!$G$27,IF(AG1071&gt;=Законод!$I$26,Законод!$H$28,0)))),0)))</f>
        <v>0</v>
      </c>
      <c r="AH1076" s="930"/>
      <c r="AI1076" s="201"/>
      <c r="AJ1076" s="933"/>
      <c r="AK1076" s="927"/>
      <c r="AL1076" s="927"/>
      <c r="AM1076" s="899"/>
      <c r="AN1076" s="210">
        <f ca="1">IF(B1067="Лікар загальної практики - сімейний лікар",L1076*Законод!$C$9/4*Законод!$H$16,IF(B1067="Лікар-педіатр",L1076*Законод!$C$9/4*Законод!$H$16,IF(B1067="Лікар-терапевт",L1076*Законод!$C$9/4*Законод!$H$16,0)))</f>
        <v>0</v>
      </c>
      <c r="AO1076" s="210">
        <f ca="1">IF(B1067="Лікар загальної практики - сімейний лікар",S1076*Законод!$C$9/4*Законод!$H$16,IF(B1067="Лікар-педіатр",S1076*Законод!$C$9/4*Законод!$H$16,IF(B1067="Лікар-терапевт",S1076*Законод!$C$9/4*Законод!$H$16,0)))</f>
        <v>0</v>
      </c>
      <c r="AP1076" s="210">
        <f ca="1">IF(B1067="Лікар загальної практики - сімейний лікар",Z1076*Законод!$C$9/4*Законод!$H$16,IF(B1067="Лікар-педіатр",Z1076*Законод!$C$9/4*Законод!$H$16,IF(B1067="Лікар-терапевт",Z1076*Законод!$C$9/4*Законод!$H$16,0)))</f>
        <v>0</v>
      </c>
      <c r="AQ1076" s="210">
        <f ca="1">IF(B1067="Лікар загальної практики - сімейний лікар",AG1076*Законод!$C$9/4*Законод!$H$16,IF(B1067="Лікар-педіатр",AG1076*Законод!$C$9/4*Законод!$H$16,IF(B1067="Лікар-терапевт",AG1076*Законод!$C$9/4*Законод!$H$16,0)))</f>
        <v>0</v>
      </c>
      <c r="AR1076" s="211">
        <f t="shared" si="109"/>
        <v>0</v>
      </c>
    </row>
    <row r="1077" spans="1:44" s="50" customFormat="1" ht="31.9" hidden="1" customHeight="1">
      <c r="A1077" s="197"/>
      <c r="B1077" s="893"/>
      <c r="C1077" s="896"/>
      <c r="D1077" s="912"/>
      <c r="E1077" s="909"/>
      <c r="F1077" s="238" t="str">
        <f ca="1">IF(B1067="Лікар-педіатр",Законод!$I$17,IF(B1067="Лікар загальної практики - сімейний лікар",Законод!$I$21,IF(B1067="Лікар-терапевт",Законод!$I$25,"х")))</f>
        <v>х</v>
      </c>
      <c r="G1077" s="889" t="s">
        <v>346</v>
      </c>
      <c r="H1077" s="890"/>
      <c r="I1077" s="890"/>
      <c r="J1077" s="890"/>
      <c r="K1077" s="891"/>
      <c r="L1077" s="196">
        <f ca="1">IF($B$1067="Лікар загальної практики - сімейний лікар",IF(L1071&lt;Законод!$C$22,0,(IF(AND(L1071&gt;=Законод!$I$22,L1071&lt;=Законод!$I$23),L1071-Законод!$H$23,IF('01_Доходи'!L1071&gt;=Законод!$I$22,Законод!$I$24,0)))),IF($B$1067="Лікар-педіатр",IF(L1071&lt;Законод!$C$18,0,(IF(AND(L1071&gt;=Законод!$I$18,L1071&lt;=Законод!$I$19),L1071-Законод!$H$19,IF('01_Доходи'!L1071&gt;=Законод!$I$18,Законод!$H$20,0)))),IF($B$1067="Лікар-терапевт",IF(L1071&lt;Законод!$C$26,0,(IF(AND(L1071&gt;=Законод!$I$26,L1071&lt;=Законод!$I$27),L1071-Законод!$H$27,IF('01_Доходи'!L1071&gt;=Законод!$I$26,Законод!$H$28,0)))),0)))</f>
        <v>0</v>
      </c>
      <c r="M1077" s="930"/>
      <c r="N1077" s="889" t="s">
        <v>346</v>
      </c>
      <c r="O1077" s="890"/>
      <c r="P1077" s="890"/>
      <c r="Q1077" s="890"/>
      <c r="R1077" s="891"/>
      <c r="S1077" s="196">
        <f ca="1">IF($B$1067="Лікар загальної практики - сімейний лікар",IF(S1071&lt;Законод!$C$22,0,(IF(AND(S1071&gt;=Законод!$I$22,S1071&lt;=Законод!$I$23),S1071-Законод!$H$23,IF('01_Доходи'!S1071&gt;=Законод!$I$22,Законод!$I$24,0)))),IF($B$1067="Лікар-педіатр",IF(S1071&lt;Законод!$C$18,0,(IF(AND(S1071&gt;=Законод!$I$18,S1071&lt;=Законод!$I$19),S1071-Законод!$H$19,IF('01_Доходи'!S1071&gt;=Законод!$I$18,Законод!$H$20,0)))),IF($B$1067="Лікар-терапевт",IF(S1071&lt;Законод!$C$26,0,(IF(AND(S1071&gt;=Законод!$I$26,S1071&lt;=Законод!$I$27),S1071-Законод!$H$27,IF('01_Доходи'!S1071&gt;=Законод!$I$26,Законод!$H$28,0)))),0)))</f>
        <v>0</v>
      </c>
      <c r="T1077" s="930"/>
      <c r="U1077" s="889" t="s">
        <v>346</v>
      </c>
      <c r="V1077" s="890"/>
      <c r="W1077" s="890"/>
      <c r="X1077" s="890"/>
      <c r="Y1077" s="891"/>
      <c r="Z1077" s="196">
        <f ca="1">IF($B$1067="Лікар загальної практики - сімейний лікар",IF(Z1071&lt;Законод!$C$22,0,(IF(AND(Z1071&gt;=Законод!$I$22,Z1071&lt;=Законод!$I$23),Z1071-Законод!$H$23,IF('01_Доходи'!Z1071&gt;=Законод!$I$22,Законод!$I$24,0)))),IF($B$1067="Лікар-педіатр",IF(Z1071&lt;Законод!$C$18,0,(IF(AND(Z1071&gt;=Законод!$I$18,Z1071&lt;=Законод!$I$19),Z1071-Законод!$H$19,IF('01_Доходи'!Z1071&gt;=Законод!$I$18,Законод!$H$20,0)))),IF($B$1067="Лікар-терапевт",IF(Z1071&lt;Законод!$C$26,0,(IF(AND(Z1071&gt;=Законод!$I$26,Z1071&lt;=Законод!$I$27),Z1071-Законод!$H$27,IF('01_Доходи'!Z1071&gt;=Законод!$I$26,Законод!$H$28,0)))),0)))</f>
        <v>0</v>
      </c>
      <c r="AA1077" s="930"/>
      <c r="AB1077" s="889" t="s">
        <v>346</v>
      </c>
      <c r="AC1077" s="890"/>
      <c r="AD1077" s="890"/>
      <c r="AE1077" s="890"/>
      <c r="AF1077" s="891"/>
      <c r="AG1077" s="196">
        <f ca="1">IF($B$1067="Лікар загальної практики - сімейний лікар",IF(AG1071&lt;Законод!$C$22,0,(IF(AND(AG1071&gt;=Законод!$I$22,AG1071&lt;=Законод!$I$23),AG1071-Законод!$H$23,IF('01_Доходи'!AG1071&gt;=Законод!$I$22,Законод!$I$24,0)))),IF($B$1067="Лікар-педіатр",IF(AG1071&lt;Законод!$C$18,0,(IF(AND(AG1071&gt;=Законод!$I$18,AG1071&lt;=Законод!$I$19),AG1071-Законод!$H$19,IF('01_Доходи'!AG1071&gt;=Законод!$I$18,Законод!$H$20,0)))),IF($B$1067="Лікар-терапевт",IF(AG1071&lt;Законод!$C$26,0,(IF(AND(AG1071&gt;=Законод!$I$26,AG1071&lt;=Законод!$I$27),AG1071-Законод!$H$27,IF('01_Доходи'!AG1071&gt;=Законод!$I$26,Законод!$H$28,0)))),0)))</f>
        <v>0</v>
      </c>
      <c r="AH1077" s="930"/>
      <c r="AI1077" s="201"/>
      <c r="AJ1077" s="933"/>
      <c r="AK1077" s="927"/>
      <c r="AL1077" s="927"/>
      <c r="AM1077" s="899"/>
      <c r="AN1077" s="210">
        <f ca="1">IF(B1067="Лікар загальної практики - сімейний лікар",L1077*Законод!$C$9/4*Законод!$I$16,IF(B1067="Лікар-педіатр",L1077*Законод!$C$9/4*Законод!$I$16,IF(B1067="Лікар-терапевт",L1077*Законод!$C$9/4*Законод!$I$16,0)))</f>
        <v>0</v>
      </c>
      <c r="AO1077" s="210">
        <f ca="1">IF(B1067="Лікар загальної практики - сімейний лікар",S1077*Законод!$C$9/4*Законод!$I$16,IF(B1067="Лікар-педіатр",S1077*Законод!$C$9/4*Законод!$I$16,IF(B1067="Лікар-терапевт",S1077*Законод!$C$9/4*Законод!$I$16,0)))</f>
        <v>0</v>
      </c>
      <c r="AP1077" s="210">
        <f ca="1">IF(B1067="Лікар загальної практики - сімейний лікар",Z1077*Законод!$C$9/4*Законод!$I$16,IF(B1067="Лікар-педіатр",Z1077*Законод!$C$9/4*Законод!$I$16,IF(B1067="Лікар-терапевт",Z1077*Законод!$C$9/4*Законод!$I$16,0)))</f>
        <v>0</v>
      </c>
      <c r="AQ1077" s="210">
        <f ca="1">IF(B1067="Лікар загальної практики - сімейний лікар",AG1077*Законод!$C$9/4*Законод!$I$16,IF(B1067="Лікар-педіатр",AG1077*Законод!$C$9/4*Законод!$I$16,IF(B1067="Лікар-терапевт",AG1077*Законод!$C$9/4*Законод!$I$16,0)))</f>
        <v>0</v>
      </c>
      <c r="AR1077" s="211">
        <f t="shared" si="109"/>
        <v>0</v>
      </c>
    </row>
    <row r="1078" spans="1:44" s="218" customFormat="1" ht="31.9" hidden="1" customHeight="1" thickBot="1">
      <c r="A1078" s="213"/>
      <c r="B1078" s="894"/>
      <c r="C1078" s="897"/>
      <c r="D1078" s="913"/>
      <c r="E1078" s="910"/>
      <c r="F1078" s="239" t="str">
        <f ca="1">IF(B1067="Лікар-педіатр",Законод!$J$17,IF(B1067="Лікар загальної практики - сімейний лікар",Законод!$J$21,IF(B1067="Лікар-терапевт",Законод!$J$25,"х")))</f>
        <v>х</v>
      </c>
      <c r="G1078" s="935" t="s">
        <v>346</v>
      </c>
      <c r="H1078" s="936"/>
      <c r="I1078" s="936"/>
      <c r="J1078" s="936"/>
      <c r="K1078" s="937"/>
      <c r="L1078" s="196">
        <f ca="1">IF($B$1067="Лікар загальної практики - сімейний лікар",IF(L1071&gt;=Законод!$J$22,'01_Доходи'!L1071-('01_Доходи'!L1072+'01_Доходи'!L1073+'01_Доходи'!L1074+'01_Доходи'!L1075+'01_Доходи'!L1076+'01_Доходи'!L1077),0),IF($B$1067="Лікар-педіатр",IF(L1071&gt;=Законод!$J$18,'01_Доходи'!L1071-('01_Доходи'!L1072+'01_Доходи'!L1073+'01_Доходи'!L1074+'01_Доходи'!L1075+'01_Доходи'!L1076+'01_Доходи'!L1077),0),IF($B$1067="Лікар-терапевт",IF('01_Доходи'!L1071&gt;=Законод!$J$26,L1071-Законод!$I$27,0),0)))</f>
        <v>0</v>
      </c>
      <c r="M1078" s="931"/>
      <c r="N1078" s="935" t="s">
        <v>346</v>
      </c>
      <c r="O1078" s="936"/>
      <c r="P1078" s="936"/>
      <c r="Q1078" s="936"/>
      <c r="R1078" s="937"/>
      <c r="S1078" s="196">
        <f ca="1">IF($B$1067="Лікар загальної практики - сімейний лікар",IF(S1071&gt;=Законод!$J$22,'01_Доходи'!S1071-('01_Доходи'!S1072+'01_Доходи'!S1073+'01_Доходи'!S1074+'01_Доходи'!S1075+'01_Доходи'!S1076+'01_Доходи'!S1077),0),IF($B$1067="Лікар-педіатр",IF(S1071&gt;=Законод!$J$18,'01_Доходи'!S1071-('01_Доходи'!S1072+'01_Доходи'!S1073+'01_Доходи'!S1074+'01_Доходи'!S1075+'01_Доходи'!S1076+'01_Доходи'!S1077),0),IF($B$1067="Лікар-терапевт",IF('01_Доходи'!S1071&gt;=Законод!$J$26,S1071-Законод!$I$27,0),0)))</f>
        <v>0</v>
      </c>
      <c r="T1078" s="931"/>
      <c r="U1078" s="935" t="s">
        <v>346</v>
      </c>
      <c r="V1078" s="936"/>
      <c r="W1078" s="936"/>
      <c r="X1078" s="936"/>
      <c r="Y1078" s="937"/>
      <c r="Z1078" s="196">
        <f ca="1">IF($B$1067="Лікар загальної практики - сімейний лікар",IF(Z1071&gt;=Законод!$J$22,'01_Доходи'!Z1071-('01_Доходи'!Z1072+'01_Доходи'!Z1073+'01_Доходи'!Z1074+'01_Доходи'!Z1075+'01_Доходи'!Z1076+'01_Доходи'!Z1077),0),IF($B$1067="Лікар-педіатр",IF(Z1071&gt;=Законод!$J$18,'01_Доходи'!Z1071-('01_Доходи'!Z1072+'01_Доходи'!Z1073+'01_Доходи'!Z1074+'01_Доходи'!Z1075+'01_Доходи'!Z1076+'01_Доходи'!Z1077),0),IF($B$1067="Лікар-терапевт",IF('01_Доходи'!Z1071&gt;=Законод!$J$26,Z1071-Законод!$I$27,0),0)))</f>
        <v>0</v>
      </c>
      <c r="AA1078" s="931"/>
      <c r="AB1078" s="935" t="s">
        <v>346</v>
      </c>
      <c r="AC1078" s="936"/>
      <c r="AD1078" s="936"/>
      <c r="AE1078" s="936"/>
      <c r="AF1078" s="937"/>
      <c r="AG1078" s="196">
        <f ca="1">IF($B$1067="Лікар загальної практики - сімейний лікар",IF(AG1071&gt;=Законод!$J$22,'01_Доходи'!AG1071-('01_Доходи'!AG1072+'01_Доходи'!AG1073+'01_Доходи'!AG1074+'01_Доходи'!AG1075+'01_Доходи'!AG1076+'01_Доходи'!AG1077),0),IF($B$1067="Лікар-педіатр",IF(AG1071&gt;=Законод!$J$18,'01_Доходи'!AG1071-('01_Доходи'!AG1072+'01_Доходи'!AG1073+'01_Доходи'!AG1074+'01_Доходи'!AG1075+'01_Доходи'!AG1076+'01_Доходи'!AG1077),0),IF($B$1067="Лікар-терапевт",IF('01_Доходи'!AG1071&gt;=Законод!$J$26,AG1071-Законод!$I$27,0),0)))</f>
        <v>0</v>
      </c>
      <c r="AH1078" s="931"/>
      <c r="AI1078" s="215"/>
      <c r="AJ1078" s="934"/>
      <c r="AK1078" s="928"/>
      <c r="AL1078" s="928"/>
      <c r="AM1078" s="900"/>
      <c r="AN1078" s="216">
        <f ca="1">IF(B1067="Лікар загальної практики - сімейний лікар",L1078*Законод!$C$9/4*Законод!$J$16,IF(B1067="Лікар-педіатр",L1078*Законод!$C$9/4*Законод!$J$16,IF(B1067="Лікар-терапевт",L1078*Законод!$C$9/4*Законод!$J$16,0)))</f>
        <v>0</v>
      </c>
      <c r="AO1078" s="216">
        <f ca="1">IF(B1067="Лікар загальної практики - сімейний лікар",S1078*Законод!$C$9/4*Законод!$J$16,IF(B1067="Лікар-педіатр",S1078*Законод!$C$9/4*Законод!$J$16,IF(B1067="Лікар-терапевт",S1078*Законод!$C$9/4*Законод!$J$16,0)))</f>
        <v>0</v>
      </c>
      <c r="AP1078" s="216">
        <f ca="1">IF(B1067="Лікар загальної практики - сімейний лікар",S1078*Законод!$C$9/4*Законод!$J$16,IF(B1067="Лікар-педіатр",S1078*Законод!$C$9/4*Законод!$J$16,IF(B1067="Лікар-терапевт",S1078*Законод!$C$9/4*Законод!$J$16,0)))</f>
        <v>0</v>
      </c>
      <c r="AQ1078" s="216">
        <f ca="1">IF(B1067="Лікар загальної практики - сімейний лікар",AG1078*Законод!$C$9/4*Законод!$J$16,IF(B1067="Лікар-педіатр",AG1078*Законод!$C$9/4*Законод!$J$16,IF(B1067="Лікар-терапевт",AG1078*Законод!$C$9/4*Законод!$J$16,0)))</f>
        <v>0</v>
      </c>
      <c r="AR1078" s="217">
        <f t="shared" si="109"/>
        <v>0</v>
      </c>
    </row>
    <row r="1079" spans="1:44" s="247" customFormat="1" ht="23.45" hidden="1" customHeight="1" thickBot="1">
      <c r="A1079" s="243"/>
      <c r="B1079" s="244"/>
      <c r="C1079" s="244"/>
      <c r="D1079" s="244"/>
      <c r="E1079" s="244"/>
      <c r="F1079" s="245"/>
      <c r="G1079" s="246"/>
      <c r="H1079" s="246"/>
      <c r="L1079" s="248"/>
      <c r="S1079" s="248"/>
      <c r="Z1079" s="248"/>
      <c r="AG1079" s="248"/>
      <c r="AM1079" s="249"/>
      <c r="AR1079" s="250"/>
    </row>
    <row r="1080" spans="1:44" s="191" customFormat="1" ht="24.6" hidden="1" customHeight="1">
      <c r="A1080" s="194">
        <f>A1067+1</f>
        <v>81</v>
      </c>
      <c r="B1080" s="892"/>
      <c r="C1080" s="895"/>
      <c r="D1080" s="911"/>
      <c r="E1080" s="908"/>
      <c r="F1080" s="234" t="s">
        <v>582</v>
      </c>
      <c r="G1080" s="196">
        <f>IF($B$1080="Лікар-педіатр",G1083*L1080,IF($B$1080="Лікар-терапевт","х",IF($B$1080="Лікар загальної практики - сімейний лікар",G1083*L1080,0)))</f>
        <v>0</v>
      </c>
      <c r="H1080" s="196">
        <f>IF($B$1080="Лікар-педіатр",H1083*L1080,IF($B$1080="Лікар-терапевт","х",IF($B$1080="Лікар загальної практики - сімейний лікар",H1083*L1080,0)))</f>
        <v>0</v>
      </c>
      <c r="I1080" s="196">
        <f>IF($B$1080="Лікар-педіатр","x",IF($B$1080="Лікар-терапевт",I1083*L1080,IF($B$1080="Лікар загальної практики - сімейний лікар",I1083*L1080,0)))</f>
        <v>0</v>
      </c>
      <c r="J1080" s="196">
        <f>IF($B$1080="Лікар-педіатр","x",IF($B$1080="Лікар-терапевт",J1083*L1080,IF($B$1080="Лікар загальної практики - сімейний лікар",J1083*L1080,0)))</f>
        <v>0</v>
      </c>
      <c r="K1080" s="196">
        <f>IF($B$1080="Лікар-педіатр","x",IF($B$1080="Лікар-терапевт",K1083*L1080,IF($B$1080="Лікар загальної практики - сімейний лікар",K1083*L1080,0)))</f>
        <v>0</v>
      </c>
      <c r="L1080" s="558"/>
      <c r="M1080" s="929"/>
      <c r="N1080" s="196">
        <f>IF($B$1080="Лікар-педіатр",N1083*S1080,IF($B$1080="Лікар-терапевт","х",IF($B$1080="Лікар загальної практики - сімейний лікар",N1083*S1080,0)))</f>
        <v>0</v>
      </c>
      <c r="O1080" s="196">
        <f>IF($B$1080="Лікар-педіатр",O1083*S1080,IF($B$1080="Лікар-терапевт","х",IF($B$1080="Лікар загальної практики - сімейний лікар",O1083*S1080,0)))</f>
        <v>0</v>
      </c>
      <c r="P1080" s="196">
        <f>IF($B$1080="Лікар-педіатр","x",IF($B$1080="Лікар-терапевт",P1083*S1080,IF($B$1080="Лікар загальної практики - сімейний лікар",P1083*S1080,0)))</f>
        <v>0</v>
      </c>
      <c r="Q1080" s="196">
        <f>IF($B$1080="Лікар-педіатр","x",IF($B$1080="Лікар-терапевт",Q1083*S1080,IF($B$1080="Лікар загальної практики - сімейний лікар",Q1083*S1080,0)))</f>
        <v>0</v>
      </c>
      <c r="R1080" s="196">
        <f>IF($B$1080="Лікар-педіатр","x",IF($B$1080="Лікар-терапевт",R1083*S1080,IF($B$1080="Лікар загальної практики - сімейний лікар",R1083*S1080,0)))</f>
        <v>0</v>
      </c>
      <c r="S1080" s="558"/>
      <c r="T1080" s="929"/>
      <c r="U1080" s="196">
        <f>IF($B$1080="Лікар-педіатр",U1083*Z1080,IF($B$1080="Лікар-терапевт","х",IF($B$1080="Лікар загальної практики - сімейний лікар",U1083*Z1080,0)))</f>
        <v>0</v>
      </c>
      <c r="V1080" s="196">
        <f>IF($B$1080="Лікар-педіатр",V1083*Z1080,IF($B$1080="Лікар-терапевт","х",IF($B$1080="Лікар загальної практики - сімейний лікар",V1083*Z1080,0)))</f>
        <v>0</v>
      </c>
      <c r="W1080" s="196">
        <f>IF($B$1080="Лікар-педіатр","x",IF($B$1080="Лікар-терапевт",W1083*Z1080,IF($B$1080="Лікар загальної практики - сімейний лікар",W1083*Z1080,0)))</f>
        <v>0</v>
      </c>
      <c r="X1080" s="196">
        <f>IF($B$1080="Лікар-педіатр","x",IF($B$1080="Лікар-терапевт",X1083*Z1080,IF($B$1080="Лікар загальної практики - сімейний лікар",X1083*Z1080,0)))</f>
        <v>0</v>
      </c>
      <c r="Y1080" s="196">
        <f>IF($B$1080="Лікар-педіатр","x",IF($B$1080="Лікар-терапевт",Y1083*Z1080,IF($B$1080="Лікар загальної практики - сімейний лікар",Y1083*Z1080,0)))</f>
        <v>0</v>
      </c>
      <c r="Z1080" s="558"/>
      <c r="AA1080" s="929"/>
      <c r="AB1080" s="196">
        <f>IF($B$1080="Лікар-педіатр",AB1083*AG1080,IF($B$1080="Лікар-терапевт","х",IF($B$1080="Лікар загальної практики - сімейний лікар",AB1083*AG1080,0)))</f>
        <v>0</v>
      </c>
      <c r="AC1080" s="196">
        <f>IF($B$1080="Лікар-педіатр",AC1083*AG1080,IF($B$1080="Лікар-терапевт","х",IF($B$1080="Лікар загальної практики - сімейний лікар",AC1083*AG1080,0)))</f>
        <v>0</v>
      </c>
      <c r="AD1080" s="196">
        <f>IF($B$1080="Лікар-педіатр","x",IF($B$1080="Лікар-терапевт",AD1083*AG1080,IF($B$1080="Лікар загальної практики - сімейний лікар",AD1083*AG1080,0)))</f>
        <v>0</v>
      </c>
      <c r="AE1080" s="196">
        <f>IF($B$1080="Лікар-педіатр","x",IF($B$1080="Лікар-терапевт",AE1083*AG1080,IF($B$1080="Лікар загальної практики - сімейний лікар",AE1083*AG1080,0)))</f>
        <v>0</v>
      </c>
      <c r="AF1080" s="196">
        <f>IF($B$1080="Лікар-педіатр","x",IF($B$1080="Лікар-терапевт",AF1083*AG1080,IF($B$1080="Лікар загальної практики - сімейний лікар",AF1083*AG1080,0)))</f>
        <v>0</v>
      </c>
      <c r="AG1080" s="558"/>
      <c r="AH1080" s="929"/>
      <c r="AI1080" s="541">
        <f>A1080</f>
        <v>81</v>
      </c>
      <c r="AJ1080" s="932">
        <f>B1080</f>
        <v>0</v>
      </c>
      <c r="AK1080" s="926">
        <f>C1080</f>
        <v>0</v>
      </c>
      <c r="AL1080" s="926">
        <f>D1080</f>
        <v>0</v>
      </c>
      <c r="AM1080" s="901" t="s">
        <v>785</v>
      </c>
      <c r="AN1080" s="923">
        <f>SUM(AN1085:AN1091)</f>
        <v>0</v>
      </c>
      <c r="AO1080" s="923">
        <f>SUM(AO1085:AO1091)</f>
        <v>0</v>
      </c>
      <c r="AP1080" s="923">
        <f>SUM(AP1085:AP1091)</f>
        <v>0</v>
      </c>
      <c r="AQ1080" s="923">
        <f>SUM(AQ1085:AQ1091)</f>
        <v>0</v>
      </c>
      <c r="AR1080" s="914">
        <f>SUM(AN1080:AQ1084)</f>
        <v>0</v>
      </c>
    </row>
    <row r="1081" spans="1:44" s="50" customFormat="1" ht="28.15" hidden="1" customHeight="1">
      <c r="A1081" s="197"/>
      <c r="B1081" s="893"/>
      <c r="C1081" s="896"/>
      <c r="D1081" s="912"/>
      <c r="E1081" s="909"/>
      <c r="F1081" s="234" t="s">
        <v>583</v>
      </c>
      <c r="G1081" s="196">
        <f>IF($B$1080="Лікар-педіатр",G1083*L1081,IF($B$1080="Лікар-терапевт","х",IF($B$1080="Лікар загальної практики - сімейний лікар",G1083*L1081,0)))</f>
        <v>0</v>
      </c>
      <c r="H1081" s="196">
        <f>IF($B$1080="Лікар-педіатр",H1083*L1081,IF($B$1080="Лікар-терапевт","х",IF($B$1080="Лікар загальної практики - сімейний лікар",H1083*L1081,0)))</f>
        <v>0</v>
      </c>
      <c r="I1081" s="196">
        <f>IF($B$1080="Лікар-педіатр","x",IF($B$1080="Лікар-терапевт",I1083*L1081,IF($B$1080="Лікар загальної практики - сімейний лікар",I1083*L1081,0)))</f>
        <v>0</v>
      </c>
      <c r="J1081" s="196">
        <f>IF($B$1080="Лікар-педіатр","x",IF($B$1080="Лікар-терапевт",J1083*L1081,IF($B$1080="Лікар загальної практики - сімейний лікар",J1083*L1081,0)))</f>
        <v>0</v>
      </c>
      <c r="K1081" s="196">
        <f>IF($B$1080="Лікар-педіатр","x",IF($B$1080="Лікар-терапевт",K1083*L1081,IF($B$1080="Лікар загальної практики - сімейний лікар",K1083*L1081,0)))</f>
        <v>0</v>
      </c>
      <c r="L1081" s="558"/>
      <c r="M1081" s="930"/>
      <c r="N1081" s="196">
        <f>IF($B$1080="Лікар-педіатр",N1083*S1081,IF($B$1080="Лікар-терапевт","х",IF($B$1080="Лікар загальної практики - сімейний лікар",N1083*S1081,0)))</f>
        <v>0</v>
      </c>
      <c r="O1081" s="196">
        <f>IF($B$1080="Лікар-педіатр",O1083*S1081,IF($B$1080="Лікар-терапевт","х",IF($B$1080="Лікар загальної практики - сімейний лікар",O1083*S1081,0)))</f>
        <v>0</v>
      </c>
      <c r="P1081" s="196">
        <f>IF($B$1080="Лікар-педіатр","x",IF($B$1080="Лікар-терапевт",P1083*S1081,IF($B$1080="Лікар загальної практики - сімейний лікар",P1083*S1081,0)))</f>
        <v>0</v>
      </c>
      <c r="Q1081" s="196">
        <f>IF($B$1080="Лікар-педіатр","x",IF($B$1080="Лікар-терапевт",Q1083*S1081,IF($B$1080="Лікар загальної практики - сімейний лікар",Q1083*S1081,0)))</f>
        <v>0</v>
      </c>
      <c r="R1081" s="196">
        <f>IF($B$1080="Лікар-педіатр","x",IF($B$1080="Лікар-терапевт",R1083*S1081,IF($B$1080="Лікар загальної практики - сімейний лікар",R1083*S1081,0)))</f>
        <v>0</v>
      </c>
      <c r="S1081" s="558"/>
      <c r="T1081" s="930"/>
      <c r="U1081" s="196">
        <f>IF($B$1080="Лікар-педіатр",U1083*Z1081,IF($B$1080="Лікар-терапевт","х",IF($B$1080="Лікар загальної практики - сімейний лікар",U1083*Z1081,0)))</f>
        <v>0</v>
      </c>
      <c r="V1081" s="196">
        <f>IF($B$1080="Лікар-педіатр",V1083*Z1081,IF($B$1080="Лікар-терапевт","х",IF($B$1080="Лікар загальної практики - сімейний лікар",V1083*Z1081,0)))</f>
        <v>0</v>
      </c>
      <c r="W1081" s="196">
        <f>IF($B$1080="Лікар-педіатр","x",IF($B$1080="Лікар-терапевт",W1083*Z1081,IF($B$1080="Лікар загальної практики - сімейний лікар",W1083*Z1081,0)))</f>
        <v>0</v>
      </c>
      <c r="X1081" s="196">
        <f>IF($B$1080="Лікар-педіатр","x",IF($B$1080="Лікар-терапевт",X1083*Z1081,IF($B$1080="Лікар загальної практики - сімейний лікар",X1083*Z1081,0)))</f>
        <v>0</v>
      </c>
      <c r="Y1081" s="196">
        <f>IF($B$1080="Лікар-педіатр","x",IF($B$1080="Лікар-терапевт",Y1083*Z1081,IF($B$1080="Лікар загальної практики - сімейний лікар",Y1083*Z1081,0)))</f>
        <v>0</v>
      </c>
      <c r="Z1081" s="558"/>
      <c r="AA1081" s="930"/>
      <c r="AB1081" s="196">
        <f>IF($B$1080="Лікар-педіатр",AB1083*AG1081,IF($B$1080="Лікар-терапевт","х",IF($B$1080="Лікар загальної практики - сімейний лікар",AB1083*AG1081,0)))</f>
        <v>0</v>
      </c>
      <c r="AC1081" s="196">
        <f>IF($B$1080="Лікар-педіатр",AC1083*AG1081,IF($B$1080="Лікар-терапевт","х",IF($B$1080="Лікар загальної практики - сімейний лікар",AC1083*AG1081,0)))</f>
        <v>0</v>
      </c>
      <c r="AD1081" s="196">
        <f>IF($B$1080="Лікар-педіатр","x",IF($B$1080="Лікар-терапевт",AD1083*AG1081,IF($B$1080="Лікар загальної практики - сімейний лікар",AD1083*AG1081,0)))</f>
        <v>0</v>
      </c>
      <c r="AE1081" s="196">
        <f>IF($B$1080="Лікар-педіатр","x",IF($B$1080="Лікар-терапевт",AE1083*AG1081,IF($B$1080="Лікар загальної практики - сімейний лікар",AE1083*AG1081,0)))</f>
        <v>0</v>
      </c>
      <c r="AF1081" s="196">
        <f>IF($B$1080="Лікар-педіатр","x",IF($B$1080="Лікар-терапевт",AF1083*AG1081,IF($B$1080="Лікар загальної практики - сімейний лікар",AF1083*AG1081,0)))</f>
        <v>0</v>
      </c>
      <c r="AG1081" s="558"/>
      <c r="AH1081" s="930"/>
      <c r="AI1081" s="198"/>
      <c r="AJ1081" s="933"/>
      <c r="AK1081" s="927"/>
      <c r="AL1081" s="927"/>
      <c r="AM1081" s="902"/>
      <c r="AN1081" s="924"/>
      <c r="AO1081" s="924"/>
      <c r="AP1081" s="924"/>
      <c r="AQ1081" s="924"/>
      <c r="AR1081" s="915"/>
    </row>
    <row r="1082" spans="1:44" s="90" customFormat="1" ht="31.15" hidden="1" customHeight="1">
      <c r="A1082" s="240"/>
      <c r="B1082" s="893"/>
      <c r="C1082" s="896"/>
      <c r="D1082" s="912"/>
      <c r="E1082" s="909"/>
      <c r="F1082" s="241" t="s">
        <v>584</v>
      </c>
      <c r="G1082" s="199">
        <f>IF(B1080="Лікар загальної практики - сімейний лікар"," ",IF(B1080="Лікар-педіатр"," ",IF(B1080="Лікар-терапевт","х",0)))</f>
        <v>0</v>
      </c>
      <c r="H1082" s="199">
        <f>IF(B1080="Лікар загальної практики - сімейний лікар"," ",IF(B1080="Лікар-педіатр"," ",IF(B1080="Лікар-терапевт","х",0)))</f>
        <v>0</v>
      </c>
      <c r="I1082" s="199">
        <f>IF(B1080="Лікар загальної практики - сімейний лікар"," ",IF(B1080="Лікар-педіатр","х",IF(B1080="Лікар-терапевт"," ",0)))</f>
        <v>0</v>
      </c>
      <c r="J1082" s="199">
        <f>IF(B1080="Лікар загальної практики - сімейний лікар"," ",IF(B1080="Лікар-педіатр","х",IF(B1080="Лікар-терапевт"," ",0)))</f>
        <v>0</v>
      </c>
      <c r="K1082" s="199">
        <f>IF(B1080="Лікар загальної практики - сімейний лікар"," ",IF(B1080="Лікар-педіатр","х",IF(B1080="Лікар-терапевт"," ",0)))</f>
        <v>0</v>
      </c>
      <c r="L1082" s="200">
        <f>SUM(G1082:K1082)</f>
        <v>0</v>
      </c>
      <c r="M1082" s="930"/>
      <c r="N1082" s="199">
        <f>IF(B1080="Лікар загальної практики - сімейний лікар"," ",IF(B1080="Лікар-педіатр"," ",IF(B1080="Лікар-терапевт","х",0)))</f>
        <v>0</v>
      </c>
      <c r="O1082" s="199">
        <f>IF(B1080="Лікар загальної практики - сімейний лікар"," ",IF(B1080="Лікар-педіатр"," ",IF(B1080="Лікар-терапевт","х",0)))</f>
        <v>0</v>
      </c>
      <c r="P1082" s="199">
        <f>IF(B1080="Лікар загальної практики - сімейний лікар"," ",IF(B1080="Лікар-педіатр","х",IF(B1080="Лікар-терапевт"," ",0)))</f>
        <v>0</v>
      </c>
      <c r="Q1082" s="199">
        <f>IF(B1080="Лікар загальної практики - сімейний лікар"," ",IF(B1080="Лікар-педіатр","х",IF(B1080="Лікар-терапевт"," ",0)))</f>
        <v>0</v>
      </c>
      <c r="R1082" s="199">
        <f>IF(B1080="Лікар загальної практики - сімейний лікар"," ",IF(B1080="Лікар-педіатр","х",IF(B1080="Лікар-терапевт"," ",0)))</f>
        <v>0</v>
      </c>
      <c r="S1082" s="200">
        <f>SUM(N1082:R1082)</f>
        <v>0</v>
      </c>
      <c r="T1082" s="930"/>
      <c r="U1082" s="199">
        <f>IF(B1080="Лікар загальної практики - сімейний лікар"," ",IF(B1080="Лікар-педіатр"," ",IF(B1080="Лікар-терапевт","х",0)))</f>
        <v>0</v>
      </c>
      <c r="V1082" s="199">
        <f>IF(B1080="Лікар загальної практики - сімейний лікар"," ",IF(B1080="Лікар-педіатр"," ",IF(B1080="Лікар-терапевт","х",0)))</f>
        <v>0</v>
      </c>
      <c r="W1082" s="199">
        <f>IF(B1080="Лікар загальної практики - сімейний лікар"," ",IF(B1080="Лікар-педіатр","х",IF(B1080="Лікар-терапевт"," ",0)))</f>
        <v>0</v>
      </c>
      <c r="X1082" s="199">
        <f>IF(B1080="Лікар загальної практики - сімейний лікар"," ",IF(B1080="Лікар-педіатр","х",IF(B1080="Лікар-терапевт"," ",0)))</f>
        <v>0</v>
      </c>
      <c r="Y1082" s="199">
        <f>IF(B1080="Лікар загальної практики - сімейний лікар"," ",IF(B1080="Лікар-педіатр","х",IF(B1080="Лікар-терапевт"," ",0)))</f>
        <v>0</v>
      </c>
      <c r="Z1082" s="200">
        <f>SUM(U1082:Y1082)</f>
        <v>0</v>
      </c>
      <c r="AA1082" s="930"/>
      <c r="AB1082" s="199">
        <f>IF(B1080="Лікар загальної практики - сімейний лікар"," ",IF(B1080="Лікар-педіатр"," ",IF(B1080="Лікар-терапевт","х",0)))</f>
        <v>0</v>
      </c>
      <c r="AC1082" s="199">
        <f>IF(B1080="Лікар загальної практики - сімейний лікар"," ",IF(B1080="Лікар-педіатр"," ",IF(B1080="Лікар-терапевт","х",0)))</f>
        <v>0</v>
      </c>
      <c r="AD1082" s="199">
        <f>IF(B1080="Лікар загальної практики - сімейний лікар"," ",IF(B1080="Лікар-педіатр","х",IF(B1080="Лікар-терапевт"," ",0)))</f>
        <v>0</v>
      </c>
      <c r="AE1082" s="199">
        <f>IF(B1080="Лікар загальної практики - сімейний лікар"," ",IF(B1080="Лікар-педіатр","х",IF(B1080="Лікар-терапевт"," ",0)))</f>
        <v>0</v>
      </c>
      <c r="AF1082" s="199">
        <f>IF(B1080="Лікар загальної практики - сімейний лікар"," ",IF(B1080="Лікар-педіатр","х",IF(B1080="Лікар-терапевт"," ",0)))</f>
        <v>0</v>
      </c>
      <c r="AG1082" s="200">
        <f>SUM(AB1082:AF1082)</f>
        <v>0</v>
      </c>
      <c r="AH1082" s="930"/>
      <c r="AI1082" s="242"/>
      <c r="AJ1082" s="933"/>
      <c r="AK1082" s="927"/>
      <c r="AL1082" s="927"/>
      <c r="AM1082" s="902"/>
      <c r="AN1082" s="924"/>
      <c r="AO1082" s="924"/>
      <c r="AP1082" s="924"/>
      <c r="AQ1082" s="924"/>
      <c r="AR1082" s="915"/>
    </row>
    <row r="1083" spans="1:44" s="50" customFormat="1" ht="31.9" hidden="1" customHeight="1" thickBot="1">
      <c r="A1083" s="197"/>
      <c r="B1083" s="893"/>
      <c r="C1083" s="896"/>
      <c r="D1083" s="912"/>
      <c r="E1083" s="909"/>
      <c r="F1083" s="236" t="s">
        <v>349</v>
      </c>
      <c r="G1083" s="203">
        <f>IF($B$1080="Лікар-педіатр",G1082/L1082,IF($B$1080="Лікар-терапевт","х",IF($B$1080="Лікар загальної практики - сімейний лікар",G1082/L1082,0)))</f>
        <v>0</v>
      </c>
      <c r="H1083" s="203">
        <f>IF($B$1080="Лікар-педіатр",H1082/L1082,IF($B$1080="Лікар-терапевт","х",IF($B$1080="Лікар загальної практики - сімейний лікар",H1082/L1082,0)))</f>
        <v>0</v>
      </c>
      <c r="I1083" s="203">
        <f>IF($B$1080="Лікар-педіатр","x",IF($B$1080="Лікар-терапевт",I1082/L1082,IF($B$1080="Лікар загальної практики - сімейний лікар",I1082/L1082,0)))</f>
        <v>0</v>
      </c>
      <c r="J1083" s="203">
        <f>IF($B$1080="Лікар-педіатр","x",IF($B$1080="Лікар-терапевт",J1082/L1082,IF($B$1080="Лікар загальної практики - сімейний лікар",J1082/L1082,0)))</f>
        <v>0</v>
      </c>
      <c r="K1083" s="203">
        <f>IF($B$1080="Лікар-педіатр","x",IF($B$1080="Лікар-терапевт",K1082/L1082,IF($B$1080="Лікар загальної практики - сімейний лікар",K1082/L1082,0)))</f>
        <v>0</v>
      </c>
      <c r="L1083" s="203">
        <f>SUM(G1083:K1083)</f>
        <v>0</v>
      </c>
      <c r="M1083" s="930"/>
      <c r="N1083" s="203">
        <f>IF($B$1080="Лікар-педіатр",N1082/S1082,IF($B$1080="Лікар-терапевт","х",IF($B$1080="Лікар загальної практики - сімейний лікар",N1082/S1082,0)))</f>
        <v>0</v>
      </c>
      <c r="O1083" s="203">
        <f>IF($B$1080="Лікар-педіатр",O1082/S1082,IF($B$1080="Лікар-терапевт","х",IF($B$1080="Лікар загальної практики - сімейний лікар",O1082/S1082,0)))</f>
        <v>0</v>
      </c>
      <c r="P1083" s="203">
        <f>IF($B$1080="Лікар-педіатр","x",IF($B$1080="Лікар-терапевт",P1082/S1082,IF($B$1080="Лікар загальної практики - сімейний лікар",P1082/S1082,0)))</f>
        <v>0</v>
      </c>
      <c r="Q1083" s="203">
        <f>IF($B$1080="Лікар-педіатр","x",IF($B$1080="Лікар-терапевт",Q1082/S1082,IF($B$1080="Лікар загальної практики - сімейний лікар",Q1082/S1082,0)))</f>
        <v>0</v>
      </c>
      <c r="R1083" s="203">
        <f>IF($B$1080="Лікар-педіатр","x",IF($B$1080="Лікар-терапевт",R1082/S1082,IF($B$1080="Лікар загальної практики - сімейний лікар",R1082/S1082,0)))</f>
        <v>0</v>
      </c>
      <c r="S1083" s="203">
        <f>SUM(N1083:R1083)</f>
        <v>0</v>
      </c>
      <c r="T1083" s="930"/>
      <c r="U1083" s="203">
        <f>IF($B$1080="Лікар-педіатр",U1082/Z1082,IF($B$1080="Лікар-терапевт","х",IF($B$1080="Лікар загальної практики - сімейний лікар",U1082/Z1082,0)))</f>
        <v>0</v>
      </c>
      <c r="V1083" s="203">
        <f>IF($B$1080="Лікар-педіатр",V1082/Z1082,IF($B$1080="Лікар-терапевт","х",IF($B$1080="Лікар загальної практики - сімейний лікар",V1082/Z1082,0)))</f>
        <v>0</v>
      </c>
      <c r="W1083" s="203">
        <f>IF($B$1080="Лікар-педіатр","x",IF($B$1080="Лікар-терапевт",W1082/Z1082,IF($B$1080="Лікар загальної практики - сімейний лікар",W1082/Z1082,0)))</f>
        <v>0</v>
      </c>
      <c r="X1083" s="203">
        <f>IF($B$1080="Лікар-педіатр","x",IF($B$1080="Лікар-терапевт",X1082/Z1082,IF($B$1080="Лікар загальної практики - сімейний лікар",X1082/Z1082,0)))</f>
        <v>0</v>
      </c>
      <c r="Y1083" s="203">
        <f>IF($B$1080="Лікар-педіатр","x",IF($B$1080="Лікар-терапевт",Y1082/Z1082,IF($B$1080="Лікар загальної практики - сімейний лікар",Y1082/Z1082,0)))</f>
        <v>0</v>
      </c>
      <c r="Z1083" s="203">
        <f>SUM(U1083:Y1083)</f>
        <v>0</v>
      </c>
      <c r="AA1083" s="930"/>
      <c r="AB1083" s="203">
        <f>IF($B$1080="Лікар-педіатр",AB1082/AG1082,IF($B$1080="Лікар-терапевт","х",IF($B$1080="Лікар загальної практики - сімейний лікар",AB1082/AG1082,0)))</f>
        <v>0</v>
      </c>
      <c r="AC1083" s="203">
        <f>IF($B$1080="Лікар-педіатр",AC1082/AG1082,IF($B$1080="Лікар-терапевт","х",IF($B$1080="Лікар загальної практики - сімейний лікар",AC1082/AG1082,0)))</f>
        <v>0</v>
      </c>
      <c r="AD1083" s="203">
        <f>IF($B$1080="Лікар-педіатр","x",IF($B$1080="Лікар-терапевт",AD1082/AG1082,IF($B$1080="Лікар загальної практики - сімейний лікар",AD1082/AG1082,0)))</f>
        <v>0</v>
      </c>
      <c r="AE1083" s="203">
        <f>IF($B$1080="Лікар-педіатр","x",IF($B$1080="Лікар-терапевт",AE1082/AG1082,IF($B$1080="Лікар загальної практики - сімейний лікар",AE1082/AG1082,0)))</f>
        <v>0</v>
      </c>
      <c r="AF1083" s="203">
        <f>IF($B$1080="Лікар-педіатр","x",IF($B$1080="Лікар-терапевт",AF1082/AG1082,IF($B$1080="Лікар загальної практики - сімейний лікар",AF1082/AG1082,0)))</f>
        <v>0</v>
      </c>
      <c r="AG1083" s="203">
        <f>SUM(AB1083:AF1083)</f>
        <v>0</v>
      </c>
      <c r="AH1083" s="930"/>
      <c r="AI1083" s="201"/>
      <c r="AJ1083" s="933"/>
      <c r="AK1083" s="927"/>
      <c r="AL1083" s="927"/>
      <c r="AM1083" s="902"/>
      <c r="AN1083" s="924"/>
      <c r="AO1083" s="924"/>
      <c r="AP1083" s="924"/>
      <c r="AQ1083" s="924"/>
      <c r="AR1083" s="915"/>
    </row>
    <row r="1084" spans="1:44" s="50" customFormat="1" ht="45" hidden="1" customHeight="1" thickBot="1">
      <c r="A1084" s="197"/>
      <c r="B1084" s="893"/>
      <c r="C1084" s="896"/>
      <c r="D1084" s="912"/>
      <c r="E1084" s="909"/>
      <c r="F1084" s="204" t="s">
        <v>585</v>
      </c>
      <c r="G1084" s="205">
        <f>IF($B$1080="Лікар загальної практики - сімейний лікар",AVERAGE(G1080:G1082),IF($B$1080="Лікар-педіатр",AVERAGE(G1080:G1082),IF($B$1080="Лікар-терапевт","х",0)))</f>
        <v>0</v>
      </c>
      <c r="H1084" s="205">
        <f>IF($B$1080="Лікар загальної практики - сімейний лікар",AVERAGE(H1080:H1082),IF($B$1080="Лікар-педіатр",AVERAGE(H1080:H1082),IF($B$1080="Лікар-терапевт","х",0)))</f>
        <v>0</v>
      </c>
      <c r="I1084" s="205">
        <f>IF($B$1080="Лікар загальної практики - сімейний лікар",AVERAGE(I1080:I1082),IF($B$1080="Лікар-педіатр","x",IF($B$1080="Лікар-терапевт",AVERAGE(I1080:I1082),0)))</f>
        <v>0</v>
      </c>
      <c r="J1084" s="205">
        <f>IF($B$1080="Лікар загальної практики - сімейний лікар",AVERAGE(J1080:J1082),IF($B$1080="Лікар-педіатр","x",IF($B$1080="Лікар-терапевт",AVERAGE(J1080:J1082),0)))</f>
        <v>0</v>
      </c>
      <c r="K1084" s="205">
        <f>IF($B$1080="Лікар загальної практики - сімейний лікар",AVERAGE(K1080:K1082),IF($B$1080="Лікар-педіатр","x",IF($B$1080="Лікар-терапевт",AVERAGE(K1080:K1082),0)))</f>
        <v>0</v>
      </c>
      <c r="L1084" s="206">
        <f>SUM(G1084:K1084)</f>
        <v>0</v>
      </c>
      <c r="M1084" s="930"/>
      <c r="N1084" s="205">
        <f>IF($B$1080="Лікар загальної практики - сімейний лікар",AVERAGE(N1080:N1082),IF($B$1080="Лікар-педіатр",AVERAGE(N1080:N1082),IF($B$1080="Лікар-терапевт","х",0)))</f>
        <v>0</v>
      </c>
      <c r="O1084" s="205">
        <f>IF($B$1080="Лікар загальної практики - сімейний лікар",AVERAGE(O1080:O1082),IF($B$1080="Лікар-педіатр",AVERAGE(O1080:O1082),IF($B$1080="Лікар-терапевт","х",0)))</f>
        <v>0</v>
      </c>
      <c r="P1084" s="205">
        <f>IF($B$1080="Лікар загальної практики - сімейний лікар",AVERAGE(P1080:P1082),IF($B$1080="Лікар-педіатр","x",IF($B$1080="Лікар-терапевт",AVERAGE(P1080:P1082),0)))</f>
        <v>0</v>
      </c>
      <c r="Q1084" s="205">
        <f>IF($B$1080="Лікар загальної практики - сімейний лікар",AVERAGE(Q1080:Q1082),IF($B$1080="Лікар-педіатр","x",IF($B$1080="Лікар-терапевт",AVERAGE(Q1080:Q1082),0)))</f>
        <v>0</v>
      </c>
      <c r="R1084" s="205">
        <f>IF($B$1080="Лікар загальної практики - сімейний лікар",AVERAGE(R1080:R1082),IF($B$1080="Лікар-педіатр","x",IF($B$1080="Лікар-терапевт",AVERAGE(R1080:R1082),0)))</f>
        <v>0</v>
      </c>
      <c r="S1084" s="206">
        <f>SUM(N1084:R1084)</f>
        <v>0</v>
      </c>
      <c r="T1084" s="930"/>
      <c r="U1084" s="205">
        <f>IF($B$1080="Лікар загальної практики - сімейний лікар",AVERAGE(U1080:U1082),IF($B$1080="Лікар-педіатр",AVERAGE(U1080:U1082),IF($B$1080="Лікар-терапевт","х",0)))</f>
        <v>0</v>
      </c>
      <c r="V1084" s="205">
        <f>IF($B$1080="Лікар загальної практики - сімейний лікар",AVERAGE(V1080:V1082),IF($B$1080="Лікар-педіатр",AVERAGE(V1080:V1082),IF($B$1080="Лікар-терапевт","х",0)))</f>
        <v>0</v>
      </c>
      <c r="W1084" s="205">
        <f>IF($B$1080="Лікар загальної практики - сімейний лікар",AVERAGE(W1080:W1082),IF($B$1080="Лікар-педіатр","x",IF($B$1080="Лікар-терапевт",AVERAGE(W1080:W1082),0)))</f>
        <v>0</v>
      </c>
      <c r="X1084" s="205">
        <f>IF($B$1080="Лікар загальної практики - сімейний лікар",AVERAGE(X1080:X1082),IF($B$1080="Лікар-педіатр","x",IF($B$1080="Лікар-терапевт",AVERAGE(X1080:X1082),0)))</f>
        <v>0</v>
      </c>
      <c r="Y1084" s="205">
        <f>IF($B$1080="Лікар загальної практики - сімейний лікар",AVERAGE(Y1080:Y1082),IF($B$1080="Лікар-педіатр","x",IF($B$1080="Лікар-терапевт",AVERAGE(Y1080:Y1082),0)))</f>
        <v>0</v>
      </c>
      <c r="Z1084" s="206">
        <f>SUM(U1084:Y1084)</f>
        <v>0</v>
      </c>
      <c r="AA1084" s="930"/>
      <c r="AB1084" s="205">
        <f>IF($B$1080="Лікар загальної практики - сімейний лікар",AVERAGE(AB1080:AB1082),IF($B$1080="Лікар-педіатр",AVERAGE(AB1080:AB1082),IF($B$1080="Лікар-терапевт","х",0)))</f>
        <v>0</v>
      </c>
      <c r="AC1084" s="205">
        <f>IF($B$1080="Лікар загальної практики - сімейний лікар",AVERAGE(AC1080:AC1082),IF($B$1080="Лікар-педіатр",AVERAGE(AC1080:AC1082),IF($B$1080="Лікар-терапевт","х",0)))</f>
        <v>0</v>
      </c>
      <c r="AD1084" s="205">
        <f>IF($B$1080="Лікар загальної практики - сімейний лікар",AVERAGE(AD1080:AD1082),IF($B$1080="Лікар-педіатр","x",IF($B$1080="Лікар-терапевт",AVERAGE(AD1080:AD1082),0)))</f>
        <v>0</v>
      </c>
      <c r="AE1084" s="205">
        <f>IF($B$1080="Лікар загальної практики - сімейний лікар",AVERAGE(AE1080:AE1082),IF($B$1080="Лікар-педіатр","x",IF($B$1080="Лікар-терапевт",AVERAGE(AE1080:AE1082),0)))</f>
        <v>0</v>
      </c>
      <c r="AF1084" s="205">
        <f>IF($B$1080="Лікар загальної практики - сімейний лікар",AVERAGE(AF1080:AF1082),IF($B$1080="Лікар-педіатр","x",IF($B$1080="Лікар-терапевт",AVERAGE(AF1080:AF1082),0)))</f>
        <v>0</v>
      </c>
      <c r="AG1084" s="206">
        <f>SUM(AB1084:AF1084)</f>
        <v>0</v>
      </c>
      <c r="AH1084" s="930"/>
      <c r="AI1084" s="201"/>
      <c r="AJ1084" s="933"/>
      <c r="AK1084" s="927"/>
      <c r="AL1084" s="927"/>
      <c r="AM1084" s="903"/>
      <c r="AN1084" s="925"/>
      <c r="AO1084" s="925"/>
      <c r="AP1084" s="925"/>
      <c r="AQ1084" s="925"/>
      <c r="AR1084" s="916"/>
    </row>
    <row r="1085" spans="1:44" s="50" customFormat="1" ht="48.6" hidden="1" customHeight="1">
      <c r="A1085" s="197"/>
      <c r="B1085" s="893"/>
      <c r="C1085" s="896"/>
      <c r="D1085" s="912"/>
      <c r="E1085" s="909"/>
      <c r="F1085" s="237" t="str">
        <f ca="1">IF(B1080="Лікар-педіатр",Законод!$C$17,IF(B1080="Лікар загальної практики - сімейний лікар",Законод!$C$21,IF(B1080="Лікар-терапевт",Законод!$C$25,"х")))</f>
        <v>х</v>
      </c>
      <c r="G1085" s="208">
        <f ca="1">IF($B$1080="Лікар загальної практики - сімейний лікар",IF(L1084&lt;=Законод!$C$22,G1084,Законод!$C$22*'01_Доходи'!G1083),IF($B$1080="Лікар-педіатр",IF(L1084&lt;=Законод!$C$18,G1084,Законод!$C$18*'01_Доходи'!G1083),IF($B$1080="Лікар-терапевт","x",0)))</f>
        <v>0</v>
      </c>
      <c r="H1085" s="208">
        <f ca="1">IF($B$1080="Лікар загальної практики - сімейний лікар",IF(L1084&lt;=Законод!$C$22,H1084,Законод!$C$22*'01_Доходи'!H1083),IF($B$1080="Лікар-педіатр",IF(L1084&lt;=Законод!$C$18,H1084,Законод!$C$18*'01_Доходи'!H1083),IF($B$1080="Лікар-терапевт","x",0)))</f>
        <v>0</v>
      </c>
      <c r="I1085" s="208">
        <f ca="1">IF($B$1080="Лікар загальної практики - сімейний лікар",IF(L1084&lt;=Законод!$C$22,I1084,Законод!$C$22*'01_Доходи'!I1083),IF($B$1080="Лікар-педіатр","x",IF($B$1080="Лікар-терапевт",IF(L1084&lt;=Законод!$C$26,I1084,Законод!$C$26*'01_Доходи'!I1083),0)))</f>
        <v>0</v>
      </c>
      <c r="J1085" s="208">
        <f ca="1">IF($B$1080="Лікар загальної практики - сімейний лікар",IF(L1084&lt;=Законод!$C$22,J1084,Законод!$C$22*'01_Доходи'!J1083),IF($B$1080="Лікар-педіатр","x",IF($B$1080="Лікар-терапевт",IF(L1084&lt;=Законод!$C$26,J1084,Законод!$C$26*'01_Доходи'!J1083),0)))</f>
        <v>0</v>
      </c>
      <c r="K1085" s="208">
        <f ca="1">IF($B$1080="Лікар загальної практики - сімейний лікар",IF(L1084&lt;=Законод!$C$22,K1084,Законод!$C$22*'01_Доходи'!K1083),IF($B$1080="Лікар-педіатр","x",IF($B$1080="Лікар-терапевт",IF(L1084&lt;=Законод!$C$26,K1084,Законод!$C$26*'01_Доходи'!K1083),0)))</f>
        <v>0</v>
      </c>
      <c r="L1085" s="209">
        <f ca="1">SUM(G1085:K1085)</f>
        <v>0</v>
      </c>
      <c r="M1085" s="930"/>
      <c r="N1085" s="208">
        <f ca="1">IF($B$1080="Лікар загальної практики - сімейний лікар",IF(S1084&lt;=Законод!$C$22,N1084,Законод!$C$22*'01_Доходи'!N1083),IF($B$1080="Лікар-педіатр",IF(S1084&lt;=Законод!$C$18,N1084,Законод!$C$18*'01_Доходи'!N1083),IF($B$1080="Лікар-терапевт","x",0)))</f>
        <v>0</v>
      </c>
      <c r="O1085" s="208">
        <f ca="1">IF($B$1080="Лікар загальної практики - сімейний лікар",IF(S1084&lt;=Законод!$C$22,O1084,Законод!$C$22*'01_Доходи'!O1083),IF($B$1080="Лікар-педіатр",IF(S1084&lt;=Законод!$C$18,O1084,Законод!$C$18*'01_Доходи'!O1083),IF($B$1080="Лікар-терапевт","x",0)))</f>
        <v>0</v>
      </c>
      <c r="P1085" s="208">
        <f ca="1">IF($B$1080="Лікар загальної практики - сімейний лікар",IF(S1084&lt;=Законод!$C$22,P1084,Законод!$C$22*'01_Доходи'!P1083),IF($B$1080="Лікар-педіатр","x",IF($B$1080="Лікар-терапевт",IF(S1084&lt;=Законод!$C$26,P1084,Законод!$C$26*'01_Доходи'!P1083),0)))</f>
        <v>0</v>
      </c>
      <c r="Q1085" s="208">
        <f ca="1">IF($B$1080="Лікар загальної практики - сімейний лікар",IF(S1084&lt;=Законод!$C$22,Q1084,Законод!$C$22*'01_Доходи'!Q1083),IF($B$1080="Лікар-педіатр","x",IF($B$1080="Лікар-терапевт",IF(S1084&lt;=Законод!$C$26,Q1084,Законод!$C$26*'01_Доходи'!Q1083),0)))</f>
        <v>0</v>
      </c>
      <c r="R1085" s="208">
        <f ca="1">IF($B$1080="Лікар загальної практики - сімейний лікар",IF(S1084&lt;=Законод!$C$22,R1084,Законод!$C$22*'01_Доходи'!R1083),IF($B$1080="Лікар-педіатр","x",IF($B$1080="Лікар-терапевт",IF(S1084&lt;=Законод!$C$26,R1084,Законод!$C$26*'01_Доходи'!R1083),0)))</f>
        <v>0</v>
      </c>
      <c r="S1085" s="209">
        <f ca="1">SUM(N1085:R1085)</f>
        <v>0</v>
      </c>
      <c r="T1085" s="930"/>
      <c r="U1085" s="208">
        <f ca="1">IF($B$1080="Лікар загальної практики - сімейний лікар",IF(Z1084&lt;=Законод!$C$22,U1084,Законод!$C$22*'01_Доходи'!U1083),IF($B$1080="Лікар-педіатр",IF(Z1084&lt;=Законод!$C$18,U1084,Законод!$C$18*'01_Доходи'!U1083),IF($B$1080="Лікар-терапевт","x",0)))</f>
        <v>0</v>
      </c>
      <c r="V1085" s="208">
        <f ca="1">IF($B$1080="Лікар загальної практики - сімейний лікар",IF(Z1084&lt;=Законод!$C$22,V1084,Законод!$C$22*'01_Доходи'!V1083),IF($B$1080="Лікар-педіатр",IF(Z1084&lt;=Законод!$C$18,V1084,Законод!$C$18*'01_Доходи'!V1083),IF($B$1080="Лікар-терапевт","x",0)))</f>
        <v>0</v>
      </c>
      <c r="W1085" s="208">
        <f ca="1">IF($B$1080="Лікар загальної практики - сімейний лікар",IF(Z1084&lt;=Законод!$C$22,W1084,Законод!$C$22*'01_Доходи'!W1083),IF($B$1080="Лікар-педіатр","x",IF($B$1080="Лікар-терапевт",IF(Z1084&lt;=Законод!$C$26,W1084,Законод!$C$26*'01_Доходи'!W1083),0)))</f>
        <v>0</v>
      </c>
      <c r="X1085" s="208">
        <f ca="1">IF($B$1080="Лікар загальної практики - сімейний лікар",IF(Z1084&lt;=Законод!$C$22,X1084,Законод!$C$22*'01_Доходи'!X1083),IF($B$1080="Лікар-педіатр","x",IF($B$1080="Лікар-терапевт",IF(Z1084&lt;=Законод!$C$26,X1084,Законод!$C$26*'01_Доходи'!X1083),0)))</f>
        <v>0</v>
      </c>
      <c r="Y1085" s="208">
        <f ca="1">IF($B$1080="Лікар загальної практики - сімейний лікар",IF(Z1084&lt;=Законод!$C$22,Y1084,Законод!$C$22*'01_Доходи'!Y1083),IF($B$1080="Лікар-педіатр","x",IF($B$1080="Лікар-терапевт",IF(Z1084&lt;=Законод!$C$26,Y1084,Законод!$C$26*'01_Доходи'!Y1083),0)))</f>
        <v>0</v>
      </c>
      <c r="Z1085" s="209">
        <f ca="1">SUM(U1085:Y1085)</f>
        <v>0</v>
      </c>
      <c r="AA1085" s="930"/>
      <c r="AB1085" s="208">
        <f ca="1">IF($B$1080="Лікар загальної практики - сімейний лікар",IF(AG1084&lt;=Законод!$C$22,AB1084,Законод!$C$22*'01_Доходи'!AB1083),IF($B$1080="Лікар-педіатр",IF(AG1084&lt;=Законод!$C$18,AB1084,Законод!$C$18*'01_Доходи'!AB1083),IF($B$1080="Лікар-терапевт","x",0)))</f>
        <v>0</v>
      </c>
      <c r="AC1085" s="208">
        <f ca="1">IF($B$1080="Лікар загальної практики - сімейний лікар",IF(AG1084&lt;=Законод!$C$22,AC1084,Законод!$C$22*'01_Доходи'!AC1083),IF($B$1080="Лікар-педіатр",IF(AG1084&lt;=Законод!$C$18,AC1084,Законод!$C$18*'01_Доходи'!AC1083),IF($B$1080="Лікар-терапевт","x",0)))</f>
        <v>0</v>
      </c>
      <c r="AD1085" s="208">
        <f ca="1">IF($B$1080="Лікар загальної практики - сімейний лікар",IF(AG1084&lt;=Законод!$C$22,AD1084,Законод!$C$22*'01_Доходи'!AD1083),IF($B$1080="Лікар-педіатр","x",IF($B$1080="Лікар-терапевт",IF(AG1084&lt;=Законод!$C$26,AD1084,Законод!$C$26*'01_Доходи'!AD1083),0)))</f>
        <v>0</v>
      </c>
      <c r="AE1085" s="208">
        <f ca="1">IF($B$1080="Лікар загальної практики - сімейний лікар",IF(AG1084&lt;=Законод!$C$22,AE1084,Законод!$C$22*'01_Доходи'!AE1083),IF($B$1080="Лікар-педіатр","x",IF($B$1080="Лікар-терапевт",IF(AG1084&lt;=Законод!$C$26,AE1084,Законод!$C$26*'01_Доходи'!AE1083),0)))</f>
        <v>0</v>
      </c>
      <c r="AF1085" s="208">
        <f ca="1">IF($B$1080="Лікар загальної практики - сімейний лікар",IF(AG1084&lt;=Законод!$C$22,AF1084,Законод!$C$22*'01_Доходи'!AF1083),IF($B$1080="Лікар-педіатр","x",IF($B$1080="Лікар-терапевт",IF(AG1084&lt;=Законод!$C$26,AF1084,Законод!$C$26*'01_Доходи'!AF1083),0)))</f>
        <v>0</v>
      </c>
      <c r="AG1085" s="209">
        <f ca="1">SUM(AB1085:AF1085)</f>
        <v>0</v>
      </c>
      <c r="AH1085" s="930"/>
      <c r="AI1085" s="201"/>
      <c r="AJ1085" s="933"/>
      <c r="AK1085" s="927"/>
      <c r="AL1085" s="927"/>
      <c r="AM1085" s="348" t="s">
        <v>374</v>
      </c>
      <c r="AN1085" s="210">
        <f ca="1">IF(B1080="Лікар загальної практики - сімейний лікар",G1085*Законод!$C$11+'01_Доходи'!H1085*Законод!$D$11+'01_Доходи'!I1085*Законод!$E$11+'01_Доходи'!J1085*Законод!$F$11+'01_Доходи'!K1085*Законод!$G$11,IF(B1080="Лікар-педіатр",G1085*Законод!$C$11+'01_Доходи'!H1085*Законод!$D$11,IF(B1080="Лікар-терапевт",'01_Доходи'!I1085*Законод!$E$11+'01_Доходи'!J1085*Законод!$F$11+'01_Доходи'!K1085*Законод!$G$11,0)))</f>
        <v>0</v>
      </c>
      <c r="AO1085" s="210">
        <f ca="1">IF(B1080="Лікар загальної практики - сімейний лікар",N1085*Законод!$C$11+'01_Доходи'!O1085*Законод!$D$11+'01_Доходи'!P1085*Законод!$E$11+'01_Доходи'!Q1085*Законод!$F$11+'01_Доходи'!R1085*Законод!$G$11,IF(B1080="Лікар-педіатр",N1085*Законод!$C$11+'01_Доходи'!O1085*Законод!$D$11,IF(B1080="Лікар-терапевт",'01_Доходи'!P1085*Законод!$E$11+'01_Доходи'!Q1085*Законод!$F$11+'01_Доходи'!R1085*Законод!$G$11,0)))</f>
        <v>0</v>
      </c>
      <c r="AP1085" s="210">
        <f ca="1">IF(B1080="Лікар загальної практики - сімейний лікар",U1085*Законод!$C$11+'01_Доходи'!V1085*Законод!$D$11+'01_Доходи'!W1085*Законод!$E$11+'01_Доходи'!X1085*Законод!$F$11+'01_Доходи'!Y1085*Законод!$G$11,IF(B1080="Лікар-педіатр",U1085*Законод!$C$11+'01_Доходи'!V1085*Законод!$D$11,IF(B1080="Лікар-терапевт",'01_Доходи'!W1085*Законод!$E$11+'01_Доходи'!X1085*Законод!$F$11+'01_Доходи'!Y1085*Законод!$G$11,0)))</f>
        <v>0</v>
      </c>
      <c r="AQ1085" s="210">
        <f ca="1">IF(B1080="Лікар загальної практики - сімейний лікар",AB1085*Законод!$C$11+'01_Доходи'!AC1085*Законод!$D$11+'01_Доходи'!AD1085*Законод!$E$11+'01_Доходи'!AE1085*Законод!$F$11+'01_Доходи'!AF1085*Законод!$G$11,IF(B1080="Лікар-педіатр",AB1085*Законод!$C$11+'01_Доходи'!AC1085*Законод!$D$11,IF(B1080="Лікар-терапевт",'01_Доходи'!AD1085*Законод!$E$11+'01_Доходи'!AE1085*Законод!$F$11+'01_Доходи'!AF1085*Законод!$G$11,0)))</f>
        <v>0</v>
      </c>
      <c r="AR1085" s="211">
        <f t="shared" ref="AR1085:AR1091" si="110">SUM(AN1085:AQ1085)</f>
        <v>0</v>
      </c>
    </row>
    <row r="1086" spans="1:44" s="50" customFormat="1" ht="31.9" hidden="1" customHeight="1">
      <c r="A1086" s="197"/>
      <c r="B1086" s="893"/>
      <c r="C1086" s="896"/>
      <c r="D1086" s="912"/>
      <c r="E1086" s="909"/>
      <c r="F1086" s="238" t="str">
        <f ca="1">IF(B1080="Лікар-педіатр",Законод!$E$17,IF(B1080="Лікар загальної практики - сімейний лікар",Законод!$E$21,IF(B1080="Лікар-терапевт",Законод!$E$25,"х")))</f>
        <v>х</v>
      </c>
      <c r="G1086" s="889" t="s">
        <v>346</v>
      </c>
      <c r="H1086" s="890"/>
      <c r="I1086" s="890"/>
      <c r="J1086" s="890"/>
      <c r="K1086" s="891"/>
      <c r="L1086" s="196">
        <f ca="1">IF($B$1080="Лікар загальної практики - сімейний лікар",IF(L1084&lt;Законод!$C$22,0,(IF(AND(L1084&gt;=Законод!$E$22,L1084&lt;=Законод!$E$23),L1084-Законод!$C$22,IF('01_Доходи'!L1084&gt;=Законод!$F$22,Законод!$E$24,0)))),IF($B$1080="Лікар-педіатр",IF(L1084&lt;Законод!$C$18,0,(IF(AND(L1084&gt;=Законод!$E$18,L1084&lt;=Законод!$E$19),L1084-Законод!$C$18,IF('01_Доходи'!L1084&gt;=Законод!$F$18,Законод!$E$20,0)))),IF($B$1080="Лікар-терапевт",IF(L1084&lt;Законод!$C$26,0,(IF(AND(L1084&gt;=Законод!$E$26,L1084&lt;=Законод!$E$27),L1084-Законод!$C$26,IF('01_Доходи'!L1084&gt;=Законод!$F$26,Законод!$E$28,0)))),0)))</f>
        <v>0</v>
      </c>
      <c r="M1086" s="930"/>
      <c r="N1086" s="889" t="s">
        <v>346</v>
      </c>
      <c r="O1086" s="890"/>
      <c r="P1086" s="890"/>
      <c r="Q1086" s="890"/>
      <c r="R1086" s="891"/>
      <c r="S1086" s="196">
        <f ca="1">IF($B$1080="Лікар загальної практики - сімейний лікар",IF(S1084&lt;Законод!$C$22,0,(IF(AND(S1084&gt;=Законод!$E$22,S1084&lt;=Законод!$E$23),S1084-Законод!$C$22,IF('01_Доходи'!S1084&gt;=Законод!$F$22,Законод!$E$24,0)))),IF($B$1080="Лікар-педіатр",IF(S1084&lt;Законод!$C$18,0,(IF(AND(S1084&gt;=Законод!$E$18,S1084&lt;=Законод!$E$19),S1084-Законод!$C$18,IF('01_Доходи'!S1084&gt;=Законод!$F$18,Законод!$E$20,0)))),IF($B$1080="Лікар-терапевт",IF(S1084&lt;Законод!$C$26,0,(IF(AND(S1084&gt;=Законод!$E$26,S1084&lt;=Законод!$E$27),S1084-Законод!$C$26,IF('01_Доходи'!S1084&gt;=Законод!$F$26,Законод!$E$28,0)))),0)))</f>
        <v>0</v>
      </c>
      <c r="T1086" s="930"/>
      <c r="U1086" s="889" t="s">
        <v>346</v>
      </c>
      <c r="V1086" s="890"/>
      <c r="W1086" s="890"/>
      <c r="X1086" s="890"/>
      <c r="Y1086" s="891"/>
      <c r="Z1086" s="196">
        <f ca="1">IF($B$1080="Лікар загальної практики - сімейний лікар",IF(Z1084&lt;Законод!$C$22,0,(IF(AND(Z1084&gt;=Законод!$E$22,Z1084&lt;=Законод!$E$23),Z1084-Законод!$C$22,IF('01_Доходи'!Z1084&gt;=Законод!$F$22,Законод!$E$24,0)))),IF($B$1080="Лікар-педіатр",IF(Z1084&lt;Законод!$C$18,0,(IF(AND(Z1084&gt;=Законод!$E$18,Z1084&lt;=Законод!$E$19),Z1084-Законод!$C$18,IF('01_Доходи'!Z1084&gt;=Законод!$F$18,Законод!$E$20,0)))),IF($B$1080="Лікар-терапевт",IF(Z1084&lt;Законод!$C$26,0,(IF(AND(Z1084&gt;=Законод!$E$26,Z1084&lt;=Законод!$E$27),Z1084-Законод!$C$26,IF('01_Доходи'!Z1084&gt;=Законод!$F$26,Законод!$E$28,0)))),0)))</f>
        <v>0</v>
      </c>
      <c r="AA1086" s="930"/>
      <c r="AB1086" s="889" t="s">
        <v>346</v>
      </c>
      <c r="AC1086" s="890"/>
      <c r="AD1086" s="890"/>
      <c r="AE1086" s="890"/>
      <c r="AF1086" s="891"/>
      <c r="AG1086" s="196">
        <f ca="1">IF($B$1080="Лікар загальної практики - сімейний лікар",IF(AG1084&lt;Законод!$C$22,0,(IF(AND(AG1084&gt;=Законод!$E$22,AG1084&lt;=Законод!$E$23),AG1084-Законод!$C$22,IF('01_Доходи'!AG1084&gt;=Законод!$F$22,Законод!$E$24,0)))),IF($B$1080="Лікар-педіатр",IF(AG1084&lt;Законод!$C$18,0,(IF(AND(AG1084&gt;=Законод!$E$18,AG1084&lt;=Законод!$E$19),AG1084-Законод!$C$18,IF('01_Доходи'!AG1084&gt;=Законод!$F$18,Законод!$E$20,0)))),IF($B$1080="Лікар-терапевт",IF(AG1084&lt;Законод!$C$26,0,(IF(AND(AG1084&gt;=Законод!$E$26,AG1084&lt;=Законод!$E$27),AG1084-Законод!$C$26,IF('01_Доходи'!AG1084&gt;=Законод!$F$26,Законод!$E$28,0)))),0)))</f>
        <v>0</v>
      </c>
      <c r="AH1086" s="930"/>
      <c r="AI1086" s="201"/>
      <c r="AJ1086" s="933"/>
      <c r="AK1086" s="927"/>
      <c r="AL1086" s="927"/>
      <c r="AM1086" s="898" t="s">
        <v>375</v>
      </c>
      <c r="AN1086" s="210">
        <f ca="1">IF(B1080="Лікар загальної практики - сімейний лікар",L1086*Законод!$C$9/4*Законод!$E$16,IF(B1080="Лікар-педіатр",L1086*Законод!$C$9/4*Законод!$E$16,IF(B1080="Лікар-терапевт",L1086*Законод!$C$9/4*Законод!$E$16,0)))</f>
        <v>0</v>
      </c>
      <c r="AO1086" s="210">
        <f ca="1">IF(B1080="Лікар загальної практики - сімейний лікар",S1086*Законод!$C$9/4*Законод!$E$16,IF(B1080="Лікар-педіатр",S1086*Законод!$C$9/4*Законод!$E$16,IF(B1080="Лікар-терапевт",S1086*Законод!$C$9/4*Законод!$E$16,0)))</f>
        <v>0</v>
      </c>
      <c r="AP1086" s="210">
        <f ca="1">IF(B1080="Лікар загальної практики - сімейний лікар",Z1086*Законод!$C$9/4*Законод!$E$16,IF(B1080="Лікар-педіатр",Z1086*Законод!$C$9/4*Законод!$E$16,IF(B1080="Лікар-терапевт",Z1086*Законод!$C$9/4*Законод!$E$16,0)))</f>
        <v>0</v>
      </c>
      <c r="AQ1086" s="210">
        <f ca="1">IF(B1080="Лікар загальної практики - сімейний лікар",AG1086*Законод!$C$9/4*Законод!$E$16,IF(B1080="Лікар-педіатр",AG1086*Законод!$C$9/4*Законод!$E$16,IF(B1080="Лікар-терапевт",AG1086*Законод!$C$9/4*Законод!$E$16,0)))</f>
        <v>0</v>
      </c>
      <c r="AR1086" s="211">
        <f t="shared" si="110"/>
        <v>0</v>
      </c>
    </row>
    <row r="1087" spans="1:44" s="50" customFormat="1" ht="31.9" hidden="1" customHeight="1">
      <c r="A1087" s="197"/>
      <c r="B1087" s="893"/>
      <c r="C1087" s="896"/>
      <c r="D1087" s="912"/>
      <c r="E1087" s="909"/>
      <c r="F1087" s="238" t="str">
        <f ca="1">IF(B1080="Лікар-педіатр",Законод!$F$17,IF(B1080="Лікар загальної практики - сімейний лікар",Законод!$F$21,IF(B1080="Лікар-терапевт",Законод!$F$25,"х")))</f>
        <v>х</v>
      </c>
      <c r="G1087" s="889" t="s">
        <v>346</v>
      </c>
      <c r="H1087" s="890"/>
      <c r="I1087" s="890"/>
      <c r="J1087" s="890"/>
      <c r="K1087" s="891"/>
      <c r="L1087" s="196">
        <f ca="1">IF($B$1080="Лікар загальної практики - сімейний лікар",IF(L1084&lt;Законод!$C$22,0,(IF(AND(L1084&gt;=Законод!$F$22,L1084&lt;=Законод!$F$23),L1084-Законод!$E$23,IF('01_Доходи'!L1084&gt;=Законод!$G$22,Законод!$F$24,0)))),IF($B$1080="Лікар-педіатр",IF(L1084&lt;Законод!$C$18,0,(IF(AND(L1084&gt;=Законод!$F$18,L1084&lt;=Законод!$F$19),L1084-Законод!$E$19,IF('01_Доходи'!L1084&gt;=Законод!$G$18,Законод!$F$20,0)))),IF($B$1080="Лікар-терапевт",IF(L1084&lt;Законод!$C$26,0,(IF(AND(L1084&gt;=Законод!$F$26,L1084&lt;=Законод!$F$27),L1084-Законод!$E$27,IF('01_Доходи'!L1084&gt;=Законод!$G$26,Законод!$F$28,0)))),0)))</f>
        <v>0</v>
      </c>
      <c r="M1087" s="930"/>
      <c r="N1087" s="889" t="s">
        <v>346</v>
      </c>
      <c r="O1087" s="890"/>
      <c r="P1087" s="890"/>
      <c r="Q1087" s="890"/>
      <c r="R1087" s="891"/>
      <c r="S1087" s="196">
        <f ca="1">IF($B$1080="Лікар загальної практики - сімейний лікар",IF(S1084&lt;Законод!$C$22,0,(IF(AND(S1084&gt;=Законод!$F$22,S1084&lt;=Законод!$F$23),S1084-Законод!$E$23,IF('01_Доходи'!S1084&gt;=Законод!$G$22,Законод!$F$24,0)))),IF($B$1080="Лікар-педіатр",IF(S1084&lt;Законод!$C$18,0,(IF(AND(S1084&gt;=Законод!$F$18,S1084&lt;=Законод!$F$19),S1084-Законод!$E$19,IF('01_Доходи'!S1084&gt;=Законод!$G$18,Законод!$F$20,0)))),IF($B$1080="Лікар-терапевт",IF(S1084&lt;Законод!$C$26,0,(IF(AND(S1084&gt;=Законод!$F$26,S1084&lt;=Законод!$F$27),S1084-Законод!$E$27,IF('01_Доходи'!S1084&gt;=Законод!$G$26,Законод!$F$28,0)))),0)))</f>
        <v>0</v>
      </c>
      <c r="T1087" s="930"/>
      <c r="U1087" s="889" t="s">
        <v>346</v>
      </c>
      <c r="V1087" s="890"/>
      <c r="W1087" s="890"/>
      <c r="X1087" s="890"/>
      <c r="Y1087" s="891"/>
      <c r="Z1087" s="196">
        <f ca="1">IF($B$1080="Лікар загальної практики - сімейний лікар",IF(Z1084&lt;Законод!$C$22,0,(IF(AND(Z1084&gt;=Законод!$F$22,Z1084&lt;=Законод!$F$23),Z1084-Законод!$E$23,IF('01_Доходи'!Z1084&gt;=Законод!$G$22,Законод!$F$24,0)))),IF($B$1080="Лікар-педіатр",IF(Z1084&lt;Законод!$C$18,0,(IF(AND(Z1084&gt;=Законод!$F$18,Z1084&lt;=Законод!$F$19),Z1084-Законод!$E$19,IF('01_Доходи'!Z1084&gt;=Законод!$G$18,Законод!$F$20,0)))),IF($B$1080="Лікар-терапевт",IF(Z1084&lt;Законод!$C$26,0,(IF(AND(Z1084&gt;=Законод!$F$26,Z1084&lt;=Законод!$F$27),Z1084-Законод!$E$27,IF('01_Доходи'!Z1084&gt;=Законод!$G$26,Законод!$F$28,0)))),0)))</f>
        <v>0</v>
      </c>
      <c r="AA1087" s="930"/>
      <c r="AB1087" s="889" t="s">
        <v>346</v>
      </c>
      <c r="AC1087" s="890"/>
      <c r="AD1087" s="890"/>
      <c r="AE1087" s="890"/>
      <c r="AF1087" s="891"/>
      <c r="AG1087" s="196">
        <f ca="1">IF($B$1080="Лікар загальної практики - сімейний лікар",IF(AG1084&lt;Законод!$C$22,0,(IF(AND(AG1084&gt;=Законод!$F$22,AG1084&lt;=Законод!$F$23),AG1084-Законод!$E$23,IF('01_Доходи'!AG1084&gt;=Законод!$G$22,Законод!$F$24,0)))),IF($B$1080="Лікар-педіатр",IF(AG1084&lt;Законод!$C$18,0,(IF(AND(AG1084&gt;=Законод!$F$18,AG1084&lt;=Законод!$F$19),AG1084-Законод!$E$19,IF('01_Доходи'!AG1084&gt;=Законод!$G$18,Законод!$F$20,0)))),IF($B$1080="Лікар-терапевт",IF(AG1084&lt;Законод!$C$26,0,(IF(AND(AG1084&gt;=Законод!$F$26,AG1084&lt;=Законод!$F$27),AG1084-Законод!$E$27,IF('01_Доходи'!AG1084&gt;=Законод!$G$26,Законод!$F$28,0)))),0)))</f>
        <v>0</v>
      </c>
      <c r="AH1087" s="930"/>
      <c r="AI1087" s="201"/>
      <c r="AJ1087" s="933"/>
      <c r="AK1087" s="927"/>
      <c r="AL1087" s="927"/>
      <c r="AM1087" s="899"/>
      <c r="AN1087" s="210">
        <f ca="1">IF(B1080="Лікар загальної практики - сімейний лікар",L1087*Законод!$C$9/4*Законод!$F$16,IF(B1080="Лікар-педіатр",L1087*Законод!$C$9/4*Законод!$F$16,IF(B1080="Лікар-терапевт",L1087*Законод!$C$9/4*Законод!$F$16,0)))</f>
        <v>0</v>
      </c>
      <c r="AO1087" s="210">
        <f ca="1">IF(B1080="Лікар загальної практики - сімейний лікар",S1087*Законод!$C$9/4*Законод!$F$16,IF(B1080="Лікар-педіатр",S1087*Законод!$C$9/4*Законод!$F$16,IF(B1080="Лікар-терапевт",S1087*Законод!$C$9/4*Законод!$F$16,0)))</f>
        <v>0</v>
      </c>
      <c r="AP1087" s="210">
        <f ca="1">IF(B1080="Лікар загальної практики - сімейний лікар",Z1087*Законод!$C$9/4*Законод!$F$16,IF(B1080="Лікар-педіатр",Z1087*Законод!$C$9/4*Законод!$F$16,IF(B1080="Лікар-терапевт",Z1087*Законод!$C$9/4*Законод!$F$16,0)))</f>
        <v>0</v>
      </c>
      <c r="AQ1087" s="210">
        <f ca="1">IF(B1080="Лікар загальної практики - сімейний лікар",AG1087*Законод!$C$9/4*Законод!$F$16,IF(B1080="Лікар-педіатр",AG1087*Законод!$C$9/4*Законод!$F$16,IF(B1080="Лікар-терапевт",AG1087*Законод!$C$9/4*Законод!$F$16,0)))</f>
        <v>0</v>
      </c>
      <c r="AR1087" s="211">
        <f t="shared" si="110"/>
        <v>0</v>
      </c>
    </row>
    <row r="1088" spans="1:44" s="50" customFormat="1" ht="31.9" hidden="1" customHeight="1">
      <c r="A1088" s="197"/>
      <c r="B1088" s="893"/>
      <c r="C1088" s="896"/>
      <c r="D1088" s="912"/>
      <c r="E1088" s="909"/>
      <c r="F1088" s="238" t="str">
        <f ca="1">IF(B1080="Лікар-педіатр",Законод!$G$17,IF(B1080="Лікар загальної практики - сімейний лікар",Законод!$G$21,IF(B1080="Лікар-терапевт",Законод!$G$25,"х")))</f>
        <v>х</v>
      </c>
      <c r="G1088" s="889" t="s">
        <v>346</v>
      </c>
      <c r="H1088" s="890"/>
      <c r="I1088" s="890"/>
      <c r="J1088" s="890"/>
      <c r="K1088" s="891"/>
      <c r="L1088" s="196">
        <f ca="1">IF($B$1080="Лікар загальної практики - сімейний лікар",IF(L1084&lt;Законод!$C$22,0,(IF(AND(L1084&gt;=Законод!$G$22,L1084&lt;=Законод!$G$23),L1084-Законод!$F$23,IF('01_Доходи'!L1084&gt;=Законод!$H$22,Законод!$G$24,0)))),IF($B$1080="Лікар-педіатр",IF(L1084&lt;Законод!$C$18,0,(IF(AND(L1084&gt;=Законод!$G$18,L1084&lt;=Законод!$G$19),L1084-Законод!$F$19,IF('01_Доходи'!L1084&gt;=Законод!$H$18,Законод!$G$20,0)))),IF($B$1080="Лікар-терапевт",IF(L1084&lt;Законод!$C$26,0,(IF(AND(L1084&gt;=Законод!$G$26,L1084&lt;=Законод!$G$27),L1084-Законод!$F$27,IF('01_Доходи'!L1084&gt;=Законод!$H$26,Законод!$G$28,0)))),0)))</f>
        <v>0</v>
      </c>
      <c r="M1088" s="930"/>
      <c r="N1088" s="889" t="s">
        <v>346</v>
      </c>
      <c r="O1088" s="890"/>
      <c r="P1088" s="890"/>
      <c r="Q1088" s="890"/>
      <c r="R1088" s="891"/>
      <c r="S1088" s="196">
        <f ca="1">IF($B$1080="Лікар загальної практики - сімейний лікар",IF(S1084&lt;Законод!$C$22,0,(IF(AND(S1084&gt;=Законод!$G$22,S1084&lt;=Законод!$G$23),S1084-Законод!$F$23,IF('01_Доходи'!S1084&gt;=Законод!$H$22,Законод!$G$24,0)))),IF($B$1080="Лікар-педіатр",IF(S1084&lt;Законод!$C$18,0,(IF(AND(S1084&gt;=Законод!$G$18,S1084&lt;=Законод!$G$19),S1084-Законод!$F$19,IF('01_Доходи'!S1084&gt;=Законод!$H$18,Законод!$G$20,0)))),IF($B$1080="Лікар-терапевт",IF(S1084&lt;Законод!$C$26,0,(IF(AND(S1084&gt;=Законод!$G$26,S1084&lt;=Законод!$G$27),S1084-Законод!$F$27,IF('01_Доходи'!S1084&gt;=Законод!$H$26,Законод!$G$28,0)))),0)))</f>
        <v>0</v>
      </c>
      <c r="T1088" s="930"/>
      <c r="U1088" s="889" t="s">
        <v>346</v>
      </c>
      <c r="V1088" s="890"/>
      <c r="W1088" s="890"/>
      <c r="X1088" s="890"/>
      <c r="Y1088" s="891"/>
      <c r="Z1088" s="196">
        <f ca="1">IF($B$1080="Лікар загальної практики - сімейний лікар",IF(Z1084&lt;Законод!$C$22,0,(IF(AND(Z1084&gt;=Законод!$G$22,Z1084&lt;=Законод!$G$23),Z1084-Законод!$F$23,IF('01_Доходи'!Z1084&gt;=Законод!$H$22,Законод!$G$24,0)))),IF($B$1080="Лікар-педіатр",IF(Z1084&lt;Законод!$C$18,0,(IF(AND(Z1084&gt;=Законод!$G$18,Z1084&lt;=Законод!$G$19),Z1084-Законод!$F$19,IF('01_Доходи'!Z1084&gt;=Законод!$H$18,Законод!$G$20,0)))),IF($B$1080="Лікар-терапевт",IF(Z1084&lt;Законод!$C$26,0,(IF(AND(Z1084&gt;=Законод!$G$26,Z1084&lt;=Законод!$G$27),Z1084-Законод!$F$27,IF('01_Доходи'!Z1084&gt;=Законод!$H$26,Законод!$G$28,0)))),0)))</f>
        <v>0</v>
      </c>
      <c r="AA1088" s="930"/>
      <c r="AB1088" s="889" t="s">
        <v>346</v>
      </c>
      <c r="AC1088" s="890"/>
      <c r="AD1088" s="890"/>
      <c r="AE1088" s="890"/>
      <c r="AF1088" s="891"/>
      <c r="AG1088" s="196">
        <f ca="1">IF($B$1080="Лікар загальної практики - сімейний лікар",IF(AG1084&lt;Законод!$C$22,0,(IF(AND(AG1084&gt;=Законод!$G$22,AG1084&lt;=Законод!$G$23),AG1084-Законод!$F$23,IF('01_Доходи'!AG1084&gt;=Законод!$H$22,Законод!$G$24,0)))),IF($B$1080="Лікар-педіатр",IF(AG1084&lt;Законод!$C$18,0,(IF(AND(AG1084&gt;=Законод!$G$18,AG1084&lt;=Законод!$G$19),AG1084-Законод!$F$19,IF('01_Доходи'!AG1084&gt;=Законод!$H$18,Законод!$G$20,0)))),IF($B$1080="Лікар-терапевт",IF(AG1084&lt;Законод!$C$26,0,(IF(AND(AG1084&gt;=Законод!$G$26,AG1084&lt;=Законод!$G$27),AG1084-Законод!$F$27,IF('01_Доходи'!AG1084&gt;=Законод!$H$26,Законод!$G$28,0)))),0)))</f>
        <v>0</v>
      </c>
      <c r="AH1088" s="930"/>
      <c r="AI1088" s="201"/>
      <c r="AJ1088" s="933"/>
      <c r="AK1088" s="927"/>
      <c r="AL1088" s="927"/>
      <c r="AM1088" s="899"/>
      <c r="AN1088" s="210">
        <f ca="1">IF(B1080="Лікар загальної практики - сімейний лікар",L1088*Законод!$C$9/4*Законод!$G$16,IF(B1080="Лікар-педіатр",L1088*Законод!$C$9/4*Законод!$G$16,IF(B1080="Лікар-терапевт",L1088*Законод!$C$9/4*Законод!$G$16,0)))</f>
        <v>0</v>
      </c>
      <c r="AO1088" s="210">
        <f ca="1">IF(B1080="Лікар загальної практики - сімейний лікар",S1088*Законод!$C$9/4*Законод!$G$16,IF(B1080="Лікар-педіатр",S1088*Законод!$C$9/4*Законод!$G$16,IF(B1080="Лікар-терапевт",S1088*Законод!$C$9/4*Законод!$G$16,0)))</f>
        <v>0</v>
      </c>
      <c r="AP1088" s="210">
        <f ca="1">IF(B1080="Лікар загальної практики - сімейний лікар",Z1088*Законод!$C$9/4*Законод!$G$16,IF(B1080="Лікар-педіатр",Z1088*Законод!$C$9/4*Законод!$G$16,IF(B1080="Лікар-терапевт",Z1088*Законод!$C$9/4*Законод!$G$16,0)))</f>
        <v>0</v>
      </c>
      <c r="AQ1088" s="210">
        <f ca="1">IF(B1080="Лікар загальної практики - сімейний лікар",AG1088*Законод!$C$9/4*Законод!$G$16,IF(B1080="Лікар-педіатр",AG1088*Законод!$C$9/4*Законод!$G$16,IF(B1080="Лікар-терапевт",AG1088*Законод!$C$9/4*Законод!$G$16,0)))</f>
        <v>0</v>
      </c>
      <c r="AR1088" s="211">
        <f t="shared" si="110"/>
        <v>0</v>
      </c>
    </row>
    <row r="1089" spans="1:44" s="50" customFormat="1" ht="31.9" hidden="1" customHeight="1">
      <c r="A1089" s="197"/>
      <c r="B1089" s="893"/>
      <c r="C1089" s="896"/>
      <c r="D1089" s="912"/>
      <c r="E1089" s="909"/>
      <c r="F1089" s="238" t="str">
        <f ca="1">IF(B1080="Лікар-педіатр",Законод!$H$17,IF(B1080="Лікар загальної практики - сімейний лікар",Законод!$H$21,IF(B1080="Лікар-терапевт",Законод!$H$25,"х")))</f>
        <v>х</v>
      </c>
      <c r="G1089" s="889" t="s">
        <v>346</v>
      </c>
      <c r="H1089" s="890"/>
      <c r="I1089" s="890"/>
      <c r="J1089" s="890"/>
      <c r="K1089" s="891"/>
      <c r="L1089" s="196">
        <f ca="1">IF($B$1080="Лікар загальної практики - сімейний лікар",IF(L1084&lt;Законод!$C$22,0,(IF(AND(L1084&gt;=Законод!$H$22,L1084&lt;=Законод!$H$23),L1084-Законод!$G$23,IF('01_Доходи'!L1084&gt;=Законод!$I$22,Законод!$H$24,0)))),IF($B$1080="Лікар-педіатр",IF(L1084&lt;Законод!$C$18,0,(IF(AND(L1084&gt;=Законод!$H$18,L1084&lt;=Законод!$H$19),L1084-Законод!$G$19,IF('01_Доходи'!L1084&gt;=Законод!$I$18,Законод!$H$20,0)))),IF($B$1080="Лікар-терапевт",IF(L1084&lt;Законод!$C$26,0,(IF(AND(L1084&gt;=Законод!$H$26,L1084&lt;=Законод!$H$27),L1084-Законод!$G$27,IF(L1084&gt;=Законод!$I$26,Законод!$H$28,0)))),0)))</f>
        <v>0</v>
      </c>
      <c r="M1089" s="930"/>
      <c r="N1089" s="889" t="s">
        <v>346</v>
      </c>
      <c r="O1089" s="890"/>
      <c r="P1089" s="890"/>
      <c r="Q1089" s="890"/>
      <c r="R1089" s="891"/>
      <c r="S1089" s="196">
        <f ca="1">IF($B$1080="Лікар загальної практики - сімейний лікар",IF(S1084&lt;Законод!$C$22,0,(IF(AND(S1084&gt;=Законод!$H$22,S1084&lt;=Законод!$H$23),S1084-Законод!$G$23,IF('01_Доходи'!S1084&gt;=Законод!$I$22,Законод!$H$24,0)))),IF($B$1080="Лікар-педіатр",IF(S1084&lt;Законод!$C$18,0,(IF(AND(S1084&gt;=Законод!$H$18,S1084&lt;=Законод!$H$19),S1084-Законод!$G$19,IF('01_Доходи'!S1084&gt;=Законод!$I$18,Законод!$H$20,0)))),IF($B$1080="Лікар-терапевт",IF(S1084&lt;Законод!$C$26,0,(IF(AND(S1084&gt;=Законод!$H$26,S1084&lt;=Законод!$H$27),S1084-Законод!$G$27,IF(S1084&gt;=Законод!$I$26,Законод!$H$28,0)))),0)))</f>
        <v>0</v>
      </c>
      <c r="T1089" s="930"/>
      <c r="U1089" s="889" t="s">
        <v>346</v>
      </c>
      <c r="V1089" s="890"/>
      <c r="W1089" s="890"/>
      <c r="X1089" s="890"/>
      <c r="Y1089" s="891"/>
      <c r="Z1089" s="196">
        <f ca="1">IF($B$1080="Лікар загальної практики - сімейний лікар",IF(Z1084&lt;Законод!$C$22,0,(IF(AND(Z1084&gt;=Законод!$H$22,Z1084&lt;=Законод!$H$23),Z1084-Законод!$G$23,IF('01_Доходи'!Z1084&gt;=Законод!$I$22,Законод!$H$24,0)))),IF($B$1080="Лікар-педіатр",IF(Z1084&lt;Законод!$C$18,0,(IF(AND(Z1084&gt;=Законод!$H$18,Z1084&lt;=Законод!$H$19),Z1084-Законод!$G$19,IF('01_Доходи'!Z1084&gt;=Законод!$I$18,Законод!$H$20,0)))),IF($B$1080="Лікар-терапевт",IF(Z1084&lt;Законод!$C$26,0,(IF(AND(Z1084&gt;=Законод!$H$26,Z1084&lt;=Законод!$H$27),Z1084-Законод!$G$27,IF(Z1084&gt;=Законод!$I$26,Законод!$H$28,0)))),0)))</f>
        <v>0</v>
      </c>
      <c r="AA1089" s="930"/>
      <c r="AB1089" s="889" t="s">
        <v>346</v>
      </c>
      <c r="AC1089" s="890"/>
      <c r="AD1089" s="890"/>
      <c r="AE1089" s="890"/>
      <c r="AF1089" s="891"/>
      <c r="AG1089" s="196">
        <f ca="1">IF($B$1080="Лікар загальної практики - сімейний лікар",IF(AG1084&lt;Законод!$C$22,0,(IF(AND(AG1084&gt;=Законод!$H$22,AG1084&lt;=Законод!$H$23),AG1084-Законод!$G$23,IF('01_Доходи'!AG1084&gt;=Законод!$I$22,Законод!$H$24,0)))),IF($B$1080="Лікар-педіатр",IF(AG1084&lt;Законод!$C$18,0,(IF(AND(AG1084&gt;=Законод!$H$18,AG1084&lt;=Законод!$H$19),AG1084-Законод!$G$19,IF('01_Доходи'!AG1084&gt;=Законод!$I$18,Законод!$H$20,0)))),IF($B$1080="Лікар-терапевт",IF(AG1084&lt;Законод!$C$26,0,(IF(AND(AG1084&gt;=Законод!$H$26,AG1084&lt;=Законод!$H$27),AG1084-Законод!$G$27,IF(AG1084&gt;=Законод!$I$26,Законод!$H$28,0)))),0)))</f>
        <v>0</v>
      </c>
      <c r="AH1089" s="930"/>
      <c r="AI1089" s="201"/>
      <c r="AJ1089" s="933"/>
      <c r="AK1089" s="927"/>
      <c r="AL1089" s="927"/>
      <c r="AM1089" s="899"/>
      <c r="AN1089" s="210">
        <f ca="1">IF(B1080="Лікар загальної практики - сімейний лікар",L1089*Законод!$C$9/4*Законод!$H$16,IF(B1080="Лікар-педіатр",L1089*Законод!$C$9/4*Законод!$H$16,IF(B1080="Лікар-терапевт",L1089*Законод!$C$9/4*Законод!$H$16,0)))</f>
        <v>0</v>
      </c>
      <c r="AO1089" s="210">
        <f ca="1">IF(B1080="Лікар загальної практики - сімейний лікар",S1089*Законод!$C$9/4*Законод!$H$16,IF(B1080="Лікар-педіатр",S1089*Законод!$C$9/4*Законод!$H$16,IF(B1080="Лікар-терапевт",S1089*Законод!$C$9/4*Законод!$H$16,0)))</f>
        <v>0</v>
      </c>
      <c r="AP1089" s="210">
        <f ca="1">IF(B1080="Лікар загальної практики - сімейний лікар",Z1089*Законод!$C$9/4*Законод!$H$16,IF(B1080="Лікар-педіатр",Z1089*Законод!$C$9/4*Законод!$H$16,IF(B1080="Лікар-терапевт",Z1089*Законод!$C$9/4*Законод!$H$16,0)))</f>
        <v>0</v>
      </c>
      <c r="AQ1089" s="210">
        <f ca="1">IF(B1080="Лікар загальної практики - сімейний лікар",AG1089*Законод!$C$9/4*Законод!$H$16,IF(B1080="Лікар-педіатр",AG1089*Законод!$C$9/4*Законод!$H$16,IF(B1080="Лікар-терапевт",AG1089*Законод!$C$9/4*Законод!$H$16,0)))</f>
        <v>0</v>
      </c>
      <c r="AR1089" s="211">
        <f t="shared" si="110"/>
        <v>0</v>
      </c>
    </row>
    <row r="1090" spans="1:44" s="50" customFormat="1" ht="31.9" hidden="1" customHeight="1">
      <c r="A1090" s="197"/>
      <c r="B1090" s="893"/>
      <c r="C1090" s="896"/>
      <c r="D1090" s="912"/>
      <c r="E1090" s="909"/>
      <c r="F1090" s="238" t="str">
        <f ca="1">IF(B1080="Лікар-педіатр",Законод!$I$17,IF(B1080="Лікар загальної практики - сімейний лікар",Законод!$I$21,IF(B1080="Лікар-терапевт",Законод!$I$25,"х")))</f>
        <v>х</v>
      </c>
      <c r="G1090" s="889" t="s">
        <v>346</v>
      </c>
      <c r="H1090" s="890"/>
      <c r="I1090" s="890"/>
      <c r="J1090" s="890"/>
      <c r="K1090" s="891"/>
      <c r="L1090" s="196">
        <f ca="1">IF($B$1080="Лікар загальної практики - сімейний лікар",IF(L1084&lt;Законод!$C$22,0,(IF(AND(L1084&gt;=Законод!$I$22,L1084&lt;=Законод!$I$23),L1084-Законод!$H$23,IF('01_Доходи'!L1084&gt;=Законод!$I$22,Законод!$I$24,0)))),IF($B$1080="Лікар-педіатр",IF(L1084&lt;Законод!$C$18,0,(IF(AND(L1084&gt;=Законод!$I$18,L1084&lt;=Законод!$I$19),L1084-Законод!$H$19,IF('01_Доходи'!L1084&gt;=Законод!$I$18,Законод!$H$20,0)))),IF($B$1080="Лікар-терапевт",IF(L1084&lt;Законод!$C$26,0,(IF(AND(L1084&gt;=Законод!$I$26,L1084&lt;=Законод!$I$27),L1084-Законод!$H$27,IF('01_Доходи'!L1084&gt;=Законод!$I$26,Законод!$H$28,0)))),0)))</f>
        <v>0</v>
      </c>
      <c r="M1090" s="930"/>
      <c r="N1090" s="889" t="s">
        <v>346</v>
      </c>
      <c r="O1090" s="890"/>
      <c r="P1090" s="890"/>
      <c r="Q1090" s="890"/>
      <c r="R1090" s="891"/>
      <c r="S1090" s="196">
        <f ca="1">IF($B$1080="Лікар загальної практики - сімейний лікар",IF(S1084&lt;Законод!$C$22,0,(IF(AND(S1084&gt;=Законод!$I$22,S1084&lt;=Законод!$I$23),S1084-Законод!$H$23,IF('01_Доходи'!S1084&gt;=Законод!$I$22,Законод!$I$24,0)))),IF($B$1080="Лікар-педіатр",IF(S1084&lt;Законод!$C$18,0,(IF(AND(S1084&gt;=Законод!$I$18,S1084&lt;=Законод!$I$19),S1084-Законод!$H$19,IF('01_Доходи'!S1084&gt;=Законод!$I$18,Законод!$H$20,0)))),IF($B$1080="Лікар-терапевт",IF(S1084&lt;Законод!$C$26,0,(IF(AND(S1084&gt;=Законод!$I$26,S1084&lt;=Законод!$I$27),S1084-Законод!$H$27,IF('01_Доходи'!S1084&gt;=Законод!$I$26,Законод!$H$28,0)))),0)))</f>
        <v>0</v>
      </c>
      <c r="T1090" s="930"/>
      <c r="U1090" s="889" t="s">
        <v>346</v>
      </c>
      <c r="V1090" s="890"/>
      <c r="W1090" s="890"/>
      <c r="X1090" s="890"/>
      <c r="Y1090" s="891"/>
      <c r="Z1090" s="196">
        <f ca="1">IF($B$1080="Лікар загальної практики - сімейний лікар",IF(Z1084&lt;Законод!$C$22,0,(IF(AND(Z1084&gt;=Законод!$I$22,Z1084&lt;=Законод!$I$23),Z1084-Законод!$H$23,IF('01_Доходи'!Z1084&gt;=Законод!$I$22,Законод!$I$24,0)))),IF($B$1080="Лікар-педіатр",IF(Z1084&lt;Законод!$C$18,0,(IF(AND(Z1084&gt;=Законод!$I$18,Z1084&lt;=Законод!$I$19),Z1084-Законод!$H$19,IF('01_Доходи'!Z1084&gt;=Законод!$I$18,Законод!$H$20,0)))),IF($B$1080="Лікар-терапевт",IF(Z1084&lt;Законод!$C$26,0,(IF(AND(Z1084&gt;=Законод!$I$26,Z1084&lt;=Законод!$I$27),Z1084-Законод!$H$27,IF('01_Доходи'!Z1084&gt;=Законод!$I$26,Законод!$H$28,0)))),0)))</f>
        <v>0</v>
      </c>
      <c r="AA1090" s="930"/>
      <c r="AB1090" s="889" t="s">
        <v>346</v>
      </c>
      <c r="AC1090" s="890"/>
      <c r="AD1090" s="890"/>
      <c r="AE1090" s="890"/>
      <c r="AF1090" s="891"/>
      <c r="AG1090" s="196">
        <f ca="1">IF($B$1080="Лікар загальної практики - сімейний лікар",IF(AG1084&lt;Законод!$C$22,0,(IF(AND(AG1084&gt;=Законод!$I$22,AG1084&lt;=Законод!$I$23),AG1084-Законод!$H$23,IF('01_Доходи'!AG1084&gt;=Законод!$I$22,Законод!$I$24,0)))),IF($B$1080="Лікар-педіатр",IF(AG1084&lt;Законод!$C$18,0,(IF(AND(AG1084&gt;=Законод!$I$18,AG1084&lt;=Законод!$I$19),AG1084-Законод!$H$19,IF('01_Доходи'!AG1084&gt;=Законод!$I$18,Законод!$H$20,0)))),IF($B$1080="Лікар-терапевт",IF(AG1084&lt;Законод!$C$26,0,(IF(AND(AG1084&gt;=Законод!$I$26,AG1084&lt;=Законод!$I$27),AG1084-Законод!$H$27,IF('01_Доходи'!AG1084&gt;=Законод!$I$26,Законод!$H$28,0)))),0)))</f>
        <v>0</v>
      </c>
      <c r="AH1090" s="930"/>
      <c r="AI1090" s="201"/>
      <c r="AJ1090" s="933"/>
      <c r="AK1090" s="927"/>
      <c r="AL1090" s="927"/>
      <c r="AM1090" s="899"/>
      <c r="AN1090" s="210">
        <f ca="1">IF(B1080="Лікар загальної практики - сімейний лікар",L1090*Законод!$C$9/4*Законод!$I$16,IF(B1080="Лікар-педіатр",L1090*Законод!$C$9/4*Законод!$I$16,IF(B1080="Лікар-терапевт",L1090*Законод!$C$9/4*Законод!$I$16,0)))</f>
        <v>0</v>
      </c>
      <c r="AO1090" s="210">
        <f ca="1">IF(B1080="Лікар загальної практики - сімейний лікар",S1090*Законод!$C$9/4*Законод!$I$16,IF(B1080="Лікар-педіатр",S1090*Законод!$C$9/4*Законод!$I$16,IF(B1080="Лікар-терапевт",S1090*Законод!$C$9/4*Законод!$I$16,0)))</f>
        <v>0</v>
      </c>
      <c r="AP1090" s="210">
        <f ca="1">IF(B1080="Лікар загальної практики - сімейний лікар",Z1090*Законод!$C$9/4*Законод!$I$16,IF(B1080="Лікар-педіатр",Z1090*Законод!$C$9/4*Законод!$I$16,IF(B1080="Лікар-терапевт",Z1090*Законод!$C$9/4*Законод!$I$16,0)))</f>
        <v>0</v>
      </c>
      <c r="AQ1090" s="210">
        <f ca="1">IF(B1080="Лікар загальної практики - сімейний лікар",AG1090*Законод!$C$9/4*Законод!$I$16,IF(B1080="Лікар-педіатр",AG1090*Законод!$C$9/4*Законод!$I$16,IF(B1080="Лікар-терапевт",AG1090*Законод!$C$9/4*Законод!$I$16,0)))</f>
        <v>0</v>
      </c>
      <c r="AR1090" s="211">
        <f t="shared" si="110"/>
        <v>0</v>
      </c>
    </row>
    <row r="1091" spans="1:44" s="218" customFormat="1" ht="31.9" hidden="1" customHeight="1" thickBot="1">
      <c r="A1091" s="213"/>
      <c r="B1091" s="894"/>
      <c r="C1091" s="897"/>
      <c r="D1091" s="913"/>
      <c r="E1091" s="910"/>
      <c r="F1091" s="239" t="str">
        <f ca="1">IF(B1080="Лікар-педіатр",Законод!$J$17,IF(B1080="Лікар загальної практики - сімейний лікар",Законод!$J$21,IF(B1080="Лікар-терапевт",Законод!$J$25,"х")))</f>
        <v>х</v>
      </c>
      <c r="G1091" s="935" t="s">
        <v>346</v>
      </c>
      <c r="H1091" s="936"/>
      <c r="I1091" s="936"/>
      <c r="J1091" s="936"/>
      <c r="K1091" s="937"/>
      <c r="L1091" s="196">
        <f ca="1">IF($B$1080="Лікар загальної практики - сімейний лікар",IF(L1084&gt;=Законод!$J$22,'01_Доходи'!L1084-('01_Доходи'!L1085+'01_Доходи'!L1086+'01_Доходи'!L1087+'01_Доходи'!L1088+'01_Доходи'!L1089+'01_Доходи'!L1090),0),IF($B$1080="Лікар-педіатр",IF(L1084&gt;=Законод!$J$18,'01_Доходи'!L1084-('01_Доходи'!L1085+'01_Доходи'!L1086+'01_Доходи'!L1087+'01_Доходи'!L1088+'01_Доходи'!L1089+'01_Доходи'!L1090),0),IF($B$1080="Лікар-терапевт",IF('01_Доходи'!L1084&gt;=Законод!$J$26,L1084-Законод!$I$27,0),0)))</f>
        <v>0</v>
      </c>
      <c r="M1091" s="931"/>
      <c r="N1091" s="935" t="s">
        <v>346</v>
      </c>
      <c r="O1091" s="936"/>
      <c r="P1091" s="936"/>
      <c r="Q1091" s="936"/>
      <c r="R1091" s="937"/>
      <c r="S1091" s="196">
        <f ca="1">IF($B$1080="Лікар загальної практики - сімейний лікар",IF(S1084&gt;=Законод!$J$22,'01_Доходи'!S1084-('01_Доходи'!S1085+'01_Доходи'!S1086+'01_Доходи'!S1087+'01_Доходи'!S1088+'01_Доходи'!S1089+'01_Доходи'!S1090),0),IF($B$1080="Лікар-педіатр",IF(S1084&gt;=Законод!$J$18,'01_Доходи'!S1084-('01_Доходи'!S1085+'01_Доходи'!S1086+'01_Доходи'!S1087+'01_Доходи'!S1088+'01_Доходи'!S1089+'01_Доходи'!S1090),0),IF($B$1080="Лікар-терапевт",IF('01_Доходи'!S1084&gt;=Законод!$J$26,S1084-Законод!$I$27,0),0)))</f>
        <v>0</v>
      </c>
      <c r="T1091" s="931"/>
      <c r="U1091" s="935" t="s">
        <v>346</v>
      </c>
      <c r="V1091" s="936"/>
      <c r="W1091" s="936"/>
      <c r="X1091" s="936"/>
      <c r="Y1091" s="937"/>
      <c r="Z1091" s="196">
        <f ca="1">IF($B$1080="Лікар загальної практики - сімейний лікар",IF(Z1084&gt;=Законод!$J$22,'01_Доходи'!Z1084-('01_Доходи'!Z1085+'01_Доходи'!Z1086+'01_Доходи'!Z1087+'01_Доходи'!Z1088+'01_Доходи'!Z1089+'01_Доходи'!Z1090),0),IF($B$1080="Лікар-педіатр",IF(Z1084&gt;=Законод!$J$18,'01_Доходи'!Z1084-('01_Доходи'!Z1085+'01_Доходи'!Z1086+'01_Доходи'!Z1087+'01_Доходи'!Z1088+'01_Доходи'!Z1089+'01_Доходи'!Z1090),0),IF($B$1080="Лікар-терапевт",IF('01_Доходи'!Z1084&gt;=Законод!$J$26,Z1084-Законод!$I$27,0),0)))</f>
        <v>0</v>
      </c>
      <c r="AA1091" s="931"/>
      <c r="AB1091" s="935" t="s">
        <v>346</v>
      </c>
      <c r="AC1091" s="936"/>
      <c r="AD1091" s="936"/>
      <c r="AE1091" s="936"/>
      <c r="AF1091" s="937"/>
      <c r="AG1091" s="196">
        <f ca="1">IF($B$1080="Лікар загальної практики - сімейний лікар",IF(AG1084&gt;=Законод!$J$22,'01_Доходи'!AG1084-('01_Доходи'!AG1085+'01_Доходи'!AG1086+'01_Доходи'!AG1087+'01_Доходи'!AG1088+'01_Доходи'!AG1089+'01_Доходи'!AG1090),0),IF($B$1080="Лікар-педіатр",IF(AG1084&gt;=Законод!$J$18,'01_Доходи'!AG1084-('01_Доходи'!AG1085+'01_Доходи'!AG1086+'01_Доходи'!AG1087+'01_Доходи'!AG1088+'01_Доходи'!AG1089+'01_Доходи'!AG1090),0),IF($B$1080="Лікар-терапевт",IF('01_Доходи'!AG1084&gt;=Законод!$J$26,AG1084-Законод!$I$27,0),0)))</f>
        <v>0</v>
      </c>
      <c r="AH1091" s="931"/>
      <c r="AI1091" s="215"/>
      <c r="AJ1091" s="934"/>
      <c r="AK1091" s="928"/>
      <c r="AL1091" s="928"/>
      <c r="AM1091" s="900"/>
      <c r="AN1091" s="216">
        <f ca="1">IF(B1080="Лікар загальної практики - сімейний лікар",L1091*Законод!$C$9/4*Законод!$J$16,IF(B1080="Лікар-педіатр",L1091*Законод!$C$9/4*Законод!$J$16,IF(B1080="Лікар-терапевт",L1091*Законод!$C$9/4*Законод!$J$16,0)))</f>
        <v>0</v>
      </c>
      <c r="AO1091" s="216">
        <f ca="1">IF(B1080="Лікар загальної практики - сімейний лікар",S1091*Законод!$C$9/4*Законод!$J$16,IF(B1080="Лікар-педіатр",S1091*Законод!$C$9/4*Законод!$J$16,IF(B1080="Лікар-терапевт",S1091*Законод!$C$9/4*Законод!$J$16,0)))</f>
        <v>0</v>
      </c>
      <c r="AP1091" s="216">
        <f ca="1">IF(B1080="Лікар загальної практики - сімейний лікар",S1091*Законод!$C$9/4*Законод!$J$16,IF(B1080="Лікар-педіатр",S1091*Законод!$C$9/4*Законод!$J$16,IF(B1080="Лікар-терапевт",S1091*Законод!$C$9/4*Законод!$J$16,0)))</f>
        <v>0</v>
      </c>
      <c r="AQ1091" s="216">
        <f ca="1">IF(B1080="Лікар загальної практики - сімейний лікар",AG1091*Законод!$C$9/4*Законод!$J$16,IF(B1080="Лікар-педіатр",AG1091*Законод!$C$9/4*Законод!$J$16,IF(B1080="Лікар-терапевт",AG1091*Законод!$C$9/4*Законод!$J$16,0)))</f>
        <v>0</v>
      </c>
      <c r="AR1091" s="217">
        <f t="shared" si="110"/>
        <v>0</v>
      </c>
    </row>
    <row r="1092" spans="1:44" s="247" customFormat="1" ht="23.45" hidden="1" customHeight="1" thickBot="1">
      <c r="A1092" s="243"/>
      <c r="B1092" s="244"/>
      <c r="C1092" s="244"/>
      <c r="D1092" s="244"/>
      <c r="E1092" s="244"/>
      <c r="F1092" s="245"/>
      <c r="G1092" s="246"/>
      <c r="H1092" s="246"/>
      <c r="L1092" s="248"/>
      <c r="S1092" s="248"/>
      <c r="Z1092" s="248"/>
      <c r="AG1092" s="248"/>
      <c r="AM1092" s="249"/>
      <c r="AR1092" s="250"/>
    </row>
    <row r="1093" spans="1:44" s="191" customFormat="1" ht="24.6" hidden="1" customHeight="1">
      <c r="A1093" s="194">
        <f>A1080+1</f>
        <v>82</v>
      </c>
      <c r="B1093" s="892"/>
      <c r="C1093" s="895"/>
      <c r="D1093" s="911"/>
      <c r="E1093" s="908"/>
      <c r="F1093" s="234" t="s">
        <v>582</v>
      </c>
      <c r="G1093" s="196">
        <f>IF($B$1093="Лікар-педіатр",G1096*L1093,IF($B$1093="Лікар-терапевт","х",IF($B$1093="Лікар загальної практики - сімейний лікар",G1096*L1093,0)))</f>
        <v>0</v>
      </c>
      <c r="H1093" s="196">
        <f>IF($B$1093="Лікар-педіатр",H1096*L1093,IF($B$1093="Лікар-терапевт","х",IF($B$1093="Лікар загальної практики - сімейний лікар",H1096*L1093,0)))</f>
        <v>0</v>
      </c>
      <c r="I1093" s="196">
        <f>IF($B$1093="Лікар-педіатр","x",IF($B$1093="Лікар-терапевт",I1096*L1093,IF($B$1093="Лікар загальної практики - сімейний лікар",I1096*L1093,0)))</f>
        <v>0</v>
      </c>
      <c r="J1093" s="196">
        <f>IF($B$1093="Лікар-педіатр","x",IF($B$1093="Лікар-терапевт",J1096*L1093,IF($B$1093="Лікар загальної практики - сімейний лікар",J1096*L1093,0)))</f>
        <v>0</v>
      </c>
      <c r="K1093" s="196">
        <f>IF($B$1093="Лікар-педіатр","x",IF($B$1093="Лікар-терапевт",K1096*L1093,IF($B$1093="Лікар загальної практики - сімейний лікар",K1096*L1093,0)))</f>
        <v>0</v>
      </c>
      <c r="L1093" s="558"/>
      <c r="M1093" s="929"/>
      <c r="N1093" s="196">
        <f>IF($B$1093="Лікар-педіатр",N1096*S1093,IF($B$1093="Лікар-терапевт","х",IF($B$1093="Лікар загальної практики - сімейний лікар",N1096*S1093,0)))</f>
        <v>0</v>
      </c>
      <c r="O1093" s="196">
        <f>IF($B$1093="Лікар-педіатр",O1096*S1093,IF($B$1093="Лікар-терапевт","х",IF($B$1093="Лікар загальної практики - сімейний лікар",O1096*S1093,0)))</f>
        <v>0</v>
      </c>
      <c r="P1093" s="196">
        <f>IF($B$1093="Лікар-педіатр","x",IF($B$1093="Лікар-терапевт",P1096*S1093,IF($B$1093="Лікар загальної практики - сімейний лікар",P1096*S1093,0)))</f>
        <v>0</v>
      </c>
      <c r="Q1093" s="196">
        <f>IF($B$1093="Лікар-педіатр","x",IF($B$1093="Лікар-терапевт",Q1096*S1093,IF($B$1093="Лікар загальної практики - сімейний лікар",Q1096*S1093,0)))</f>
        <v>0</v>
      </c>
      <c r="R1093" s="196">
        <f>IF($B$1093="Лікар-педіатр","x",IF($B$1093="Лікар-терапевт",R1096*S1093,IF($B$1093="Лікар загальної практики - сімейний лікар",R1096*S1093,0)))</f>
        <v>0</v>
      </c>
      <c r="S1093" s="558"/>
      <c r="T1093" s="929"/>
      <c r="U1093" s="196">
        <f>IF($B$1093="Лікар-педіатр",U1096*Z1093,IF($B$1093="Лікар-терапевт","х",IF($B$1093="Лікар загальної практики - сімейний лікар",U1096*Z1093,0)))</f>
        <v>0</v>
      </c>
      <c r="V1093" s="196">
        <f>IF($B$1093="Лікар-педіатр",V1096*Z1093,IF($B$1093="Лікар-терапевт","х",IF($B$1093="Лікар загальної практики - сімейний лікар",V1096*Z1093,0)))</f>
        <v>0</v>
      </c>
      <c r="W1093" s="196">
        <f>IF($B$1093="Лікар-педіатр","x",IF($B$1093="Лікар-терапевт",W1096*Z1093,IF($B$1093="Лікар загальної практики - сімейний лікар",W1096*Z1093,0)))</f>
        <v>0</v>
      </c>
      <c r="X1093" s="196">
        <f>IF($B$1093="Лікар-педіатр","x",IF($B$1093="Лікар-терапевт",X1096*Z1093,IF($B$1093="Лікар загальної практики - сімейний лікар",X1096*Z1093,0)))</f>
        <v>0</v>
      </c>
      <c r="Y1093" s="196">
        <f>IF($B$1093="Лікар-педіатр","x",IF($B$1093="Лікар-терапевт",Y1096*Z1093,IF($B$1093="Лікар загальної практики - сімейний лікар",Y1096*Z1093,0)))</f>
        <v>0</v>
      </c>
      <c r="Z1093" s="558"/>
      <c r="AA1093" s="929"/>
      <c r="AB1093" s="196">
        <f>IF($B$1093="Лікар-педіатр",AB1096*AG1093,IF($B$1093="Лікар-терапевт","х",IF($B$1093="Лікар загальної практики - сімейний лікар",AB1096*AG1093,0)))</f>
        <v>0</v>
      </c>
      <c r="AC1093" s="196">
        <f>IF($B$1093="Лікар-педіатр",AC1096*AG1093,IF($B$1093="Лікар-терапевт","х",IF($B$1093="Лікар загальної практики - сімейний лікар",AC1096*AG1093,0)))</f>
        <v>0</v>
      </c>
      <c r="AD1093" s="196">
        <f>IF($B$1093="Лікар-педіатр","x",IF($B$1093="Лікар-терапевт",AD1096*AG1093,IF($B$1093="Лікар загальної практики - сімейний лікар",AD1096*AG1093,0)))</f>
        <v>0</v>
      </c>
      <c r="AE1093" s="196">
        <f>IF($B$1093="Лікар-педіатр","x",IF($B$1093="Лікар-терапевт",AE1096*AG1093,IF($B$1093="Лікар загальної практики - сімейний лікар",AE1096*AG1093,0)))</f>
        <v>0</v>
      </c>
      <c r="AF1093" s="196">
        <f>IF($B$1093="Лікар-педіатр","x",IF($B$1093="Лікар-терапевт",AF1096*AG1093,IF($B$1093="Лікар загальної практики - сімейний лікар",AF1096*AG1093,0)))</f>
        <v>0</v>
      </c>
      <c r="AG1093" s="558"/>
      <c r="AH1093" s="929"/>
      <c r="AI1093" s="541">
        <f>A1093</f>
        <v>82</v>
      </c>
      <c r="AJ1093" s="932">
        <f>B1093</f>
        <v>0</v>
      </c>
      <c r="AK1093" s="926">
        <f>C1093</f>
        <v>0</v>
      </c>
      <c r="AL1093" s="926">
        <f>D1093</f>
        <v>0</v>
      </c>
      <c r="AM1093" s="901" t="s">
        <v>785</v>
      </c>
      <c r="AN1093" s="923">
        <f>SUM(AN1098:AN1104)</f>
        <v>0</v>
      </c>
      <c r="AO1093" s="923">
        <f>SUM(AO1098:AO1104)</f>
        <v>0</v>
      </c>
      <c r="AP1093" s="923">
        <f>SUM(AP1098:AP1104)</f>
        <v>0</v>
      </c>
      <c r="AQ1093" s="923">
        <f>SUM(AQ1098:AQ1104)</f>
        <v>0</v>
      </c>
      <c r="AR1093" s="914">
        <f>SUM(AN1093:AQ1097)</f>
        <v>0</v>
      </c>
    </row>
    <row r="1094" spans="1:44" s="50" customFormat="1" ht="28.15" hidden="1" customHeight="1">
      <c r="A1094" s="197"/>
      <c r="B1094" s="893"/>
      <c r="C1094" s="896"/>
      <c r="D1094" s="912"/>
      <c r="E1094" s="909"/>
      <c r="F1094" s="234" t="s">
        <v>583</v>
      </c>
      <c r="G1094" s="196">
        <f>IF($B$1093="Лікар-педіатр",G1096*L1094,IF($B$1093="Лікар-терапевт","х",IF($B$1093="Лікар загальної практики - сімейний лікар",G1096*L1094,0)))</f>
        <v>0</v>
      </c>
      <c r="H1094" s="196">
        <f>IF($B$1093="Лікар-педіатр",H1096*L1094,IF($B$1093="Лікар-терапевт","х",IF($B$1093="Лікар загальної практики - сімейний лікар",H1096*L1094,0)))</f>
        <v>0</v>
      </c>
      <c r="I1094" s="196">
        <f>IF($B$1093="Лікар-педіатр","x",IF($B$1093="Лікар-терапевт",I1096*L1094,IF($B$1093="Лікар загальної практики - сімейний лікар",I1096*L1094,0)))</f>
        <v>0</v>
      </c>
      <c r="J1094" s="196">
        <f>IF($B$1093="Лікар-педіатр","x",IF($B$1093="Лікар-терапевт",J1096*L1094,IF($B$1093="Лікар загальної практики - сімейний лікар",J1096*L1094,0)))</f>
        <v>0</v>
      </c>
      <c r="K1094" s="196">
        <f>IF($B$1093="Лікар-педіатр","x",IF($B$1093="Лікар-терапевт",K1096*L1094,IF($B$1093="Лікар загальної практики - сімейний лікар",K1096*L1094,0)))</f>
        <v>0</v>
      </c>
      <c r="L1094" s="558"/>
      <c r="M1094" s="930"/>
      <c r="N1094" s="196">
        <f>IF($B$1093="Лікар-педіатр",N1096*S1094,IF($B$1093="Лікар-терапевт","х",IF($B$1093="Лікар загальної практики - сімейний лікар",N1096*S1094,0)))</f>
        <v>0</v>
      </c>
      <c r="O1094" s="196">
        <f>IF($B$1093="Лікар-педіатр",O1096*S1094,IF($B$1093="Лікар-терапевт","х",IF($B$1093="Лікар загальної практики - сімейний лікар",O1096*S1094,0)))</f>
        <v>0</v>
      </c>
      <c r="P1094" s="196">
        <f>IF($B$1093="Лікар-педіатр","x",IF($B$1093="Лікар-терапевт",P1096*S1094,IF($B$1093="Лікар загальної практики - сімейний лікар",P1096*S1094,0)))</f>
        <v>0</v>
      </c>
      <c r="Q1094" s="196">
        <f>IF($B$1093="Лікар-педіатр","x",IF($B$1093="Лікар-терапевт",Q1096*S1094,IF($B$1093="Лікар загальної практики - сімейний лікар",Q1096*S1094,0)))</f>
        <v>0</v>
      </c>
      <c r="R1094" s="196">
        <f>IF($B$1093="Лікар-педіатр","x",IF($B$1093="Лікар-терапевт",R1096*S1094,IF($B$1093="Лікар загальної практики - сімейний лікар",R1096*S1094,0)))</f>
        <v>0</v>
      </c>
      <c r="S1094" s="558"/>
      <c r="T1094" s="930"/>
      <c r="U1094" s="196">
        <f>IF($B$1093="Лікар-педіатр",U1096*Z1094,IF($B$1093="Лікар-терапевт","х",IF($B$1093="Лікар загальної практики - сімейний лікар",U1096*Z1094,0)))</f>
        <v>0</v>
      </c>
      <c r="V1094" s="196">
        <f>IF($B$1093="Лікар-педіатр",V1096*Z1094,IF($B$1093="Лікар-терапевт","х",IF($B$1093="Лікар загальної практики - сімейний лікар",V1096*Z1094,0)))</f>
        <v>0</v>
      </c>
      <c r="W1094" s="196">
        <f>IF($B$1093="Лікар-педіатр","x",IF($B$1093="Лікар-терапевт",W1096*Z1094,IF($B$1093="Лікар загальної практики - сімейний лікар",W1096*Z1094,0)))</f>
        <v>0</v>
      </c>
      <c r="X1094" s="196">
        <f>IF($B$1093="Лікар-педіатр","x",IF($B$1093="Лікар-терапевт",X1096*Z1094,IF($B$1093="Лікар загальної практики - сімейний лікар",X1096*Z1094,0)))</f>
        <v>0</v>
      </c>
      <c r="Y1094" s="196">
        <f>IF($B$1093="Лікар-педіатр","x",IF($B$1093="Лікар-терапевт",Y1096*Z1094,IF($B$1093="Лікар загальної практики - сімейний лікар",Y1096*Z1094,0)))</f>
        <v>0</v>
      </c>
      <c r="Z1094" s="558"/>
      <c r="AA1094" s="930"/>
      <c r="AB1094" s="196">
        <f>IF($B$1093="Лікар-педіатр",AB1096*AG1094,IF($B$1093="Лікар-терапевт","х",IF($B$1093="Лікар загальної практики - сімейний лікар",AB1096*AG1094,0)))</f>
        <v>0</v>
      </c>
      <c r="AC1094" s="196">
        <f>IF($B$1093="Лікар-педіатр",AC1096*AG1094,IF($B$1093="Лікар-терапевт","х",IF($B$1093="Лікар загальної практики - сімейний лікар",AC1096*AG1094,0)))</f>
        <v>0</v>
      </c>
      <c r="AD1094" s="196">
        <f>IF($B$1093="Лікар-педіатр","x",IF($B$1093="Лікар-терапевт",AD1096*AG1094,IF($B$1093="Лікар загальної практики - сімейний лікар",AD1096*AG1094,0)))</f>
        <v>0</v>
      </c>
      <c r="AE1094" s="196">
        <f>IF($B$1093="Лікар-педіатр","x",IF($B$1093="Лікар-терапевт",AE1096*AG1094,IF($B$1093="Лікар загальної практики - сімейний лікар",AE1096*AG1094,0)))</f>
        <v>0</v>
      </c>
      <c r="AF1094" s="196">
        <f>IF($B$1093="Лікар-педіатр","x",IF($B$1093="Лікар-терапевт",AF1096*AG1094,IF($B$1093="Лікар загальної практики - сімейний лікар",AF1096*AG1094,0)))</f>
        <v>0</v>
      </c>
      <c r="AG1094" s="558"/>
      <c r="AH1094" s="930"/>
      <c r="AI1094" s="198"/>
      <c r="AJ1094" s="933"/>
      <c r="AK1094" s="927"/>
      <c r="AL1094" s="927"/>
      <c r="AM1094" s="902"/>
      <c r="AN1094" s="924"/>
      <c r="AO1094" s="924"/>
      <c r="AP1094" s="924"/>
      <c r="AQ1094" s="924"/>
      <c r="AR1094" s="915"/>
    </row>
    <row r="1095" spans="1:44" s="90" customFormat="1" ht="31.15" hidden="1" customHeight="1">
      <c r="A1095" s="240"/>
      <c r="B1095" s="893"/>
      <c r="C1095" s="896"/>
      <c r="D1095" s="912"/>
      <c r="E1095" s="909"/>
      <c r="F1095" s="241" t="s">
        <v>584</v>
      </c>
      <c r="G1095" s="199">
        <f>IF(B1093="Лікар загальної практики - сімейний лікар"," ",IF(B1093="Лікар-педіатр"," ",IF(B1093="Лікар-терапевт","х",0)))</f>
        <v>0</v>
      </c>
      <c r="H1095" s="199">
        <f>IF(B1093="Лікар загальної практики - сімейний лікар"," ",IF(B1093="Лікар-педіатр"," ",IF(B1093="Лікар-терапевт","х",0)))</f>
        <v>0</v>
      </c>
      <c r="I1095" s="199">
        <f>IF(B1093="Лікар загальної практики - сімейний лікар"," ",IF(B1093="Лікар-педіатр","х",IF(B1093="Лікар-терапевт"," ",0)))</f>
        <v>0</v>
      </c>
      <c r="J1095" s="199">
        <f>IF(B1093="Лікар загальної практики - сімейний лікар"," ",IF(B1093="Лікар-педіатр","х",IF(B1093="Лікар-терапевт"," ",0)))</f>
        <v>0</v>
      </c>
      <c r="K1095" s="199">
        <f>IF(B1093="Лікар загальної практики - сімейний лікар"," ",IF(B1093="Лікар-педіатр","х",IF(B1093="Лікар-терапевт"," ",0)))</f>
        <v>0</v>
      </c>
      <c r="L1095" s="200">
        <f>SUM(G1095:K1095)</f>
        <v>0</v>
      </c>
      <c r="M1095" s="930"/>
      <c r="N1095" s="199">
        <f>IF(B1093="Лікар загальної практики - сімейний лікар"," ",IF(B1093="Лікар-педіатр"," ",IF(B1093="Лікар-терапевт","х",0)))</f>
        <v>0</v>
      </c>
      <c r="O1095" s="199">
        <f>IF(B1093="Лікар загальної практики - сімейний лікар"," ",IF(B1093="Лікар-педіатр"," ",IF(B1093="Лікар-терапевт","х",0)))</f>
        <v>0</v>
      </c>
      <c r="P1095" s="199">
        <f>IF(B1093="Лікар загальної практики - сімейний лікар"," ",IF(B1093="Лікар-педіатр","х",IF(B1093="Лікар-терапевт"," ",0)))</f>
        <v>0</v>
      </c>
      <c r="Q1095" s="199">
        <f>IF(B1093="Лікар загальної практики - сімейний лікар"," ",IF(B1093="Лікар-педіатр","х",IF(B1093="Лікар-терапевт"," ",0)))</f>
        <v>0</v>
      </c>
      <c r="R1095" s="199">
        <f>IF(B1093="Лікар загальної практики - сімейний лікар"," ",IF(B1093="Лікар-педіатр","х",IF(B1093="Лікар-терапевт"," ",0)))</f>
        <v>0</v>
      </c>
      <c r="S1095" s="200">
        <f>SUM(N1095:R1095)</f>
        <v>0</v>
      </c>
      <c r="T1095" s="930"/>
      <c r="U1095" s="199">
        <f>IF(B1093="Лікар загальної практики - сімейний лікар"," ",IF(B1093="Лікар-педіатр"," ",IF(B1093="Лікар-терапевт","х",0)))</f>
        <v>0</v>
      </c>
      <c r="V1095" s="199">
        <f>IF(B1093="Лікар загальної практики - сімейний лікар"," ",IF(B1093="Лікар-педіатр"," ",IF(B1093="Лікар-терапевт","х",0)))</f>
        <v>0</v>
      </c>
      <c r="W1095" s="199">
        <f>IF(B1093="Лікар загальної практики - сімейний лікар"," ",IF(B1093="Лікар-педіатр","х",IF(B1093="Лікар-терапевт"," ",0)))</f>
        <v>0</v>
      </c>
      <c r="X1095" s="199">
        <f>IF(B1093="Лікар загальної практики - сімейний лікар"," ",IF(B1093="Лікар-педіатр","х",IF(B1093="Лікар-терапевт"," ",0)))</f>
        <v>0</v>
      </c>
      <c r="Y1095" s="199">
        <f>IF(B1093="Лікар загальної практики - сімейний лікар"," ",IF(B1093="Лікар-педіатр","х",IF(B1093="Лікар-терапевт"," ",0)))</f>
        <v>0</v>
      </c>
      <c r="Z1095" s="200">
        <f>SUM(U1095:Y1095)</f>
        <v>0</v>
      </c>
      <c r="AA1095" s="930"/>
      <c r="AB1095" s="199">
        <f>IF(B1093="Лікар загальної практики - сімейний лікар"," ",IF(B1093="Лікар-педіатр"," ",IF(B1093="Лікар-терапевт","х",0)))</f>
        <v>0</v>
      </c>
      <c r="AC1095" s="199">
        <f>IF(B1093="Лікар загальної практики - сімейний лікар"," ",IF(B1093="Лікар-педіатр"," ",IF(B1093="Лікар-терапевт","х",0)))</f>
        <v>0</v>
      </c>
      <c r="AD1095" s="199">
        <f>IF(B1093="Лікар загальної практики - сімейний лікар"," ",IF(B1093="Лікар-педіатр","х",IF(B1093="Лікар-терапевт"," ",0)))</f>
        <v>0</v>
      </c>
      <c r="AE1095" s="199">
        <f>IF(B1093="Лікар загальної практики - сімейний лікар"," ",IF(B1093="Лікар-педіатр","х",IF(B1093="Лікар-терапевт"," ",0)))</f>
        <v>0</v>
      </c>
      <c r="AF1095" s="199">
        <f>IF(B1093="Лікар загальної практики - сімейний лікар"," ",IF(B1093="Лікар-педіатр","х",IF(B1093="Лікар-терапевт"," ",0)))</f>
        <v>0</v>
      </c>
      <c r="AG1095" s="200">
        <f>SUM(AB1095:AF1095)</f>
        <v>0</v>
      </c>
      <c r="AH1095" s="930"/>
      <c r="AI1095" s="242"/>
      <c r="AJ1095" s="933"/>
      <c r="AK1095" s="927"/>
      <c r="AL1095" s="927"/>
      <c r="AM1095" s="902"/>
      <c r="AN1095" s="924"/>
      <c r="AO1095" s="924"/>
      <c r="AP1095" s="924"/>
      <c r="AQ1095" s="924"/>
      <c r="AR1095" s="915"/>
    </row>
    <row r="1096" spans="1:44" s="50" customFormat="1" ht="31.9" hidden="1" customHeight="1" thickBot="1">
      <c r="A1096" s="197"/>
      <c r="B1096" s="893"/>
      <c r="C1096" s="896"/>
      <c r="D1096" s="912"/>
      <c r="E1096" s="909"/>
      <c r="F1096" s="236" t="s">
        <v>349</v>
      </c>
      <c r="G1096" s="203">
        <f>IF($B$1093="Лікар-педіатр",G1095/L1095,IF($B$1093="Лікар-терапевт","х",IF($B$1093="Лікар загальної практики - сімейний лікар",G1095/L1095,0)))</f>
        <v>0</v>
      </c>
      <c r="H1096" s="203">
        <f>IF($B$1093="Лікар-педіатр",H1095/L1095,IF($B$1093="Лікар-терапевт","х",IF($B$1093="Лікар загальної практики - сімейний лікар",H1095/L1095,0)))</f>
        <v>0</v>
      </c>
      <c r="I1096" s="203">
        <f>IF($B$1093="Лікар-педіатр","x",IF($B$1093="Лікар-терапевт",I1095/L1095,IF($B$1093="Лікар загальної практики - сімейний лікар",I1095/L1095,0)))</f>
        <v>0</v>
      </c>
      <c r="J1096" s="203">
        <f>IF($B$1093="Лікар-педіатр","x",IF($B$1093="Лікар-терапевт",J1095/L1095,IF($B$1093="Лікар загальної практики - сімейний лікар",J1095/L1095,0)))</f>
        <v>0</v>
      </c>
      <c r="K1096" s="203">
        <f>IF($B$1093="Лікар-педіатр","x",IF($B$1093="Лікар-терапевт",K1095/L1095,IF($B$1093="Лікар загальної практики - сімейний лікар",K1095/L1095,0)))</f>
        <v>0</v>
      </c>
      <c r="L1096" s="203">
        <f>SUM(G1096:K1096)</f>
        <v>0</v>
      </c>
      <c r="M1096" s="930"/>
      <c r="N1096" s="203">
        <f>IF($B$1093="Лікар-педіатр",N1095/S1095,IF($B$1093="Лікар-терапевт","х",IF($B$1093="Лікар загальної практики - сімейний лікар",N1095/S1095,0)))</f>
        <v>0</v>
      </c>
      <c r="O1096" s="203">
        <f>IF($B$1093="Лікар-педіатр",O1095/S1095,IF($B$1093="Лікар-терапевт","х",IF($B$1093="Лікар загальної практики - сімейний лікар",O1095/S1095,0)))</f>
        <v>0</v>
      </c>
      <c r="P1096" s="203">
        <f>IF($B$1093="Лікар-педіатр","x",IF($B$1093="Лікар-терапевт",P1095/S1095,IF($B$1093="Лікар загальної практики - сімейний лікар",P1095/S1095,0)))</f>
        <v>0</v>
      </c>
      <c r="Q1096" s="203">
        <f>IF($B$1093="Лікар-педіатр","x",IF($B$1093="Лікар-терапевт",Q1095/S1095,IF($B$1093="Лікар загальної практики - сімейний лікар",Q1095/S1095,0)))</f>
        <v>0</v>
      </c>
      <c r="R1096" s="203">
        <f>IF($B$1093="Лікар-педіатр","x",IF($B$1093="Лікар-терапевт",R1095/S1095,IF($B$1093="Лікар загальної практики - сімейний лікар",R1095/S1095,0)))</f>
        <v>0</v>
      </c>
      <c r="S1096" s="203">
        <f>SUM(N1096:R1096)</f>
        <v>0</v>
      </c>
      <c r="T1096" s="930"/>
      <c r="U1096" s="203">
        <f>IF($B$1093="Лікар-педіатр",U1095/Z1095,IF($B$1093="Лікар-терапевт","х",IF($B$1093="Лікар загальної практики - сімейний лікар",U1095/Z1095,0)))</f>
        <v>0</v>
      </c>
      <c r="V1096" s="203">
        <f>IF($B$1093="Лікар-педіатр",V1095/Z1095,IF($B$1093="Лікар-терапевт","х",IF($B$1093="Лікар загальної практики - сімейний лікар",V1095/Z1095,0)))</f>
        <v>0</v>
      </c>
      <c r="W1096" s="203">
        <f>IF($B$1093="Лікар-педіатр","x",IF($B$1093="Лікар-терапевт",W1095/Z1095,IF($B$1093="Лікар загальної практики - сімейний лікар",W1095/Z1095,0)))</f>
        <v>0</v>
      </c>
      <c r="X1096" s="203">
        <f>IF($B$1093="Лікар-педіатр","x",IF($B$1093="Лікар-терапевт",X1095/Z1095,IF($B$1093="Лікар загальної практики - сімейний лікар",X1095/Z1095,0)))</f>
        <v>0</v>
      </c>
      <c r="Y1096" s="203">
        <f>IF($B$1093="Лікар-педіатр","x",IF($B$1093="Лікар-терапевт",Y1095/Z1095,IF($B$1093="Лікар загальної практики - сімейний лікар",Y1095/Z1095,0)))</f>
        <v>0</v>
      </c>
      <c r="Z1096" s="203">
        <f>SUM(U1096:Y1096)</f>
        <v>0</v>
      </c>
      <c r="AA1096" s="930"/>
      <c r="AB1096" s="203">
        <f>IF($B$1093="Лікар-педіатр",AB1095/AG1095,IF($B$1093="Лікар-терапевт","х",IF($B$1093="Лікар загальної практики - сімейний лікар",AB1095/AG1095,0)))</f>
        <v>0</v>
      </c>
      <c r="AC1096" s="203">
        <f>IF($B$1093="Лікар-педіатр",AC1095/AG1095,IF($B$1093="Лікар-терапевт","х",IF($B$1093="Лікар загальної практики - сімейний лікар",AC1095/AG1095,0)))</f>
        <v>0</v>
      </c>
      <c r="AD1096" s="203">
        <f>IF($B$1093="Лікар-педіатр","x",IF($B$1093="Лікар-терапевт",AD1095/AG1095,IF($B$1093="Лікар загальної практики - сімейний лікар",AD1095/AG1095,0)))</f>
        <v>0</v>
      </c>
      <c r="AE1096" s="203">
        <f>IF($B$1093="Лікар-педіатр","x",IF($B$1093="Лікар-терапевт",AE1095/AG1095,IF($B$1093="Лікар загальної практики - сімейний лікар",AE1095/AG1095,0)))</f>
        <v>0</v>
      </c>
      <c r="AF1096" s="203">
        <f>IF($B$1093="Лікар-педіатр","x",IF($B$1093="Лікар-терапевт",AF1095/AG1095,IF($B$1093="Лікар загальної практики - сімейний лікар",AF1095/AG1095,0)))</f>
        <v>0</v>
      </c>
      <c r="AG1096" s="203">
        <f>SUM(AB1096:AF1096)</f>
        <v>0</v>
      </c>
      <c r="AH1096" s="930"/>
      <c r="AI1096" s="201"/>
      <c r="AJ1096" s="933"/>
      <c r="AK1096" s="927"/>
      <c r="AL1096" s="927"/>
      <c r="AM1096" s="902"/>
      <c r="AN1096" s="924"/>
      <c r="AO1096" s="924"/>
      <c r="AP1096" s="924"/>
      <c r="AQ1096" s="924"/>
      <c r="AR1096" s="915"/>
    </row>
    <row r="1097" spans="1:44" s="50" customFormat="1" ht="45" hidden="1" customHeight="1" thickBot="1">
      <c r="A1097" s="197"/>
      <c r="B1097" s="893"/>
      <c r="C1097" s="896"/>
      <c r="D1097" s="912"/>
      <c r="E1097" s="909"/>
      <c r="F1097" s="204" t="s">
        <v>585</v>
      </c>
      <c r="G1097" s="205">
        <f>IF($B$1093="Лікар загальної практики - сімейний лікар",AVERAGE(G1093:G1095),IF($B$1093="Лікар-педіатр",AVERAGE(G1093:G1095),IF($B$1093="Лікар-терапевт","х",0)))</f>
        <v>0</v>
      </c>
      <c r="H1097" s="205">
        <f>IF($B$1093="Лікар загальної практики - сімейний лікар",AVERAGE(H1093:H1095),IF($B$1093="Лікар-педіатр",AVERAGE(H1093:H1095),IF($B$1093="Лікар-терапевт","х",0)))</f>
        <v>0</v>
      </c>
      <c r="I1097" s="205">
        <f>IF($B$1093="Лікар загальної практики - сімейний лікар",AVERAGE(I1093:I1095),IF($B$1093="Лікар-педіатр","x",IF($B$1093="Лікар-терапевт",AVERAGE(I1093:I1095),0)))</f>
        <v>0</v>
      </c>
      <c r="J1097" s="205">
        <f>IF($B$1093="Лікар загальної практики - сімейний лікар",AVERAGE(J1093:J1095),IF($B$1093="Лікар-педіатр","x",IF($B$1093="Лікар-терапевт",AVERAGE(J1093:J1095),0)))</f>
        <v>0</v>
      </c>
      <c r="K1097" s="205">
        <f>IF($B$1093="Лікар загальної практики - сімейний лікар",AVERAGE(K1093:K1095),IF($B$1093="Лікар-педіатр","x",IF($B$1093="Лікар-терапевт",AVERAGE(K1093:K1095),0)))</f>
        <v>0</v>
      </c>
      <c r="L1097" s="206">
        <f>SUM(G1097:K1097)</f>
        <v>0</v>
      </c>
      <c r="M1097" s="930"/>
      <c r="N1097" s="205">
        <f>IF($B$1093="Лікар загальної практики - сімейний лікар",AVERAGE(N1093:N1095),IF($B$1093="Лікар-педіатр",AVERAGE(N1093:N1095),IF($B$1093="Лікар-терапевт","х",0)))</f>
        <v>0</v>
      </c>
      <c r="O1097" s="205">
        <f>IF($B$1093="Лікар загальної практики - сімейний лікар",AVERAGE(O1093:O1095),IF($B$1093="Лікар-педіатр",AVERAGE(O1093:O1095),IF($B$1093="Лікар-терапевт","х",0)))</f>
        <v>0</v>
      </c>
      <c r="P1097" s="205">
        <f>IF($B$1093="Лікар загальної практики - сімейний лікар",AVERAGE(P1093:P1095),IF($B$1093="Лікар-педіатр","x",IF($B$1093="Лікар-терапевт",AVERAGE(P1093:P1095),0)))</f>
        <v>0</v>
      </c>
      <c r="Q1097" s="205">
        <f>IF($B$1093="Лікар загальної практики - сімейний лікар",AVERAGE(Q1093:Q1095),IF($B$1093="Лікар-педіатр","x",IF($B$1093="Лікар-терапевт",AVERAGE(Q1093:Q1095),0)))</f>
        <v>0</v>
      </c>
      <c r="R1097" s="205">
        <f>IF($B$1093="Лікар загальної практики - сімейний лікар",AVERAGE(R1093:R1095),IF($B$1093="Лікар-педіатр","x",IF($B$1093="Лікар-терапевт",AVERAGE(R1093:R1095),0)))</f>
        <v>0</v>
      </c>
      <c r="S1097" s="206">
        <f>SUM(N1097:R1097)</f>
        <v>0</v>
      </c>
      <c r="T1097" s="930"/>
      <c r="U1097" s="205">
        <f>IF($B$1093="Лікар загальної практики - сімейний лікар",AVERAGE(U1093:U1095),IF($B$1093="Лікар-педіатр",AVERAGE(U1093:U1095),IF($B$1093="Лікар-терапевт","х",0)))</f>
        <v>0</v>
      </c>
      <c r="V1097" s="205">
        <f>IF($B$1093="Лікар загальної практики - сімейний лікар",AVERAGE(V1093:V1095),IF($B$1093="Лікар-педіатр",AVERAGE(V1093:V1095),IF($B$1093="Лікар-терапевт","х",0)))</f>
        <v>0</v>
      </c>
      <c r="W1097" s="205">
        <f>IF($B$1093="Лікар загальної практики - сімейний лікар",AVERAGE(W1093:W1095),IF($B$1093="Лікар-педіатр","x",IF($B$1093="Лікар-терапевт",AVERAGE(W1093:W1095),0)))</f>
        <v>0</v>
      </c>
      <c r="X1097" s="205">
        <f>IF($B$1093="Лікар загальної практики - сімейний лікар",AVERAGE(X1093:X1095),IF($B$1093="Лікар-педіатр","x",IF($B$1093="Лікар-терапевт",AVERAGE(X1093:X1095),0)))</f>
        <v>0</v>
      </c>
      <c r="Y1097" s="205">
        <f>IF($B$1093="Лікар загальної практики - сімейний лікар",AVERAGE(Y1093:Y1095),IF($B$1093="Лікар-педіатр","x",IF($B$1093="Лікар-терапевт",AVERAGE(Y1093:Y1095),0)))</f>
        <v>0</v>
      </c>
      <c r="Z1097" s="206">
        <f>SUM(U1097:Y1097)</f>
        <v>0</v>
      </c>
      <c r="AA1097" s="930"/>
      <c r="AB1097" s="205">
        <f>IF($B$1093="Лікар загальної практики - сімейний лікар",AVERAGE(AB1093:AB1095),IF($B$1093="Лікар-педіатр",AVERAGE(AB1093:AB1095),IF($B$1093="Лікар-терапевт","х",0)))</f>
        <v>0</v>
      </c>
      <c r="AC1097" s="205">
        <f>IF($B$1093="Лікар загальної практики - сімейний лікар",AVERAGE(AC1093:AC1095),IF($B$1093="Лікар-педіатр",AVERAGE(AC1093:AC1095),IF($B$1093="Лікар-терапевт","х",0)))</f>
        <v>0</v>
      </c>
      <c r="AD1097" s="205">
        <f>IF($B$1093="Лікар загальної практики - сімейний лікар",AVERAGE(AD1093:AD1095),IF($B$1093="Лікар-педіатр","x",IF($B$1093="Лікар-терапевт",AVERAGE(AD1093:AD1095),0)))</f>
        <v>0</v>
      </c>
      <c r="AE1097" s="205">
        <f>IF($B$1093="Лікар загальної практики - сімейний лікар",AVERAGE(AE1093:AE1095),IF($B$1093="Лікар-педіатр","x",IF($B$1093="Лікар-терапевт",AVERAGE(AE1093:AE1095),0)))</f>
        <v>0</v>
      </c>
      <c r="AF1097" s="205">
        <f>IF($B$1093="Лікар загальної практики - сімейний лікар",AVERAGE(AF1093:AF1095),IF($B$1093="Лікар-педіатр","x",IF($B$1093="Лікар-терапевт",AVERAGE(AF1093:AF1095),0)))</f>
        <v>0</v>
      </c>
      <c r="AG1097" s="206">
        <f>SUM(AB1097:AF1097)</f>
        <v>0</v>
      </c>
      <c r="AH1097" s="930"/>
      <c r="AI1097" s="201"/>
      <c r="AJ1097" s="933"/>
      <c r="AK1097" s="927"/>
      <c r="AL1097" s="927"/>
      <c r="AM1097" s="903"/>
      <c r="AN1097" s="925"/>
      <c r="AO1097" s="925"/>
      <c r="AP1097" s="925"/>
      <c r="AQ1097" s="925"/>
      <c r="AR1097" s="916"/>
    </row>
    <row r="1098" spans="1:44" s="50" customFormat="1" ht="40.5" hidden="1">
      <c r="A1098" s="197"/>
      <c r="B1098" s="893"/>
      <c r="C1098" s="896"/>
      <c r="D1098" s="912"/>
      <c r="E1098" s="909"/>
      <c r="F1098" s="237" t="str">
        <f ca="1">IF(B1093="Лікар-педіатр",Законод!$C$17,IF(B1093="Лікар загальної практики - сімейний лікар",Законод!$C$21,IF(B1093="Лікар-терапевт",Законод!$C$25,"х")))</f>
        <v>х</v>
      </c>
      <c r="G1098" s="208">
        <f ca="1">IF($B$1093="Лікар загальної практики - сімейний лікар",IF(L1097&lt;=Законод!$C$22,G1097,Законод!$C$22*'01_Доходи'!G1096),IF($B$1093="Лікар-педіатр",IF(L1097&lt;=Законод!$C$18,G1097,Законод!$C$18*'01_Доходи'!G1096),IF($B$1093="Лікар-терапевт","x",0)))</f>
        <v>0</v>
      </c>
      <c r="H1098" s="208">
        <f ca="1">IF($B$1093="Лікар загальної практики - сімейний лікар",IF(L1097&lt;=Законод!$C$22,H1097,Законод!$C$22*'01_Доходи'!H1096),IF($B$1093="Лікар-педіатр",IF(L1097&lt;=Законод!$C$18,H1097,Законод!$C$18*'01_Доходи'!H1096),IF($B$1093="Лікар-терапевт","x",0)))</f>
        <v>0</v>
      </c>
      <c r="I1098" s="208">
        <f ca="1">IF($B$1093="Лікар загальної практики - сімейний лікар",IF(L1097&lt;=Законод!$C$22,I1097,Законод!$C$22*'01_Доходи'!I1096),IF($B$1093="Лікар-педіатр","x",IF($B$1093="Лікар-терапевт",IF(L1097&lt;=Законод!$C$26,I1097,Законод!$C$26*'01_Доходи'!I1096),0)))</f>
        <v>0</v>
      </c>
      <c r="J1098" s="208">
        <f ca="1">IF($B$1093="Лікар загальної практики - сімейний лікар",IF(L1097&lt;=Законод!$C$22,J1097,Законод!$C$22*'01_Доходи'!J1096),IF($B$1093="Лікар-педіатр","x",IF($B$1093="Лікар-терапевт",IF(L1097&lt;=Законод!$C$26,J1097,Законод!$C$26*'01_Доходи'!J1096),0)))</f>
        <v>0</v>
      </c>
      <c r="K1098" s="208">
        <f ca="1">IF($B$1093="Лікар загальної практики - сімейний лікар",IF(L1097&lt;=Законод!$C$22,K1097,Законод!$C$22*'01_Доходи'!K1096),IF($B$1093="Лікар-педіатр","x",IF($B$1093="Лікар-терапевт",IF(L1097&lt;=Законод!$C$26,K1097,Законод!$C$26*'01_Доходи'!K1096),0)))</f>
        <v>0</v>
      </c>
      <c r="L1098" s="209">
        <f ca="1">SUM(G1098:K1098)</f>
        <v>0</v>
      </c>
      <c r="M1098" s="930"/>
      <c r="N1098" s="208">
        <f ca="1">IF($B$1093="Лікар загальної практики - сімейний лікар",IF(S1097&lt;=Законод!$C$22,N1097,Законод!$C$22*'01_Доходи'!N1096),IF($B$1093="Лікар-педіатр",IF(S1097&lt;=Законод!$C$18,N1097,Законод!$C$18*'01_Доходи'!N1096),IF($B$1093="Лікар-терапевт","x",0)))</f>
        <v>0</v>
      </c>
      <c r="O1098" s="208">
        <f ca="1">IF($B$1093="Лікар загальної практики - сімейний лікар",IF(S1097&lt;=Законод!$C$22,O1097,Законод!$C$22*'01_Доходи'!O1096),IF($B$1093="Лікар-педіатр",IF(S1097&lt;=Законод!$C$18,O1097,Законод!$C$18*'01_Доходи'!O1096),IF($B$1093="Лікар-терапевт","x",0)))</f>
        <v>0</v>
      </c>
      <c r="P1098" s="208">
        <f ca="1">IF($B$1093="Лікар загальної практики - сімейний лікар",IF(S1097&lt;=Законод!$C$22,P1097,Законод!$C$22*'01_Доходи'!P1096),IF($B$1093="Лікар-педіатр","x",IF($B$1093="Лікар-терапевт",IF(S1097&lt;=Законод!$C$26,P1097,Законод!$C$26*'01_Доходи'!P1096),0)))</f>
        <v>0</v>
      </c>
      <c r="Q1098" s="208">
        <f ca="1">IF($B$1093="Лікар загальної практики - сімейний лікар",IF(S1097&lt;=Законод!$C$22,Q1097,Законод!$C$22*'01_Доходи'!Q1096),IF($B$1093="Лікар-педіатр","x",IF($B$1093="Лікар-терапевт",IF(S1097&lt;=Законод!$C$26,Q1097,Законод!$C$26*'01_Доходи'!Q1096),0)))</f>
        <v>0</v>
      </c>
      <c r="R1098" s="208">
        <f ca="1">IF($B$1093="Лікар загальної практики - сімейний лікар",IF(S1097&lt;=Законод!$C$22,R1097,Законод!$C$22*'01_Доходи'!R1096),IF($B$1093="Лікар-педіатр","x",IF($B$1093="Лікар-терапевт",IF(S1097&lt;=Законод!$C$26,R1097,Законод!$C$26*'01_Доходи'!R1096),0)))</f>
        <v>0</v>
      </c>
      <c r="S1098" s="209">
        <f ca="1">SUM(N1098:R1098)</f>
        <v>0</v>
      </c>
      <c r="T1098" s="930"/>
      <c r="U1098" s="208">
        <f ca="1">IF($B$1093="Лікар загальної практики - сімейний лікар",IF(Z1097&lt;=Законод!$C$22,U1097,Законод!$C$22*'01_Доходи'!U1096),IF($B$1093="Лікар-педіатр",IF(Z1097&lt;=Законод!$C$18,U1097,Законод!$C$18*'01_Доходи'!U1096),IF($B$1093="Лікар-терапевт","x",0)))</f>
        <v>0</v>
      </c>
      <c r="V1098" s="208">
        <f ca="1">IF($B$1093="Лікар загальної практики - сімейний лікар",IF(Z1097&lt;=Законод!$C$22,V1097,Законод!$C$22*'01_Доходи'!V1096),IF($B$1093="Лікар-педіатр",IF(Z1097&lt;=Законод!$C$18,V1097,Законод!$C$18*'01_Доходи'!V1096),IF($B$1093="Лікар-терапевт","x",0)))</f>
        <v>0</v>
      </c>
      <c r="W1098" s="208">
        <f ca="1">IF($B$1093="Лікар загальної практики - сімейний лікар",IF(Z1097&lt;=Законод!$C$22,W1097,Законод!$C$22*'01_Доходи'!W1096),IF($B$1093="Лікар-педіатр","x",IF($B$1093="Лікар-терапевт",IF(Z1097&lt;=Законод!$C$26,W1097,Законод!$C$26*'01_Доходи'!W1096),0)))</f>
        <v>0</v>
      </c>
      <c r="X1098" s="208">
        <f ca="1">IF($B$1093="Лікар загальної практики - сімейний лікар",IF(Z1097&lt;=Законод!$C$22,X1097,Законод!$C$22*'01_Доходи'!X1096),IF($B$1093="Лікар-педіатр","x",IF($B$1093="Лікар-терапевт",IF(Z1097&lt;=Законод!$C$26,X1097,Законод!$C$26*'01_Доходи'!X1096),0)))</f>
        <v>0</v>
      </c>
      <c r="Y1098" s="208">
        <f ca="1">IF($B$1093="Лікар загальної практики - сімейний лікар",IF(Z1097&lt;=Законод!$C$22,Y1097,Законод!$C$22*'01_Доходи'!Y1096),IF($B$1093="Лікар-педіатр","x",IF($B$1093="Лікар-терапевт",IF(Z1097&lt;=Законод!$C$26,Y1097,Законод!$C$26*'01_Доходи'!Y1096),0)))</f>
        <v>0</v>
      </c>
      <c r="Z1098" s="209">
        <f ca="1">SUM(U1098:Y1098)</f>
        <v>0</v>
      </c>
      <c r="AA1098" s="930"/>
      <c r="AB1098" s="208">
        <f ca="1">IF($B$1093="Лікар загальної практики - сімейний лікар",IF(AG1097&lt;=Законод!$C$22,AB1097,Законод!$C$22*'01_Доходи'!AB1096),IF($B$1093="Лікар-педіатр",IF(AG1097&lt;=Законод!$C$18,AB1097,Законод!$C$18*'01_Доходи'!AB1096),IF($B$1093="Лікар-терапевт","x",0)))</f>
        <v>0</v>
      </c>
      <c r="AC1098" s="208">
        <f ca="1">IF($B$1093="Лікар загальної практики - сімейний лікар",IF(AG1097&lt;=Законод!$C$22,AC1097,Законод!$C$22*'01_Доходи'!AC1096),IF($B$1093="Лікар-педіатр",IF(AG1097&lt;=Законод!$C$18,AC1097,Законод!$C$18*'01_Доходи'!AC1096),IF($B$1093="Лікар-терапевт","x",0)))</f>
        <v>0</v>
      </c>
      <c r="AD1098" s="208">
        <f ca="1">IF($B$1093="Лікар загальної практики - сімейний лікар",IF(AG1097&lt;=Законод!$C$22,AD1097,Законод!$C$22*'01_Доходи'!AD1096),IF($B$1093="Лікар-педіатр","x",IF($B$1093="Лікар-терапевт",IF(AG1097&lt;=Законод!$C$26,AD1097,Законод!$C$26*'01_Доходи'!AD1096),0)))</f>
        <v>0</v>
      </c>
      <c r="AE1098" s="208">
        <f ca="1">IF($B$1093="Лікар загальної практики - сімейний лікар",IF(AG1097&lt;=Законод!$C$22,AE1097,Законод!$C$22*'01_Доходи'!AE1096),IF($B$1093="Лікар-педіатр","x",IF($B$1093="Лікар-терапевт",IF(AG1097&lt;=Законод!$C$26,AE1097,Законод!$C$26*'01_Доходи'!AE1096),0)))</f>
        <v>0</v>
      </c>
      <c r="AF1098" s="208">
        <f ca="1">IF($B$1093="Лікар загальної практики - сімейний лікар",IF(AG1097&lt;=Законод!$C$22,AF1097,Законод!$C$22*'01_Доходи'!AF1096),IF($B$1093="Лікар-педіатр","x",IF($B$1093="Лікар-терапевт",IF(AG1097&lt;=Законод!$C$26,AF1097,Законод!$C$26*'01_Доходи'!AF1096),0)))</f>
        <v>0</v>
      </c>
      <c r="AG1098" s="209">
        <f ca="1">SUM(AB1098:AF1098)</f>
        <v>0</v>
      </c>
      <c r="AH1098" s="930"/>
      <c r="AI1098" s="201"/>
      <c r="AJ1098" s="933"/>
      <c r="AK1098" s="927"/>
      <c r="AL1098" s="927"/>
      <c r="AM1098" s="348" t="s">
        <v>374</v>
      </c>
      <c r="AN1098" s="210">
        <f ca="1">IF(B1093="Лікар загальної практики - сімейний лікар",G1098*Законод!$C$11+'01_Доходи'!H1098*Законод!$D$11+'01_Доходи'!I1098*Законод!$E$11+'01_Доходи'!J1098*Законод!$F$11+'01_Доходи'!K1098*Законод!$G$11,IF(B1093="Лікар-педіатр",G1098*Законод!$C$11+'01_Доходи'!H1098*Законод!$D$11,IF(B1093="Лікар-терапевт",'01_Доходи'!I1098*Законод!$E$11+'01_Доходи'!J1098*Законод!$F$11+'01_Доходи'!K1098*Законод!$G$11,0)))</f>
        <v>0</v>
      </c>
      <c r="AO1098" s="210">
        <f ca="1">IF(B1093="Лікар загальної практики - сімейний лікар",N1098*Законод!$C$11+'01_Доходи'!O1098*Законод!$D$11+'01_Доходи'!P1098*Законод!$E$11+'01_Доходи'!Q1098*Законод!$F$11+'01_Доходи'!R1098*Законод!$G$11,IF(B1093="Лікар-педіатр",N1098*Законод!$C$11+'01_Доходи'!O1098*Законод!$D$11,IF(B1093="Лікар-терапевт",'01_Доходи'!P1098*Законод!$E$11+'01_Доходи'!Q1098*Законод!$F$11+'01_Доходи'!R1098*Законод!$G$11,0)))</f>
        <v>0</v>
      </c>
      <c r="AP1098" s="210">
        <f ca="1">IF(B1093="Лікар загальної практики - сімейний лікар",U1098*Законод!$C$11+'01_Доходи'!V1098*Законод!$D$11+'01_Доходи'!W1098*Законод!$E$11+'01_Доходи'!X1098*Законод!$F$11+'01_Доходи'!Y1098*Законод!$G$11,IF(B1093="Лікар-педіатр",U1098*Законод!$C$11+'01_Доходи'!V1098*Законод!$D$11,IF(B1093="Лікар-терапевт",'01_Доходи'!W1098*Законод!$E$11+'01_Доходи'!X1098*Законод!$F$11+'01_Доходи'!Y1098*Законод!$G$11,0)))</f>
        <v>0</v>
      </c>
      <c r="AQ1098" s="210">
        <f ca="1">IF(B1093="Лікар загальної практики - сімейний лікар",AB1098*Законод!$C$11+'01_Доходи'!AC1098*Законод!$D$11+'01_Доходи'!AD1098*Законод!$E$11+'01_Доходи'!AE1098*Законод!$F$11+'01_Доходи'!AF1098*Законод!$G$11,IF(B1093="Лікар-педіатр",AB1098*Законод!$C$11+'01_Доходи'!AC1098*Законод!$D$11,IF(B1093="Лікар-терапевт",'01_Доходи'!AD1098*Законод!$E$11+'01_Доходи'!AE1098*Законод!$F$11+'01_Доходи'!AF1098*Законод!$G$11,0)))</f>
        <v>0</v>
      </c>
      <c r="AR1098" s="211">
        <f t="shared" ref="AR1098:AR1104" si="111">SUM(AN1098:AQ1098)</f>
        <v>0</v>
      </c>
    </row>
    <row r="1099" spans="1:44" s="50" customFormat="1" ht="31.9" hidden="1" customHeight="1">
      <c r="A1099" s="197"/>
      <c r="B1099" s="893"/>
      <c r="C1099" s="896"/>
      <c r="D1099" s="912"/>
      <c r="E1099" s="909"/>
      <c r="F1099" s="238" t="str">
        <f ca="1">IF(B1093="Лікар-педіатр",Законод!$E$17,IF(B1093="Лікар загальної практики - сімейний лікар",Законод!$E$21,IF(B1093="Лікар-терапевт",Законод!$E$25,"х")))</f>
        <v>х</v>
      </c>
      <c r="G1099" s="889" t="s">
        <v>346</v>
      </c>
      <c r="H1099" s="890"/>
      <c r="I1099" s="890"/>
      <c r="J1099" s="890"/>
      <c r="K1099" s="891"/>
      <c r="L1099" s="196">
        <f ca="1">IF($B$1093="Лікар загальної практики - сімейний лікар",IF(L1097&lt;Законод!$C$22,0,(IF(AND(L1097&gt;=Законод!$E$22,L1097&lt;=Законод!$E$23),L1097-Законод!$C$22,IF('01_Доходи'!L1097&gt;=Законод!$F$22,Законод!$E$24,0)))),IF($B$1093="Лікар-педіатр",IF(L1097&lt;Законод!$C$18,0,(IF(AND(L1097&gt;=Законод!$E$18,L1097&lt;=Законод!$E$19),L1097-Законод!$C$18,IF('01_Доходи'!L1097&gt;=Законод!$F$18,Законод!$E$20,0)))),IF($B$1093="Лікар-терапевт",IF(L1097&lt;Законод!$C$26,0,(IF(AND(L1097&gt;=Законод!$E$26,L1097&lt;=Законод!$E$27),L1097-Законод!$C$26,IF('01_Доходи'!L1097&gt;=Законод!$F$26,Законод!$E$28,0)))),0)))</f>
        <v>0</v>
      </c>
      <c r="M1099" s="930"/>
      <c r="N1099" s="889" t="s">
        <v>346</v>
      </c>
      <c r="O1099" s="890"/>
      <c r="P1099" s="890"/>
      <c r="Q1099" s="890"/>
      <c r="R1099" s="891"/>
      <c r="S1099" s="196">
        <f ca="1">IF($B$1093="Лікар загальної практики - сімейний лікар",IF(S1097&lt;Законод!$C$22,0,(IF(AND(S1097&gt;=Законод!$E$22,S1097&lt;=Законод!$E$23),S1097-Законод!$C$22,IF('01_Доходи'!S1097&gt;=Законод!$F$22,Законод!$E$24,0)))),IF($B$1093="Лікар-педіатр",IF(S1097&lt;Законод!$C$18,0,(IF(AND(S1097&gt;=Законод!$E$18,S1097&lt;=Законод!$E$19),S1097-Законод!$C$18,IF('01_Доходи'!S1097&gt;=Законод!$F$18,Законод!$E$20,0)))),IF($B$1093="Лікар-терапевт",IF(S1097&lt;Законод!$C$26,0,(IF(AND(S1097&gt;=Законод!$E$26,S1097&lt;=Законод!$E$27),S1097-Законод!$C$26,IF('01_Доходи'!S1097&gt;=Законод!$F$26,Законод!$E$28,0)))),0)))</f>
        <v>0</v>
      </c>
      <c r="T1099" s="930"/>
      <c r="U1099" s="889" t="s">
        <v>346</v>
      </c>
      <c r="V1099" s="890"/>
      <c r="W1099" s="890"/>
      <c r="X1099" s="890"/>
      <c r="Y1099" s="891"/>
      <c r="Z1099" s="196">
        <f ca="1">IF($B$1093="Лікар загальної практики - сімейний лікар",IF(Z1097&lt;Законод!$C$22,0,(IF(AND(Z1097&gt;=Законод!$E$22,Z1097&lt;=Законод!$E$23),Z1097-Законод!$C$22,IF('01_Доходи'!Z1097&gt;=Законод!$F$22,Законод!$E$24,0)))),IF($B$1093="Лікар-педіатр",IF(Z1097&lt;Законод!$C$18,0,(IF(AND(Z1097&gt;=Законод!$E$18,Z1097&lt;=Законод!$E$19),Z1097-Законод!$C$18,IF('01_Доходи'!Z1097&gt;=Законод!$F$18,Законод!$E$20,0)))),IF($B$1093="Лікар-терапевт",IF(Z1097&lt;Законод!$C$26,0,(IF(AND(Z1097&gt;=Законод!$E$26,Z1097&lt;=Законод!$E$27),Z1097-Законод!$C$26,IF('01_Доходи'!Z1097&gt;=Законод!$F$26,Законод!$E$28,0)))),0)))</f>
        <v>0</v>
      </c>
      <c r="AA1099" s="930"/>
      <c r="AB1099" s="889" t="s">
        <v>346</v>
      </c>
      <c r="AC1099" s="890"/>
      <c r="AD1099" s="890"/>
      <c r="AE1099" s="890"/>
      <c r="AF1099" s="891"/>
      <c r="AG1099" s="196">
        <f ca="1">IF($B$1093="Лікар загальної практики - сімейний лікар",IF(AG1097&lt;Законод!$C$22,0,(IF(AND(AG1097&gt;=Законод!$E$22,AG1097&lt;=Законод!$E$23),AG1097-Законод!$C$22,IF('01_Доходи'!AG1097&gt;=Законод!$F$22,Законод!$E$24,0)))),IF($B$1093="Лікар-педіатр",IF(AG1097&lt;Законод!$C$18,0,(IF(AND(AG1097&gt;=Законод!$E$18,AG1097&lt;=Законод!$E$19),AG1097-Законод!$C$18,IF('01_Доходи'!AG1097&gt;=Законод!$F$18,Законод!$E$20,0)))),IF($B$1093="Лікар-терапевт",IF(AG1097&lt;Законод!$C$26,0,(IF(AND(AG1097&gt;=Законод!$E$26,AG1097&lt;=Законод!$E$27),AG1097-Законод!$C$26,IF('01_Доходи'!AG1097&gt;=Законод!$F$26,Законод!$E$28,0)))),0)))</f>
        <v>0</v>
      </c>
      <c r="AH1099" s="930"/>
      <c r="AI1099" s="201"/>
      <c r="AJ1099" s="933"/>
      <c r="AK1099" s="927"/>
      <c r="AL1099" s="927"/>
      <c r="AM1099" s="898" t="s">
        <v>375</v>
      </c>
      <c r="AN1099" s="210">
        <f ca="1">IF(B1093="Лікар загальної практики - сімейний лікар",L1099*Законод!$C$9/4*Законод!$E$16,IF(B1093="Лікар-педіатр",L1099*Законод!$C$9/4*Законод!$E$16,IF(B1093="Лікар-терапевт",L1099*Законод!$C$9/4*Законод!$E$16,0)))</f>
        <v>0</v>
      </c>
      <c r="AO1099" s="210">
        <f ca="1">IF(B1093="Лікар загальної практики - сімейний лікар",S1099*Законод!$C$9/4*Законод!$E$16,IF(B1093="Лікар-педіатр",S1099*Законод!$C$9/4*Законод!$E$16,IF(B1093="Лікар-терапевт",S1099*Законод!$C$9/4*Законод!$E$16,0)))</f>
        <v>0</v>
      </c>
      <c r="AP1099" s="210">
        <f ca="1">IF(B1093="Лікар загальної практики - сімейний лікар",Z1099*Законод!$C$9/4*Законод!$E$16,IF(B1093="Лікар-педіатр",Z1099*Законод!$C$9/4*Законод!$E$16,IF(B1093="Лікар-терапевт",Z1099*Законод!$C$9/4*Законод!$E$16,0)))</f>
        <v>0</v>
      </c>
      <c r="AQ1099" s="210">
        <f ca="1">IF(B1093="Лікар загальної практики - сімейний лікар",AG1099*Законод!$C$9/4*Законод!$E$16,IF(B1093="Лікар-педіатр",AG1099*Законод!$C$9/4*Законод!$E$16,IF(B1093="Лікар-терапевт",AG1099*Законод!$C$9/4*Законод!$E$16,0)))</f>
        <v>0</v>
      </c>
      <c r="AR1099" s="211">
        <f t="shared" si="111"/>
        <v>0</v>
      </c>
    </row>
    <row r="1100" spans="1:44" s="50" customFormat="1" ht="31.9" hidden="1" customHeight="1">
      <c r="A1100" s="197"/>
      <c r="B1100" s="893"/>
      <c r="C1100" s="896"/>
      <c r="D1100" s="912"/>
      <c r="E1100" s="909"/>
      <c r="F1100" s="238" t="str">
        <f ca="1">IF(B1093="Лікар-педіатр",Законод!$F$17,IF(B1093="Лікар загальної практики - сімейний лікар",Законод!$F$21,IF(B1093="Лікар-терапевт",Законод!$F$25,"х")))</f>
        <v>х</v>
      </c>
      <c r="G1100" s="889" t="s">
        <v>346</v>
      </c>
      <c r="H1100" s="890"/>
      <c r="I1100" s="890"/>
      <c r="J1100" s="890"/>
      <c r="K1100" s="891"/>
      <c r="L1100" s="196">
        <f ca="1">IF($B$1093="Лікар загальної практики - сімейний лікар",IF(L1097&lt;Законод!$C$22,0,(IF(AND(L1097&gt;=Законод!$F$22,L1097&lt;=Законод!$F$23),L1097-Законод!$E$23,IF('01_Доходи'!L1097&gt;=Законод!$G$22,Законод!$F$24,0)))),IF($B$1093="Лікар-педіатр",IF(L1097&lt;Законод!$C$18,0,(IF(AND(L1097&gt;=Законод!$F$18,L1097&lt;=Законод!$F$19),L1097-Законод!$E$19,IF('01_Доходи'!L1097&gt;=Законод!$G$18,Законод!$F$20,0)))),IF($B$1093="Лікар-терапевт",IF(L1097&lt;Законод!$C$26,0,(IF(AND(L1097&gt;=Законод!$F$26,L1097&lt;=Законод!$F$27),L1097-Законод!$E$27,IF('01_Доходи'!L1097&gt;=Законод!$G$26,Законод!$F$28,0)))),0)))</f>
        <v>0</v>
      </c>
      <c r="M1100" s="930"/>
      <c r="N1100" s="889" t="s">
        <v>346</v>
      </c>
      <c r="O1100" s="890"/>
      <c r="P1100" s="890"/>
      <c r="Q1100" s="890"/>
      <c r="R1100" s="891"/>
      <c r="S1100" s="196">
        <f ca="1">IF($B$1093="Лікар загальної практики - сімейний лікар",IF(S1097&lt;Законод!$C$22,0,(IF(AND(S1097&gt;=Законод!$F$22,S1097&lt;=Законод!$F$23),S1097-Законод!$E$23,IF('01_Доходи'!S1097&gt;=Законод!$G$22,Законод!$F$24,0)))),IF($B$1093="Лікар-педіатр",IF(S1097&lt;Законод!$C$18,0,(IF(AND(S1097&gt;=Законод!$F$18,S1097&lt;=Законод!$F$19),S1097-Законод!$E$19,IF('01_Доходи'!S1097&gt;=Законод!$G$18,Законод!$F$20,0)))),IF($B$1093="Лікар-терапевт",IF(S1097&lt;Законод!$C$26,0,(IF(AND(S1097&gt;=Законод!$F$26,S1097&lt;=Законод!$F$27),S1097-Законод!$E$27,IF('01_Доходи'!S1097&gt;=Законод!$G$26,Законод!$F$28,0)))),0)))</f>
        <v>0</v>
      </c>
      <c r="T1100" s="930"/>
      <c r="U1100" s="889" t="s">
        <v>346</v>
      </c>
      <c r="V1100" s="890"/>
      <c r="W1100" s="890"/>
      <c r="X1100" s="890"/>
      <c r="Y1100" s="891"/>
      <c r="Z1100" s="196">
        <f ca="1">IF($B$1093="Лікар загальної практики - сімейний лікар",IF(Z1097&lt;Законод!$C$22,0,(IF(AND(Z1097&gt;=Законод!$F$22,Z1097&lt;=Законод!$F$23),Z1097-Законод!$E$23,IF('01_Доходи'!Z1097&gt;=Законод!$G$22,Законод!$F$24,0)))),IF($B$1093="Лікар-педіатр",IF(Z1097&lt;Законод!$C$18,0,(IF(AND(Z1097&gt;=Законод!$F$18,Z1097&lt;=Законод!$F$19),Z1097-Законод!$E$19,IF('01_Доходи'!Z1097&gt;=Законод!$G$18,Законод!$F$20,0)))),IF($B$1093="Лікар-терапевт",IF(Z1097&lt;Законод!$C$26,0,(IF(AND(Z1097&gt;=Законод!$F$26,Z1097&lt;=Законод!$F$27),Z1097-Законод!$E$27,IF('01_Доходи'!Z1097&gt;=Законод!$G$26,Законод!$F$28,0)))),0)))</f>
        <v>0</v>
      </c>
      <c r="AA1100" s="930"/>
      <c r="AB1100" s="889" t="s">
        <v>346</v>
      </c>
      <c r="AC1100" s="890"/>
      <c r="AD1100" s="890"/>
      <c r="AE1100" s="890"/>
      <c r="AF1100" s="891"/>
      <c r="AG1100" s="196">
        <f ca="1">IF($B$1093="Лікар загальної практики - сімейний лікар",IF(AG1097&lt;Законод!$C$22,0,(IF(AND(AG1097&gt;=Законод!$F$22,AG1097&lt;=Законод!$F$23),AG1097-Законод!$E$23,IF('01_Доходи'!AG1097&gt;=Законод!$G$22,Законод!$F$24,0)))),IF($B$1093="Лікар-педіатр",IF(AG1097&lt;Законод!$C$18,0,(IF(AND(AG1097&gt;=Законод!$F$18,AG1097&lt;=Законод!$F$19),AG1097-Законод!$E$19,IF('01_Доходи'!AG1097&gt;=Законод!$G$18,Законод!$F$20,0)))),IF($B$1093="Лікар-терапевт",IF(AG1097&lt;Законод!$C$26,0,(IF(AND(AG1097&gt;=Законод!$F$26,AG1097&lt;=Законод!$F$27),AG1097-Законод!$E$27,IF('01_Доходи'!AG1097&gt;=Законод!$G$26,Законод!$F$28,0)))),0)))</f>
        <v>0</v>
      </c>
      <c r="AH1100" s="930"/>
      <c r="AI1100" s="201"/>
      <c r="AJ1100" s="933"/>
      <c r="AK1100" s="927"/>
      <c r="AL1100" s="927"/>
      <c r="AM1100" s="899"/>
      <c r="AN1100" s="210">
        <f ca="1">IF(B1093="Лікар загальної практики - сімейний лікар",L1100*Законод!$C$9/4*Законод!$F$16,IF(B1093="Лікар-педіатр",L1100*Законод!$C$9/4*Законод!$F$16,IF(B1093="Лікар-терапевт",L1100*Законод!$C$9/4*Законод!$F$16,0)))</f>
        <v>0</v>
      </c>
      <c r="AO1100" s="210">
        <f ca="1">IF(B1093="Лікар загальної практики - сімейний лікар",S1100*Законод!$C$9/4*Законод!$F$16,IF(B1093="Лікар-педіатр",S1100*Законод!$C$9/4*Законод!$F$16,IF(B1093="Лікар-терапевт",S1100*Законод!$C$9/4*Законод!$F$16,0)))</f>
        <v>0</v>
      </c>
      <c r="AP1100" s="210">
        <f ca="1">IF(B1093="Лікар загальної практики - сімейний лікар",Z1100*Законод!$C$9/4*Законод!$F$16,IF(B1093="Лікар-педіатр",Z1100*Законод!$C$9/4*Законод!$F$16,IF(B1093="Лікар-терапевт",Z1100*Законод!$C$9/4*Законод!$F$16,0)))</f>
        <v>0</v>
      </c>
      <c r="AQ1100" s="210">
        <f ca="1">IF(B1093="Лікар загальної практики - сімейний лікар",AG1100*Законод!$C$9/4*Законод!$F$16,IF(B1093="Лікар-педіатр",AG1100*Законод!$C$9/4*Законод!$F$16,IF(B1093="Лікар-терапевт",AG1100*Законод!$C$9/4*Законод!$F$16,0)))</f>
        <v>0</v>
      </c>
      <c r="AR1100" s="211">
        <f t="shared" si="111"/>
        <v>0</v>
      </c>
    </row>
    <row r="1101" spans="1:44" s="50" customFormat="1" ht="31.9" hidden="1" customHeight="1">
      <c r="A1101" s="197"/>
      <c r="B1101" s="893"/>
      <c r="C1101" s="896"/>
      <c r="D1101" s="912"/>
      <c r="E1101" s="909"/>
      <c r="F1101" s="238" t="str">
        <f ca="1">IF(B1093="Лікар-педіатр",Законод!$G$17,IF(B1093="Лікар загальної практики - сімейний лікар",Законод!$G$21,IF(B1093="Лікар-терапевт",Законод!$G$25,"х")))</f>
        <v>х</v>
      </c>
      <c r="G1101" s="889" t="s">
        <v>346</v>
      </c>
      <c r="H1101" s="890"/>
      <c r="I1101" s="890"/>
      <c r="J1101" s="890"/>
      <c r="K1101" s="891"/>
      <c r="L1101" s="196">
        <f ca="1">IF($B$1093="Лікар загальної практики - сімейний лікар",IF(L1097&lt;Законод!$C$22,0,(IF(AND(L1097&gt;=Законод!$G$22,L1097&lt;=Законод!$G$23),L1097-Законод!$F$23,IF('01_Доходи'!L1097&gt;=Законод!$H$22,Законод!$G$24,0)))),IF($B$1093="Лікар-педіатр",IF(L1097&lt;Законод!$C$18,0,(IF(AND(L1097&gt;=Законод!$G$18,L1097&lt;=Законод!$G$19),L1097-Законод!$F$19,IF('01_Доходи'!L1097&gt;=Законод!$H$18,Законод!$G$20,0)))),IF($B$1093="Лікар-терапевт",IF(L1097&lt;Законод!$C$26,0,(IF(AND(L1097&gt;=Законод!$G$26,L1097&lt;=Законод!$G$27),L1097-Законод!$F$27,IF('01_Доходи'!L1097&gt;=Законод!$H$26,Законод!$G$28,0)))),0)))</f>
        <v>0</v>
      </c>
      <c r="M1101" s="930"/>
      <c r="N1101" s="889" t="s">
        <v>346</v>
      </c>
      <c r="O1101" s="890"/>
      <c r="P1101" s="890"/>
      <c r="Q1101" s="890"/>
      <c r="R1101" s="891"/>
      <c r="S1101" s="196">
        <f ca="1">IF($B$1093="Лікар загальної практики - сімейний лікар",IF(S1097&lt;Законод!$C$22,0,(IF(AND(S1097&gt;=Законод!$G$22,S1097&lt;=Законод!$G$23),S1097-Законод!$F$23,IF('01_Доходи'!S1097&gt;=Законод!$H$22,Законод!$G$24,0)))),IF($B$1093="Лікар-педіатр",IF(S1097&lt;Законод!$C$18,0,(IF(AND(S1097&gt;=Законод!$G$18,S1097&lt;=Законод!$G$19),S1097-Законод!$F$19,IF('01_Доходи'!S1097&gt;=Законод!$H$18,Законод!$G$20,0)))),IF($B$1093="Лікар-терапевт",IF(S1097&lt;Законод!$C$26,0,(IF(AND(S1097&gt;=Законод!$G$26,S1097&lt;=Законод!$G$27),S1097-Законод!$F$27,IF('01_Доходи'!S1097&gt;=Законод!$H$26,Законод!$G$28,0)))),0)))</f>
        <v>0</v>
      </c>
      <c r="T1101" s="930"/>
      <c r="U1101" s="889" t="s">
        <v>346</v>
      </c>
      <c r="V1101" s="890"/>
      <c r="W1101" s="890"/>
      <c r="X1101" s="890"/>
      <c r="Y1101" s="891"/>
      <c r="Z1101" s="196">
        <f ca="1">IF($B$1093="Лікар загальної практики - сімейний лікар",IF(Z1097&lt;Законод!$C$22,0,(IF(AND(Z1097&gt;=Законод!$G$22,Z1097&lt;=Законод!$G$23),Z1097-Законод!$F$23,IF('01_Доходи'!Z1097&gt;=Законод!$H$22,Законод!$G$24,0)))),IF($B$1093="Лікар-педіатр",IF(Z1097&lt;Законод!$C$18,0,(IF(AND(Z1097&gt;=Законод!$G$18,Z1097&lt;=Законод!$G$19),Z1097-Законод!$F$19,IF('01_Доходи'!Z1097&gt;=Законод!$H$18,Законод!$G$20,0)))),IF($B$1093="Лікар-терапевт",IF(Z1097&lt;Законод!$C$26,0,(IF(AND(Z1097&gt;=Законод!$G$26,Z1097&lt;=Законод!$G$27),Z1097-Законод!$F$27,IF('01_Доходи'!Z1097&gt;=Законод!$H$26,Законод!$G$28,0)))),0)))</f>
        <v>0</v>
      </c>
      <c r="AA1101" s="930"/>
      <c r="AB1101" s="889" t="s">
        <v>346</v>
      </c>
      <c r="AC1101" s="890"/>
      <c r="AD1101" s="890"/>
      <c r="AE1101" s="890"/>
      <c r="AF1101" s="891"/>
      <c r="AG1101" s="196">
        <f ca="1">IF($B$1093="Лікар загальної практики - сімейний лікар",IF(AG1097&lt;Законод!$C$22,0,(IF(AND(AG1097&gt;=Законод!$G$22,AG1097&lt;=Законод!$G$23),AG1097-Законод!$F$23,IF('01_Доходи'!AG1097&gt;=Законод!$H$22,Законод!$G$24,0)))),IF($B$1093="Лікар-педіатр",IF(AG1097&lt;Законод!$C$18,0,(IF(AND(AG1097&gt;=Законод!$G$18,AG1097&lt;=Законод!$G$19),AG1097-Законод!$F$19,IF('01_Доходи'!AG1097&gt;=Законод!$H$18,Законод!$G$20,0)))),IF($B$1093="Лікар-терапевт",IF(AG1097&lt;Законод!$C$26,0,(IF(AND(AG1097&gt;=Законод!$G$26,AG1097&lt;=Законод!$G$27),AG1097-Законод!$F$27,IF('01_Доходи'!AG1097&gt;=Законод!$H$26,Законод!$G$28,0)))),0)))</f>
        <v>0</v>
      </c>
      <c r="AH1101" s="930"/>
      <c r="AI1101" s="201"/>
      <c r="AJ1101" s="933"/>
      <c r="AK1101" s="927"/>
      <c r="AL1101" s="927"/>
      <c r="AM1101" s="899"/>
      <c r="AN1101" s="210">
        <f ca="1">IF(B1093="Лікар загальної практики - сімейний лікар",L1101*Законод!$C$9/4*Законод!$G$16,IF(B1093="Лікар-педіатр",L1101*Законод!$C$9/4*Законод!$G$16,IF(B1093="Лікар-терапевт",L1101*Законод!$C$9/4*Законод!$G$16,0)))</f>
        <v>0</v>
      </c>
      <c r="AO1101" s="210">
        <f ca="1">IF(B1093="Лікар загальної практики - сімейний лікар",S1101*Законод!$C$9/4*Законод!$G$16,IF(B1093="Лікар-педіатр",S1101*Законод!$C$9/4*Законод!$G$16,IF(B1093="Лікар-терапевт",S1101*Законод!$C$9/4*Законод!$G$16,0)))</f>
        <v>0</v>
      </c>
      <c r="AP1101" s="210">
        <f ca="1">IF(B1093="Лікар загальної практики - сімейний лікар",Z1101*Законод!$C$9/4*Законод!$G$16,IF(B1093="Лікар-педіатр",Z1101*Законод!$C$9/4*Законод!$G$16,IF(B1093="Лікар-терапевт",Z1101*Законод!$C$9/4*Законод!$G$16,0)))</f>
        <v>0</v>
      </c>
      <c r="AQ1101" s="210">
        <f ca="1">IF(B1093="Лікар загальної практики - сімейний лікар",AG1101*Законод!$C$9/4*Законод!$G$16,IF(B1093="Лікар-педіатр",AG1101*Законод!$C$9/4*Законод!$G$16,IF(B1093="Лікар-терапевт",AG1101*Законод!$C$9/4*Законод!$G$16,0)))</f>
        <v>0</v>
      </c>
      <c r="AR1101" s="211">
        <f t="shared" si="111"/>
        <v>0</v>
      </c>
    </row>
    <row r="1102" spans="1:44" s="50" customFormat="1" ht="31.9" hidden="1" customHeight="1">
      <c r="A1102" s="197"/>
      <c r="B1102" s="893"/>
      <c r="C1102" s="896"/>
      <c r="D1102" s="912"/>
      <c r="E1102" s="909"/>
      <c r="F1102" s="238" t="str">
        <f ca="1">IF(B1093="Лікар-педіатр",Законод!$H$17,IF(B1093="Лікар загальної практики - сімейний лікар",Законод!$H$21,IF(B1093="Лікар-терапевт",Законод!$H$25,"х")))</f>
        <v>х</v>
      </c>
      <c r="G1102" s="889" t="s">
        <v>346</v>
      </c>
      <c r="H1102" s="890"/>
      <c r="I1102" s="890"/>
      <c r="J1102" s="890"/>
      <c r="K1102" s="891"/>
      <c r="L1102" s="196">
        <f ca="1">IF($B$1093="Лікар загальної практики - сімейний лікар",IF(L1097&lt;Законод!$C$22,0,(IF(AND(L1097&gt;=Законод!$H$22,L1097&lt;=Законод!$H$23),L1097-Законод!$G$23,IF('01_Доходи'!L1097&gt;=Законод!$I$22,Законод!$H$24,0)))),IF($B$1093="Лікар-педіатр",IF(L1097&lt;Законод!$C$18,0,(IF(AND(L1097&gt;=Законод!$H$18,L1097&lt;=Законод!$H$19),L1097-Законод!$G$19,IF('01_Доходи'!L1097&gt;=Законод!$I$18,Законод!$H$20,0)))),IF($B$1093="Лікар-терапевт",IF(L1097&lt;Законод!$C$26,0,(IF(AND(L1097&gt;=Законод!$H$26,L1097&lt;=Законод!$H$27),L1097-Законод!$G$27,IF(L1097&gt;=Законод!$I$26,Законод!$H$28,0)))),0)))</f>
        <v>0</v>
      </c>
      <c r="M1102" s="930"/>
      <c r="N1102" s="889" t="s">
        <v>346</v>
      </c>
      <c r="O1102" s="890"/>
      <c r="P1102" s="890"/>
      <c r="Q1102" s="890"/>
      <c r="R1102" s="891"/>
      <c r="S1102" s="196">
        <f ca="1">IF($B$1093="Лікар загальної практики - сімейний лікар",IF(S1097&lt;Законод!$C$22,0,(IF(AND(S1097&gt;=Законод!$H$22,S1097&lt;=Законод!$H$23),S1097-Законод!$G$23,IF('01_Доходи'!S1097&gt;=Законод!$I$22,Законод!$H$24,0)))),IF($B$1093="Лікар-педіатр",IF(S1097&lt;Законод!$C$18,0,(IF(AND(S1097&gt;=Законод!$H$18,S1097&lt;=Законод!$H$19),S1097-Законод!$G$19,IF('01_Доходи'!S1097&gt;=Законод!$I$18,Законод!$H$20,0)))),IF($B$1093="Лікар-терапевт",IF(S1097&lt;Законод!$C$26,0,(IF(AND(S1097&gt;=Законод!$H$26,S1097&lt;=Законод!$H$27),S1097-Законод!$G$27,IF(S1097&gt;=Законод!$I$26,Законод!$H$28,0)))),0)))</f>
        <v>0</v>
      </c>
      <c r="T1102" s="930"/>
      <c r="U1102" s="889" t="s">
        <v>346</v>
      </c>
      <c r="V1102" s="890"/>
      <c r="W1102" s="890"/>
      <c r="X1102" s="890"/>
      <c r="Y1102" s="891"/>
      <c r="Z1102" s="196">
        <f ca="1">IF($B$1093="Лікар загальної практики - сімейний лікар",IF(Z1097&lt;Законод!$C$22,0,(IF(AND(Z1097&gt;=Законод!$H$22,Z1097&lt;=Законод!$H$23),Z1097-Законод!$G$23,IF('01_Доходи'!Z1097&gt;=Законод!$I$22,Законод!$H$24,0)))),IF($B$1093="Лікар-педіатр",IF(Z1097&lt;Законод!$C$18,0,(IF(AND(Z1097&gt;=Законод!$H$18,Z1097&lt;=Законод!$H$19),Z1097-Законод!$G$19,IF('01_Доходи'!Z1097&gt;=Законод!$I$18,Законод!$H$20,0)))),IF($B$1093="Лікар-терапевт",IF(Z1097&lt;Законод!$C$26,0,(IF(AND(Z1097&gt;=Законод!$H$26,Z1097&lt;=Законод!$H$27),Z1097-Законод!$G$27,IF(Z1097&gt;=Законод!$I$26,Законод!$H$28,0)))),0)))</f>
        <v>0</v>
      </c>
      <c r="AA1102" s="930"/>
      <c r="AB1102" s="889" t="s">
        <v>346</v>
      </c>
      <c r="AC1102" s="890"/>
      <c r="AD1102" s="890"/>
      <c r="AE1102" s="890"/>
      <c r="AF1102" s="891"/>
      <c r="AG1102" s="196">
        <f ca="1">IF($B$1093="Лікар загальної практики - сімейний лікар",IF(AG1097&lt;Законод!$C$22,0,(IF(AND(AG1097&gt;=Законод!$H$22,AG1097&lt;=Законод!$H$23),AG1097-Законод!$G$23,IF('01_Доходи'!AG1097&gt;=Законод!$I$22,Законод!$H$24,0)))),IF($B$1093="Лікар-педіатр",IF(AG1097&lt;Законод!$C$18,0,(IF(AND(AG1097&gt;=Законод!$H$18,AG1097&lt;=Законод!$H$19),AG1097-Законод!$G$19,IF('01_Доходи'!AG1097&gt;=Законод!$I$18,Законод!$H$20,0)))),IF($B$1093="Лікар-терапевт",IF(AG1097&lt;Законод!$C$26,0,(IF(AND(AG1097&gt;=Законод!$H$26,AG1097&lt;=Законод!$H$27),AG1097-Законод!$G$27,IF(AG1097&gt;=Законод!$I$26,Законод!$H$28,0)))),0)))</f>
        <v>0</v>
      </c>
      <c r="AH1102" s="930"/>
      <c r="AI1102" s="201"/>
      <c r="AJ1102" s="933"/>
      <c r="AK1102" s="927"/>
      <c r="AL1102" s="927"/>
      <c r="AM1102" s="899"/>
      <c r="AN1102" s="210">
        <f ca="1">IF(B1093="Лікар загальної практики - сімейний лікар",L1102*Законод!$C$9/4*Законод!$H$16,IF(B1093="Лікар-педіатр",L1102*Законод!$C$9/4*Законод!$H$16,IF(B1093="Лікар-терапевт",L1102*Законод!$C$9/4*Законод!$H$16,0)))</f>
        <v>0</v>
      </c>
      <c r="AO1102" s="210">
        <f ca="1">IF(B1093="Лікар загальної практики - сімейний лікар",S1102*Законод!$C$9/4*Законод!$H$16,IF(B1093="Лікар-педіатр",S1102*Законод!$C$9/4*Законод!$H$16,IF(B1093="Лікар-терапевт",S1102*Законод!$C$9/4*Законод!$H$16,0)))</f>
        <v>0</v>
      </c>
      <c r="AP1102" s="210">
        <f ca="1">IF(B1093="Лікар загальної практики - сімейний лікар",Z1102*Законод!$C$9/4*Законод!$H$16,IF(B1093="Лікар-педіатр",Z1102*Законод!$C$9/4*Законод!$H$16,IF(B1093="Лікар-терапевт",Z1102*Законод!$C$9/4*Законод!$H$16,0)))</f>
        <v>0</v>
      </c>
      <c r="AQ1102" s="210">
        <f ca="1">IF(B1093="Лікар загальної практики - сімейний лікар",AG1102*Законод!$C$9/4*Законод!$H$16,IF(B1093="Лікар-педіатр",AG1102*Законод!$C$9/4*Законод!$H$16,IF(B1093="Лікар-терапевт",AG1102*Законод!$C$9/4*Законод!$H$16,0)))</f>
        <v>0</v>
      </c>
      <c r="AR1102" s="211">
        <f t="shared" si="111"/>
        <v>0</v>
      </c>
    </row>
    <row r="1103" spans="1:44" s="50" customFormat="1" ht="31.9" hidden="1" customHeight="1">
      <c r="A1103" s="197"/>
      <c r="B1103" s="893"/>
      <c r="C1103" s="896"/>
      <c r="D1103" s="912"/>
      <c r="E1103" s="909"/>
      <c r="F1103" s="238" t="str">
        <f ca="1">IF(B1093="Лікар-педіатр",Законод!$I$17,IF(B1093="Лікар загальної практики - сімейний лікар",Законод!$I$21,IF(B1093="Лікар-терапевт",Законод!$I$25,"х")))</f>
        <v>х</v>
      </c>
      <c r="G1103" s="889" t="s">
        <v>346</v>
      </c>
      <c r="H1103" s="890"/>
      <c r="I1103" s="890"/>
      <c r="J1103" s="890"/>
      <c r="K1103" s="891"/>
      <c r="L1103" s="196">
        <f ca="1">IF($B$1093="Лікар загальної практики - сімейний лікар",IF(L1097&lt;Законод!$C$22,0,(IF(AND(L1097&gt;=Законод!$I$22,L1097&lt;=Законод!$I$23),L1097-Законод!$H$23,IF('01_Доходи'!L1097&gt;=Законод!$I$22,Законод!$I$24,0)))),IF($B$1093="Лікар-педіатр",IF(L1097&lt;Законод!$C$18,0,(IF(AND(L1097&gt;=Законод!$I$18,L1097&lt;=Законод!$I$19),L1097-Законод!$H$19,IF('01_Доходи'!L1097&gt;=Законод!$I$18,Законод!$H$20,0)))),IF($B$1093="Лікар-терапевт",IF(L1097&lt;Законод!$C$26,0,(IF(AND(L1097&gt;=Законод!$I$26,L1097&lt;=Законод!$I$27),L1097-Законод!$H$27,IF('01_Доходи'!L1097&gt;=Законод!$I$26,Законод!$H$28,0)))),0)))</f>
        <v>0</v>
      </c>
      <c r="M1103" s="930"/>
      <c r="N1103" s="889" t="s">
        <v>346</v>
      </c>
      <c r="O1103" s="890"/>
      <c r="P1103" s="890"/>
      <c r="Q1103" s="890"/>
      <c r="R1103" s="891"/>
      <c r="S1103" s="196">
        <f ca="1">IF($B$1093="Лікар загальної практики - сімейний лікар",IF(S1097&lt;Законод!$C$22,0,(IF(AND(S1097&gt;=Законод!$I$22,S1097&lt;=Законод!$I$23),S1097-Законод!$H$23,IF('01_Доходи'!S1097&gt;=Законод!$I$22,Законод!$I$24,0)))),IF($B$1093="Лікар-педіатр",IF(S1097&lt;Законод!$C$18,0,(IF(AND(S1097&gt;=Законод!$I$18,S1097&lt;=Законод!$I$19),S1097-Законод!$H$19,IF('01_Доходи'!S1097&gt;=Законод!$I$18,Законод!$H$20,0)))),IF($B$1093="Лікар-терапевт",IF(S1097&lt;Законод!$C$26,0,(IF(AND(S1097&gt;=Законод!$I$26,S1097&lt;=Законод!$I$27),S1097-Законод!$H$27,IF('01_Доходи'!S1097&gt;=Законод!$I$26,Законод!$H$28,0)))),0)))</f>
        <v>0</v>
      </c>
      <c r="T1103" s="930"/>
      <c r="U1103" s="889" t="s">
        <v>346</v>
      </c>
      <c r="V1103" s="890"/>
      <c r="W1103" s="890"/>
      <c r="X1103" s="890"/>
      <c r="Y1103" s="891"/>
      <c r="Z1103" s="196">
        <f ca="1">IF($B$1093="Лікар загальної практики - сімейний лікар",IF(Z1097&lt;Законод!$C$22,0,(IF(AND(Z1097&gt;=Законод!$I$22,Z1097&lt;=Законод!$I$23),Z1097-Законод!$H$23,IF('01_Доходи'!Z1097&gt;=Законод!$I$22,Законод!$I$24,0)))),IF($B$1093="Лікар-педіатр",IF(Z1097&lt;Законод!$C$18,0,(IF(AND(Z1097&gt;=Законод!$I$18,Z1097&lt;=Законод!$I$19),Z1097-Законод!$H$19,IF('01_Доходи'!Z1097&gt;=Законод!$I$18,Законод!$H$20,0)))),IF($B$1093="Лікар-терапевт",IF(Z1097&lt;Законод!$C$26,0,(IF(AND(Z1097&gt;=Законод!$I$26,Z1097&lt;=Законод!$I$27),Z1097-Законод!$H$27,IF('01_Доходи'!Z1097&gt;=Законод!$I$26,Законод!$H$28,0)))),0)))</f>
        <v>0</v>
      </c>
      <c r="AA1103" s="930"/>
      <c r="AB1103" s="889" t="s">
        <v>346</v>
      </c>
      <c r="AC1103" s="890"/>
      <c r="AD1103" s="890"/>
      <c r="AE1103" s="890"/>
      <c r="AF1103" s="891"/>
      <c r="AG1103" s="196">
        <f ca="1">IF($B$1093="Лікар загальної практики - сімейний лікар",IF(AG1097&lt;Законод!$C$22,0,(IF(AND(AG1097&gt;=Законод!$I$22,AG1097&lt;=Законод!$I$23),AG1097-Законод!$H$23,IF('01_Доходи'!AG1097&gt;=Законод!$I$22,Законод!$I$24,0)))),IF($B$1093="Лікар-педіатр",IF(AG1097&lt;Законод!$C$18,0,(IF(AND(AG1097&gt;=Законод!$I$18,AG1097&lt;=Законод!$I$19),AG1097-Законод!$H$19,IF('01_Доходи'!AG1097&gt;=Законод!$I$18,Законод!$H$20,0)))),IF($B$1093="Лікар-терапевт",IF(AG1097&lt;Законод!$C$26,0,(IF(AND(AG1097&gt;=Законод!$I$26,AG1097&lt;=Законод!$I$27),AG1097-Законод!$H$27,IF('01_Доходи'!AG1097&gt;=Законод!$I$26,Законод!$H$28,0)))),0)))</f>
        <v>0</v>
      </c>
      <c r="AH1103" s="930"/>
      <c r="AI1103" s="201"/>
      <c r="AJ1103" s="933"/>
      <c r="AK1103" s="927"/>
      <c r="AL1103" s="927"/>
      <c r="AM1103" s="899"/>
      <c r="AN1103" s="210">
        <f ca="1">IF(B1093="Лікар загальної практики - сімейний лікар",L1103*Законод!$C$9/4*Законод!$I$16,IF(B1093="Лікар-педіатр",L1103*Законод!$C$9/4*Законод!$I$16,IF(B1093="Лікар-терапевт",L1103*Законод!$C$9/4*Законод!$I$16,0)))</f>
        <v>0</v>
      </c>
      <c r="AO1103" s="210">
        <f ca="1">IF(B1093="Лікар загальної практики - сімейний лікар",S1103*Законод!$C$9/4*Законод!$I$16,IF(B1093="Лікар-педіатр",S1103*Законод!$C$9/4*Законод!$I$16,IF(B1093="Лікар-терапевт",S1103*Законод!$C$9/4*Законод!$I$16,0)))</f>
        <v>0</v>
      </c>
      <c r="AP1103" s="210">
        <f ca="1">IF(B1093="Лікар загальної практики - сімейний лікар",Z1103*Законод!$C$9/4*Законод!$I$16,IF(B1093="Лікар-педіатр",Z1103*Законод!$C$9/4*Законод!$I$16,IF(B1093="Лікар-терапевт",Z1103*Законод!$C$9/4*Законод!$I$16,0)))</f>
        <v>0</v>
      </c>
      <c r="AQ1103" s="210">
        <f ca="1">IF(B1093="Лікар загальної практики - сімейний лікар",AG1103*Законод!$C$9/4*Законод!$I$16,IF(B1093="Лікар-педіатр",AG1103*Законод!$C$9/4*Законод!$I$16,IF(B1093="Лікар-терапевт",AG1103*Законод!$C$9/4*Законод!$I$16,0)))</f>
        <v>0</v>
      </c>
      <c r="AR1103" s="211">
        <f t="shared" si="111"/>
        <v>0</v>
      </c>
    </row>
    <row r="1104" spans="1:44" s="218" customFormat="1" ht="31.9" hidden="1" customHeight="1" thickBot="1">
      <c r="A1104" s="213"/>
      <c r="B1104" s="894"/>
      <c r="C1104" s="897"/>
      <c r="D1104" s="913"/>
      <c r="E1104" s="910"/>
      <c r="F1104" s="239" t="str">
        <f ca="1">IF(B1093="Лікар-педіатр",Законод!$J$17,IF(B1093="Лікар загальної практики - сімейний лікар",Законод!$J$21,IF(B1093="Лікар-терапевт",Законод!$J$25,"х")))</f>
        <v>х</v>
      </c>
      <c r="G1104" s="935" t="s">
        <v>346</v>
      </c>
      <c r="H1104" s="936"/>
      <c r="I1104" s="936"/>
      <c r="J1104" s="936"/>
      <c r="K1104" s="937"/>
      <c r="L1104" s="196">
        <f ca="1">IF($B$1093="Лікар загальної практики - сімейний лікар",IF(L1097&gt;=Законод!$J$22,'01_Доходи'!L1097-('01_Доходи'!L1098+'01_Доходи'!L1099+'01_Доходи'!L1100+'01_Доходи'!L1101+'01_Доходи'!L1102+'01_Доходи'!L1103),0),IF($B$1093="Лікар-педіатр",IF(L1097&gt;=Законод!$J$18,'01_Доходи'!L1097-('01_Доходи'!L1098+'01_Доходи'!L1099+'01_Доходи'!L1100+'01_Доходи'!L1101+'01_Доходи'!L1102+'01_Доходи'!L1103),0),IF($B$1093="Лікар-терапевт",IF('01_Доходи'!L1097&gt;=Законод!$J$26,L1097-Законод!$I$27,0),0)))</f>
        <v>0</v>
      </c>
      <c r="M1104" s="931"/>
      <c r="N1104" s="935" t="s">
        <v>346</v>
      </c>
      <c r="O1104" s="936"/>
      <c r="P1104" s="936"/>
      <c r="Q1104" s="936"/>
      <c r="R1104" s="937"/>
      <c r="S1104" s="196">
        <f ca="1">IF($B$1093="Лікар загальної практики - сімейний лікар",IF(S1097&gt;=Законод!$J$22,'01_Доходи'!S1097-('01_Доходи'!S1098+'01_Доходи'!S1099+'01_Доходи'!S1100+'01_Доходи'!S1101+'01_Доходи'!S1102+'01_Доходи'!S1103),0),IF($B$1093="Лікар-педіатр",IF(S1097&gt;=Законод!$J$18,'01_Доходи'!S1097-('01_Доходи'!S1098+'01_Доходи'!S1099+'01_Доходи'!S1100+'01_Доходи'!S1101+'01_Доходи'!S1102+'01_Доходи'!S1103),0),IF($B$1093="Лікар-терапевт",IF('01_Доходи'!S1097&gt;=Законод!$J$26,S1097-Законод!$I$27,0),0)))</f>
        <v>0</v>
      </c>
      <c r="T1104" s="931"/>
      <c r="U1104" s="935" t="s">
        <v>346</v>
      </c>
      <c r="V1104" s="936"/>
      <c r="W1104" s="936"/>
      <c r="X1104" s="936"/>
      <c r="Y1104" s="937"/>
      <c r="Z1104" s="196">
        <f ca="1">IF($B$1093="Лікар загальної практики - сімейний лікар",IF(Z1097&gt;=Законод!$J$22,'01_Доходи'!Z1097-('01_Доходи'!Z1098+'01_Доходи'!Z1099+'01_Доходи'!Z1100+'01_Доходи'!Z1101+'01_Доходи'!Z1102+'01_Доходи'!Z1103),0),IF($B$1093="Лікар-педіатр",IF(Z1097&gt;=Законод!$J$18,'01_Доходи'!Z1097-('01_Доходи'!Z1098+'01_Доходи'!Z1099+'01_Доходи'!Z1100+'01_Доходи'!Z1101+'01_Доходи'!Z1102+'01_Доходи'!Z1103),0),IF($B$1093="Лікар-терапевт",IF('01_Доходи'!Z1097&gt;=Законод!$J$26,Z1097-Законод!$I$27,0),0)))</f>
        <v>0</v>
      </c>
      <c r="AA1104" s="931"/>
      <c r="AB1104" s="935" t="s">
        <v>346</v>
      </c>
      <c r="AC1104" s="936"/>
      <c r="AD1104" s="936"/>
      <c r="AE1104" s="936"/>
      <c r="AF1104" s="937"/>
      <c r="AG1104" s="196">
        <f ca="1">IF($B$1093="Лікар загальної практики - сімейний лікар",IF(AG1097&gt;=Законод!$J$22,'01_Доходи'!AG1097-('01_Доходи'!AG1098+'01_Доходи'!AG1099+'01_Доходи'!AG1100+'01_Доходи'!AG1101+'01_Доходи'!AG1102+'01_Доходи'!AG1103),0),IF($B$1093="Лікар-педіатр",IF(AG1097&gt;=Законод!$J$18,'01_Доходи'!AG1097-('01_Доходи'!AG1098+'01_Доходи'!AG1099+'01_Доходи'!AG1100+'01_Доходи'!AG1101+'01_Доходи'!AG1102+'01_Доходи'!AG1103),0),IF($B$1093="Лікар-терапевт",IF('01_Доходи'!AG1097&gt;=Законод!$J$26,AG1097-Законод!$I$27,0),0)))</f>
        <v>0</v>
      </c>
      <c r="AH1104" s="931"/>
      <c r="AI1104" s="215"/>
      <c r="AJ1104" s="934"/>
      <c r="AK1104" s="928"/>
      <c r="AL1104" s="928"/>
      <c r="AM1104" s="900"/>
      <c r="AN1104" s="216">
        <f ca="1">IF(B1093="Лікар загальної практики - сімейний лікар",L1104*Законод!$C$9/4*Законод!$J$16,IF(B1093="Лікар-педіатр",L1104*Законод!$C$9/4*Законод!$J$16,IF(B1093="Лікар-терапевт",L1104*Законод!$C$9/4*Законод!$J$16,0)))</f>
        <v>0</v>
      </c>
      <c r="AO1104" s="216">
        <f ca="1">IF(B1093="Лікар загальної практики - сімейний лікар",S1104*Законод!$C$9/4*Законод!$J$16,IF(B1093="Лікар-педіатр",S1104*Законод!$C$9/4*Законод!$J$16,IF(B1093="Лікар-терапевт",S1104*Законод!$C$9/4*Законод!$J$16,0)))</f>
        <v>0</v>
      </c>
      <c r="AP1104" s="216">
        <f ca="1">IF(B1093="Лікар загальної практики - сімейний лікар",S1104*Законод!$C$9/4*Законод!$J$16,IF(B1093="Лікар-педіатр",S1104*Законод!$C$9/4*Законод!$J$16,IF(B1093="Лікар-терапевт",S1104*Законод!$C$9/4*Законод!$J$16,0)))</f>
        <v>0</v>
      </c>
      <c r="AQ1104" s="216">
        <f ca="1">IF(B1093="Лікар загальної практики - сімейний лікар",AG1104*Законод!$C$9/4*Законод!$J$16,IF(B1093="Лікар-педіатр",AG1104*Законод!$C$9/4*Законод!$J$16,IF(B1093="Лікар-терапевт",AG1104*Законод!$C$9/4*Законод!$J$16,0)))</f>
        <v>0</v>
      </c>
      <c r="AR1104" s="217">
        <f t="shared" si="111"/>
        <v>0</v>
      </c>
    </row>
    <row r="1105" spans="1:44" s="247" customFormat="1" ht="23.45" hidden="1" customHeight="1" thickBot="1">
      <c r="A1105" s="243"/>
      <c r="B1105" s="244"/>
      <c r="C1105" s="244"/>
      <c r="D1105" s="244"/>
      <c r="E1105" s="244"/>
      <c r="F1105" s="245"/>
      <c r="G1105" s="246"/>
      <c r="H1105" s="246"/>
      <c r="L1105" s="248"/>
      <c r="S1105" s="248"/>
      <c r="Z1105" s="248"/>
      <c r="AG1105" s="248"/>
      <c r="AM1105" s="249"/>
      <c r="AR1105" s="250"/>
    </row>
    <row r="1106" spans="1:44" s="191" customFormat="1" ht="24.6" hidden="1" customHeight="1">
      <c r="A1106" s="194">
        <f>A1093+1</f>
        <v>83</v>
      </c>
      <c r="B1106" s="892"/>
      <c r="C1106" s="895"/>
      <c r="D1106" s="911"/>
      <c r="E1106" s="908"/>
      <c r="F1106" s="234" t="s">
        <v>582</v>
      </c>
      <c r="G1106" s="196">
        <f>IF($B$1106="Лікар-педіатр",G1109*L1106,IF($B$1106="Лікар-терапевт","х",IF($B$1106="Лікар загальної практики - сімейний лікар",G1109*L1106,0)))</f>
        <v>0</v>
      </c>
      <c r="H1106" s="196">
        <f>IF($B$1106="Лікар-педіатр",H1109*L1106,IF($B$1106="Лікар-терапевт","х",IF($B$1106="Лікар загальної практики - сімейний лікар",H1109*L1106,0)))</f>
        <v>0</v>
      </c>
      <c r="I1106" s="196">
        <f>IF($B$1106="Лікар-педіатр","x",IF($B$1106="Лікар-терапевт",I1109*L1106,IF($B$1106="Лікар загальної практики - сімейний лікар",I1109*L1106,0)))</f>
        <v>0</v>
      </c>
      <c r="J1106" s="196">
        <f>IF($B$1106="Лікар-педіатр","x",IF($B$1106="Лікар-терапевт",J1109*L1106,IF($B$1106="Лікар загальної практики - сімейний лікар",J1109*L1106,0)))</f>
        <v>0</v>
      </c>
      <c r="K1106" s="196">
        <f>IF($B$1106="Лікар-педіатр","x",IF($B$1106="Лікар-терапевт",K1109*L1106,IF($B$1106="Лікар загальної практики - сімейний лікар",K1109*L1106,0)))</f>
        <v>0</v>
      </c>
      <c r="L1106" s="558"/>
      <c r="M1106" s="929"/>
      <c r="N1106" s="196">
        <f>IF($B$1106="Лікар-педіатр",N1109*S1106,IF($B$1106="Лікар-терапевт","х",IF($B$1106="Лікар загальної практики - сімейний лікар",N1109*S1106,0)))</f>
        <v>0</v>
      </c>
      <c r="O1106" s="196">
        <f>IF($B$1106="Лікар-педіатр",O1109*S1106,IF($B$1106="Лікар-терапевт","х",IF($B$1106="Лікар загальної практики - сімейний лікар",O1109*S1106,0)))</f>
        <v>0</v>
      </c>
      <c r="P1106" s="196">
        <f>IF($B$1106="Лікар-педіатр","x",IF($B$1106="Лікар-терапевт",P1109*S1106,IF($B$1106="Лікар загальної практики - сімейний лікар",P1109*S1106,0)))</f>
        <v>0</v>
      </c>
      <c r="Q1106" s="196">
        <f>IF($B$1106="Лікар-педіатр","x",IF($B$1106="Лікар-терапевт",Q1109*S1106,IF($B$1106="Лікар загальної практики - сімейний лікар",Q1109*S1106,0)))</f>
        <v>0</v>
      </c>
      <c r="R1106" s="196">
        <f>IF($B$1106="Лікар-педіатр","x",IF($B$1106="Лікар-терапевт",R1109*S1106,IF($B$1106="Лікар загальної практики - сімейний лікар",R1109*S1106,0)))</f>
        <v>0</v>
      </c>
      <c r="S1106" s="558"/>
      <c r="T1106" s="929"/>
      <c r="U1106" s="196">
        <f>IF($B$1106="Лікар-педіатр",U1109*Z1106,IF($B$1106="Лікар-терапевт","х",IF($B$1106="Лікар загальної практики - сімейний лікар",U1109*Z1106,0)))</f>
        <v>0</v>
      </c>
      <c r="V1106" s="196">
        <f>IF($B$1106="Лікар-педіатр",V1109*Z1106,IF($B$1106="Лікар-терапевт","х",IF($B$1106="Лікар загальної практики - сімейний лікар",V1109*Z1106,0)))</f>
        <v>0</v>
      </c>
      <c r="W1106" s="196">
        <f>IF($B$1106="Лікар-педіатр","x",IF($B$1106="Лікар-терапевт",W1109*Z1106,IF($B$1106="Лікар загальної практики - сімейний лікар",W1109*Z1106,0)))</f>
        <v>0</v>
      </c>
      <c r="X1106" s="196">
        <f>IF($B$1106="Лікар-педіатр","x",IF($B$1106="Лікар-терапевт",X1109*Z1106,IF($B$1106="Лікар загальної практики - сімейний лікар",X1109*Z1106,0)))</f>
        <v>0</v>
      </c>
      <c r="Y1106" s="196">
        <f>IF($B$1106="Лікар-педіатр","x",IF($B$1106="Лікар-терапевт",Y1109*Z1106,IF($B$1106="Лікар загальної практики - сімейний лікар",Y1109*Z1106,0)))</f>
        <v>0</v>
      </c>
      <c r="Z1106" s="558"/>
      <c r="AA1106" s="929"/>
      <c r="AB1106" s="196">
        <f>IF($B$1106="Лікар-педіатр",AB1109*AG1106,IF($B$1106="Лікар-терапевт","х",IF($B$1106="Лікар загальної практики - сімейний лікар",AB1109*AG1106,0)))</f>
        <v>0</v>
      </c>
      <c r="AC1106" s="196">
        <f>IF($B$1106="Лікар-педіатр",AC1109*AG1106,IF($B$1106="Лікар-терапевт","х",IF($B$1106="Лікар загальної практики - сімейний лікар",AC1109*AG1106,0)))</f>
        <v>0</v>
      </c>
      <c r="AD1106" s="196">
        <f>IF($B$1106="Лікар-педіатр","x",IF($B$1106="Лікар-терапевт",AD1109*AG1106,IF($B$1106="Лікар загальної практики - сімейний лікар",AD1109*AG1106,0)))</f>
        <v>0</v>
      </c>
      <c r="AE1106" s="196">
        <f>IF($B$1106="Лікар-педіатр","x",IF($B$1106="Лікар-терапевт",AE1109*AG1106,IF($B$1106="Лікар загальної практики - сімейний лікар",AE1109*AG1106,0)))</f>
        <v>0</v>
      </c>
      <c r="AF1106" s="196">
        <f>IF($B$1106="Лікар-педіатр","x",IF($B$1106="Лікар-терапевт",AF1109*AG1106,IF($B$1106="Лікар загальної практики - сімейний лікар",AF1109*AG1106,0)))</f>
        <v>0</v>
      </c>
      <c r="AG1106" s="558"/>
      <c r="AH1106" s="929"/>
      <c r="AI1106" s="541">
        <f>A1106</f>
        <v>83</v>
      </c>
      <c r="AJ1106" s="932">
        <f>B1106</f>
        <v>0</v>
      </c>
      <c r="AK1106" s="926">
        <f>C1106</f>
        <v>0</v>
      </c>
      <c r="AL1106" s="926">
        <f>D1106</f>
        <v>0</v>
      </c>
      <c r="AM1106" s="901" t="s">
        <v>785</v>
      </c>
      <c r="AN1106" s="923">
        <f>SUM(AN1111:AN1117)</f>
        <v>0</v>
      </c>
      <c r="AO1106" s="923">
        <f>SUM(AO1111:AO1117)</f>
        <v>0</v>
      </c>
      <c r="AP1106" s="923">
        <f>SUM(AP1111:AP1117)</f>
        <v>0</v>
      </c>
      <c r="AQ1106" s="923">
        <f>SUM(AQ1111:AQ1117)</f>
        <v>0</v>
      </c>
      <c r="AR1106" s="914">
        <f>SUM(AN1106:AQ1110)</f>
        <v>0</v>
      </c>
    </row>
    <row r="1107" spans="1:44" s="50" customFormat="1" ht="28.15" hidden="1" customHeight="1">
      <c r="A1107" s="197"/>
      <c r="B1107" s="893"/>
      <c r="C1107" s="896"/>
      <c r="D1107" s="912"/>
      <c r="E1107" s="909"/>
      <c r="F1107" s="234" t="s">
        <v>583</v>
      </c>
      <c r="G1107" s="196">
        <f>IF($B$1106="Лікар-педіатр",G1109*L1107,IF($B$1106="Лікар-терапевт","х",IF($B$1106="Лікар загальної практики - сімейний лікар",G1109*L1107,0)))</f>
        <v>0</v>
      </c>
      <c r="H1107" s="196">
        <f>IF($B$1106="Лікар-педіатр",H1109*L1107,IF($B$1106="Лікар-терапевт","х",IF($B$1106="Лікар загальної практики - сімейний лікар",H1109*L1107,0)))</f>
        <v>0</v>
      </c>
      <c r="I1107" s="196">
        <f>IF($B$1106="Лікар-педіатр","x",IF($B$1106="Лікар-терапевт",I1109*L1107,IF($B$1106="Лікар загальної практики - сімейний лікар",I1109*L1107,0)))</f>
        <v>0</v>
      </c>
      <c r="J1107" s="196">
        <f>IF($B$1106="Лікар-педіатр","x",IF($B$1106="Лікар-терапевт",J1109*L1107,IF($B$1106="Лікар загальної практики - сімейний лікар",J1109*L1107,0)))</f>
        <v>0</v>
      </c>
      <c r="K1107" s="196">
        <f>IF($B$1106="Лікар-педіатр","x",IF($B$1106="Лікар-терапевт",K1109*L1107,IF($B$1106="Лікар загальної практики - сімейний лікар",K1109*L1107,0)))</f>
        <v>0</v>
      </c>
      <c r="L1107" s="558"/>
      <c r="M1107" s="930"/>
      <c r="N1107" s="196">
        <f>IF($B$1106="Лікар-педіатр",N1109*S1107,IF($B$1106="Лікар-терапевт","х",IF($B$1106="Лікар загальної практики - сімейний лікар",N1109*S1107,0)))</f>
        <v>0</v>
      </c>
      <c r="O1107" s="196">
        <f>IF($B$1106="Лікар-педіатр",O1109*S1107,IF($B$1106="Лікар-терапевт","х",IF($B$1106="Лікар загальної практики - сімейний лікар",O1109*S1107,0)))</f>
        <v>0</v>
      </c>
      <c r="P1107" s="196">
        <f>IF($B$1106="Лікар-педіатр","x",IF($B$1106="Лікар-терапевт",P1109*S1107,IF($B$1106="Лікар загальної практики - сімейний лікар",P1109*S1107,0)))</f>
        <v>0</v>
      </c>
      <c r="Q1107" s="196">
        <f>IF($B$1106="Лікар-педіатр","x",IF($B$1106="Лікар-терапевт",Q1109*S1107,IF($B$1106="Лікар загальної практики - сімейний лікар",Q1109*S1107,0)))</f>
        <v>0</v>
      </c>
      <c r="R1107" s="196">
        <f>IF($B$1106="Лікар-педіатр","x",IF($B$1106="Лікар-терапевт",R1109*S1107,IF($B$1106="Лікар загальної практики - сімейний лікар",R1109*S1107,0)))</f>
        <v>0</v>
      </c>
      <c r="S1107" s="558"/>
      <c r="T1107" s="930"/>
      <c r="U1107" s="196">
        <f>IF($B$1106="Лікар-педіатр",U1109*Z1107,IF($B$1106="Лікар-терапевт","х",IF($B$1106="Лікар загальної практики - сімейний лікар",U1109*Z1107,0)))</f>
        <v>0</v>
      </c>
      <c r="V1107" s="196">
        <f>IF($B$1106="Лікар-педіатр",V1109*Z1107,IF($B$1106="Лікар-терапевт","х",IF($B$1106="Лікар загальної практики - сімейний лікар",V1109*Z1107,0)))</f>
        <v>0</v>
      </c>
      <c r="W1107" s="196">
        <f>IF($B$1106="Лікар-педіатр","x",IF($B$1106="Лікар-терапевт",W1109*Z1107,IF($B$1106="Лікар загальної практики - сімейний лікар",W1109*Z1107,0)))</f>
        <v>0</v>
      </c>
      <c r="X1107" s="196">
        <f>IF($B$1106="Лікар-педіатр","x",IF($B$1106="Лікар-терапевт",X1109*Z1107,IF($B$1106="Лікар загальної практики - сімейний лікар",X1109*Z1107,0)))</f>
        <v>0</v>
      </c>
      <c r="Y1107" s="196">
        <f>IF($B$1106="Лікар-педіатр","x",IF($B$1106="Лікар-терапевт",Y1109*Z1107,IF($B$1106="Лікар загальної практики - сімейний лікар",Y1109*Z1107,0)))</f>
        <v>0</v>
      </c>
      <c r="Z1107" s="558"/>
      <c r="AA1107" s="930"/>
      <c r="AB1107" s="196">
        <f>IF($B$1106="Лікар-педіатр",AB1109*AG1107,IF($B$1106="Лікар-терапевт","х",IF($B$1106="Лікар загальної практики - сімейний лікар",AB1109*AG1107,0)))</f>
        <v>0</v>
      </c>
      <c r="AC1107" s="196">
        <f>IF($B$1106="Лікар-педіатр",AC1109*AG1107,IF($B$1106="Лікар-терапевт","х",IF($B$1106="Лікар загальної практики - сімейний лікар",AC1109*AG1107,0)))</f>
        <v>0</v>
      </c>
      <c r="AD1107" s="196">
        <f>IF($B$1106="Лікар-педіатр","x",IF($B$1106="Лікар-терапевт",AD1109*AG1107,IF($B$1106="Лікар загальної практики - сімейний лікар",AD1109*AG1107,0)))</f>
        <v>0</v>
      </c>
      <c r="AE1107" s="196">
        <f>IF($B$1106="Лікар-педіатр","x",IF($B$1106="Лікар-терапевт",AE1109*AG1107,IF($B$1106="Лікар загальної практики - сімейний лікар",AE1109*AG1107,0)))</f>
        <v>0</v>
      </c>
      <c r="AF1107" s="196">
        <f>IF($B$1106="Лікар-педіатр","x",IF($B$1106="Лікар-терапевт",AF1109*AG1107,IF($B$1106="Лікар загальної практики - сімейний лікар",AF1109*AG1107,0)))</f>
        <v>0</v>
      </c>
      <c r="AG1107" s="558"/>
      <c r="AH1107" s="930"/>
      <c r="AI1107" s="198"/>
      <c r="AJ1107" s="933"/>
      <c r="AK1107" s="927"/>
      <c r="AL1107" s="927"/>
      <c r="AM1107" s="902"/>
      <c r="AN1107" s="924"/>
      <c r="AO1107" s="924"/>
      <c r="AP1107" s="924"/>
      <c r="AQ1107" s="924"/>
      <c r="AR1107" s="915"/>
    </row>
    <row r="1108" spans="1:44" s="90" customFormat="1" ht="31.15" hidden="1" customHeight="1">
      <c r="A1108" s="240"/>
      <c r="B1108" s="893"/>
      <c r="C1108" s="896"/>
      <c r="D1108" s="912"/>
      <c r="E1108" s="909"/>
      <c r="F1108" s="241" t="s">
        <v>584</v>
      </c>
      <c r="G1108" s="199">
        <f>IF(B1106="Лікар загальної практики - сімейний лікар"," ",IF(B1106="Лікар-педіатр"," ",IF(B1106="Лікар-терапевт","х",0)))</f>
        <v>0</v>
      </c>
      <c r="H1108" s="199">
        <f>IF(B1106="Лікар загальної практики - сімейний лікар"," ",IF(B1106="Лікар-педіатр"," ",IF(B1106="Лікар-терапевт","х",0)))</f>
        <v>0</v>
      </c>
      <c r="I1108" s="199">
        <f>IF(B1106="Лікар загальної практики - сімейний лікар"," ",IF(B1106="Лікар-педіатр","х",IF(B1106="Лікар-терапевт"," ",0)))</f>
        <v>0</v>
      </c>
      <c r="J1108" s="199">
        <f>IF(B1106="Лікар загальної практики - сімейний лікар"," ",IF(B1106="Лікар-педіатр","х",IF(B1106="Лікар-терапевт"," ",0)))</f>
        <v>0</v>
      </c>
      <c r="K1108" s="199">
        <f>IF(B1106="Лікар загальної практики - сімейний лікар"," ",IF(B1106="Лікар-педіатр","х",IF(B1106="Лікар-терапевт"," ",0)))</f>
        <v>0</v>
      </c>
      <c r="L1108" s="200">
        <f>SUM(G1108:K1108)</f>
        <v>0</v>
      </c>
      <c r="M1108" s="930"/>
      <c r="N1108" s="199">
        <f>IF(B1106="Лікар загальної практики - сімейний лікар"," ",IF(B1106="Лікар-педіатр"," ",IF(B1106="Лікар-терапевт","х",0)))</f>
        <v>0</v>
      </c>
      <c r="O1108" s="199">
        <f>IF(B1106="Лікар загальної практики - сімейний лікар"," ",IF(B1106="Лікар-педіатр"," ",IF(B1106="Лікар-терапевт","х",0)))</f>
        <v>0</v>
      </c>
      <c r="P1108" s="199">
        <f>IF(B1106="Лікар загальної практики - сімейний лікар"," ",IF(B1106="Лікар-педіатр","х",IF(B1106="Лікар-терапевт"," ",0)))</f>
        <v>0</v>
      </c>
      <c r="Q1108" s="199">
        <f>IF(B1106="Лікар загальної практики - сімейний лікар"," ",IF(B1106="Лікар-педіатр","х",IF(B1106="Лікар-терапевт"," ",0)))</f>
        <v>0</v>
      </c>
      <c r="R1108" s="199">
        <f>IF(B1106="Лікар загальної практики - сімейний лікар"," ",IF(B1106="Лікар-педіатр","х",IF(B1106="Лікар-терапевт"," ",0)))</f>
        <v>0</v>
      </c>
      <c r="S1108" s="200">
        <f>SUM(N1108:R1108)</f>
        <v>0</v>
      </c>
      <c r="T1108" s="930"/>
      <c r="U1108" s="199">
        <f>IF(B1106="Лікар загальної практики - сімейний лікар"," ",IF(B1106="Лікар-педіатр"," ",IF(B1106="Лікар-терапевт","х",0)))</f>
        <v>0</v>
      </c>
      <c r="V1108" s="199">
        <f>IF(B1106="Лікар загальної практики - сімейний лікар"," ",IF(B1106="Лікар-педіатр"," ",IF(B1106="Лікар-терапевт","х",0)))</f>
        <v>0</v>
      </c>
      <c r="W1108" s="199">
        <f>IF(B1106="Лікар загальної практики - сімейний лікар"," ",IF(B1106="Лікар-педіатр","х",IF(B1106="Лікар-терапевт"," ",0)))</f>
        <v>0</v>
      </c>
      <c r="X1108" s="199">
        <f>IF(B1106="Лікар загальної практики - сімейний лікар"," ",IF(B1106="Лікар-педіатр","х",IF(B1106="Лікар-терапевт"," ",0)))</f>
        <v>0</v>
      </c>
      <c r="Y1108" s="199">
        <f>IF(B1106="Лікар загальної практики - сімейний лікар"," ",IF(B1106="Лікар-педіатр","х",IF(B1106="Лікар-терапевт"," ",0)))</f>
        <v>0</v>
      </c>
      <c r="Z1108" s="200">
        <f>SUM(U1108:Y1108)</f>
        <v>0</v>
      </c>
      <c r="AA1108" s="930"/>
      <c r="AB1108" s="199">
        <f>IF(B1106="Лікар загальної практики - сімейний лікар"," ",IF(B1106="Лікар-педіатр"," ",IF(B1106="Лікар-терапевт","х",0)))</f>
        <v>0</v>
      </c>
      <c r="AC1108" s="199">
        <f>IF(B1106="Лікар загальної практики - сімейний лікар"," ",IF(B1106="Лікар-педіатр"," ",IF(B1106="Лікар-терапевт","х",0)))</f>
        <v>0</v>
      </c>
      <c r="AD1108" s="199">
        <f>IF(B1106="Лікар загальної практики - сімейний лікар"," ",IF(B1106="Лікар-педіатр","х",IF(B1106="Лікар-терапевт"," ",0)))</f>
        <v>0</v>
      </c>
      <c r="AE1108" s="199">
        <f>IF(B1106="Лікар загальної практики - сімейний лікар"," ",IF(B1106="Лікар-педіатр","х",IF(B1106="Лікар-терапевт"," ",0)))</f>
        <v>0</v>
      </c>
      <c r="AF1108" s="199">
        <f>IF(B1106="Лікар загальної практики - сімейний лікар"," ",IF(B1106="Лікар-педіатр","х",IF(B1106="Лікар-терапевт"," ",0)))</f>
        <v>0</v>
      </c>
      <c r="AG1108" s="200">
        <f>SUM(AB1108:AF1108)</f>
        <v>0</v>
      </c>
      <c r="AH1108" s="930"/>
      <c r="AI1108" s="242"/>
      <c r="AJ1108" s="933"/>
      <c r="AK1108" s="927"/>
      <c r="AL1108" s="927"/>
      <c r="AM1108" s="902"/>
      <c r="AN1108" s="924"/>
      <c r="AO1108" s="924"/>
      <c r="AP1108" s="924"/>
      <c r="AQ1108" s="924"/>
      <c r="AR1108" s="915"/>
    </row>
    <row r="1109" spans="1:44" s="50" customFormat="1" ht="31.9" hidden="1" customHeight="1" thickBot="1">
      <c r="A1109" s="197"/>
      <c r="B1109" s="893"/>
      <c r="C1109" s="896"/>
      <c r="D1109" s="912"/>
      <c r="E1109" s="909"/>
      <c r="F1109" s="236" t="s">
        <v>349</v>
      </c>
      <c r="G1109" s="203">
        <f>IF($B$1106="Лікар-педіатр",G1108/L1108,IF($B$1106="Лікар-терапевт","х",IF($B$1106="Лікар загальної практики - сімейний лікар",G1108/L1108,0)))</f>
        <v>0</v>
      </c>
      <c r="H1109" s="203">
        <f>IF($B$1106="Лікар-педіатр",H1108/L1108,IF($B$1106="Лікар-терапевт","х",IF($B$1106="Лікар загальної практики - сімейний лікар",H1108/L1108,0)))</f>
        <v>0</v>
      </c>
      <c r="I1109" s="203">
        <f>IF($B$1106="Лікар-педіатр","x",IF($B$1106="Лікар-терапевт",I1108/L1108,IF($B$1106="Лікар загальної практики - сімейний лікар",I1108/L1108,0)))</f>
        <v>0</v>
      </c>
      <c r="J1109" s="203">
        <f>IF($B$1106="Лікар-педіатр","x",IF($B$1106="Лікар-терапевт",J1108/L1108,IF($B$1106="Лікар загальної практики - сімейний лікар",J1108/L1108,0)))</f>
        <v>0</v>
      </c>
      <c r="K1109" s="203">
        <f>IF($B$1106="Лікар-педіатр","x",IF($B$1106="Лікар-терапевт",K1108/L1108,IF($B$1106="Лікар загальної практики - сімейний лікар",K1108/L1108,0)))</f>
        <v>0</v>
      </c>
      <c r="L1109" s="203">
        <f>SUM(G1109:K1109)</f>
        <v>0</v>
      </c>
      <c r="M1109" s="930"/>
      <c r="N1109" s="203">
        <f>IF($B$1106="Лікар-педіатр",N1108/S1108,IF($B$1106="Лікар-терапевт","х",IF($B$1106="Лікар загальної практики - сімейний лікар",N1108/S1108,0)))</f>
        <v>0</v>
      </c>
      <c r="O1109" s="203">
        <f>IF($B$1106="Лікар-педіатр",O1108/S1108,IF($B$1106="Лікар-терапевт","х",IF($B$1106="Лікар загальної практики - сімейний лікар",O1108/S1108,0)))</f>
        <v>0</v>
      </c>
      <c r="P1109" s="203">
        <f>IF($B$1106="Лікар-педіатр","x",IF($B$1106="Лікар-терапевт",P1108/S1108,IF($B$1106="Лікар загальної практики - сімейний лікар",P1108/S1108,0)))</f>
        <v>0</v>
      </c>
      <c r="Q1109" s="203">
        <f>IF($B$1106="Лікар-педіатр","x",IF($B$1106="Лікар-терапевт",Q1108/S1108,IF($B$1106="Лікар загальної практики - сімейний лікар",Q1108/S1108,0)))</f>
        <v>0</v>
      </c>
      <c r="R1109" s="203">
        <f>IF($B$1106="Лікар-педіатр","x",IF($B$1106="Лікар-терапевт",R1108/S1108,IF($B$1106="Лікар загальної практики - сімейний лікар",R1108/S1108,0)))</f>
        <v>0</v>
      </c>
      <c r="S1109" s="203">
        <f>SUM(N1109:R1109)</f>
        <v>0</v>
      </c>
      <c r="T1109" s="930"/>
      <c r="U1109" s="203">
        <f>IF($B$1106="Лікар-педіатр",U1108/Z1108,IF($B$1106="Лікар-терапевт","х",IF($B$1106="Лікар загальної практики - сімейний лікар",U1108/Z1108,0)))</f>
        <v>0</v>
      </c>
      <c r="V1109" s="203">
        <f>IF($B$1106="Лікар-педіатр",V1108/Z1108,IF($B$1106="Лікар-терапевт","х",IF($B$1106="Лікар загальної практики - сімейний лікар",V1108/Z1108,0)))</f>
        <v>0</v>
      </c>
      <c r="W1109" s="203">
        <f>IF($B$1106="Лікар-педіатр","x",IF($B$1106="Лікар-терапевт",W1108/Z1108,IF($B$1106="Лікар загальної практики - сімейний лікар",W1108/Z1108,0)))</f>
        <v>0</v>
      </c>
      <c r="X1109" s="203">
        <f>IF($B$1106="Лікар-педіатр","x",IF($B$1106="Лікар-терапевт",X1108/Z1108,IF($B$1106="Лікар загальної практики - сімейний лікар",X1108/Z1108,0)))</f>
        <v>0</v>
      </c>
      <c r="Y1109" s="203">
        <f>IF($B$1106="Лікар-педіатр","x",IF($B$1106="Лікар-терапевт",Y1108/Z1108,IF($B$1106="Лікар загальної практики - сімейний лікар",Y1108/Z1108,0)))</f>
        <v>0</v>
      </c>
      <c r="Z1109" s="203">
        <f>SUM(U1109:Y1109)</f>
        <v>0</v>
      </c>
      <c r="AA1109" s="930"/>
      <c r="AB1109" s="203">
        <f>IF($B$1106="Лікар-педіатр",AB1108/AG1108,IF($B$1106="Лікар-терапевт","х",IF($B$1106="Лікар загальної практики - сімейний лікар",AB1108/AG1108,0)))</f>
        <v>0</v>
      </c>
      <c r="AC1109" s="203">
        <f>IF($B$1106="Лікар-педіатр",AC1108/AG1108,IF($B$1106="Лікар-терапевт","х",IF($B$1106="Лікар загальної практики - сімейний лікар",AC1108/AG1108,0)))</f>
        <v>0</v>
      </c>
      <c r="AD1109" s="203">
        <f>IF($B$1106="Лікар-педіатр","x",IF($B$1106="Лікар-терапевт",AD1108/AG1108,IF($B$1106="Лікар загальної практики - сімейний лікар",AD1108/AG1108,0)))</f>
        <v>0</v>
      </c>
      <c r="AE1109" s="203">
        <f>IF($B$1106="Лікар-педіатр","x",IF($B$1106="Лікар-терапевт",AE1108/AG1108,IF($B$1106="Лікар загальної практики - сімейний лікар",AE1108/AG1108,0)))</f>
        <v>0</v>
      </c>
      <c r="AF1109" s="203">
        <f>IF($B$1106="Лікар-педіатр","x",IF($B$1106="Лікар-терапевт",AF1108/AG1108,IF($B$1106="Лікар загальної практики - сімейний лікар",AF1108/AG1108,0)))</f>
        <v>0</v>
      </c>
      <c r="AG1109" s="203">
        <f>SUM(AB1109:AF1109)</f>
        <v>0</v>
      </c>
      <c r="AH1109" s="930"/>
      <c r="AI1109" s="201"/>
      <c r="AJ1109" s="933"/>
      <c r="AK1109" s="927"/>
      <c r="AL1109" s="927"/>
      <c r="AM1109" s="902"/>
      <c r="AN1109" s="924"/>
      <c r="AO1109" s="924"/>
      <c r="AP1109" s="924"/>
      <c r="AQ1109" s="924"/>
      <c r="AR1109" s="915"/>
    </row>
    <row r="1110" spans="1:44" s="50" customFormat="1" ht="45" hidden="1" customHeight="1" thickBot="1">
      <c r="A1110" s="197"/>
      <c r="B1110" s="893"/>
      <c r="C1110" s="896"/>
      <c r="D1110" s="912"/>
      <c r="E1110" s="909"/>
      <c r="F1110" s="204" t="s">
        <v>585</v>
      </c>
      <c r="G1110" s="205">
        <f>IF($B$1106="Лікар загальної практики - сімейний лікар",AVERAGE(G1106:G1108),IF($B$1106="Лікар-педіатр",AVERAGE(G1106:G1108),IF($B$1106="Лікар-терапевт","х",0)))</f>
        <v>0</v>
      </c>
      <c r="H1110" s="205">
        <f>IF($B$1106="Лікар загальної практики - сімейний лікар",AVERAGE(H1106:H1108),IF($B$1106="Лікар-педіатр",AVERAGE(H1106:H1108),IF($B$1106="Лікар-терапевт","х",0)))</f>
        <v>0</v>
      </c>
      <c r="I1110" s="205">
        <f>IF($B$1106="Лікар загальної практики - сімейний лікар",AVERAGE(I1106:I1108),IF($B$1106="Лікар-педіатр","x",IF($B$1106="Лікар-терапевт",AVERAGE(I1106:I1108),0)))</f>
        <v>0</v>
      </c>
      <c r="J1110" s="205">
        <f>IF($B$1106="Лікар загальної практики - сімейний лікар",AVERAGE(J1106:J1108),IF($B$1106="Лікар-педіатр","x",IF($B$1106="Лікар-терапевт",AVERAGE(J1106:J1108),0)))</f>
        <v>0</v>
      </c>
      <c r="K1110" s="205">
        <f>IF($B$1106="Лікар загальної практики - сімейний лікар",AVERAGE(K1106:K1108),IF($B$1106="Лікар-педіатр","x",IF($B$1106="Лікар-терапевт",AVERAGE(K1106:K1108),0)))</f>
        <v>0</v>
      </c>
      <c r="L1110" s="206">
        <f>SUM(G1110:K1110)</f>
        <v>0</v>
      </c>
      <c r="M1110" s="930"/>
      <c r="N1110" s="205">
        <f>IF($B$1106="Лікар загальної практики - сімейний лікар",AVERAGE(N1106:N1108),IF($B$1106="Лікар-педіатр",AVERAGE(N1106:N1108),IF($B$1106="Лікар-терапевт","х",0)))</f>
        <v>0</v>
      </c>
      <c r="O1110" s="205">
        <f>IF($B$1106="Лікар загальної практики - сімейний лікар",AVERAGE(O1106:O1108),IF($B$1106="Лікар-педіатр",AVERAGE(O1106:O1108),IF($B$1106="Лікар-терапевт","х",0)))</f>
        <v>0</v>
      </c>
      <c r="P1110" s="205">
        <f>IF($B$1106="Лікар загальної практики - сімейний лікар",AVERAGE(P1106:P1108),IF($B$1106="Лікар-педіатр","x",IF($B$1106="Лікар-терапевт",AVERAGE(P1106:P1108),0)))</f>
        <v>0</v>
      </c>
      <c r="Q1110" s="205">
        <f>IF($B$1106="Лікар загальної практики - сімейний лікар",AVERAGE(Q1106:Q1108),IF($B$1106="Лікар-педіатр","x",IF($B$1106="Лікар-терапевт",AVERAGE(Q1106:Q1108),0)))</f>
        <v>0</v>
      </c>
      <c r="R1110" s="205">
        <f>IF($B$1106="Лікар загальної практики - сімейний лікар",AVERAGE(R1106:R1108),IF($B$1106="Лікар-педіатр","x",IF($B$1106="Лікар-терапевт",AVERAGE(R1106:R1108),0)))</f>
        <v>0</v>
      </c>
      <c r="S1110" s="206">
        <f>SUM(N1110:R1110)</f>
        <v>0</v>
      </c>
      <c r="T1110" s="930"/>
      <c r="U1110" s="205">
        <f>IF($B$1106="Лікар загальної практики - сімейний лікар",AVERAGE(U1106:U1108),IF($B$1106="Лікар-педіатр",AVERAGE(U1106:U1108),IF($B$1106="Лікар-терапевт","х",0)))</f>
        <v>0</v>
      </c>
      <c r="V1110" s="205">
        <f>IF($B$1106="Лікар загальної практики - сімейний лікар",AVERAGE(V1106:V1108),IF($B$1106="Лікар-педіатр",AVERAGE(V1106:V1108),IF($B$1106="Лікар-терапевт","х",0)))</f>
        <v>0</v>
      </c>
      <c r="W1110" s="205">
        <f>IF($B$1106="Лікар загальної практики - сімейний лікар",AVERAGE(W1106:W1108),IF($B$1106="Лікар-педіатр","x",IF($B$1106="Лікар-терапевт",AVERAGE(W1106:W1108),0)))</f>
        <v>0</v>
      </c>
      <c r="X1110" s="205">
        <f>IF($B$1106="Лікар загальної практики - сімейний лікар",AVERAGE(X1106:X1108),IF($B$1106="Лікар-педіатр","x",IF($B$1106="Лікар-терапевт",AVERAGE(X1106:X1108),0)))</f>
        <v>0</v>
      </c>
      <c r="Y1110" s="205">
        <f>IF($B$1106="Лікар загальної практики - сімейний лікар",AVERAGE(Y1106:Y1108),IF($B$1106="Лікар-педіатр","x",IF($B$1106="Лікар-терапевт",AVERAGE(Y1106:Y1108),0)))</f>
        <v>0</v>
      </c>
      <c r="Z1110" s="206">
        <f>SUM(U1110:Y1110)</f>
        <v>0</v>
      </c>
      <c r="AA1110" s="930"/>
      <c r="AB1110" s="205">
        <f>IF($B$1106="Лікар загальної практики - сімейний лікар",AVERAGE(AB1106:AB1108),IF($B$1106="Лікар-педіатр",AVERAGE(AB1106:AB1108),IF($B$1106="Лікар-терапевт","х",0)))</f>
        <v>0</v>
      </c>
      <c r="AC1110" s="205">
        <f>IF($B$1106="Лікар загальної практики - сімейний лікар",AVERAGE(AC1106:AC1108),IF($B$1106="Лікар-педіатр",AVERAGE(AC1106:AC1108),IF($B$1106="Лікар-терапевт","х",0)))</f>
        <v>0</v>
      </c>
      <c r="AD1110" s="205">
        <f>IF($B$1106="Лікар загальної практики - сімейний лікар",AVERAGE(AD1106:AD1108),IF($B$1106="Лікар-педіатр","x",IF($B$1106="Лікар-терапевт",AVERAGE(AD1106:AD1108),0)))</f>
        <v>0</v>
      </c>
      <c r="AE1110" s="205">
        <f>IF($B$1106="Лікар загальної практики - сімейний лікар",AVERAGE(AE1106:AE1108),IF($B$1106="Лікар-педіатр","x",IF($B$1106="Лікар-терапевт",AVERAGE(AE1106:AE1108),0)))</f>
        <v>0</v>
      </c>
      <c r="AF1110" s="205">
        <f>IF($B$1106="Лікар загальної практики - сімейний лікар",AVERAGE(AF1106:AF1108),IF($B$1106="Лікар-педіатр","x",IF($B$1106="Лікар-терапевт",AVERAGE(AF1106:AF1108),0)))</f>
        <v>0</v>
      </c>
      <c r="AG1110" s="206">
        <f>SUM(AB1110:AF1110)</f>
        <v>0</v>
      </c>
      <c r="AH1110" s="930"/>
      <c r="AI1110" s="201"/>
      <c r="AJ1110" s="933"/>
      <c r="AK1110" s="927"/>
      <c r="AL1110" s="927"/>
      <c r="AM1110" s="903"/>
      <c r="AN1110" s="925"/>
      <c r="AO1110" s="925"/>
      <c r="AP1110" s="925"/>
      <c r="AQ1110" s="925"/>
      <c r="AR1110" s="916"/>
    </row>
    <row r="1111" spans="1:44" s="50" customFormat="1" ht="40.5" hidden="1">
      <c r="A1111" s="197"/>
      <c r="B1111" s="893"/>
      <c r="C1111" s="896"/>
      <c r="D1111" s="912"/>
      <c r="E1111" s="909"/>
      <c r="F1111" s="237" t="str">
        <f ca="1">IF(B1106="Лікар-педіатр",Законод!$C$17,IF(B1106="Лікар загальної практики - сімейний лікар",Законод!$C$21,IF(B1106="Лікар-терапевт",Законод!$C$25,"х")))</f>
        <v>х</v>
      </c>
      <c r="G1111" s="208">
        <f ca="1">IF($B$1106="Лікар загальної практики - сімейний лікар",IF(L1110&lt;=Законод!$C$22,G1110,Законод!$C$22*'01_Доходи'!G1109),IF($B$1106="Лікар-педіатр",IF(L1110&lt;=Законод!$C$18,G1110,Законод!$C$18*'01_Доходи'!G1109),IF($B$1106="Лікар-терапевт","x",0)))</f>
        <v>0</v>
      </c>
      <c r="H1111" s="208">
        <f ca="1">IF($B$1106="Лікар загальної практики - сімейний лікар",IF(L1110&lt;=Законод!$C$22,H1110,Законод!$C$22*'01_Доходи'!H1109),IF($B$1106="Лікар-педіатр",IF(L1110&lt;=Законод!$C$18,H1110,Законод!$C$18*'01_Доходи'!H1109),IF($B$1106="Лікар-терапевт","x",0)))</f>
        <v>0</v>
      </c>
      <c r="I1111" s="208">
        <f ca="1">IF($B$1106="Лікар загальної практики - сімейний лікар",IF(L1110&lt;=Законод!$C$22,I1110,Законод!$C$22*'01_Доходи'!I1109),IF($B$1106="Лікар-педіатр","x",IF($B$1106="Лікар-терапевт",IF(L1110&lt;=Законод!$C$26,I1110,Законод!$C$26*'01_Доходи'!I1109),0)))</f>
        <v>0</v>
      </c>
      <c r="J1111" s="208">
        <f ca="1">IF($B$1106="Лікар загальної практики - сімейний лікар",IF(L1110&lt;=Законод!$C$22,J1110,Законод!$C$22*'01_Доходи'!J1109),IF($B$1106="Лікар-педіатр","x",IF($B$1106="Лікар-терапевт",IF(L1110&lt;=Законод!$C$26,J1110,Законод!$C$26*'01_Доходи'!J1109),0)))</f>
        <v>0</v>
      </c>
      <c r="K1111" s="208">
        <f ca="1">IF($B$1106="Лікар загальної практики - сімейний лікар",IF(L1110&lt;=Законод!$C$22,K1110,Законод!$C$22*'01_Доходи'!K1109),IF($B$1106="Лікар-педіатр","x",IF($B$1106="Лікар-терапевт",IF(L1110&lt;=Законод!$C$26,K1110,Законод!$C$26*'01_Доходи'!K1109),0)))</f>
        <v>0</v>
      </c>
      <c r="L1111" s="209">
        <f ca="1">SUM(G1111:K1111)</f>
        <v>0</v>
      </c>
      <c r="M1111" s="930"/>
      <c r="N1111" s="208">
        <f ca="1">IF($B$1106="Лікар загальної практики - сімейний лікар",IF(S1110&lt;=Законод!$C$22,N1110,Законод!$C$22*'01_Доходи'!N1109),IF($B$1106="Лікар-педіатр",IF(S1110&lt;=Законод!$C$18,N1110,Законод!$C$18*'01_Доходи'!N1109),IF($B$1106="Лікар-терапевт","x",0)))</f>
        <v>0</v>
      </c>
      <c r="O1111" s="208">
        <f ca="1">IF($B$1106="Лікар загальної практики - сімейний лікар",IF(S1110&lt;=Законод!$C$22,O1110,Законод!$C$22*'01_Доходи'!O1109),IF($B$1106="Лікар-педіатр",IF(S1110&lt;=Законод!$C$18,O1110,Законод!$C$18*'01_Доходи'!O1109),IF($B$1106="Лікар-терапевт","x",0)))</f>
        <v>0</v>
      </c>
      <c r="P1111" s="208">
        <f ca="1">IF($B$1106="Лікар загальної практики - сімейний лікар",IF(S1110&lt;=Законод!$C$22,P1110,Законод!$C$22*'01_Доходи'!P1109),IF($B$1106="Лікар-педіатр","x",IF($B$1106="Лікар-терапевт",IF(S1110&lt;=Законод!$C$26,P1110,Законод!$C$26*'01_Доходи'!P1109),0)))</f>
        <v>0</v>
      </c>
      <c r="Q1111" s="208">
        <f ca="1">IF($B$1106="Лікар загальної практики - сімейний лікар",IF(S1110&lt;=Законод!$C$22,Q1110,Законод!$C$22*'01_Доходи'!Q1109),IF($B$1106="Лікар-педіатр","x",IF($B$1106="Лікар-терапевт",IF(S1110&lt;=Законод!$C$26,Q1110,Законод!$C$26*'01_Доходи'!Q1109),0)))</f>
        <v>0</v>
      </c>
      <c r="R1111" s="208">
        <f ca="1">IF($B$1106="Лікар загальної практики - сімейний лікар",IF(S1110&lt;=Законод!$C$22,R1110,Законод!$C$22*'01_Доходи'!R1109),IF($B$1106="Лікар-педіатр","x",IF($B$1106="Лікар-терапевт",IF(S1110&lt;=Законод!$C$26,R1110,Законод!$C$26*'01_Доходи'!R1109),0)))</f>
        <v>0</v>
      </c>
      <c r="S1111" s="209">
        <f ca="1">SUM(N1111:R1111)</f>
        <v>0</v>
      </c>
      <c r="T1111" s="930"/>
      <c r="U1111" s="208">
        <f ca="1">IF($B$1106="Лікар загальної практики - сімейний лікар",IF(Z1110&lt;=Законод!$C$22,U1110,Законод!$C$22*'01_Доходи'!U1109),IF($B$1106="Лікар-педіатр",IF(Z1110&lt;=Законод!$C$18,U1110,Законод!$C$18*'01_Доходи'!U1109),IF($B$1106="Лікар-терапевт","x",0)))</f>
        <v>0</v>
      </c>
      <c r="V1111" s="208">
        <f ca="1">IF($B$1106="Лікар загальної практики - сімейний лікар",IF(Z1110&lt;=Законод!$C$22,V1110,Законод!$C$22*'01_Доходи'!V1109),IF($B$1106="Лікар-педіатр",IF(Z1110&lt;=Законод!$C$18,V1110,Законод!$C$18*'01_Доходи'!V1109),IF($B$1106="Лікар-терапевт","x",0)))</f>
        <v>0</v>
      </c>
      <c r="W1111" s="208">
        <f ca="1">IF($B$1106="Лікар загальної практики - сімейний лікар",IF(Z1110&lt;=Законод!$C$22,W1110,Законод!$C$22*'01_Доходи'!W1109),IF($B$1106="Лікар-педіатр","x",IF($B$1106="Лікар-терапевт",IF(Z1110&lt;=Законод!$C$26,W1110,Законод!$C$26*'01_Доходи'!W1109),0)))</f>
        <v>0</v>
      </c>
      <c r="X1111" s="208">
        <f ca="1">IF($B$1106="Лікар загальної практики - сімейний лікар",IF(Z1110&lt;=Законод!$C$22,X1110,Законод!$C$22*'01_Доходи'!X1109),IF($B$1106="Лікар-педіатр","x",IF($B$1106="Лікар-терапевт",IF(Z1110&lt;=Законод!$C$26,X1110,Законод!$C$26*'01_Доходи'!X1109),0)))</f>
        <v>0</v>
      </c>
      <c r="Y1111" s="208">
        <f ca="1">IF($B$1106="Лікар загальної практики - сімейний лікар",IF(Z1110&lt;=Законод!$C$22,Y1110,Законод!$C$22*'01_Доходи'!Y1109),IF($B$1106="Лікар-педіатр","x",IF($B$1106="Лікар-терапевт",IF(Z1110&lt;=Законод!$C$26,Y1110,Законод!$C$26*'01_Доходи'!Y1109),0)))</f>
        <v>0</v>
      </c>
      <c r="Z1111" s="209">
        <f ca="1">SUM(U1111:Y1111)</f>
        <v>0</v>
      </c>
      <c r="AA1111" s="930"/>
      <c r="AB1111" s="208">
        <f ca="1">IF($B$1106="Лікар загальної практики - сімейний лікар",IF(AG1110&lt;=Законод!$C$22,AB1110,Законод!$C$22*'01_Доходи'!AB1109),IF($B$1106="Лікар-педіатр",IF(AG1110&lt;=Законод!$C$18,AB1110,Законод!$C$18*'01_Доходи'!AB1109),IF($B$1106="Лікар-терапевт","x",0)))</f>
        <v>0</v>
      </c>
      <c r="AC1111" s="208">
        <f ca="1">IF($B$1106="Лікар загальної практики - сімейний лікар",IF(AG1110&lt;=Законод!$C$22,AC1110,Законод!$C$22*'01_Доходи'!AC1109),IF($B$1106="Лікар-педіатр",IF(AG1110&lt;=Законод!$C$18,AC1110,Законод!$C$18*'01_Доходи'!AC1109),IF($B$1106="Лікар-терапевт","x",0)))</f>
        <v>0</v>
      </c>
      <c r="AD1111" s="208">
        <f ca="1">IF($B$1106="Лікар загальної практики - сімейний лікар",IF(AG1110&lt;=Законод!$C$22,AD1110,Законод!$C$22*'01_Доходи'!AD1109),IF($B$1106="Лікар-педіатр","x",IF($B$1106="Лікар-терапевт",IF(AG1110&lt;=Законод!$C$26,AD1110,Законод!$C$26*'01_Доходи'!AD1109),0)))</f>
        <v>0</v>
      </c>
      <c r="AE1111" s="208">
        <f ca="1">IF($B$1106="Лікар загальної практики - сімейний лікар",IF(AG1110&lt;=Законод!$C$22,AE1110,Законод!$C$22*'01_Доходи'!AE1109),IF($B$1106="Лікар-педіатр","x",IF($B$1106="Лікар-терапевт",IF(AG1110&lt;=Законод!$C$26,AE1110,Законод!$C$26*'01_Доходи'!AE1109),0)))</f>
        <v>0</v>
      </c>
      <c r="AF1111" s="208">
        <f ca="1">IF($B$1106="Лікар загальної практики - сімейний лікар",IF(AG1110&lt;=Законод!$C$22,AF1110,Законод!$C$22*'01_Доходи'!AF1109),IF($B$1106="Лікар-педіатр","x",IF($B$1106="Лікар-терапевт",IF(AG1110&lt;=Законод!$C$26,AF1110,Законод!$C$26*'01_Доходи'!AF1109),0)))</f>
        <v>0</v>
      </c>
      <c r="AG1111" s="209">
        <f ca="1">SUM(AB1111:AF1111)</f>
        <v>0</v>
      </c>
      <c r="AH1111" s="930"/>
      <c r="AI1111" s="201"/>
      <c r="AJ1111" s="933"/>
      <c r="AK1111" s="927"/>
      <c r="AL1111" s="927"/>
      <c r="AM1111" s="348" t="s">
        <v>374</v>
      </c>
      <c r="AN1111" s="210">
        <f ca="1">IF(B1106="Лікар загальної практики - сімейний лікар",G1111*Законод!$C$11+'01_Доходи'!H1111*Законод!$D$11+'01_Доходи'!I1111*Законод!$E$11+'01_Доходи'!J1111*Законод!$F$11+'01_Доходи'!K1111*Законод!$G$11,IF(B1106="Лікар-педіатр",G1111*Законод!$C$11+'01_Доходи'!H1111*Законод!$D$11,IF(B1106="Лікар-терапевт",'01_Доходи'!I1111*Законод!$E$11+'01_Доходи'!J1111*Законод!$F$11+'01_Доходи'!K1111*Законод!$G$11,0)))</f>
        <v>0</v>
      </c>
      <c r="AO1111" s="210">
        <f ca="1">IF(B1106="Лікар загальної практики - сімейний лікар",N1111*Законод!$C$11+'01_Доходи'!O1111*Законод!$D$11+'01_Доходи'!P1111*Законод!$E$11+'01_Доходи'!Q1111*Законод!$F$11+'01_Доходи'!R1111*Законод!$G$11,IF(B1106="Лікар-педіатр",N1111*Законод!$C$11+'01_Доходи'!O1111*Законод!$D$11,IF(B1106="Лікар-терапевт",'01_Доходи'!P1111*Законод!$E$11+'01_Доходи'!Q1111*Законод!$F$11+'01_Доходи'!R1111*Законод!$G$11,0)))</f>
        <v>0</v>
      </c>
      <c r="AP1111" s="210">
        <f ca="1">IF(B1106="Лікар загальної практики - сімейний лікар",U1111*Законод!$C$11+'01_Доходи'!V1111*Законод!$D$11+'01_Доходи'!W1111*Законод!$E$11+'01_Доходи'!X1111*Законод!$F$11+'01_Доходи'!Y1111*Законод!$G$11,IF(B1106="Лікар-педіатр",U1111*Законод!$C$11+'01_Доходи'!V1111*Законод!$D$11,IF(B1106="Лікар-терапевт",'01_Доходи'!W1111*Законод!$E$11+'01_Доходи'!X1111*Законод!$F$11+'01_Доходи'!Y1111*Законод!$G$11,0)))</f>
        <v>0</v>
      </c>
      <c r="AQ1111" s="210">
        <f ca="1">IF(B1106="Лікар загальної практики - сімейний лікар",AB1111*Законод!$C$11+'01_Доходи'!AC1111*Законод!$D$11+'01_Доходи'!AD1111*Законод!$E$11+'01_Доходи'!AE1111*Законод!$F$11+'01_Доходи'!AF1111*Законод!$G$11,IF(B1106="Лікар-педіатр",AB1111*Законод!$C$11+'01_Доходи'!AC1111*Законод!$D$11,IF(B1106="Лікар-терапевт",'01_Доходи'!AD1111*Законод!$E$11+'01_Доходи'!AE1111*Законод!$F$11+'01_Доходи'!AF1111*Законод!$G$11,0)))</f>
        <v>0</v>
      </c>
      <c r="AR1111" s="211">
        <f t="shared" ref="AR1111:AR1117" si="112">SUM(AN1111:AQ1111)</f>
        <v>0</v>
      </c>
    </row>
    <row r="1112" spans="1:44" s="50" customFormat="1" ht="31.9" hidden="1" customHeight="1">
      <c r="A1112" s="197"/>
      <c r="B1112" s="893"/>
      <c r="C1112" s="896"/>
      <c r="D1112" s="912"/>
      <c r="E1112" s="909"/>
      <c r="F1112" s="238" t="str">
        <f ca="1">IF(B1106="Лікар-педіатр",Законод!$E$17,IF(B1106="Лікар загальної практики - сімейний лікар",Законод!$E$21,IF(B1106="Лікар-терапевт",Законод!$E$25,"х")))</f>
        <v>х</v>
      </c>
      <c r="G1112" s="889" t="s">
        <v>346</v>
      </c>
      <c r="H1112" s="890"/>
      <c r="I1112" s="890"/>
      <c r="J1112" s="890"/>
      <c r="K1112" s="891"/>
      <c r="L1112" s="196">
        <f ca="1">IF($B$1106="Лікар загальної практики - сімейний лікар",IF(L1110&lt;Законод!$C$22,0,(IF(AND(L1110&gt;=Законод!$E$22,L1110&lt;=Законод!$E$23),L1110-Законод!$C$22,IF('01_Доходи'!L1110&gt;=Законод!$F$22,Законод!$E$24,0)))),IF($B$1106="Лікар-педіатр",IF(L1110&lt;Законод!$C$18,0,(IF(AND(L1110&gt;=Законод!$E$18,L1110&lt;=Законод!$E$19),L1110-Законод!$C$18,IF('01_Доходи'!L1110&gt;=Законод!$F$18,Законод!$E$20,0)))),IF($B$1106="Лікар-терапевт",IF(L1110&lt;Законод!$C$26,0,(IF(AND(L1110&gt;=Законод!$E$26,L1110&lt;=Законод!$E$27),L1110-Законод!$C$26,IF('01_Доходи'!L1110&gt;=Законод!$F$26,Законод!$E$28,0)))),0)))</f>
        <v>0</v>
      </c>
      <c r="M1112" s="930"/>
      <c r="N1112" s="889" t="s">
        <v>346</v>
      </c>
      <c r="O1112" s="890"/>
      <c r="P1112" s="890"/>
      <c r="Q1112" s="890"/>
      <c r="R1112" s="891"/>
      <c r="S1112" s="196">
        <f ca="1">IF($B$1106="Лікар загальної практики - сімейний лікар",IF(S1110&lt;Законод!$C$22,0,(IF(AND(S1110&gt;=Законод!$E$22,S1110&lt;=Законод!$E$23),S1110-Законод!$C$22,IF('01_Доходи'!S1110&gt;=Законод!$F$22,Законод!$E$24,0)))),IF($B$1106="Лікар-педіатр",IF(S1110&lt;Законод!$C$18,0,(IF(AND(S1110&gt;=Законод!$E$18,S1110&lt;=Законод!$E$19),S1110-Законод!$C$18,IF('01_Доходи'!S1110&gt;=Законод!$F$18,Законод!$E$20,0)))),IF($B$1106="Лікар-терапевт",IF(S1110&lt;Законод!$C$26,0,(IF(AND(S1110&gt;=Законод!$E$26,S1110&lt;=Законод!$E$27),S1110-Законод!$C$26,IF('01_Доходи'!S1110&gt;=Законод!$F$26,Законод!$E$28,0)))),0)))</f>
        <v>0</v>
      </c>
      <c r="T1112" s="930"/>
      <c r="U1112" s="889" t="s">
        <v>346</v>
      </c>
      <c r="V1112" s="890"/>
      <c r="W1112" s="890"/>
      <c r="X1112" s="890"/>
      <c r="Y1112" s="891"/>
      <c r="Z1112" s="196">
        <f ca="1">IF($B$1106="Лікар загальної практики - сімейний лікар",IF(Z1110&lt;Законод!$C$22,0,(IF(AND(Z1110&gt;=Законод!$E$22,Z1110&lt;=Законод!$E$23),Z1110-Законод!$C$22,IF('01_Доходи'!Z1110&gt;=Законод!$F$22,Законод!$E$24,0)))),IF($B$1106="Лікар-педіатр",IF(Z1110&lt;Законод!$C$18,0,(IF(AND(Z1110&gt;=Законод!$E$18,Z1110&lt;=Законод!$E$19),Z1110-Законод!$C$18,IF('01_Доходи'!Z1110&gt;=Законод!$F$18,Законод!$E$20,0)))),IF($B$1106="Лікар-терапевт",IF(Z1110&lt;Законод!$C$26,0,(IF(AND(Z1110&gt;=Законод!$E$26,Z1110&lt;=Законод!$E$27),Z1110-Законод!$C$26,IF('01_Доходи'!Z1110&gt;=Законод!$F$26,Законод!$E$28,0)))),0)))</f>
        <v>0</v>
      </c>
      <c r="AA1112" s="930"/>
      <c r="AB1112" s="889" t="s">
        <v>346</v>
      </c>
      <c r="AC1112" s="890"/>
      <c r="AD1112" s="890"/>
      <c r="AE1112" s="890"/>
      <c r="AF1112" s="891"/>
      <c r="AG1112" s="196">
        <f ca="1">IF($B$1106="Лікар загальної практики - сімейний лікар",IF(AG1110&lt;Законод!$C$22,0,(IF(AND(AG1110&gt;=Законод!$E$22,AG1110&lt;=Законод!$E$23),AG1110-Законод!$C$22,IF('01_Доходи'!AG1110&gt;=Законод!$F$22,Законод!$E$24,0)))),IF($B$1106="Лікар-педіатр",IF(AG1110&lt;Законод!$C$18,0,(IF(AND(AG1110&gt;=Законод!$E$18,AG1110&lt;=Законод!$E$19),AG1110-Законод!$C$18,IF('01_Доходи'!AG1110&gt;=Законод!$F$18,Законод!$E$20,0)))),IF($B$1106="Лікар-терапевт",IF(AG1110&lt;Законод!$C$26,0,(IF(AND(AG1110&gt;=Законод!$E$26,AG1110&lt;=Законод!$E$27),AG1110-Законод!$C$26,IF('01_Доходи'!AG1110&gt;=Законод!$F$26,Законод!$E$28,0)))),0)))</f>
        <v>0</v>
      </c>
      <c r="AH1112" s="930"/>
      <c r="AI1112" s="201"/>
      <c r="AJ1112" s="933"/>
      <c r="AK1112" s="927"/>
      <c r="AL1112" s="927"/>
      <c r="AM1112" s="898" t="s">
        <v>375</v>
      </c>
      <c r="AN1112" s="210">
        <f ca="1">IF(B1106="Лікар загальної практики - сімейний лікар",L1112*Законод!$C$9/4*Законод!$E$16,IF(B1106="Лікар-педіатр",L1112*Законод!$C$9/4*Законод!$E$16,IF(B1106="Лікар-терапевт",L1112*Законод!$C$9/4*Законод!$E$16,0)))</f>
        <v>0</v>
      </c>
      <c r="AO1112" s="210">
        <f ca="1">IF(B1106="Лікар загальної практики - сімейний лікар",S1112*Законод!$C$9/4*Законод!$E$16,IF(B1106="Лікар-педіатр",S1112*Законод!$C$9/4*Законод!$E$16,IF(B1106="Лікар-терапевт",S1112*Законод!$C$9/4*Законод!$E$16,0)))</f>
        <v>0</v>
      </c>
      <c r="AP1112" s="210">
        <f ca="1">IF(B1106="Лікар загальної практики - сімейний лікар",Z1112*Законод!$C$9/4*Законод!$E$16,IF(B1106="Лікар-педіатр",Z1112*Законод!$C$9/4*Законод!$E$16,IF(B1106="Лікар-терапевт",Z1112*Законод!$C$9/4*Законод!$E$16,0)))</f>
        <v>0</v>
      </c>
      <c r="AQ1112" s="210">
        <f ca="1">IF(B1106="Лікар загальної практики - сімейний лікар",AG1112*Законод!$C$9/4*Законод!$E$16,IF(B1106="Лікар-педіатр",AG1112*Законод!$C$9/4*Законод!$E$16,IF(B1106="Лікар-терапевт",AG1112*Законод!$C$9/4*Законод!$E$16,0)))</f>
        <v>0</v>
      </c>
      <c r="AR1112" s="211">
        <f t="shared" si="112"/>
        <v>0</v>
      </c>
    </row>
    <row r="1113" spans="1:44" s="50" customFormat="1" ht="31.9" hidden="1" customHeight="1">
      <c r="A1113" s="197"/>
      <c r="B1113" s="893"/>
      <c r="C1113" s="896"/>
      <c r="D1113" s="912"/>
      <c r="E1113" s="909"/>
      <c r="F1113" s="238" t="str">
        <f ca="1">IF(B1106="Лікар-педіатр",Законод!$F$17,IF(B1106="Лікар загальної практики - сімейний лікар",Законод!$F$21,IF(B1106="Лікар-терапевт",Законод!$F$25,"х")))</f>
        <v>х</v>
      </c>
      <c r="G1113" s="889" t="s">
        <v>346</v>
      </c>
      <c r="H1113" s="890"/>
      <c r="I1113" s="890"/>
      <c r="J1113" s="890"/>
      <c r="K1113" s="891"/>
      <c r="L1113" s="196">
        <f ca="1">IF($B$1106="Лікар загальної практики - сімейний лікар",IF(L1110&lt;Законод!$C$22,0,(IF(AND(L1110&gt;=Законод!$F$22,L1110&lt;=Законод!$F$23),L1110-Законод!$E$23,IF('01_Доходи'!L1110&gt;=Законод!$G$22,Законод!$F$24,0)))),IF($B$1106="Лікар-педіатр",IF(L1110&lt;Законод!$C$18,0,(IF(AND(L1110&gt;=Законод!$F$18,L1110&lt;=Законод!$F$19),L1110-Законод!$E$19,IF('01_Доходи'!L1110&gt;=Законод!$G$18,Законод!$F$20,0)))),IF($B$1106="Лікар-терапевт",IF(L1110&lt;Законод!$C$26,0,(IF(AND(L1110&gt;=Законод!$F$26,L1110&lt;=Законод!$F$27),L1110-Законод!$E$27,IF('01_Доходи'!L1110&gt;=Законод!$G$26,Законод!$F$28,0)))),0)))</f>
        <v>0</v>
      </c>
      <c r="M1113" s="930"/>
      <c r="N1113" s="889" t="s">
        <v>346</v>
      </c>
      <c r="O1113" s="890"/>
      <c r="P1113" s="890"/>
      <c r="Q1113" s="890"/>
      <c r="R1113" s="891"/>
      <c r="S1113" s="196">
        <f ca="1">IF($B$1106="Лікар загальної практики - сімейний лікар",IF(S1110&lt;Законод!$C$22,0,(IF(AND(S1110&gt;=Законод!$F$22,S1110&lt;=Законод!$F$23),S1110-Законод!$E$23,IF('01_Доходи'!S1110&gt;=Законод!$G$22,Законод!$F$24,0)))),IF($B$1106="Лікар-педіатр",IF(S1110&lt;Законод!$C$18,0,(IF(AND(S1110&gt;=Законод!$F$18,S1110&lt;=Законод!$F$19),S1110-Законод!$E$19,IF('01_Доходи'!S1110&gt;=Законод!$G$18,Законод!$F$20,0)))),IF($B$1106="Лікар-терапевт",IF(S1110&lt;Законод!$C$26,0,(IF(AND(S1110&gt;=Законод!$F$26,S1110&lt;=Законод!$F$27),S1110-Законод!$E$27,IF('01_Доходи'!S1110&gt;=Законод!$G$26,Законод!$F$28,0)))),0)))</f>
        <v>0</v>
      </c>
      <c r="T1113" s="930"/>
      <c r="U1113" s="889" t="s">
        <v>346</v>
      </c>
      <c r="V1113" s="890"/>
      <c r="W1113" s="890"/>
      <c r="X1113" s="890"/>
      <c r="Y1113" s="891"/>
      <c r="Z1113" s="196">
        <f ca="1">IF($B$1106="Лікар загальної практики - сімейний лікар",IF(Z1110&lt;Законод!$C$22,0,(IF(AND(Z1110&gt;=Законод!$F$22,Z1110&lt;=Законод!$F$23),Z1110-Законод!$E$23,IF('01_Доходи'!Z1110&gt;=Законод!$G$22,Законод!$F$24,0)))),IF($B$1106="Лікар-педіатр",IF(Z1110&lt;Законод!$C$18,0,(IF(AND(Z1110&gt;=Законод!$F$18,Z1110&lt;=Законод!$F$19),Z1110-Законод!$E$19,IF('01_Доходи'!Z1110&gt;=Законод!$G$18,Законод!$F$20,0)))),IF($B$1106="Лікар-терапевт",IF(Z1110&lt;Законод!$C$26,0,(IF(AND(Z1110&gt;=Законод!$F$26,Z1110&lt;=Законод!$F$27),Z1110-Законод!$E$27,IF('01_Доходи'!Z1110&gt;=Законод!$G$26,Законод!$F$28,0)))),0)))</f>
        <v>0</v>
      </c>
      <c r="AA1113" s="930"/>
      <c r="AB1113" s="889" t="s">
        <v>346</v>
      </c>
      <c r="AC1113" s="890"/>
      <c r="AD1113" s="890"/>
      <c r="AE1113" s="890"/>
      <c r="AF1113" s="891"/>
      <c r="AG1113" s="196">
        <f ca="1">IF($B$1106="Лікар загальної практики - сімейний лікар",IF(AG1110&lt;Законод!$C$22,0,(IF(AND(AG1110&gt;=Законод!$F$22,AG1110&lt;=Законод!$F$23),AG1110-Законод!$E$23,IF('01_Доходи'!AG1110&gt;=Законод!$G$22,Законод!$F$24,0)))),IF($B$1106="Лікар-педіатр",IF(AG1110&lt;Законод!$C$18,0,(IF(AND(AG1110&gt;=Законод!$F$18,AG1110&lt;=Законод!$F$19),AG1110-Законод!$E$19,IF('01_Доходи'!AG1110&gt;=Законод!$G$18,Законод!$F$20,0)))),IF($B$1106="Лікар-терапевт",IF(AG1110&lt;Законод!$C$26,0,(IF(AND(AG1110&gt;=Законод!$F$26,AG1110&lt;=Законод!$F$27),AG1110-Законод!$E$27,IF('01_Доходи'!AG1110&gt;=Законод!$G$26,Законод!$F$28,0)))),0)))</f>
        <v>0</v>
      </c>
      <c r="AH1113" s="930"/>
      <c r="AI1113" s="201"/>
      <c r="AJ1113" s="933"/>
      <c r="AK1113" s="927"/>
      <c r="AL1113" s="927"/>
      <c r="AM1113" s="899"/>
      <c r="AN1113" s="210">
        <f ca="1">IF(B1106="Лікар загальної практики - сімейний лікар",L1113*Законод!$C$9/4*Законод!$F$16,IF(B1106="Лікар-педіатр",L1113*Законод!$C$9/4*Законод!$F$16,IF(B1106="Лікар-терапевт",L1113*Законод!$C$9/4*Законод!$F$16,0)))</f>
        <v>0</v>
      </c>
      <c r="AO1113" s="210">
        <f ca="1">IF(B1106="Лікар загальної практики - сімейний лікар",S1113*Законод!$C$9/4*Законод!$F$16,IF(B1106="Лікар-педіатр",S1113*Законод!$C$9/4*Законод!$F$16,IF(B1106="Лікар-терапевт",S1113*Законод!$C$9/4*Законод!$F$16,0)))</f>
        <v>0</v>
      </c>
      <c r="AP1113" s="210">
        <f ca="1">IF(B1106="Лікар загальної практики - сімейний лікар",Z1113*Законод!$C$9/4*Законод!$F$16,IF(B1106="Лікар-педіатр",Z1113*Законод!$C$9/4*Законод!$F$16,IF(B1106="Лікар-терапевт",Z1113*Законод!$C$9/4*Законод!$F$16,0)))</f>
        <v>0</v>
      </c>
      <c r="AQ1113" s="210">
        <f ca="1">IF(B1106="Лікар загальної практики - сімейний лікар",AG1113*Законод!$C$9/4*Законод!$F$16,IF(B1106="Лікар-педіатр",AG1113*Законод!$C$9/4*Законод!$F$16,IF(B1106="Лікар-терапевт",AG1113*Законод!$C$9/4*Законод!$F$16,0)))</f>
        <v>0</v>
      </c>
      <c r="AR1113" s="211">
        <f t="shared" si="112"/>
        <v>0</v>
      </c>
    </row>
    <row r="1114" spans="1:44" s="50" customFormat="1" ht="31.9" hidden="1" customHeight="1">
      <c r="A1114" s="197"/>
      <c r="B1114" s="893"/>
      <c r="C1114" s="896"/>
      <c r="D1114" s="912"/>
      <c r="E1114" s="909"/>
      <c r="F1114" s="238" t="str">
        <f ca="1">IF(B1106="Лікар-педіатр",Законод!$G$17,IF(B1106="Лікар загальної практики - сімейний лікар",Законод!$G$21,IF(B1106="Лікар-терапевт",Законод!$G$25,"х")))</f>
        <v>х</v>
      </c>
      <c r="G1114" s="889" t="s">
        <v>346</v>
      </c>
      <c r="H1114" s="890"/>
      <c r="I1114" s="890"/>
      <c r="J1114" s="890"/>
      <c r="K1114" s="891"/>
      <c r="L1114" s="196">
        <f ca="1">IF($B$1106="Лікар загальної практики - сімейний лікар",IF(L1110&lt;Законод!$C$22,0,(IF(AND(L1110&gt;=Законод!$G$22,L1110&lt;=Законод!$G$23),L1110-Законод!$F$23,IF('01_Доходи'!L1110&gt;=Законод!$H$22,Законод!$G$24,0)))),IF($B$1106="Лікар-педіатр",IF(L1110&lt;Законод!$C$18,0,(IF(AND(L1110&gt;=Законод!$G$18,L1110&lt;=Законод!$G$19),L1110-Законод!$F$19,IF('01_Доходи'!L1110&gt;=Законод!$H$18,Законод!$G$20,0)))),IF($B$1106="Лікар-терапевт",IF(L1110&lt;Законод!$C$26,0,(IF(AND(L1110&gt;=Законод!$G$26,L1110&lt;=Законод!$G$27),L1110-Законод!$F$27,IF('01_Доходи'!L1110&gt;=Законод!$H$26,Законод!$G$28,0)))),0)))</f>
        <v>0</v>
      </c>
      <c r="M1114" s="930"/>
      <c r="N1114" s="889" t="s">
        <v>346</v>
      </c>
      <c r="O1114" s="890"/>
      <c r="P1114" s="890"/>
      <c r="Q1114" s="890"/>
      <c r="R1114" s="891"/>
      <c r="S1114" s="196">
        <f ca="1">IF($B$1106="Лікар загальної практики - сімейний лікар",IF(S1110&lt;Законод!$C$22,0,(IF(AND(S1110&gt;=Законод!$G$22,S1110&lt;=Законод!$G$23),S1110-Законод!$F$23,IF('01_Доходи'!S1110&gt;=Законод!$H$22,Законод!$G$24,0)))),IF($B$1106="Лікар-педіатр",IF(S1110&lt;Законод!$C$18,0,(IF(AND(S1110&gt;=Законод!$G$18,S1110&lt;=Законод!$G$19),S1110-Законод!$F$19,IF('01_Доходи'!S1110&gt;=Законод!$H$18,Законод!$G$20,0)))),IF($B$1106="Лікар-терапевт",IF(S1110&lt;Законод!$C$26,0,(IF(AND(S1110&gt;=Законод!$G$26,S1110&lt;=Законод!$G$27),S1110-Законод!$F$27,IF('01_Доходи'!S1110&gt;=Законод!$H$26,Законод!$G$28,0)))),0)))</f>
        <v>0</v>
      </c>
      <c r="T1114" s="930"/>
      <c r="U1114" s="889" t="s">
        <v>346</v>
      </c>
      <c r="V1114" s="890"/>
      <c r="W1114" s="890"/>
      <c r="X1114" s="890"/>
      <c r="Y1114" s="891"/>
      <c r="Z1114" s="196">
        <f ca="1">IF($B$1106="Лікар загальної практики - сімейний лікар",IF(Z1110&lt;Законод!$C$22,0,(IF(AND(Z1110&gt;=Законод!$G$22,Z1110&lt;=Законод!$G$23),Z1110-Законод!$F$23,IF('01_Доходи'!Z1110&gt;=Законод!$H$22,Законод!$G$24,0)))),IF($B$1106="Лікар-педіатр",IF(Z1110&lt;Законод!$C$18,0,(IF(AND(Z1110&gt;=Законод!$G$18,Z1110&lt;=Законод!$G$19),Z1110-Законод!$F$19,IF('01_Доходи'!Z1110&gt;=Законод!$H$18,Законод!$G$20,0)))),IF($B$1106="Лікар-терапевт",IF(Z1110&lt;Законод!$C$26,0,(IF(AND(Z1110&gt;=Законод!$G$26,Z1110&lt;=Законод!$G$27),Z1110-Законод!$F$27,IF('01_Доходи'!Z1110&gt;=Законод!$H$26,Законод!$G$28,0)))),0)))</f>
        <v>0</v>
      </c>
      <c r="AA1114" s="930"/>
      <c r="AB1114" s="889" t="s">
        <v>346</v>
      </c>
      <c r="AC1114" s="890"/>
      <c r="AD1114" s="890"/>
      <c r="AE1114" s="890"/>
      <c r="AF1114" s="891"/>
      <c r="AG1114" s="196">
        <f ca="1">IF($B$1106="Лікар загальної практики - сімейний лікар",IF(AG1110&lt;Законод!$C$22,0,(IF(AND(AG1110&gt;=Законод!$G$22,AG1110&lt;=Законод!$G$23),AG1110-Законод!$F$23,IF('01_Доходи'!AG1110&gt;=Законод!$H$22,Законод!$G$24,0)))),IF($B$1106="Лікар-педіатр",IF(AG1110&lt;Законод!$C$18,0,(IF(AND(AG1110&gt;=Законод!$G$18,AG1110&lt;=Законод!$G$19),AG1110-Законод!$F$19,IF('01_Доходи'!AG1110&gt;=Законод!$H$18,Законод!$G$20,0)))),IF($B$1106="Лікар-терапевт",IF(AG1110&lt;Законод!$C$26,0,(IF(AND(AG1110&gt;=Законод!$G$26,AG1110&lt;=Законод!$G$27),AG1110-Законод!$F$27,IF('01_Доходи'!AG1110&gt;=Законод!$H$26,Законод!$G$28,0)))),0)))</f>
        <v>0</v>
      </c>
      <c r="AH1114" s="930"/>
      <c r="AI1114" s="201"/>
      <c r="AJ1114" s="933"/>
      <c r="AK1114" s="927"/>
      <c r="AL1114" s="927"/>
      <c r="AM1114" s="899"/>
      <c r="AN1114" s="210">
        <f ca="1">IF(B1106="Лікар загальної практики - сімейний лікар",L1114*Законод!$C$9/4*Законод!$G$16,IF(B1106="Лікар-педіатр",L1114*Законод!$C$9/4*Законод!$G$16,IF(B1106="Лікар-терапевт",L1114*Законод!$C$9/4*Законод!$G$16,0)))</f>
        <v>0</v>
      </c>
      <c r="AO1114" s="210">
        <f ca="1">IF(B1106="Лікар загальної практики - сімейний лікар",S1114*Законод!$C$9/4*Законод!$G$16,IF(B1106="Лікар-педіатр",S1114*Законод!$C$9/4*Законод!$G$16,IF(B1106="Лікар-терапевт",S1114*Законод!$C$9/4*Законод!$G$16,0)))</f>
        <v>0</v>
      </c>
      <c r="AP1114" s="210">
        <f ca="1">IF(B1106="Лікар загальної практики - сімейний лікар",Z1114*Законод!$C$9/4*Законод!$G$16,IF(B1106="Лікар-педіатр",Z1114*Законод!$C$9/4*Законод!$G$16,IF(B1106="Лікар-терапевт",Z1114*Законод!$C$9/4*Законод!$G$16,0)))</f>
        <v>0</v>
      </c>
      <c r="AQ1114" s="210">
        <f ca="1">IF(B1106="Лікар загальної практики - сімейний лікар",AG1114*Законод!$C$9/4*Законод!$G$16,IF(B1106="Лікар-педіатр",AG1114*Законод!$C$9/4*Законод!$G$16,IF(B1106="Лікар-терапевт",AG1114*Законод!$C$9/4*Законод!$G$16,0)))</f>
        <v>0</v>
      </c>
      <c r="AR1114" s="211">
        <f t="shared" si="112"/>
        <v>0</v>
      </c>
    </row>
    <row r="1115" spans="1:44" s="50" customFormat="1" ht="31.9" hidden="1" customHeight="1">
      <c r="A1115" s="197"/>
      <c r="B1115" s="893"/>
      <c r="C1115" s="896"/>
      <c r="D1115" s="912"/>
      <c r="E1115" s="909"/>
      <c r="F1115" s="238" t="str">
        <f ca="1">IF(B1106="Лікар-педіатр",Законод!$H$17,IF(B1106="Лікар загальної практики - сімейний лікар",Законод!$H$21,IF(B1106="Лікар-терапевт",Законод!$H$25,"х")))</f>
        <v>х</v>
      </c>
      <c r="G1115" s="889" t="s">
        <v>346</v>
      </c>
      <c r="H1115" s="890"/>
      <c r="I1115" s="890"/>
      <c r="J1115" s="890"/>
      <c r="K1115" s="891"/>
      <c r="L1115" s="196">
        <f ca="1">IF($B$1106="Лікар загальної практики - сімейний лікар",IF(L1110&lt;Законод!$C$22,0,(IF(AND(L1110&gt;=Законод!$H$22,L1110&lt;=Законод!$H$23),L1110-Законод!$G$23,IF('01_Доходи'!L1110&gt;=Законод!$I$22,Законод!$H$24,0)))),IF($B$1106="Лікар-педіатр",IF(L1110&lt;Законод!$C$18,0,(IF(AND(L1110&gt;=Законод!$H$18,L1110&lt;=Законод!$H$19),L1110-Законод!$G$19,IF('01_Доходи'!L1110&gt;=Законод!$I$18,Законод!$H$20,0)))),IF($B$1106="Лікар-терапевт",IF(L1110&lt;Законод!$C$26,0,(IF(AND(L1110&gt;=Законод!$H$26,L1110&lt;=Законод!$H$27),L1110-Законод!$G$27,IF(L1110&gt;=Законод!$I$26,Законод!$H$28,0)))),0)))</f>
        <v>0</v>
      </c>
      <c r="M1115" s="930"/>
      <c r="N1115" s="889" t="s">
        <v>346</v>
      </c>
      <c r="O1115" s="890"/>
      <c r="P1115" s="890"/>
      <c r="Q1115" s="890"/>
      <c r="R1115" s="891"/>
      <c r="S1115" s="196">
        <f ca="1">IF($B$1106="Лікар загальної практики - сімейний лікар",IF(S1110&lt;Законод!$C$22,0,(IF(AND(S1110&gt;=Законод!$H$22,S1110&lt;=Законод!$H$23),S1110-Законод!$G$23,IF('01_Доходи'!S1110&gt;=Законод!$I$22,Законод!$H$24,0)))),IF($B$1106="Лікар-педіатр",IF(S1110&lt;Законод!$C$18,0,(IF(AND(S1110&gt;=Законод!$H$18,S1110&lt;=Законод!$H$19),S1110-Законод!$G$19,IF('01_Доходи'!S1110&gt;=Законод!$I$18,Законод!$H$20,0)))),IF($B$1106="Лікар-терапевт",IF(S1110&lt;Законод!$C$26,0,(IF(AND(S1110&gt;=Законод!$H$26,S1110&lt;=Законод!$H$27),S1110-Законод!$G$27,IF(S1110&gt;=Законод!$I$26,Законод!$H$28,0)))),0)))</f>
        <v>0</v>
      </c>
      <c r="T1115" s="930"/>
      <c r="U1115" s="889" t="s">
        <v>346</v>
      </c>
      <c r="V1115" s="890"/>
      <c r="W1115" s="890"/>
      <c r="X1115" s="890"/>
      <c r="Y1115" s="891"/>
      <c r="Z1115" s="196">
        <f ca="1">IF($B$1106="Лікар загальної практики - сімейний лікар",IF(Z1110&lt;Законод!$C$22,0,(IF(AND(Z1110&gt;=Законод!$H$22,Z1110&lt;=Законод!$H$23),Z1110-Законод!$G$23,IF('01_Доходи'!Z1110&gt;=Законод!$I$22,Законод!$H$24,0)))),IF($B$1106="Лікар-педіатр",IF(Z1110&lt;Законод!$C$18,0,(IF(AND(Z1110&gt;=Законод!$H$18,Z1110&lt;=Законод!$H$19),Z1110-Законод!$G$19,IF('01_Доходи'!Z1110&gt;=Законод!$I$18,Законод!$H$20,0)))),IF($B$1106="Лікар-терапевт",IF(Z1110&lt;Законод!$C$26,0,(IF(AND(Z1110&gt;=Законод!$H$26,Z1110&lt;=Законод!$H$27),Z1110-Законод!$G$27,IF(Z1110&gt;=Законод!$I$26,Законод!$H$28,0)))),0)))</f>
        <v>0</v>
      </c>
      <c r="AA1115" s="930"/>
      <c r="AB1115" s="889" t="s">
        <v>346</v>
      </c>
      <c r="AC1115" s="890"/>
      <c r="AD1115" s="890"/>
      <c r="AE1115" s="890"/>
      <c r="AF1115" s="891"/>
      <c r="AG1115" s="196">
        <f ca="1">IF($B$1106="Лікар загальної практики - сімейний лікар",IF(AG1110&lt;Законод!$C$22,0,(IF(AND(AG1110&gt;=Законод!$H$22,AG1110&lt;=Законод!$H$23),AG1110-Законод!$G$23,IF('01_Доходи'!AG1110&gt;=Законод!$I$22,Законод!$H$24,0)))),IF($B$1106="Лікар-педіатр",IF(AG1110&lt;Законод!$C$18,0,(IF(AND(AG1110&gt;=Законод!$H$18,AG1110&lt;=Законод!$H$19),AG1110-Законод!$G$19,IF('01_Доходи'!AG1110&gt;=Законод!$I$18,Законод!$H$20,0)))),IF($B$1106="Лікар-терапевт",IF(AG1110&lt;Законод!$C$26,0,(IF(AND(AG1110&gt;=Законод!$H$26,AG1110&lt;=Законод!$H$27),AG1110-Законод!$G$27,IF(AG1110&gt;=Законод!$I$26,Законод!$H$28,0)))),0)))</f>
        <v>0</v>
      </c>
      <c r="AH1115" s="930"/>
      <c r="AI1115" s="201"/>
      <c r="AJ1115" s="933"/>
      <c r="AK1115" s="927"/>
      <c r="AL1115" s="927"/>
      <c r="AM1115" s="899"/>
      <c r="AN1115" s="210">
        <f ca="1">IF(B1106="Лікар загальної практики - сімейний лікар",L1115*Законод!$C$9/4*Законод!$H$16,IF(B1106="Лікар-педіатр",L1115*Законод!$C$9/4*Законод!$H$16,IF(B1106="Лікар-терапевт",L1115*Законод!$C$9/4*Законод!$H$16,0)))</f>
        <v>0</v>
      </c>
      <c r="AO1115" s="210">
        <f ca="1">IF(B1106="Лікар загальної практики - сімейний лікар",S1115*Законод!$C$9/4*Законод!$H$16,IF(B1106="Лікар-педіатр",S1115*Законод!$C$9/4*Законод!$H$16,IF(B1106="Лікар-терапевт",S1115*Законод!$C$9/4*Законод!$H$16,0)))</f>
        <v>0</v>
      </c>
      <c r="AP1115" s="210">
        <f ca="1">IF(B1106="Лікар загальної практики - сімейний лікар",Z1115*Законод!$C$9/4*Законод!$H$16,IF(B1106="Лікар-педіатр",Z1115*Законод!$C$9/4*Законод!$H$16,IF(B1106="Лікар-терапевт",Z1115*Законод!$C$9/4*Законод!$H$16,0)))</f>
        <v>0</v>
      </c>
      <c r="AQ1115" s="210">
        <f ca="1">IF(B1106="Лікар загальної практики - сімейний лікар",AG1115*Законод!$C$9/4*Законод!$H$16,IF(B1106="Лікар-педіатр",AG1115*Законод!$C$9/4*Законод!$H$16,IF(B1106="Лікар-терапевт",AG1115*Законод!$C$9/4*Законод!$H$16,0)))</f>
        <v>0</v>
      </c>
      <c r="AR1115" s="211">
        <f t="shared" si="112"/>
        <v>0</v>
      </c>
    </row>
    <row r="1116" spans="1:44" s="50" customFormat="1" ht="31.9" hidden="1" customHeight="1">
      <c r="A1116" s="197"/>
      <c r="B1116" s="893"/>
      <c r="C1116" s="896"/>
      <c r="D1116" s="912"/>
      <c r="E1116" s="909"/>
      <c r="F1116" s="238" t="str">
        <f ca="1">IF(B1106="Лікар-педіатр",Законод!$I$17,IF(B1106="Лікар загальної практики - сімейний лікар",Законод!$I$21,IF(B1106="Лікар-терапевт",Законод!$I$25,"х")))</f>
        <v>х</v>
      </c>
      <c r="G1116" s="889" t="s">
        <v>346</v>
      </c>
      <c r="H1116" s="890"/>
      <c r="I1116" s="890"/>
      <c r="J1116" s="890"/>
      <c r="K1116" s="891"/>
      <c r="L1116" s="196">
        <f ca="1">IF($B$1106="Лікар загальної практики - сімейний лікар",IF(L1110&lt;Законод!$C$22,0,(IF(AND(L1110&gt;=Законод!$I$22,L1110&lt;=Законод!$I$23),L1110-Законод!$H$23,IF('01_Доходи'!L1110&gt;=Законод!$I$22,Законод!$I$24,0)))),IF($B$1106="Лікар-педіатр",IF(L1110&lt;Законод!$C$18,0,(IF(AND(L1110&gt;=Законод!$I$18,L1110&lt;=Законод!$I$19),L1110-Законод!$H$19,IF('01_Доходи'!L1110&gt;=Законод!$I$18,Законод!$H$20,0)))),IF($B$1106="Лікар-терапевт",IF(L1110&lt;Законод!$C$26,0,(IF(AND(L1110&gt;=Законод!$I$26,L1110&lt;=Законод!$I$27),L1110-Законод!$H$27,IF('01_Доходи'!L1110&gt;=Законод!$I$26,Законод!$H$28,0)))),0)))</f>
        <v>0</v>
      </c>
      <c r="M1116" s="930"/>
      <c r="N1116" s="889" t="s">
        <v>346</v>
      </c>
      <c r="O1116" s="890"/>
      <c r="P1116" s="890"/>
      <c r="Q1116" s="890"/>
      <c r="R1116" s="891"/>
      <c r="S1116" s="196">
        <f ca="1">IF($B$1106="Лікар загальної практики - сімейний лікар",IF(S1110&lt;Законод!$C$22,0,(IF(AND(S1110&gt;=Законод!$I$22,S1110&lt;=Законод!$I$23),S1110-Законод!$H$23,IF('01_Доходи'!S1110&gt;=Законод!$I$22,Законод!$I$24,0)))),IF($B$1106="Лікар-педіатр",IF(S1110&lt;Законод!$C$18,0,(IF(AND(S1110&gt;=Законод!$I$18,S1110&lt;=Законод!$I$19),S1110-Законод!$H$19,IF('01_Доходи'!S1110&gt;=Законод!$I$18,Законод!$H$20,0)))),IF($B$1106="Лікар-терапевт",IF(S1110&lt;Законод!$C$26,0,(IF(AND(S1110&gt;=Законод!$I$26,S1110&lt;=Законод!$I$27),S1110-Законод!$H$27,IF('01_Доходи'!S1110&gt;=Законод!$I$26,Законод!$H$28,0)))),0)))</f>
        <v>0</v>
      </c>
      <c r="T1116" s="930"/>
      <c r="U1116" s="889" t="s">
        <v>346</v>
      </c>
      <c r="V1116" s="890"/>
      <c r="W1116" s="890"/>
      <c r="X1116" s="890"/>
      <c r="Y1116" s="891"/>
      <c r="Z1116" s="196">
        <f ca="1">IF($B$1106="Лікар загальної практики - сімейний лікар",IF(Z1110&lt;Законод!$C$22,0,(IF(AND(Z1110&gt;=Законод!$I$22,Z1110&lt;=Законод!$I$23),Z1110-Законод!$H$23,IF('01_Доходи'!Z1110&gt;=Законод!$I$22,Законод!$I$24,0)))),IF($B$1106="Лікар-педіатр",IF(Z1110&lt;Законод!$C$18,0,(IF(AND(Z1110&gt;=Законод!$I$18,Z1110&lt;=Законод!$I$19),Z1110-Законод!$H$19,IF('01_Доходи'!Z1110&gt;=Законод!$I$18,Законод!$H$20,0)))),IF($B$1106="Лікар-терапевт",IF(Z1110&lt;Законод!$C$26,0,(IF(AND(Z1110&gt;=Законод!$I$26,Z1110&lt;=Законод!$I$27),Z1110-Законод!$H$27,IF('01_Доходи'!Z1110&gt;=Законод!$I$26,Законод!$H$28,0)))),0)))</f>
        <v>0</v>
      </c>
      <c r="AA1116" s="930"/>
      <c r="AB1116" s="889" t="s">
        <v>346</v>
      </c>
      <c r="AC1116" s="890"/>
      <c r="AD1116" s="890"/>
      <c r="AE1116" s="890"/>
      <c r="AF1116" s="891"/>
      <c r="AG1116" s="196">
        <f ca="1">IF($B$1106="Лікар загальної практики - сімейний лікар",IF(AG1110&lt;Законод!$C$22,0,(IF(AND(AG1110&gt;=Законод!$I$22,AG1110&lt;=Законод!$I$23),AG1110-Законод!$H$23,IF('01_Доходи'!AG1110&gt;=Законод!$I$22,Законод!$I$24,0)))),IF($B$1106="Лікар-педіатр",IF(AG1110&lt;Законод!$C$18,0,(IF(AND(AG1110&gt;=Законод!$I$18,AG1110&lt;=Законод!$I$19),AG1110-Законод!$H$19,IF('01_Доходи'!AG1110&gt;=Законод!$I$18,Законод!$H$20,0)))),IF($B$1106="Лікар-терапевт",IF(AG1110&lt;Законод!$C$26,0,(IF(AND(AG1110&gt;=Законод!$I$26,AG1110&lt;=Законод!$I$27),AG1110-Законод!$H$27,IF('01_Доходи'!AG1110&gt;=Законод!$I$26,Законод!$H$28,0)))),0)))</f>
        <v>0</v>
      </c>
      <c r="AH1116" s="930"/>
      <c r="AI1116" s="201"/>
      <c r="AJ1116" s="933"/>
      <c r="AK1116" s="927"/>
      <c r="AL1116" s="927"/>
      <c r="AM1116" s="899"/>
      <c r="AN1116" s="210">
        <f ca="1">IF(B1106="Лікар загальної практики - сімейний лікар",L1116*Законод!$C$9/4*Законод!$I$16,IF(B1106="Лікар-педіатр",L1116*Законод!$C$9/4*Законод!$I$16,IF(B1106="Лікар-терапевт",L1116*Законод!$C$9/4*Законод!$I$16,0)))</f>
        <v>0</v>
      </c>
      <c r="AO1116" s="210">
        <f ca="1">IF(B1106="Лікар загальної практики - сімейний лікар",S1116*Законод!$C$9/4*Законод!$I$16,IF(B1106="Лікар-педіатр",S1116*Законод!$C$9/4*Законод!$I$16,IF(B1106="Лікар-терапевт",S1116*Законод!$C$9/4*Законод!$I$16,0)))</f>
        <v>0</v>
      </c>
      <c r="AP1116" s="210">
        <f ca="1">IF(B1106="Лікар загальної практики - сімейний лікар",Z1116*Законод!$C$9/4*Законод!$I$16,IF(B1106="Лікар-педіатр",Z1116*Законод!$C$9/4*Законод!$I$16,IF(B1106="Лікар-терапевт",Z1116*Законод!$C$9/4*Законод!$I$16,0)))</f>
        <v>0</v>
      </c>
      <c r="AQ1116" s="210">
        <f ca="1">IF(B1106="Лікар загальної практики - сімейний лікар",AG1116*Законод!$C$9/4*Законод!$I$16,IF(B1106="Лікар-педіатр",AG1116*Законод!$C$9/4*Законод!$I$16,IF(B1106="Лікар-терапевт",AG1116*Законод!$C$9/4*Законод!$I$16,0)))</f>
        <v>0</v>
      </c>
      <c r="AR1116" s="211">
        <f t="shared" si="112"/>
        <v>0</v>
      </c>
    </row>
    <row r="1117" spans="1:44" s="218" customFormat="1" ht="31.9" hidden="1" customHeight="1" thickBot="1">
      <c r="A1117" s="213"/>
      <c r="B1117" s="894"/>
      <c r="C1117" s="897"/>
      <c r="D1117" s="913"/>
      <c r="E1117" s="910"/>
      <c r="F1117" s="239" t="str">
        <f ca="1">IF(B1106="Лікар-педіатр",Законод!$J$17,IF(B1106="Лікар загальної практики - сімейний лікар",Законод!$J$21,IF(B1106="Лікар-терапевт",Законод!$J$25,"х")))</f>
        <v>х</v>
      </c>
      <c r="G1117" s="935" t="s">
        <v>346</v>
      </c>
      <c r="H1117" s="936"/>
      <c r="I1117" s="936"/>
      <c r="J1117" s="936"/>
      <c r="K1117" s="937"/>
      <c r="L1117" s="196">
        <f ca="1">IF($B$1106="Лікар загальної практики - сімейний лікар",IF(L1110&gt;=Законод!$J$22,'01_Доходи'!L1110-('01_Доходи'!L1111+'01_Доходи'!L1112+'01_Доходи'!L1113+'01_Доходи'!L1114+'01_Доходи'!L1115+'01_Доходи'!L1116),0),IF($B$1106="Лікар-педіатр",IF(L1110&gt;=Законод!$J$18,'01_Доходи'!L1110-('01_Доходи'!L1111+'01_Доходи'!L1112+'01_Доходи'!L1113+'01_Доходи'!L1114+'01_Доходи'!L1115+'01_Доходи'!L1116),0),IF($B$1106="Лікар-терапевт",IF('01_Доходи'!L1110&gt;=Законод!$J$26,L1110-Законод!$I$27,0),0)))</f>
        <v>0</v>
      </c>
      <c r="M1117" s="931"/>
      <c r="N1117" s="935" t="s">
        <v>346</v>
      </c>
      <c r="O1117" s="936"/>
      <c r="P1117" s="936"/>
      <c r="Q1117" s="936"/>
      <c r="R1117" s="937"/>
      <c r="S1117" s="196">
        <f ca="1">IF($B$1106="Лікар загальної практики - сімейний лікар",IF(S1110&gt;=Законод!$J$22,'01_Доходи'!S1110-('01_Доходи'!S1111+'01_Доходи'!S1112+'01_Доходи'!S1113+'01_Доходи'!S1114+'01_Доходи'!S1115+'01_Доходи'!S1116),0),IF($B$1106="Лікар-педіатр",IF(S1110&gt;=Законод!$J$18,'01_Доходи'!S1110-('01_Доходи'!S1111+'01_Доходи'!S1112+'01_Доходи'!S1113+'01_Доходи'!S1114+'01_Доходи'!S1115+'01_Доходи'!S1116),0),IF($B$1106="Лікар-терапевт",IF('01_Доходи'!S1110&gt;=Законод!$J$26,S1110-Законод!$I$27,0),0)))</f>
        <v>0</v>
      </c>
      <c r="T1117" s="931"/>
      <c r="U1117" s="935" t="s">
        <v>346</v>
      </c>
      <c r="V1117" s="936"/>
      <c r="W1117" s="936"/>
      <c r="X1117" s="936"/>
      <c r="Y1117" s="937"/>
      <c r="Z1117" s="196">
        <f ca="1">IF($B$1106="Лікар загальної практики - сімейний лікар",IF(Z1110&gt;=Законод!$J$22,'01_Доходи'!Z1110-('01_Доходи'!Z1111+'01_Доходи'!Z1112+'01_Доходи'!Z1113+'01_Доходи'!Z1114+'01_Доходи'!Z1115+'01_Доходи'!Z1116),0),IF($B$1106="Лікар-педіатр",IF(Z1110&gt;=Законод!$J$18,'01_Доходи'!Z1110-('01_Доходи'!Z1111+'01_Доходи'!Z1112+'01_Доходи'!Z1113+'01_Доходи'!Z1114+'01_Доходи'!Z1115+'01_Доходи'!Z1116),0),IF($B$1106="Лікар-терапевт",IF('01_Доходи'!Z1110&gt;=Законод!$J$26,Z1110-Законод!$I$27,0),0)))</f>
        <v>0</v>
      </c>
      <c r="AA1117" s="931"/>
      <c r="AB1117" s="935" t="s">
        <v>346</v>
      </c>
      <c r="AC1117" s="936"/>
      <c r="AD1117" s="936"/>
      <c r="AE1117" s="936"/>
      <c r="AF1117" s="937"/>
      <c r="AG1117" s="196">
        <f ca="1">IF($B$1106="Лікар загальної практики - сімейний лікар",IF(AG1110&gt;=Законод!$J$22,'01_Доходи'!AG1110-('01_Доходи'!AG1111+'01_Доходи'!AG1112+'01_Доходи'!AG1113+'01_Доходи'!AG1114+'01_Доходи'!AG1115+'01_Доходи'!AG1116),0),IF($B$1106="Лікар-педіатр",IF(AG1110&gt;=Законод!$J$18,'01_Доходи'!AG1110-('01_Доходи'!AG1111+'01_Доходи'!AG1112+'01_Доходи'!AG1113+'01_Доходи'!AG1114+'01_Доходи'!AG1115+'01_Доходи'!AG1116),0),IF($B$1106="Лікар-терапевт",IF('01_Доходи'!AG1110&gt;=Законод!$J$26,AG1110-Законод!$I$27,0),0)))</f>
        <v>0</v>
      </c>
      <c r="AH1117" s="931"/>
      <c r="AI1117" s="215"/>
      <c r="AJ1117" s="934"/>
      <c r="AK1117" s="928"/>
      <c r="AL1117" s="928"/>
      <c r="AM1117" s="900"/>
      <c r="AN1117" s="216">
        <f ca="1">IF(B1106="Лікар загальної практики - сімейний лікар",L1117*Законод!$C$9/4*Законод!$J$16,IF(B1106="Лікар-педіатр",L1117*Законод!$C$9/4*Законод!$J$16,IF(B1106="Лікар-терапевт",L1117*Законод!$C$9/4*Законод!$J$16,0)))</f>
        <v>0</v>
      </c>
      <c r="AO1117" s="216">
        <f ca="1">IF(B1106="Лікар загальної практики - сімейний лікар",S1117*Законод!$C$9/4*Законод!$J$16,IF(B1106="Лікар-педіатр",S1117*Законод!$C$9/4*Законод!$J$16,IF(B1106="Лікар-терапевт",S1117*Законод!$C$9/4*Законод!$J$16,0)))</f>
        <v>0</v>
      </c>
      <c r="AP1117" s="216">
        <f ca="1">IF(B1106="Лікар загальної практики - сімейний лікар",S1117*Законод!$C$9/4*Законод!$J$16,IF(B1106="Лікар-педіатр",S1117*Законод!$C$9/4*Законод!$J$16,IF(B1106="Лікар-терапевт",S1117*Законод!$C$9/4*Законод!$J$16,0)))</f>
        <v>0</v>
      </c>
      <c r="AQ1117" s="216">
        <f ca="1">IF(B1106="Лікар загальної практики - сімейний лікар",AG1117*Законод!$C$9/4*Законод!$J$16,IF(B1106="Лікар-педіатр",AG1117*Законод!$C$9/4*Законод!$J$16,IF(B1106="Лікар-терапевт",AG1117*Законод!$C$9/4*Законод!$J$16,0)))</f>
        <v>0</v>
      </c>
      <c r="AR1117" s="217">
        <f t="shared" si="112"/>
        <v>0</v>
      </c>
    </row>
    <row r="1118" spans="1:44" s="247" customFormat="1" ht="23.45" hidden="1" customHeight="1" thickBot="1">
      <c r="A1118" s="243"/>
      <c r="B1118" s="244"/>
      <c r="C1118" s="244"/>
      <c r="D1118" s="244"/>
      <c r="E1118" s="244"/>
      <c r="F1118" s="245"/>
      <c r="G1118" s="246"/>
      <c r="H1118" s="246"/>
      <c r="L1118" s="248"/>
      <c r="S1118" s="248"/>
      <c r="Z1118" s="248"/>
      <c r="AG1118" s="248"/>
      <c r="AM1118" s="249"/>
      <c r="AR1118" s="250"/>
    </row>
    <row r="1119" spans="1:44" s="191" customFormat="1" ht="24.6" hidden="1" customHeight="1">
      <c r="A1119" s="194">
        <f>A1106+1</f>
        <v>84</v>
      </c>
      <c r="B1119" s="892"/>
      <c r="C1119" s="895"/>
      <c r="D1119" s="911"/>
      <c r="E1119" s="908"/>
      <c r="F1119" s="234" t="s">
        <v>582</v>
      </c>
      <c r="G1119" s="196">
        <f>IF($B$1119="Лікар-педіатр",G1122*L1119,IF($B$1119="Лікар-терапевт","х",IF($B$1119="Лікар загальної практики - сімейний лікар",G1122*L1119,0)))</f>
        <v>0</v>
      </c>
      <c r="H1119" s="196">
        <f>IF($B$1119="Лікар-педіатр",H1122*L1119,IF($B$1119="Лікар-терапевт","х",IF($B$1119="Лікар загальної практики - сімейний лікар",H1122*L1119,0)))</f>
        <v>0</v>
      </c>
      <c r="I1119" s="196">
        <f>IF($B$1119="Лікар-педіатр","x",IF($B$1119="Лікар-терапевт",I1122*L1119,IF($B$1119="Лікар загальної практики - сімейний лікар",I1122*L1119,0)))</f>
        <v>0</v>
      </c>
      <c r="J1119" s="196">
        <f>IF($B$1119="Лікар-педіатр","x",IF($B$1119="Лікар-терапевт",J1122*L1119,IF($B$1119="Лікар загальної практики - сімейний лікар",J1122*L1119,0)))</f>
        <v>0</v>
      </c>
      <c r="K1119" s="196">
        <f>IF($B$1119="Лікар-педіатр","x",IF($B$1119="Лікар-терапевт",K1122*L1119,IF($B$1119="Лікар загальної практики - сімейний лікар",K1122*L1119,0)))</f>
        <v>0</v>
      </c>
      <c r="L1119" s="558"/>
      <c r="M1119" s="929"/>
      <c r="N1119" s="196">
        <f>IF($B$1119="Лікар-педіатр",N1122*S1119,IF($B$1119="Лікар-терапевт","х",IF($B$1119="Лікар загальної практики - сімейний лікар",N1122*S1119,0)))</f>
        <v>0</v>
      </c>
      <c r="O1119" s="196">
        <f>IF($B$1119="Лікар-педіатр",O1122*S1119,IF($B$1119="Лікар-терапевт","х",IF($B$1119="Лікар загальної практики - сімейний лікар",O1122*S1119,0)))</f>
        <v>0</v>
      </c>
      <c r="P1119" s="196">
        <f>IF($B$1119="Лікар-педіатр","x",IF($B$1119="Лікар-терапевт",P1122*S1119,IF($B$1119="Лікар загальної практики - сімейний лікар",P1122*S1119,0)))</f>
        <v>0</v>
      </c>
      <c r="Q1119" s="196">
        <f>IF($B$1119="Лікар-педіатр","x",IF($B$1119="Лікар-терапевт",Q1122*S1119,IF($B$1119="Лікар загальної практики - сімейний лікар",Q1122*S1119,0)))</f>
        <v>0</v>
      </c>
      <c r="R1119" s="196">
        <f>IF($B$1119="Лікар-педіатр","x",IF($B$1119="Лікар-терапевт",R1122*S1119,IF($B$1119="Лікар загальної практики - сімейний лікар",R1122*S1119,0)))</f>
        <v>0</v>
      </c>
      <c r="S1119" s="558"/>
      <c r="T1119" s="929"/>
      <c r="U1119" s="196">
        <f>IF($B$1119="Лікар-педіатр",U1122*Z1119,IF($B$1119="Лікар-терапевт","х",IF($B$1119="Лікар загальної практики - сімейний лікар",U1122*Z1119,0)))</f>
        <v>0</v>
      </c>
      <c r="V1119" s="196">
        <f>IF($B$1119="Лікар-педіатр",V1122*Z1119,IF($B$1119="Лікар-терапевт","х",IF($B$1119="Лікар загальної практики - сімейний лікар",V1122*Z1119,0)))</f>
        <v>0</v>
      </c>
      <c r="W1119" s="196">
        <f>IF($B$1119="Лікар-педіатр","x",IF($B$1119="Лікар-терапевт",W1122*Z1119,IF($B$1119="Лікар загальної практики - сімейний лікар",W1122*Z1119,0)))</f>
        <v>0</v>
      </c>
      <c r="X1119" s="196">
        <f>IF($B$1119="Лікар-педіатр","x",IF($B$1119="Лікар-терапевт",X1122*Z1119,IF($B$1119="Лікар загальної практики - сімейний лікар",X1122*Z1119,0)))</f>
        <v>0</v>
      </c>
      <c r="Y1119" s="196">
        <f>IF($B$1119="Лікар-педіатр","x",IF($B$1119="Лікар-терапевт",Y1122*Z1119,IF($B$1119="Лікар загальної практики - сімейний лікар",Y1122*Z1119,0)))</f>
        <v>0</v>
      </c>
      <c r="Z1119" s="558"/>
      <c r="AA1119" s="929"/>
      <c r="AB1119" s="196">
        <f>IF($B$1119="Лікар-педіатр",AB1122*AG1119,IF($B$1119="Лікар-терапевт","х",IF($B$1119="Лікар загальної практики - сімейний лікар",AB1122*AG1119,0)))</f>
        <v>0</v>
      </c>
      <c r="AC1119" s="196">
        <f>IF($B$1119="Лікар-педіатр",AC1122*AG1119,IF($B$1119="Лікар-терапевт","х",IF($B$1119="Лікар загальної практики - сімейний лікар",AC1122*AG1119,0)))</f>
        <v>0</v>
      </c>
      <c r="AD1119" s="196">
        <f>IF($B$1119="Лікар-педіатр","x",IF($B$1119="Лікар-терапевт",AD1122*AG1119,IF($B$1119="Лікар загальної практики - сімейний лікар",AD1122*AG1119,0)))</f>
        <v>0</v>
      </c>
      <c r="AE1119" s="196">
        <f>IF($B$1119="Лікар-педіатр","x",IF($B$1119="Лікар-терапевт",AE1122*AG1119,IF($B$1119="Лікар загальної практики - сімейний лікар",AE1122*AG1119,0)))</f>
        <v>0</v>
      </c>
      <c r="AF1119" s="196">
        <f>IF($B$1119="Лікар-педіатр","x",IF($B$1119="Лікар-терапевт",AF1122*AG1119,IF($B$1119="Лікар загальної практики - сімейний лікар",AF1122*AG1119,0)))</f>
        <v>0</v>
      </c>
      <c r="AG1119" s="558"/>
      <c r="AH1119" s="929"/>
      <c r="AI1119" s="541">
        <f>A1119</f>
        <v>84</v>
      </c>
      <c r="AJ1119" s="932">
        <f>B1119</f>
        <v>0</v>
      </c>
      <c r="AK1119" s="926">
        <f>C1119</f>
        <v>0</v>
      </c>
      <c r="AL1119" s="926">
        <f>D1119</f>
        <v>0</v>
      </c>
      <c r="AM1119" s="901" t="s">
        <v>785</v>
      </c>
      <c r="AN1119" s="923">
        <f>SUM(AN1124:AN1130)</f>
        <v>0</v>
      </c>
      <c r="AO1119" s="923">
        <f>SUM(AO1124:AO1130)</f>
        <v>0</v>
      </c>
      <c r="AP1119" s="923">
        <f>SUM(AP1124:AP1130)</f>
        <v>0</v>
      </c>
      <c r="AQ1119" s="923">
        <f>SUM(AQ1124:AQ1130)</f>
        <v>0</v>
      </c>
      <c r="AR1119" s="914">
        <f>SUM(AN1119:AQ1123)</f>
        <v>0</v>
      </c>
    </row>
    <row r="1120" spans="1:44" s="50" customFormat="1" ht="28.15" hidden="1" customHeight="1">
      <c r="A1120" s="197"/>
      <c r="B1120" s="893"/>
      <c r="C1120" s="896"/>
      <c r="D1120" s="912"/>
      <c r="E1120" s="909"/>
      <c r="F1120" s="234" t="s">
        <v>583</v>
      </c>
      <c r="G1120" s="196">
        <f>IF($B$1119="Лікар-педіатр",G1122*L1120,IF($B$1119="Лікар-терапевт","х",IF($B$1119="Лікар загальної практики - сімейний лікар",G1122*L1120,0)))</f>
        <v>0</v>
      </c>
      <c r="H1120" s="196">
        <f>IF($B$1119="Лікар-педіатр",H1122*L1120,IF($B$1119="Лікар-терапевт","х",IF($B$1119="Лікар загальної практики - сімейний лікар",H1122*L1120,0)))</f>
        <v>0</v>
      </c>
      <c r="I1120" s="196">
        <f>IF($B$1119="Лікар-педіатр","x",IF($B$1119="Лікар-терапевт",I1122*L1120,IF($B$1119="Лікар загальної практики - сімейний лікар",I1122*L1120,0)))</f>
        <v>0</v>
      </c>
      <c r="J1120" s="196">
        <f>IF($B$1119="Лікар-педіатр","x",IF($B$1119="Лікар-терапевт",J1122*L1120,IF($B$1119="Лікар загальної практики - сімейний лікар",J1122*L1120,0)))</f>
        <v>0</v>
      </c>
      <c r="K1120" s="196">
        <f>IF($B$1119="Лікар-педіатр","x",IF($B$1119="Лікар-терапевт",K1122*L1120,IF($B$1119="Лікар загальної практики - сімейний лікар",K1122*L1120,0)))</f>
        <v>0</v>
      </c>
      <c r="L1120" s="558"/>
      <c r="M1120" s="930"/>
      <c r="N1120" s="196">
        <f>IF($B$1119="Лікар-педіатр",N1122*S1120,IF($B$1119="Лікар-терапевт","х",IF($B$1119="Лікар загальної практики - сімейний лікар",N1122*S1120,0)))</f>
        <v>0</v>
      </c>
      <c r="O1120" s="196">
        <f>IF($B$1119="Лікар-педіатр",O1122*S1120,IF($B$1119="Лікар-терапевт","х",IF($B$1119="Лікар загальної практики - сімейний лікар",O1122*S1120,0)))</f>
        <v>0</v>
      </c>
      <c r="P1120" s="196">
        <f>IF($B$1119="Лікар-педіатр","x",IF($B$1119="Лікар-терапевт",P1122*S1120,IF($B$1119="Лікар загальної практики - сімейний лікар",P1122*S1120,0)))</f>
        <v>0</v>
      </c>
      <c r="Q1120" s="196">
        <f>IF($B$1119="Лікар-педіатр","x",IF($B$1119="Лікар-терапевт",Q1122*S1120,IF($B$1119="Лікар загальної практики - сімейний лікар",Q1122*S1120,0)))</f>
        <v>0</v>
      </c>
      <c r="R1120" s="196">
        <f>IF($B$1119="Лікар-педіатр","x",IF($B$1119="Лікар-терапевт",R1122*S1120,IF($B$1119="Лікар загальної практики - сімейний лікар",R1122*S1120,0)))</f>
        <v>0</v>
      </c>
      <c r="S1120" s="558"/>
      <c r="T1120" s="930"/>
      <c r="U1120" s="196">
        <f>IF($B$1119="Лікар-педіатр",U1122*Z1120,IF($B$1119="Лікар-терапевт","х",IF($B$1119="Лікар загальної практики - сімейний лікар",U1122*Z1120,0)))</f>
        <v>0</v>
      </c>
      <c r="V1120" s="196">
        <f>IF($B$1119="Лікар-педіатр",V1122*Z1120,IF($B$1119="Лікар-терапевт","х",IF($B$1119="Лікар загальної практики - сімейний лікар",V1122*Z1120,0)))</f>
        <v>0</v>
      </c>
      <c r="W1120" s="196">
        <f>IF($B$1119="Лікар-педіатр","x",IF($B$1119="Лікар-терапевт",W1122*Z1120,IF($B$1119="Лікар загальної практики - сімейний лікар",W1122*Z1120,0)))</f>
        <v>0</v>
      </c>
      <c r="X1120" s="196">
        <f>IF($B$1119="Лікар-педіатр","x",IF($B$1119="Лікар-терапевт",X1122*Z1120,IF($B$1119="Лікар загальної практики - сімейний лікар",X1122*Z1120,0)))</f>
        <v>0</v>
      </c>
      <c r="Y1120" s="196">
        <f>IF($B$1119="Лікар-педіатр","x",IF($B$1119="Лікар-терапевт",Y1122*Z1120,IF($B$1119="Лікар загальної практики - сімейний лікар",Y1122*Z1120,0)))</f>
        <v>0</v>
      </c>
      <c r="Z1120" s="558"/>
      <c r="AA1120" s="930"/>
      <c r="AB1120" s="196">
        <f>IF($B$1119="Лікар-педіатр",AB1122*AG1120,IF($B$1119="Лікар-терапевт","х",IF($B$1119="Лікар загальної практики - сімейний лікар",AB1122*AG1120,0)))</f>
        <v>0</v>
      </c>
      <c r="AC1120" s="196">
        <f>IF($B$1119="Лікар-педіатр",AC1122*AG1120,IF($B$1119="Лікар-терапевт","х",IF($B$1119="Лікар загальної практики - сімейний лікар",AC1122*AG1120,0)))</f>
        <v>0</v>
      </c>
      <c r="AD1120" s="196">
        <f>IF($B$1119="Лікар-педіатр","x",IF($B$1119="Лікар-терапевт",AD1122*AG1120,IF($B$1119="Лікар загальної практики - сімейний лікар",AD1122*AG1120,0)))</f>
        <v>0</v>
      </c>
      <c r="AE1120" s="196">
        <f>IF($B$1119="Лікар-педіатр","x",IF($B$1119="Лікар-терапевт",AE1122*AG1120,IF($B$1119="Лікар загальної практики - сімейний лікар",AE1122*AG1120,0)))</f>
        <v>0</v>
      </c>
      <c r="AF1120" s="196">
        <f>IF($B$1119="Лікар-педіатр","x",IF($B$1119="Лікар-терапевт",AF1122*AG1120,IF($B$1119="Лікар загальної практики - сімейний лікар",AF1122*AG1120,0)))</f>
        <v>0</v>
      </c>
      <c r="AG1120" s="558"/>
      <c r="AH1120" s="930"/>
      <c r="AI1120" s="198"/>
      <c r="AJ1120" s="933"/>
      <c r="AK1120" s="927"/>
      <c r="AL1120" s="927"/>
      <c r="AM1120" s="902"/>
      <c r="AN1120" s="924"/>
      <c r="AO1120" s="924"/>
      <c r="AP1120" s="924"/>
      <c r="AQ1120" s="924"/>
      <c r="AR1120" s="915"/>
    </row>
    <row r="1121" spans="1:44" s="90" customFormat="1" ht="31.15" hidden="1" customHeight="1">
      <c r="A1121" s="240"/>
      <c r="B1121" s="893"/>
      <c r="C1121" s="896"/>
      <c r="D1121" s="912"/>
      <c r="E1121" s="909"/>
      <c r="F1121" s="241" t="s">
        <v>584</v>
      </c>
      <c r="G1121" s="199">
        <f>IF(B1119="Лікар загальної практики - сімейний лікар"," ",IF(B1119="Лікар-педіатр"," ",IF(B1119="Лікар-терапевт","х",0)))</f>
        <v>0</v>
      </c>
      <c r="H1121" s="199">
        <f>IF(B1119="Лікар загальної практики - сімейний лікар"," ",IF(B1119="Лікар-педіатр"," ",IF(B1119="Лікар-терапевт","х",0)))</f>
        <v>0</v>
      </c>
      <c r="I1121" s="199">
        <f>IF(B1119="Лікар загальної практики - сімейний лікар"," ",IF(B1119="Лікар-педіатр","х",IF(B1119="Лікар-терапевт"," ",0)))</f>
        <v>0</v>
      </c>
      <c r="J1121" s="199">
        <f>IF(B1119="Лікар загальної практики - сімейний лікар"," ",IF(B1119="Лікар-педіатр","х",IF(B1119="Лікар-терапевт"," ",0)))</f>
        <v>0</v>
      </c>
      <c r="K1121" s="199">
        <f>IF(B1119="Лікар загальної практики - сімейний лікар"," ",IF(B1119="Лікар-педіатр","х",IF(B1119="Лікар-терапевт"," ",0)))</f>
        <v>0</v>
      </c>
      <c r="L1121" s="200">
        <f>SUM(G1121:K1121)</f>
        <v>0</v>
      </c>
      <c r="M1121" s="930"/>
      <c r="N1121" s="199">
        <f>IF(B1119="Лікар загальної практики - сімейний лікар"," ",IF(B1119="Лікар-педіатр"," ",IF(B1119="Лікар-терапевт","х",0)))</f>
        <v>0</v>
      </c>
      <c r="O1121" s="199">
        <f>IF(B1119="Лікар загальної практики - сімейний лікар"," ",IF(B1119="Лікар-педіатр"," ",IF(B1119="Лікар-терапевт","х",0)))</f>
        <v>0</v>
      </c>
      <c r="P1121" s="199">
        <f>IF(B1119="Лікар загальної практики - сімейний лікар"," ",IF(B1119="Лікар-педіатр","х",IF(B1119="Лікар-терапевт"," ",0)))</f>
        <v>0</v>
      </c>
      <c r="Q1121" s="199">
        <f>IF(B1119="Лікар загальної практики - сімейний лікар"," ",IF(B1119="Лікар-педіатр","х",IF(B1119="Лікар-терапевт"," ",0)))</f>
        <v>0</v>
      </c>
      <c r="R1121" s="199">
        <f>IF(B1119="Лікар загальної практики - сімейний лікар"," ",IF(B1119="Лікар-педіатр","х",IF(B1119="Лікар-терапевт"," ",0)))</f>
        <v>0</v>
      </c>
      <c r="S1121" s="200">
        <f>SUM(N1121:R1121)</f>
        <v>0</v>
      </c>
      <c r="T1121" s="930"/>
      <c r="U1121" s="199">
        <f>IF(B1119="Лікар загальної практики - сімейний лікар"," ",IF(B1119="Лікар-педіатр"," ",IF(B1119="Лікар-терапевт","х",0)))</f>
        <v>0</v>
      </c>
      <c r="V1121" s="199">
        <f>IF(B1119="Лікар загальної практики - сімейний лікар"," ",IF(B1119="Лікар-педіатр"," ",IF(B1119="Лікар-терапевт","х",0)))</f>
        <v>0</v>
      </c>
      <c r="W1121" s="199">
        <f>IF(B1119="Лікар загальної практики - сімейний лікар"," ",IF(B1119="Лікар-педіатр","х",IF(B1119="Лікар-терапевт"," ",0)))</f>
        <v>0</v>
      </c>
      <c r="X1121" s="199">
        <f>IF(B1119="Лікар загальної практики - сімейний лікар"," ",IF(B1119="Лікар-педіатр","х",IF(B1119="Лікар-терапевт"," ",0)))</f>
        <v>0</v>
      </c>
      <c r="Y1121" s="199">
        <f>IF(B1119="Лікар загальної практики - сімейний лікар"," ",IF(B1119="Лікар-педіатр","х",IF(B1119="Лікар-терапевт"," ",0)))</f>
        <v>0</v>
      </c>
      <c r="Z1121" s="200">
        <f>SUM(U1121:Y1121)</f>
        <v>0</v>
      </c>
      <c r="AA1121" s="930"/>
      <c r="AB1121" s="199">
        <f>IF(B1119="Лікар загальної практики - сімейний лікар"," ",IF(B1119="Лікар-педіатр"," ",IF(B1119="Лікар-терапевт","х",0)))</f>
        <v>0</v>
      </c>
      <c r="AC1121" s="199">
        <f>IF(B1119="Лікар загальної практики - сімейний лікар"," ",IF(B1119="Лікар-педіатр"," ",IF(B1119="Лікар-терапевт","х",0)))</f>
        <v>0</v>
      </c>
      <c r="AD1121" s="199">
        <f>IF(B1119="Лікар загальної практики - сімейний лікар"," ",IF(B1119="Лікар-педіатр","х",IF(B1119="Лікар-терапевт"," ",0)))</f>
        <v>0</v>
      </c>
      <c r="AE1121" s="199">
        <f>IF(B1119="Лікар загальної практики - сімейний лікар"," ",IF(B1119="Лікар-педіатр","х",IF(B1119="Лікар-терапевт"," ",0)))</f>
        <v>0</v>
      </c>
      <c r="AF1121" s="199">
        <f>IF(B1119="Лікар загальної практики - сімейний лікар"," ",IF(B1119="Лікар-педіатр","х",IF(B1119="Лікар-терапевт"," ",0)))</f>
        <v>0</v>
      </c>
      <c r="AG1121" s="200">
        <f>SUM(AB1121:AF1121)</f>
        <v>0</v>
      </c>
      <c r="AH1121" s="930"/>
      <c r="AI1121" s="242"/>
      <c r="AJ1121" s="933"/>
      <c r="AK1121" s="927"/>
      <c r="AL1121" s="927"/>
      <c r="AM1121" s="902"/>
      <c r="AN1121" s="924"/>
      <c r="AO1121" s="924"/>
      <c r="AP1121" s="924"/>
      <c r="AQ1121" s="924"/>
      <c r="AR1121" s="915"/>
    </row>
    <row r="1122" spans="1:44" s="50" customFormat="1" ht="31.9" hidden="1" customHeight="1" thickBot="1">
      <c r="A1122" s="197"/>
      <c r="B1122" s="893"/>
      <c r="C1122" s="896"/>
      <c r="D1122" s="912"/>
      <c r="E1122" s="909"/>
      <c r="F1122" s="236" t="s">
        <v>349</v>
      </c>
      <c r="G1122" s="203">
        <f>IF($B$1119="Лікар-педіатр",G1121/L1121,IF($B$1119="Лікар-терапевт","х",IF($B$1119="Лікар загальної практики - сімейний лікар",G1121/L1121,0)))</f>
        <v>0</v>
      </c>
      <c r="H1122" s="203">
        <f>IF($B$1119="Лікар-педіатр",H1121/L1121,IF($B$1119="Лікар-терапевт","х",IF($B$1119="Лікар загальної практики - сімейний лікар",H1121/L1121,0)))</f>
        <v>0</v>
      </c>
      <c r="I1122" s="203">
        <f>IF($B$1119="Лікар-педіатр","x",IF($B$1119="Лікар-терапевт",I1121/L1121,IF($B$1119="Лікар загальної практики - сімейний лікар",I1121/L1121,0)))</f>
        <v>0</v>
      </c>
      <c r="J1122" s="203">
        <f>IF($B$1119="Лікар-педіатр","x",IF($B$1119="Лікар-терапевт",J1121/L1121,IF($B$1119="Лікар загальної практики - сімейний лікар",J1121/L1121,0)))</f>
        <v>0</v>
      </c>
      <c r="K1122" s="203">
        <f>IF($B$1119="Лікар-педіатр","x",IF($B$1119="Лікар-терапевт",K1121/L1121,IF($B$1119="Лікар загальної практики - сімейний лікар",K1121/L1121,0)))</f>
        <v>0</v>
      </c>
      <c r="L1122" s="203">
        <f>SUM(G1122:K1122)</f>
        <v>0</v>
      </c>
      <c r="M1122" s="930"/>
      <c r="N1122" s="203">
        <f>IF($B$1119="Лікар-педіатр",N1121/S1121,IF($B$1119="Лікар-терапевт","х",IF($B$1119="Лікар загальної практики - сімейний лікар",N1121/S1121,0)))</f>
        <v>0</v>
      </c>
      <c r="O1122" s="203">
        <f>IF($B$1119="Лікар-педіатр",O1121/S1121,IF($B$1119="Лікар-терапевт","х",IF($B$1119="Лікар загальної практики - сімейний лікар",O1121/S1121,0)))</f>
        <v>0</v>
      </c>
      <c r="P1122" s="203">
        <f>IF($B$1119="Лікар-педіатр","x",IF($B$1119="Лікар-терапевт",P1121/S1121,IF($B$1119="Лікар загальної практики - сімейний лікар",P1121/S1121,0)))</f>
        <v>0</v>
      </c>
      <c r="Q1122" s="203">
        <f>IF($B$1119="Лікар-педіатр","x",IF($B$1119="Лікар-терапевт",Q1121/S1121,IF($B$1119="Лікар загальної практики - сімейний лікар",Q1121/S1121,0)))</f>
        <v>0</v>
      </c>
      <c r="R1122" s="203">
        <f>IF($B$1119="Лікар-педіатр","x",IF($B$1119="Лікар-терапевт",R1121/S1121,IF($B$1119="Лікар загальної практики - сімейний лікар",R1121/S1121,0)))</f>
        <v>0</v>
      </c>
      <c r="S1122" s="203">
        <f>SUM(N1122:R1122)</f>
        <v>0</v>
      </c>
      <c r="T1122" s="930"/>
      <c r="U1122" s="203">
        <f>IF($B$1119="Лікар-педіатр",U1121/Z1121,IF($B$1119="Лікар-терапевт","х",IF($B$1119="Лікар загальної практики - сімейний лікар",U1121/Z1121,0)))</f>
        <v>0</v>
      </c>
      <c r="V1122" s="203">
        <f>IF($B$1119="Лікар-педіатр",V1121/Z1121,IF($B$1119="Лікар-терапевт","х",IF($B$1119="Лікар загальної практики - сімейний лікар",V1121/Z1121,0)))</f>
        <v>0</v>
      </c>
      <c r="W1122" s="203">
        <f>IF($B$1119="Лікар-педіатр","x",IF($B$1119="Лікар-терапевт",W1121/Z1121,IF($B$1119="Лікар загальної практики - сімейний лікар",W1121/Z1121,0)))</f>
        <v>0</v>
      </c>
      <c r="X1122" s="203">
        <f>IF($B$1119="Лікар-педіатр","x",IF($B$1119="Лікар-терапевт",X1121/Z1121,IF($B$1119="Лікар загальної практики - сімейний лікар",X1121/Z1121,0)))</f>
        <v>0</v>
      </c>
      <c r="Y1122" s="203">
        <f>IF($B$1119="Лікар-педіатр","x",IF($B$1119="Лікар-терапевт",Y1121/Z1121,IF($B$1119="Лікар загальної практики - сімейний лікар",Y1121/Z1121,0)))</f>
        <v>0</v>
      </c>
      <c r="Z1122" s="203">
        <f>SUM(U1122:Y1122)</f>
        <v>0</v>
      </c>
      <c r="AA1122" s="930"/>
      <c r="AB1122" s="203">
        <f>IF($B$1119="Лікар-педіатр",AB1121/AG1121,IF($B$1119="Лікар-терапевт","х",IF($B$1119="Лікар загальної практики - сімейний лікар",AB1121/AG1121,0)))</f>
        <v>0</v>
      </c>
      <c r="AC1122" s="203">
        <f>IF($B$1119="Лікар-педіатр",AC1121/AG1121,IF($B$1119="Лікар-терапевт","х",IF($B$1119="Лікар загальної практики - сімейний лікар",AC1121/AG1121,0)))</f>
        <v>0</v>
      </c>
      <c r="AD1122" s="203">
        <f>IF($B$1119="Лікар-педіатр","x",IF($B$1119="Лікар-терапевт",AD1121/AG1121,IF($B$1119="Лікар загальної практики - сімейний лікар",AD1121/AG1121,0)))</f>
        <v>0</v>
      </c>
      <c r="AE1122" s="203">
        <f>IF($B$1119="Лікар-педіатр","x",IF($B$1119="Лікар-терапевт",AE1121/AG1121,IF($B$1119="Лікар загальної практики - сімейний лікар",AE1121/AG1121,0)))</f>
        <v>0</v>
      </c>
      <c r="AF1122" s="203">
        <f>IF($B$1119="Лікар-педіатр","x",IF($B$1119="Лікар-терапевт",AF1121/AG1121,IF($B$1119="Лікар загальної практики - сімейний лікар",AF1121/AG1121,0)))</f>
        <v>0</v>
      </c>
      <c r="AG1122" s="203">
        <f>SUM(AB1122:AF1122)</f>
        <v>0</v>
      </c>
      <c r="AH1122" s="930"/>
      <c r="AI1122" s="201"/>
      <c r="AJ1122" s="933"/>
      <c r="AK1122" s="927"/>
      <c r="AL1122" s="927"/>
      <c r="AM1122" s="902"/>
      <c r="AN1122" s="924"/>
      <c r="AO1122" s="924"/>
      <c r="AP1122" s="924"/>
      <c r="AQ1122" s="924"/>
      <c r="AR1122" s="915"/>
    </row>
    <row r="1123" spans="1:44" s="50" customFormat="1" ht="45" hidden="1" customHeight="1" thickBot="1">
      <c r="A1123" s="197"/>
      <c r="B1123" s="893"/>
      <c r="C1123" s="896"/>
      <c r="D1123" s="912"/>
      <c r="E1123" s="909"/>
      <c r="F1123" s="204" t="s">
        <v>585</v>
      </c>
      <c r="G1123" s="205">
        <f>IF($B$1119="Лікар загальної практики - сімейний лікар",AVERAGE(G1119:G1121),IF($B$1119="Лікар-педіатр",AVERAGE(G1119:G1121),IF($B$1119="Лікар-терапевт","х",0)))</f>
        <v>0</v>
      </c>
      <c r="H1123" s="205">
        <f>IF($B$1119="Лікар загальної практики - сімейний лікар",AVERAGE(H1119:H1121),IF($B$1119="Лікар-педіатр",AVERAGE(H1119:H1121),IF($B$1119="Лікар-терапевт","х",0)))</f>
        <v>0</v>
      </c>
      <c r="I1123" s="205">
        <f>IF($B$1119="Лікар загальної практики - сімейний лікар",AVERAGE(I1119:I1121),IF($B$1119="Лікар-педіатр","x",IF($B$1119="Лікар-терапевт",AVERAGE(I1119:I1121),0)))</f>
        <v>0</v>
      </c>
      <c r="J1123" s="205">
        <f>IF($B$1119="Лікар загальної практики - сімейний лікар",AVERAGE(J1119:J1121),IF($B$1119="Лікар-педіатр","x",IF($B$1119="Лікар-терапевт",AVERAGE(J1119:J1121),0)))</f>
        <v>0</v>
      </c>
      <c r="K1123" s="205">
        <f>IF($B$1119="Лікар загальної практики - сімейний лікар",AVERAGE(K1119:K1121),IF($B$1119="Лікар-педіатр","x",IF($B$1119="Лікар-терапевт",AVERAGE(K1119:K1121),0)))</f>
        <v>0</v>
      </c>
      <c r="L1123" s="206">
        <f>SUM(G1123:K1123)</f>
        <v>0</v>
      </c>
      <c r="M1123" s="930"/>
      <c r="N1123" s="205">
        <f>IF($B$1119="Лікар загальної практики - сімейний лікар",AVERAGE(N1119:N1121),IF($B$1119="Лікар-педіатр",AVERAGE(N1119:N1121),IF($B$1119="Лікар-терапевт","х",0)))</f>
        <v>0</v>
      </c>
      <c r="O1123" s="205">
        <f>IF($B$1119="Лікар загальної практики - сімейний лікар",AVERAGE(O1119:O1121),IF($B$1119="Лікар-педіатр",AVERAGE(O1119:O1121),IF($B$1119="Лікар-терапевт","х",0)))</f>
        <v>0</v>
      </c>
      <c r="P1123" s="205">
        <f>IF($B$1119="Лікар загальної практики - сімейний лікар",AVERAGE(P1119:P1121),IF($B$1119="Лікар-педіатр","x",IF($B$1119="Лікар-терапевт",AVERAGE(P1119:P1121),0)))</f>
        <v>0</v>
      </c>
      <c r="Q1123" s="205">
        <f>IF($B$1119="Лікар загальної практики - сімейний лікар",AVERAGE(Q1119:Q1121),IF($B$1119="Лікар-педіатр","x",IF($B$1119="Лікар-терапевт",AVERAGE(Q1119:Q1121),0)))</f>
        <v>0</v>
      </c>
      <c r="R1123" s="205">
        <f>IF($B$1119="Лікар загальної практики - сімейний лікар",AVERAGE(R1119:R1121),IF($B$1119="Лікар-педіатр","x",IF($B$1119="Лікар-терапевт",AVERAGE(R1119:R1121),0)))</f>
        <v>0</v>
      </c>
      <c r="S1123" s="206">
        <f>SUM(N1123:R1123)</f>
        <v>0</v>
      </c>
      <c r="T1123" s="930"/>
      <c r="U1123" s="205">
        <f>IF($B$1119="Лікар загальної практики - сімейний лікар",AVERAGE(U1119:U1121),IF($B$1119="Лікар-педіатр",AVERAGE(U1119:U1121),IF($B$1119="Лікар-терапевт","х",0)))</f>
        <v>0</v>
      </c>
      <c r="V1123" s="205">
        <f>IF($B$1119="Лікар загальної практики - сімейний лікар",AVERAGE(V1119:V1121),IF($B$1119="Лікар-педіатр",AVERAGE(V1119:V1121),IF($B$1119="Лікар-терапевт","х",0)))</f>
        <v>0</v>
      </c>
      <c r="W1123" s="205">
        <f>IF($B$1119="Лікар загальної практики - сімейний лікар",AVERAGE(W1119:W1121),IF($B$1119="Лікар-педіатр","x",IF($B$1119="Лікар-терапевт",AVERAGE(W1119:W1121),0)))</f>
        <v>0</v>
      </c>
      <c r="X1123" s="205">
        <f>IF($B$1119="Лікар загальної практики - сімейний лікар",AVERAGE(X1119:X1121),IF($B$1119="Лікар-педіатр","x",IF($B$1119="Лікар-терапевт",AVERAGE(X1119:X1121),0)))</f>
        <v>0</v>
      </c>
      <c r="Y1123" s="205">
        <f>IF($B$1119="Лікар загальної практики - сімейний лікар",AVERAGE(Y1119:Y1121),IF($B$1119="Лікар-педіатр","x",IF($B$1119="Лікар-терапевт",AVERAGE(Y1119:Y1121),0)))</f>
        <v>0</v>
      </c>
      <c r="Z1123" s="206">
        <f>SUM(U1123:Y1123)</f>
        <v>0</v>
      </c>
      <c r="AA1123" s="930"/>
      <c r="AB1123" s="205">
        <f>IF($B$1119="Лікар загальної практики - сімейний лікар",AVERAGE(AB1119:AB1121),IF($B$1119="Лікар-педіатр",AVERAGE(AB1119:AB1121),IF($B$1119="Лікар-терапевт","х",0)))</f>
        <v>0</v>
      </c>
      <c r="AC1123" s="205">
        <f>IF($B$1119="Лікар загальної практики - сімейний лікар",AVERAGE(AC1119:AC1121),IF($B$1119="Лікар-педіатр",AVERAGE(AC1119:AC1121),IF($B$1119="Лікар-терапевт","х",0)))</f>
        <v>0</v>
      </c>
      <c r="AD1123" s="205">
        <f>IF($B$1119="Лікар загальної практики - сімейний лікар",AVERAGE(AD1119:AD1121),IF($B$1119="Лікар-педіатр","x",IF($B$1119="Лікар-терапевт",AVERAGE(AD1119:AD1121),0)))</f>
        <v>0</v>
      </c>
      <c r="AE1123" s="205">
        <f>IF($B$1119="Лікар загальної практики - сімейний лікар",AVERAGE(AE1119:AE1121),IF($B$1119="Лікар-педіатр","x",IF($B$1119="Лікар-терапевт",AVERAGE(AE1119:AE1121),0)))</f>
        <v>0</v>
      </c>
      <c r="AF1123" s="205">
        <f>IF($B$1119="Лікар загальної практики - сімейний лікар",AVERAGE(AF1119:AF1121),IF($B$1119="Лікар-педіатр","x",IF($B$1119="Лікар-терапевт",AVERAGE(AF1119:AF1121),0)))</f>
        <v>0</v>
      </c>
      <c r="AG1123" s="206">
        <f>SUM(AB1123:AF1123)</f>
        <v>0</v>
      </c>
      <c r="AH1123" s="930"/>
      <c r="AI1123" s="201"/>
      <c r="AJ1123" s="933"/>
      <c r="AK1123" s="927"/>
      <c r="AL1123" s="927"/>
      <c r="AM1123" s="903"/>
      <c r="AN1123" s="925"/>
      <c r="AO1123" s="925"/>
      <c r="AP1123" s="925"/>
      <c r="AQ1123" s="925"/>
      <c r="AR1123" s="916"/>
    </row>
    <row r="1124" spans="1:44" s="50" customFormat="1" ht="40.5" hidden="1">
      <c r="A1124" s="197"/>
      <c r="B1124" s="893"/>
      <c r="C1124" s="896"/>
      <c r="D1124" s="912"/>
      <c r="E1124" s="909"/>
      <c r="F1124" s="237" t="str">
        <f ca="1">IF(B1119="Лікар-педіатр",Законод!$C$17,IF(B1119="Лікар загальної практики - сімейний лікар",Законод!$C$21,IF(B1119="Лікар-терапевт",Законод!$C$25,"х")))</f>
        <v>х</v>
      </c>
      <c r="G1124" s="208">
        <f ca="1">IF($B$1119="Лікар загальної практики - сімейний лікар",IF(L1123&lt;=Законод!$C$22,G1123,Законод!$C$22*'01_Доходи'!G1122),IF($B$1119="Лікар-педіатр",IF(L1123&lt;=Законод!$C$18,G1123,Законод!$C$18*'01_Доходи'!G1122),IF($B$1119="Лікар-терапевт","x",0)))</f>
        <v>0</v>
      </c>
      <c r="H1124" s="208">
        <f ca="1">IF($B$1119="Лікар загальної практики - сімейний лікар",IF(L1123&lt;=Законод!$C$22,H1123,Законод!$C$22*'01_Доходи'!H1122),IF($B$1119="Лікар-педіатр",IF(L1123&lt;=Законод!$C$18,H1123,Законод!$C$18*'01_Доходи'!H1122),IF($B$1119="Лікар-терапевт","x",0)))</f>
        <v>0</v>
      </c>
      <c r="I1124" s="208">
        <f ca="1">IF($B$1119="Лікар загальної практики - сімейний лікар",IF(L1123&lt;=Законод!$C$22,I1123,Законод!$C$22*'01_Доходи'!I1122),IF($B$1119="Лікар-педіатр","x",IF($B$1119="Лікар-терапевт",IF(L1123&lt;=Законод!$C$26,I1123,Законод!$C$26*'01_Доходи'!I1122),0)))</f>
        <v>0</v>
      </c>
      <c r="J1124" s="208">
        <f ca="1">IF($B$1119="Лікар загальної практики - сімейний лікар",IF(L1123&lt;=Законод!$C$22,J1123,Законод!$C$22*'01_Доходи'!J1122),IF($B$1119="Лікар-педіатр","x",IF($B$1119="Лікар-терапевт",IF(L1123&lt;=Законод!$C$26,J1123,Законод!$C$26*'01_Доходи'!J1122),0)))</f>
        <v>0</v>
      </c>
      <c r="K1124" s="208">
        <f ca="1">IF($B$1119="Лікар загальної практики - сімейний лікар",IF(L1123&lt;=Законод!$C$22,K1123,Законод!$C$22*'01_Доходи'!K1122),IF($B$1119="Лікар-педіатр","x",IF($B$1119="Лікар-терапевт",IF(L1123&lt;=Законод!$C$26,K1123,Законод!$C$26*'01_Доходи'!K1122),0)))</f>
        <v>0</v>
      </c>
      <c r="L1124" s="209">
        <f ca="1">SUM(G1124:K1124)</f>
        <v>0</v>
      </c>
      <c r="M1124" s="930"/>
      <c r="N1124" s="208">
        <f ca="1">IF($B$1119="Лікар загальної практики - сімейний лікар",IF(S1123&lt;=Законод!$C$22,N1123,Законод!$C$22*'01_Доходи'!N1122),IF($B$1119="Лікар-педіатр",IF(S1123&lt;=Законод!$C$18,N1123,Законод!$C$18*'01_Доходи'!N1122),IF($B$1119="Лікар-терапевт","x",0)))</f>
        <v>0</v>
      </c>
      <c r="O1124" s="208">
        <f ca="1">IF($B$1119="Лікар загальної практики - сімейний лікар",IF(S1123&lt;=Законод!$C$22,O1123,Законод!$C$22*'01_Доходи'!O1122),IF($B$1119="Лікар-педіатр",IF(S1123&lt;=Законод!$C$18,O1123,Законод!$C$18*'01_Доходи'!O1122),IF($B$1119="Лікар-терапевт","x",0)))</f>
        <v>0</v>
      </c>
      <c r="P1124" s="208">
        <f ca="1">IF($B$1119="Лікар загальної практики - сімейний лікар",IF(S1123&lt;=Законод!$C$22,P1123,Законод!$C$22*'01_Доходи'!P1122),IF($B$1119="Лікар-педіатр","x",IF($B$1119="Лікар-терапевт",IF(S1123&lt;=Законод!$C$26,P1123,Законод!$C$26*'01_Доходи'!P1122),0)))</f>
        <v>0</v>
      </c>
      <c r="Q1124" s="208">
        <f ca="1">IF($B$1119="Лікар загальної практики - сімейний лікар",IF(S1123&lt;=Законод!$C$22,Q1123,Законод!$C$22*'01_Доходи'!Q1122),IF($B$1119="Лікар-педіатр","x",IF($B$1119="Лікар-терапевт",IF(S1123&lt;=Законод!$C$26,Q1123,Законод!$C$26*'01_Доходи'!Q1122),0)))</f>
        <v>0</v>
      </c>
      <c r="R1124" s="208">
        <f ca="1">IF($B$1119="Лікар загальної практики - сімейний лікар",IF(S1123&lt;=Законод!$C$22,R1123,Законод!$C$22*'01_Доходи'!R1122),IF($B$1119="Лікар-педіатр","x",IF($B$1119="Лікар-терапевт",IF(S1123&lt;=Законод!$C$26,R1123,Законод!$C$26*'01_Доходи'!R1122),0)))</f>
        <v>0</v>
      </c>
      <c r="S1124" s="209">
        <f ca="1">SUM(N1124:R1124)</f>
        <v>0</v>
      </c>
      <c r="T1124" s="930"/>
      <c r="U1124" s="208">
        <f ca="1">IF($B$1119="Лікар загальної практики - сімейний лікар",IF(Z1123&lt;=Законод!$C$22,U1123,Законод!$C$22*'01_Доходи'!U1122),IF($B$1119="Лікар-педіатр",IF(Z1123&lt;=Законод!$C$18,U1123,Законод!$C$18*'01_Доходи'!U1122),IF($B$1119="Лікар-терапевт","x",0)))</f>
        <v>0</v>
      </c>
      <c r="V1124" s="208">
        <f ca="1">IF($B$1119="Лікар загальної практики - сімейний лікар",IF(Z1123&lt;=Законод!$C$22,V1123,Законод!$C$22*'01_Доходи'!V1122),IF($B$1119="Лікар-педіатр",IF(Z1123&lt;=Законод!$C$18,V1123,Законод!$C$18*'01_Доходи'!V1122),IF($B$1119="Лікар-терапевт","x",0)))</f>
        <v>0</v>
      </c>
      <c r="W1124" s="208">
        <f ca="1">IF($B$1119="Лікар загальної практики - сімейний лікар",IF(Z1123&lt;=Законод!$C$22,W1123,Законод!$C$22*'01_Доходи'!W1122),IF($B$1119="Лікар-педіатр","x",IF($B$1119="Лікар-терапевт",IF(Z1123&lt;=Законод!$C$26,W1123,Законод!$C$26*'01_Доходи'!W1122),0)))</f>
        <v>0</v>
      </c>
      <c r="X1124" s="208">
        <f ca="1">IF($B$1119="Лікар загальної практики - сімейний лікар",IF(Z1123&lt;=Законод!$C$22,X1123,Законод!$C$22*'01_Доходи'!X1122),IF($B$1119="Лікар-педіатр","x",IF($B$1119="Лікар-терапевт",IF(Z1123&lt;=Законод!$C$26,X1123,Законод!$C$26*'01_Доходи'!X1122),0)))</f>
        <v>0</v>
      </c>
      <c r="Y1124" s="208">
        <f ca="1">IF($B$1119="Лікар загальної практики - сімейний лікар",IF(Z1123&lt;=Законод!$C$22,Y1123,Законод!$C$22*'01_Доходи'!Y1122),IF($B$1119="Лікар-педіатр","x",IF($B$1119="Лікар-терапевт",IF(Z1123&lt;=Законод!$C$26,Y1123,Законод!$C$26*'01_Доходи'!Y1122),0)))</f>
        <v>0</v>
      </c>
      <c r="Z1124" s="209">
        <f ca="1">SUM(U1124:Y1124)</f>
        <v>0</v>
      </c>
      <c r="AA1124" s="930"/>
      <c r="AB1124" s="208">
        <f ca="1">IF($B$1119="Лікар загальної практики - сімейний лікар",IF(AG1123&lt;=Законод!$C$22,AB1123,Законод!$C$22*'01_Доходи'!AB1122),IF($B$1119="Лікар-педіатр",IF(AG1123&lt;=Законод!$C$18,AB1123,Законод!$C$18*'01_Доходи'!AB1122),IF($B$1119="Лікар-терапевт","x",0)))</f>
        <v>0</v>
      </c>
      <c r="AC1124" s="208">
        <f ca="1">IF($B$1119="Лікар загальної практики - сімейний лікар",IF(AG1123&lt;=Законод!$C$22,AC1123,Законод!$C$22*'01_Доходи'!AC1122),IF($B$1119="Лікар-педіатр",IF(AG1123&lt;=Законод!$C$18,AC1123,Законод!$C$18*'01_Доходи'!AC1122),IF($B$1119="Лікар-терапевт","x",0)))</f>
        <v>0</v>
      </c>
      <c r="AD1124" s="208">
        <f ca="1">IF($B$1119="Лікар загальної практики - сімейний лікар",IF(AG1123&lt;=Законод!$C$22,AD1123,Законод!$C$22*'01_Доходи'!AD1122),IF($B$1119="Лікар-педіатр","x",IF($B$1119="Лікар-терапевт",IF(AG1123&lt;=Законод!$C$26,AD1123,Законод!$C$26*'01_Доходи'!AD1122),0)))</f>
        <v>0</v>
      </c>
      <c r="AE1124" s="208">
        <f ca="1">IF($B$1119="Лікар загальної практики - сімейний лікар",IF(AG1123&lt;=Законод!$C$22,AE1123,Законод!$C$22*'01_Доходи'!AE1122),IF($B$1119="Лікар-педіатр","x",IF($B$1119="Лікар-терапевт",IF(AG1123&lt;=Законод!$C$26,AE1123,Законод!$C$26*'01_Доходи'!AE1122),0)))</f>
        <v>0</v>
      </c>
      <c r="AF1124" s="208">
        <f ca="1">IF($B$1119="Лікар загальної практики - сімейний лікар",IF(AG1123&lt;=Законод!$C$22,AF1123,Законод!$C$22*'01_Доходи'!AF1122),IF($B$1119="Лікар-педіатр","x",IF($B$1119="Лікар-терапевт",IF(AG1123&lt;=Законод!$C$26,AF1123,Законод!$C$26*'01_Доходи'!AF1122),0)))</f>
        <v>0</v>
      </c>
      <c r="AG1124" s="209">
        <f ca="1">SUM(AB1124:AF1124)</f>
        <v>0</v>
      </c>
      <c r="AH1124" s="930"/>
      <c r="AI1124" s="201"/>
      <c r="AJ1124" s="933"/>
      <c r="AK1124" s="927"/>
      <c r="AL1124" s="927"/>
      <c r="AM1124" s="348" t="s">
        <v>374</v>
      </c>
      <c r="AN1124" s="210">
        <f ca="1">IF(B1119="Лікар загальної практики - сімейний лікар",G1124*Законод!$C$11+'01_Доходи'!H1124*Законод!$D$11+'01_Доходи'!I1124*Законод!$E$11+'01_Доходи'!J1124*Законод!$F$11+'01_Доходи'!K1124*Законод!$G$11,IF(B1119="Лікар-педіатр",G1124*Законод!$C$11+'01_Доходи'!H1124*Законод!$D$11,IF(B1119="Лікар-терапевт",'01_Доходи'!I1124*Законод!$E$11+'01_Доходи'!J1124*Законод!$F$11+'01_Доходи'!K1124*Законод!$G$11,0)))</f>
        <v>0</v>
      </c>
      <c r="AO1124" s="210">
        <f ca="1">IF(B1119="Лікар загальної практики - сімейний лікар",N1124*Законод!$C$11+'01_Доходи'!O1124*Законод!$D$11+'01_Доходи'!P1124*Законод!$E$11+'01_Доходи'!Q1124*Законод!$F$11+'01_Доходи'!R1124*Законод!$G$11,IF(B1119="Лікар-педіатр",N1124*Законод!$C$11+'01_Доходи'!O1124*Законод!$D$11,IF(B1119="Лікар-терапевт",'01_Доходи'!P1124*Законод!$E$11+'01_Доходи'!Q1124*Законод!$F$11+'01_Доходи'!R1124*Законод!$G$11,0)))</f>
        <v>0</v>
      </c>
      <c r="AP1124" s="210">
        <f ca="1">IF(B1119="Лікар загальної практики - сімейний лікар",U1124*Законод!$C$11+'01_Доходи'!V1124*Законод!$D$11+'01_Доходи'!W1124*Законод!$E$11+'01_Доходи'!X1124*Законод!$F$11+'01_Доходи'!Y1124*Законод!$G$11,IF(B1119="Лікар-педіатр",U1124*Законод!$C$11+'01_Доходи'!V1124*Законод!$D$11,IF(B1119="Лікар-терапевт",'01_Доходи'!W1124*Законод!$E$11+'01_Доходи'!X1124*Законод!$F$11+'01_Доходи'!Y1124*Законод!$G$11,0)))</f>
        <v>0</v>
      </c>
      <c r="AQ1124" s="210">
        <f ca="1">IF(B1119="Лікар загальної практики - сімейний лікар",AB1124*Законод!$C$11+'01_Доходи'!AC1124*Законод!$D$11+'01_Доходи'!AD1124*Законод!$E$11+'01_Доходи'!AE1124*Законод!$F$11+'01_Доходи'!AF1124*Законод!$G$11,IF(B1119="Лікар-педіатр",AB1124*Законод!$C$11+'01_Доходи'!AC1124*Законод!$D$11,IF(B1119="Лікар-терапевт",'01_Доходи'!AD1124*Законод!$E$11+'01_Доходи'!AE1124*Законод!$F$11+'01_Доходи'!AF1124*Законод!$G$11,0)))</f>
        <v>0</v>
      </c>
      <c r="AR1124" s="211">
        <f t="shared" ref="AR1124:AR1130" si="113">SUM(AN1124:AQ1124)</f>
        <v>0</v>
      </c>
    </row>
    <row r="1125" spans="1:44" s="50" customFormat="1" ht="31.9" hidden="1" customHeight="1">
      <c r="A1125" s="197"/>
      <c r="B1125" s="893"/>
      <c r="C1125" s="896"/>
      <c r="D1125" s="912"/>
      <c r="E1125" s="909"/>
      <c r="F1125" s="238" t="str">
        <f ca="1">IF(B1119="Лікар-педіатр",Законод!$E$17,IF(B1119="Лікар загальної практики - сімейний лікар",Законод!$E$21,IF(B1119="Лікар-терапевт",Законод!$E$25,"х")))</f>
        <v>х</v>
      </c>
      <c r="G1125" s="889" t="s">
        <v>346</v>
      </c>
      <c r="H1125" s="890"/>
      <c r="I1125" s="890"/>
      <c r="J1125" s="890"/>
      <c r="K1125" s="891"/>
      <c r="L1125" s="196">
        <f ca="1">IF($B$1119="Лікар загальної практики - сімейний лікар",IF(L1123&lt;Законод!$C$22,0,(IF(AND(L1123&gt;=Законод!$E$22,L1123&lt;=Законод!$E$23),L1123-Законод!$C$22,IF('01_Доходи'!L1123&gt;=Законод!$F$22,Законод!$E$24,0)))),IF($B$1119="Лікар-педіатр",IF(L1123&lt;Законод!$C$18,0,(IF(AND(L1123&gt;=Законод!$E$18,L1123&lt;=Законод!$E$19),L1123-Законод!$C$18,IF('01_Доходи'!L1123&gt;=Законод!$F$18,Законод!$E$20,0)))),IF($B$1119="Лікар-терапевт",IF(L1123&lt;Законод!$C$26,0,(IF(AND(L1123&gt;=Законод!$E$26,L1123&lt;=Законод!$E$27),L1123-Законод!$C$26,IF('01_Доходи'!L1123&gt;=Законод!$F$26,Законод!$E$28,0)))),0)))</f>
        <v>0</v>
      </c>
      <c r="M1125" s="930"/>
      <c r="N1125" s="889" t="s">
        <v>346</v>
      </c>
      <c r="O1125" s="890"/>
      <c r="P1125" s="890"/>
      <c r="Q1125" s="890"/>
      <c r="R1125" s="891"/>
      <c r="S1125" s="196">
        <f ca="1">IF($B$1119="Лікар загальної практики - сімейний лікар",IF(S1123&lt;Законод!$C$22,0,(IF(AND(S1123&gt;=Законод!$E$22,S1123&lt;=Законод!$E$23),S1123-Законод!$C$22,IF('01_Доходи'!S1123&gt;=Законод!$F$22,Законод!$E$24,0)))),IF($B$1119="Лікар-педіатр",IF(S1123&lt;Законод!$C$18,0,(IF(AND(S1123&gt;=Законод!$E$18,S1123&lt;=Законод!$E$19),S1123-Законод!$C$18,IF('01_Доходи'!S1123&gt;=Законод!$F$18,Законод!$E$20,0)))),IF($B$1119="Лікар-терапевт",IF(S1123&lt;Законод!$C$26,0,(IF(AND(S1123&gt;=Законод!$E$26,S1123&lt;=Законод!$E$27),S1123-Законод!$C$26,IF('01_Доходи'!S1123&gt;=Законод!$F$26,Законод!$E$28,0)))),0)))</f>
        <v>0</v>
      </c>
      <c r="T1125" s="930"/>
      <c r="U1125" s="889" t="s">
        <v>346</v>
      </c>
      <c r="V1125" s="890"/>
      <c r="W1125" s="890"/>
      <c r="X1125" s="890"/>
      <c r="Y1125" s="891"/>
      <c r="Z1125" s="196">
        <f ca="1">IF($B$1119="Лікар загальної практики - сімейний лікар",IF(Z1123&lt;Законод!$C$22,0,(IF(AND(Z1123&gt;=Законод!$E$22,Z1123&lt;=Законод!$E$23),Z1123-Законод!$C$22,IF('01_Доходи'!Z1123&gt;=Законод!$F$22,Законод!$E$24,0)))),IF($B$1119="Лікар-педіатр",IF(Z1123&lt;Законод!$C$18,0,(IF(AND(Z1123&gt;=Законод!$E$18,Z1123&lt;=Законод!$E$19),Z1123-Законод!$C$18,IF('01_Доходи'!Z1123&gt;=Законод!$F$18,Законод!$E$20,0)))),IF($B$1119="Лікар-терапевт",IF(Z1123&lt;Законод!$C$26,0,(IF(AND(Z1123&gt;=Законод!$E$26,Z1123&lt;=Законод!$E$27),Z1123-Законод!$C$26,IF('01_Доходи'!Z1123&gt;=Законод!$F$26,Законод!$E$28,0)))),0)))</f>
        <v>0</v>
      </c>
      <c r="AA1125" s="930"/>
      <c r="AB1125" s="889" t="s">
        <v>346</v>
      </c>
      <c r="AC1125" s="890"/>
      <c r="AD1125" s="890"/>
      <c r="AE1125" s="890"/>
      <c r="AF1125" s="891"/>
      <c r="AG1125" s="196">
        <f ca="1">IF($B$1119="Лікар загальної практики - сімейний лікар",IF(AG1123&lt;Законод!$C$22,0,(IF(AND(AG1123&gt;=Законод!$E$22,AG1123&lt;=Законод!$E$23),AG1123-Законод!$C$22,IF('01_Доходи'!AG1123&gt;=Законод!$F$22,Законод!$E$24,0)))),IF($B$1119="Лікар-педіатр",IF(AG1123&lt;Законод!$C$18,0,(IF(AND(AG1123&gt;=Законод!$E$18,AG1123&lt;=Законод!$E$19),AG1123-Законод!$C$18,IF('01_Доходи'!AG1123&gt;=Законод!$F$18,Законод!$E$20,0)))),IF($B$1119="Лікар-терапевт",IF(AG1123&lt;Законод!$C$26,0,(IF(AND(AG1123&gt;=Законод!$E$26,AG1123&lt;=Законод!$E$27),AG1123-Законод!$C$26,IF('01_Доходи'!AG1123&gt;=Законод!$F$26,Законод!$E$28,0)))),0)))</f>
        <v>0</v>
      </c>
      <c r="AH1125" s="930"/>
      <c r="AI1125" s="201"/>
      <c r="AJ1125" s="933"/>
      <c r="AK1125" s="927"/>
      <c r="AL1125" s="927"/>
      <c r="AM1125" s="898" t="s">
        <v>375</v>
      </c>
      <c r="AN1125" s="210">
        <f ca="1">IF(B1119="Лікар загальної практики - сімейний лікар",L1125*Законод!$C$9/4*Законод!$E$16,IF(B1119="Лікар-педіатр",L1125*Законод!$C$9/4*Законод!$E$16,IF(B1119="Лікар-терапевт",L1125*Законод!$C$9/4*Законод!$E$16,0)))</f>
        <v>0</v>
      </c>
      <c r="AO1125" s="210">
        <f ca="1">IF(B1119="Лікар загальної практики - сімейний лікар",S1125*Законод!$C$9/4*Законод!$E$16,IF(B1119="Лікар-педіатр",S1125*Законод!$C$9/4*Законод!$E$16,IF(B1119="Лікар-терапевт",S1125*Законод!$C$9/4*Законод!$E$16,0)))</f>
        <v>0</v>
      </c>
      <c r="AP1125" s="210">
        <f ca="1">IF(B1119="Лікар загальної практики - сімейний лікар",Z1125*Законод!$C$9/4*Законод!$E$16,IF(B1119="Лікар-педіатр",Z1125*Законод!$C$9/4*Законод!$E$16,IF(B1119="Лікар-терапевт",Z1125*Законод!$C$9/4*Законод!$E$16,0)))</f>
        <v>0</v>
      </c>
      <c r="AQ1125" s="210">
        <f ca="1">IF(B1119="Лікар загальної практики - сімейний лікар",AG1125*Законод!$C$9/4*Законод!$E$16,IF(B1119="Лікар-педіатр",AG1125*Законод!$C$9/4*Законод!$E$16,IF(B1119="Лікар-терапевт",AG1125*Законод!$C$9/4*Законод!$E$16,0)))</f>
        <v>0</v>
      </c>
      <c r="AR1125" s="211">
        <f t="shared" si="113"/>
        <v>0</v>
      </c>
    </row>
    <row r="1126" spans="1:44" s="50" customFormat="1" ht="31.9" hidden="1" customHeight="1">
      <c r="A1126" s="197"/>
      <c r="B1126" s="893"/>
      <c r="C1126" s="896"/>
      <c r="D1126" s="912"/>
      <c r="E1126" s="909"/>
      <c r="F1126" s="238" t="str">
        <f ca="1">IF(B1119="Лікар-педіатр",Законод!$F$17,IF(B1119="Лікар загальної практики - сімейний лікар",Законод!$F$21,IF(B1119="Лікар-терапевт",Законод!$F$25,"х")))</f>
        <v>х</v>
      </c>
      <c r="G1126" s="889" t="s">
        <v>346</v>
      </c>
      <c r="H1126" s="890"/>
      <c r="I1126" s="890"/>
      <c r="J1126" s="890"/>
      <c r="K1126" s="891"/>
      <c r="L1126" s="196">
        <f ca="1">IF($B$1119="Лікар загальної практики - сімейний лікар",IF(L1123&lt;Законод!$C$22,0,(IF(AND(L1123&gt;=Законод!$F$22,L1123&lt;=Законод!$F$23),L1123-Законод!$E$23,IF('01_Доходи'!L1123&gt;=Законод!$G$22,Законод!$F$24,0)))),IF($B$1119="Лікар-педіатр",IF(L1123&lt;Законод!$C$18,0,(IF(AND(L1123&gt;=Законод!$F$18,L1123&lt;=Законод!$F$19),L1123-Законод!$E$19,IF('01_Доходи'!L1123&gt;=Законод!$G$18,Законод!$F$20,0)))),IF($B$1119="Лікар-терапевт",IF(L1123&lt;Законод!$C$26,0,(IF(AND(L1123&gt;=Законод!$F$26,L1123&lt;=Законод!$F$27),L1123-Законод!$E$27,IF('01_Доходи'!L1123&gt;=Законод!$G$26,Законод!$F$28,0)))),0)))</f>
        <v>0</v>
      </c>
      <c r="M1126" s="930"/>
      <c r="N1126" s="889" t="s">
        <v>346</v>
      </c>
      <c r="O1126" s="890"/>
      <c r="P1126" s="890"/>
      <c r="Q1126" s="890"/>
      <c r="R1126" s="891"/>
      <c r="S1126" s="196">
        <f ca="1">IF($B$1119="Лікар загальної практики - сімейний лікар",IF(S1123&lt;Законод!$C$22,0,(IF(AND(S1123&gt;=Законод!$F$22,S1123&lt;=Законод!$F$23),S1123-Законод!$E$23,IF('01_Доходи'!S1123&gt;=Законод!$G$22,Законод!$F$24,0)))),IF($B$1119="Лікар-педіатр",IF(S1123&lt;Законод!$C$18,0,(IF(AND(S1123&gt;=Законод!$F$18,S1123&lt;=Законод!$F$19),S1123-Законод!$E$19,IF('01_Доходи'!S1123&gt;=Законод!$G$18,Законод!$F$20,0)))),IF($B$1119="Лікар-терапевт",IF(S1123&lt;Законод!$C$26,0,(IF(AND(S1123&gt;=Законод!$F$26,S1123&lt;=Законод!$F$27),S1123-Законод!$E$27,IF('01_Доходи'!S1123&gt;=Законод!$G$26,Законод!$F$28,0)))),0)))</f>
        <v>0</v>
      </c>
      <c r="T1126" s="930"/>
      <c r="U1126" s="889" t="s">
        <v>346</v>
      </c>
      <c r="V1126" s="890"/>
      <c r="W1126" s="890"/>
      <c r="X1126" s="890"/>
      <c r="Y1126" s="891"/>
      <c r="Z1126" s="196">
        <f ca="1">IF($B$1119="Лікар загальної практики - сімейний лікар",IF(Z1123&lt;Законод!$C$22,0,(IF(AND(Z1123&gt;=Законод!$F$22,Z1123&lt;=Законод!$F$23),Z1123-Законод!$E$23,IF('01_Доходи'!Z1123&gt;=Законод!$G$22,Законод!$F$24,0)))),IF($B$1119="Лікар-педіатр",IF(Z1123&lt;Законод!$C$18,0,(IF(AND(Z1123&gt;=Законод!$F$18,Z1123&lt;=Законод!$F$19),Z1123-Законод!$E$19,IF('01_Доходи'!Z1123&gt;=Законод!$G$18,Законод!$F$20,0)))),IF($B$1119="Лікар-терапевт",IF(Z1123&lt;Законод!$C$26,0,(IF(AND(Z1123&gt;=Законод!$F$26,Z1123&lt;=Законод!$F$27),Z1123-Законод!$E$27,IF('01_Доходи'!Z1123&gt;=Законод!$G$26,Законод!$F$28,0)))),0)))</f>
        <v>0</v>
      </c>
      <c r="AA1126" s="930"/>
      <c r="AB1126" s="889" t="s">
        <v>346</v>
      </c>
      <c r="AC1126" s="890"/>
      <c r="AD1126" s="890"/>
      <c r="AE1126" s="890"/>
      <c r="AF1126" s="891"/>
      <c r="AG1126" s="196">
        <f ca="1">IF($B$1119="Лікар загальної практики - сімейний лікар",IF(AG1123&lt;Законод!$C$22,0,(IF(AND(AG1123&gt;=Законод!$F$22,AG1123&lt;=Законод!$F$23),AG1123-Законод!$E$23,IF('01_Доходи'!AG1123&gt;=Законод!$G$22,Законод!$F$24,0)))),IF($B$1119="Лікар-педіатр",IF(AG1123&lt;Законод!$C$18,0,(IF(AND(AG1123&gt;=Законод!$F$18,AG1123&lt;=Законод!$F$19),AG1123-Законод!$E$19,IF('01_Доходи'!AG1123&gt;=Законод!$G$18,Законод!$F$20,0)))),IF($B$1119="Лікар-терапевт",IF(AG1123&lt;Законод!$C$26,0,(IF(AND(AG1123&gt;=Законод!$F$26,AG1123&lt;=Законод!$F$27),AG1123-Законод!$E$27,IF('01_Доходи'!AG1123&gt;=Законод!$G$26,Законод!$F$28,0)))),0)))</f>
        <v>0</v>
      </c>
      <c r="AH1126" s="930"/>
      <c r="AI1126" s="201"/>
      <c r="AJ1126" s="933"/>
      <c r="AK1126" s="927"/>
      <c r="AL1126" s="927"/>
      <c r="AM1126" s="899"/>
      <c r="AN1126" s="210">
        <f ca="1">IF(B1119="Лікар загальної практики - сімейний лікар",L1126*Законод!$C$9/4*Законод!$F$16,IF(B1119="Лікар-педіатр",L1126*Законод!$C$9/4*Законод!$F$16,IF(B1119="Лікар-терапевт",L1126*Законод!$C$9/4*Законод!$F$16,0)))</f>
        <v>0</v>
      </c>
      <c r="AO1126" s="210">
        <f ca="1">IF(B1119="Лікар загальної практики - сімейний лікар",S1126*Законод!$C$9/4*Законод!$F$16,IF(B1119="Лікар-педіатр",S1126*Законод!$C$9/4*Законод!$F$16,IF(B1119="Лікар-терапевт",S1126*Законод!$C$9/4*Законод!$F$16,0)))</f>
        <v>0</v>
      </c>
      <c r="AP1126" s="210">
        <f ca="1">IF(B1119="Лікар загальної практики - сімейний лікар",Z1126*Законод!$C$9/4*Законод!$F$16,IF(B1119="Лікар-педіатр",Z1126*Законод!$C$9/4*Законод!$F$16,IF(B1119="Лікар-терапевт",Z1126*Законод!$C$9/4*Законод!$F$16,0)))</f>
        <v>0</v>
      </c>
      <c r="AQ1126" s="210">
        <f ca="1">IF(B1119="Лікар загальної практики - сімейний лікар",AG1126*Законод!$C$9/4*Законод!$F$16,IF(B1119="Лікар-педіатр",AG1126*Законод!$C$9/4*Законод!$F$16,IF(B1119="Лікар-терапевт",AG1126*Законод!$C$9/4*Законод!$F$16,0)))</f>
        <v>0</v>
      </c>
      <c r="AR1126" s="211">
        <f t="shared" si="113"/>
        <v>0</v>
      </c>
    </row>
    <row r="1127" spans="1:44" s="50" customFormat="1" ht="31.9" hidden="1" customHeight="1">
      <c r="A1127" s="197"/>
      <c r="B1127" s="893"/>
      <c r="C1127" s="896"/>
      <c r="D1127" s="912"/>
      <c r="E1127" s="909"/>
      <c r="F1127" s="238" t="str">
        <f ca="1">IF(B1119="Лікар-педіатр",Законод!$G$17,IF(B1119="Лікар загальної практики - сімейний лікар",Законод!$G$21,IF(B1119="Лікар-терапевт",Законод!$G$25,"х")))</f>
        <v>х</v>
      </c>
      <c r="G1127" s="889" t="s">
        <v>346</v>
      </c>
      <c r="H1127" s="890"/>
      <c r="I1127" s="890"/>
      <c r="J1127" s="890"/>
      <c r="K1127" s="891"/>
      <c r="L1127" s="196">
        <f ca="1">IF($B$1119="Лікар загальної практики - сімейний лікар",IF(L1123&lt;Законод!$C$22,0,(IF(AND(L1123&gt;=Законод!$G$22,L1123&lt;=Законод!$G$23),L1123-Законод!$F$23,IF('01_Доходи'!L1123&gt;=Законод!$H$22,Законод!$G$24,0)))),IF($B$1119="Лікар-педіатр",IF(L1123&lt;Законод!$C$18,0,(IF(AND(L1123&gt;=Законод!$G$18,L1123&lt;=Законод!$G$19),L1123-Законод!$F$19,IF('01_Доходи'!L1123&gt;=Законод!$H$18,Законод!$G$20,0)))),IF($B$1119="Лікар-терапевт",IF(L1123&lt;Законод!$C$26,0,(IF(AND(L1123&gt;=Законод!$G$26,L1123&lt;=Законод!$G$27),L1123-Законод!$F$27,IF('01_Доходи'!L1123&gt;=Законод!$H$26,Законод!$G$28,0)))),0)))</f>
        <v>0</v>
      </c>
      <c r="M1127" s="930"/>
      <c r="N1127" s="889" t="s">
        <v>346</v>
      </c>
      <c r="O1127" s="890"/>
      <c r="P1127" s="890"/>
      <c r="Q1127" s="890"/>
      <c r="R1127" s="891"/>
      <c r="S1127" s="196">
        <f ca="1">IF($B$1119="Лікар загальної практики - сімейний лікар",IF(S1123&lt;Законод!$C$22,0,(IF(AND(S1123&gt;=Законод!$G$22,S1123&lt;=Законод!$G$23),S1123-Законод!$F$23,IF('01_Доходи'!S1123&gt;=Законод!$H$22,Законод!$G$24,0)))),IF($B$1119="Лікар-педіатр",IF(S1123&lt;Законод!$C$18,0,(IF(AND(S1123&gt;=Законод!$G$18,S1123&lt;=Законод!$G$19),S1123-Законод!$F$19,IF('01_Доходи'!S1123&gt;=Законод!$H$18,Законод!$G$20,0)))),IF($B$1119="Лікар-терапевт",IF(S1123&lt;Законод!$C$26,0,(IF(AND(S1123&gt;=Законод!$G$26,S1123&lt;=Законод!$G$27),S1123-Законод!$F$27,IF('01_Доходи'!S1123&gt;=Законод!$H$26,Законод!$G$28,0)))),0)))</f>
        <v>0</v>
      </c>
      <c r="T1127" s="930"/>
      <c r="U1127" s="889" t="s">
        <v>346</v>
      </c>
      <c r="V1127" s="890"/>
      <c r="W1127" s="890"/>
      <c r="X1127" s="890"/>
      <c r="Y1127" s="891"/>
      <c r="Z1127" s="196">
        <f ca="1">IF($B$1119="Лікар загальної практики - сімейний лікар",IF(Z1123&lt;Законод!$C$22,0,(IF(AND(Z1123&gt;=Законод!$G$22,Z1123&lt;=Законод!$G$23),Z1123-Законод!$F$23,IF('01_Доходи'!Z1123&gt;=Законод!$H$22,Законод!$G$24,0)))),IF($B$1119="Лікар-педіатр",IF(Z1123&lt;Законод!$C$18,0,(IF(AND(Z1123&gt;=Законод!$G$18,Z1123&lt;=Законод!$G$19),Z1123-Законод!$F$19,IF('01_Доходи'!Z1123&gt;=Законод!$H$18,Законод!$G$20,0)))),IF($B$1119="Лікар-терапевт",IF(Z1123&lt;Законод!$C$26,0,(IF(AND(Z1123&gt;=Законод!$G$26,Z1123&lt;=Законод!$G$27),Z1123-Законод!$F$27,IF('01_Доходи'!Z1123&gt;=Законод!$H$26,Законод!$G$28,0)))),0)))</f>
        <v>0</v>
      </c>
      <c r="AA1127" s="930"/>
      <c r="AB1127" s="889" t="s">
        <v>346</v>
      </c>
      <c r="AC1127" s="890"/>
      <c r="AD1127" s="890"/>
      <c r="AE1127" s="890"/>
      <c r="AF1127" s="891"/>
      <c r="AG1127" s="196">
        <f ca="1">IF($B$1119="Лікар загальної практики - сімейний лікар",IF(AG1123&lt;Законод!$C$22,0,(IF(AND(AG1123&gt;=Законод!$G$22,AG1123&lt;=Законод!$G$23),AG1123-Законод!$F$23,IF('01_Доходи'!AG1123&gt;=Законод!$H$22,Законод!$G$24,0)))),IF($B$1119="Лікар-педіатр",IF(AG1123&lt;Законод!$C$18,0,(IF(AND(AG1123&gt;=Законод!$G$18,AG1123&lt;=Законод!$G$19),AG1123-Законод!$F$19,IF('01_Доходи'!AG1123&gt;=Законод!$H$18,Законод!$G$20,0)))),IF($B$1119="Лікар-терапевт",IF(AG1123&lt;Законод!$C$26,0,(IF(AND(AG1123&gt;=Законод!$G$26,AG1123&lt;=Законод!$G$27),AG1123-Законод!$F$27,IF('01_Доходи'!AG1123&gt;=Законод!$H$26,Законод!$G$28,0)))),0)))</f>
        <v>0</v>
      </c>
      <c r="AH1127" s="930"/>
      <c r="AI1127" s="201"/>
      <c r="AJ1127" s="933"/>
      <c r="AK1127" s="927"/>
      <c r="AL1127" s="927"/>
      <c r="AM1127" s="899"/>
      <c r="AN1127" s="210">
        <f ca="1">IF(B1119="Лікар загальної практики - сімейний лікар",L1127*Законод!$C$9/4*Законод!$G$16,IF(B1119="Лікар-педіатр",L1127*Законод!$C$9/4*Законод!$G$16,IF(B1119="Лікар-терапевт",L1127*Законод!$C$9/4*Законод!$G$16,0)))</f>
        <v>0</v>
      </c>
      <c r="AO1127" s="210">
        <f ca="1">IF(B1119="Лікар загальної практики - сімейний лікар",S1127*Законод!$C$9/4*Законод!$G$16,IF(B1119="Лікар-педіатр",S1127*Законод!$C$9/4*Законод!$G$16,IF(B1119="Лікар-терапевт",S1127*Законод!$C$9/4*Законод!$G$16,0)))</f>
        <v>0</v>
      </c>
      <c r="AP1127" s="210">
        <f ca="1">IF(B1119="Лікар загальної практики - сімейний лікар",Z1127*Законод!$C$9/4*Законод!$G$16,IF(B1119="Лікар-педіатр",Z1127*Законод!$C$9/4*Законод!$G$16,IF(B1119="Лікар-терапевт",Z1127*Законод!$C$9/4*Законод!$G$16,0)))</f>
        <v>0</v>
      </c>
      <c r="AQ1127" s="210">
        <f ca="1">IF(B1119="Лікар загальної практики - сімейний лікар",AG1127*Законод!$C$9/4*Законод!$G$16,IF(B1119="Лікар-педіатр",AG1127*Законод!$C$9/4*Законод!$G$16,IF(B1119="Лікар-терапевт",AG1127*Законод!$C$9/4*Законод!$G$16,0)))</f>
        <v>0</v>
      </c>
      <c r="AR1127" s="211">
        <f t="shared" si="113"/>
        <v>0</v>
      </c>
    </row>
    <row r="1128" spans="1:44" s="50" customFormat="1" ht="31.9" hidden="1" customHeight="1">
      <c r="A1128" s="197"/>
      <c r="B1128" s="893"/>
      <c r="C1128" s="896"/>
      <c r="D1128" s="912"/>
      <c r="E1128" s="909"/>
      <c r="F1128" s="238" t="str">
        <f ca="1">IF(B1119="Лікар-педіатр",Законод!$H$17,IF(B1119="Лікар загальної практики - сімейний лікар",Законод!$H$21,IF(B1119="Лікар-терапевт",Законод!$H$25,"х")))</f>
        <v>х</v>
      </c>
      <c r="G1128" s="889" t="s">
        <v>346</v>
      </c>
      <c r="H1128" s="890"/>
      <c r="I1128" s="890"/>
      <c r="J1128" s="890"/>
      <c r="K1128" s="891"/>
      <c r="L1128" s="196">
        <f ca="1">IF($B$1119="Лікар загальної практики - сімейний лікар",IF(L1123&lt;Законод!$C$22,0,(IF(AND(L1123&gt;=Законод!$H$22,L1123&lt;=Законод!$H$23),L1123-Законод!$G$23,IF('01_Доходи'!L1123&gt;=Законод!$I$22,Законод!$H$24,0)))),IF($B$1119="Лікар-педіатр",IF(L1123&lt;Законод!$C$18,0,(IF(AND(L1123&gt;=Законод!$H$18,L1123&lt;=Законод!$H$19),L1123-Законод!$G$19,IF('01_Доходи'!L1123&gt;=Законод!$I$18,Законод!$H$20,0)))),IF($B$1119="Лікар-терапевт",IF(L1123&lt;Законод!$C$26,0,(IF(AND(L1123&gt;=Законод!$H$26,L1123&lt;=Законод!$H$27),L1123-Законод!$G$27,IF(L1123&gt;=Законод!$I$26,Законод!$H$28,0)))),0)))</f>
        <v>0</v>
      </c>
      <c r="M1128" s="930"/>
      <c r="N1128" s="889" t="s">
        <v>346</v>
      </c>
      <c r="O1128" s="890"/>
      <c r="P1128" s="890"/>
      <c r="Q1128" s="890"/>
      <c r="R1128" s="891"/>
      <c r="S1128" s="196">
        <f ca="1">IF($B$1119="Лікар загальної практики - сімейний лікар",IF(S1123&lt;Законод!$C$22,0,(IF(AND(S1123&gt;=Законод!$H$22,S1123&lt;=Законод!$H$23),S1123-Законод!$G$23,IF('01_Доходи'!S1123&gt;=Законод!$I$22,Законод!$H$24,0)))),IF($B$1119="Лікар-педіатр",IF(S1123&lt;Законод!$C$18,0,(IF(AND(S1123&gt;=Законод!$H$18,S1123&lt;=Законод!$H$19),S1123-Законод!$G$19,IF('01_Доходи'!S1123&gt;=Законод!$I$18,Законод!$H$20,0)))),IF($B$1119="Лікар-терапевт",IF(S1123&lt;Законод!$C$26,0,(IF(AND(S1123&gt;=Законод!$H$26,S1123&lt;=Законод!$H$27),S1123-Законод!$G$27,IF(S1123&gt;=Законод!$I$26,Законод!$H$28,0)))),0)))</f>
        <v>0</v>
      </c>
      <c r="T1128" s="930"/>
      <c r="U1128" s="889" t="s">
        <v>346</v>
      </c>
      <c r="V1128" s="890"/>
      <c r="W1128" s="890"/>
      <c r="X1128" s="890"/>
      <c r="Y1128" s="891"/>
      <c r="Z1128" s="196">
        <f ca="1">IF($B$1119="Лікар загальної практики - сімейний лікар",IF(Z1123&lt;Законод!$C$22,0,(IF(AND(Z1123&gt;=Законод!$H$22,Z1123&lt;=Законод!$H$23),Z1123-Законод!$G$23,IF('01_Доходи'!Z1123&gt;=Законод!$I$22,Законод!$H$24,0)))),IF($B$1119="Лікар-педіатр",IF(Z1123&lt;Законод!$C$18,0,(IF(AND(Z1123&gt;=Законод!$H$18,Z1123&lt;=Законод!$H$19),Z1123-Законод!$G$19,IF('01_Доходи'!Z1123&gt;=Законод!$I$18,Законод!$H$20,0)))),IF($B$1119="Лікар-терапевт",IF(Z1123&lt;Законод!$C$26,0,(IF(AND(Z1123&gt;=Законод!$H$26,Z1123&lt;=Законод!$H$27),Z1123-Законод!$G$27,IF(Z1123&gt;=Законод!$I$26,Законод!$H$28,0)))),0)))</f>
        <v>0</v>
      </c>
      <c r="AA1128" s="930"/>
      <c r="AB1128" s="889" t="s">
        <v>346</v>
      </c>
      <c r="AC1128" s="890"/>
      <c r="AD1128" s="890"/>
      <c r="AE1128" s="890"/>
      <c r="AF1128" s="891"/>
      <c r="AG1128" s="196">
        <f ca="1">IF($B$1119="Лікар загальної практики - сімейний лікар",IF(AG1123&lt;Законод!$C$22,0,(IF(AND(AG1123&gt;=Законод!$H$22,AG1123&lt;=Законод!$H$23),AG1123-Законод!$G$23,IF('01_Доходи'!AG1123&gt;=Законод!$I$22,Законод!$H$24,0)))),IF($B$1119="Лікар-педіатр",IF(AG1123&lt;Законод!$C$18,0,(IF(AND(AG1123&gt;=Законод!$H$18,AG1123&lt;=Законод!$H$19),AG1123-Законод!$G$19,IF('01_Доходи'!AG1123&gt;=Законод!$I$18,Законод!$H$20,0)))),IF($B$1119="Лікар-терапевт",IF(AG1123&lt;Законод!$C$26,0,(IF(AND(AG1123&gt;=Законод!$H$26,AG1123&lt;=Законод!$H$27),AG1123-Законод!$G$27,IF(AG1123&gt;=Законод!$I$26,Законод!$H$28,0)))),0)))</f>
        <v>0</v>
      </c>
      <c r="AH1128" s="930"/>
      <c r="AI1128" s="201"/>
      <c r="AJ1128" s="933"/>
      <c r="AK1128" s="927"/>
      <c r="AL1128" s="927"/>
      <c r="AM1128" s="899"/>
      <c r="AN1128" s="210">
        <f ca="1">IF(B1119="Лікар загальної практики - сімейний лікар",L1128*Законод!$C$9/4*Законод!$H$16,IF(B1119="Лікар-педіатр",L1128*Законод!$C$9/4*Законод!$H$16,IF(B1119="Лікар-терапевт",L1128*Законод!$C$9/4*Законод!$H$16,0)))</f>
        <v>0</v>
      </c>
      <c r="AO1128" s="210">
        <f ca="1">IF(B1119="Лікар загальної практики - сімейний лікар",S1128*Законод!$C$9/4*Законод!$H$16,IF(B1119="Лікар-педіатр",S1128*Законод!$C$9/4*Законод!$H$16,IF(B1119="Лікар-терапевт",S1128*Законод!$C$9/4*Законод!$H$16,0)))</f>
        <v>0</v>
      </c>
      <c r="AP1128" s="210">
        <f ca="1">IF(B1119="Лікар загальної практики - сімейний лікар",Z1128*Законод!$C$9/4*Законод!$H$16,IF(B1119="Лікар-педіатр",Z1128*Законод!$C$9/4*Законод!$H$16,IF(B1119="Лікар-терапевт",Z1128*Законод!$C$9/4*Законод!$H$16,0)))</f>
        <v>0</v>
      </c>
      <c r="AQ1128" s="210">
        <f ca="1">IF(B1119="Лікар загальної практики - сімейний лікар",AG1128*Законод!$C$9/4*Законод!$H$16,IF(B1119="Лікар-педіатр",AG1128*Законод!$C$9/4*Законод!$H$16,IF(B1119="Лікар-терапевт",AG1128*Законод!$C$9/4*Законод!$H$16,0)))</f>
        <v>0</v>
      </c>
      <c r="AR1128" s="211">
        <f t="shared" si="113"/>
        <v>0</v>
      </c>
    </row>
    <row r="1129" spans="1:44" s="50" customFormat="1" ht="31.9" hidden="1" customHeight="1">
      <c r="A1129" s="197"/>
      <c r="B1129" s="893"/>
      <c r="C1129" s="896"/>
      <c r="D1129" s="912"/>
      <c r="E1129" s="909"/>
      <c r="F1129" s="238" t="str">
        <f ca="1">IF(B1119="Лікар-педіатр",Законод!$I$17,IF(B1119="Лікар загальної практики - сімейний лікар",Законод!$I$21,IF(B1119="Лікар-терапевт",Законод!$I$25,"х")))</f>
        <v>х</v>
      </c>
      <c r="G1129" s="889" t="s">
        <v>346</v>
      </c>
      <c r="H1129" s="890"/>
      <c r="I1129" s="890"/>
      <c r="J1129" s="890"/>
      <c r="K1129" s="891"/>
      <c r="L1129" s="196">
        <f ca="1">IF($B$1119="Лікар загальної практики - сімейний лікар",IF(L1123&lt;Законод!$C$22,0,(IF(AND(L1123&gt;=Законод!$I$22,L1123&lt;=Законод!$I$23),L1123-Законод!$H$23,IF('01_Доходи'!L1123&gt;=Законод!$I$22,Законод!$I$24,0)))),IF($B$1119="Лікар-педіатр",IF(L1123&lt;Законод!$C$18,0,(IF(AND(L1123&gt;=Законод!$I$18,L1123&lt;=Законод!$I$19),L1123-Законод!$H$19,IF('01_Доходи'!L1123&gt;=Законод!$I$18,Законод!$H$20,0)))),IF($B$1119="Лікар-терапевт",IF(L1123&lt;Законод!$C$26,0,(IF(AND(L1123&gt;=Законод!$I$26,L1123&lt;=Законод!$I$27),L1123-Законод!$H$27,IF('01_Доходи'!L1123&gt;=Законод!$I$26,Законод!$H$28,0)))),0)))</f>
        <v>0</v>
      </c>
      <c r="M1129" s="930"/>
      <c r="N1129" s="889" t="s">
        <v>346</v>
      </c>
      <c r="O1129" s="890"/>
      <c r="P1129" s="890"/>
      <c r="Q1129" s="890"/>
      <c r="R1129" s="891"/>
      <c r="S1129" s="196">
        <f ca="1">IF($B$1119="Лікар загальної практики - сімейний лікар",IF(S1123&lt;Законод!$C$22,0,(IF(AND(S1123&gt;=Законод!$I$22,S1123&lt;=Законод!$I$23),S1123-Законод!$H$23,IF('01_Доходи'!S1123&gt;=Законод!$I$22,Законод!$I$24,0)))),IF($B$1119="Лікар-педіатр",IF(S1123&lt;Законод!$C$18,0,(IF(AND(S1123&gt;=Законод!$I$18,S1123&lt;=Законод!$I$19),S1123-Законод!$H$19,IF('01_Доходи'!S1123&gt;=Законод!$I$18,Законод!$H$20,0)))),IF($B$1119="Лікар-терапевт",IF(S1123&lt;Законод!$C$26,0,(IF(AND(S1123&gt;=Законод!$I$26,S1123&lt;=Законод!$I$27),S1123-Законод!$H$27,IF('01_Доходи'!S1123&gt;=Законод!$I$26,Законод!$H$28,0)))),0)))</f>
        <v>0</v>
      </c>
      <c r="T1129" s="930"/>
      <c r="U1129" s="889" t="s">
        <v>346</v>
      </c>
      <c r="V1129" s="890"/>
      <c r="W1129" s="890"/>
      <c r="X1129" s="890"/>
      <c r="Y1129" s="891"/>
      <c r="Z1129" s="196">
        <f ca="1">IF($B$1119="Лікар загальної практики - сімейний лікар",IF(Z1123&lt;Законод!$C$22,0,(IF(AND(Z1123&gt;=Законод!$I$22,Z1123&lt;=Законод!$I$23),Z1123-Законод!$H$23,IF('01_Доходи'!Z1123&gt;=Законод!$I$22,Законод!$I$24,0)))),IF($B$1119="Лікар-педіатр",IF(Z1123&lt;Законод!$C$18,0,(IF(AND(Z1123&gt;=Законод!$I$18,Z1123&lt;=Законод!$I$19),Z1123-Законод!$H$19,IF('01_Доходи'!Z1123&gt;=Законод!$I$18,Законод!$H$20,0)))),IF($B$1119="Лікар-терапевт",IF(Z1123&lt;Законод!$C$26,0,(IF(AND(Z1123&gt;=Законод!$I$26,Z1123&lt;=Законод!$I$27),Z1123-Законод!$H$27,IF('01_Доходи'!Z1123&gt;=Законод!$I$26,Законод!$H$28,0)))),0)))</f>
        <v>0</v>
      </c>
      <c r="AA1129" s="930"/>
      <c r="AB1129" s="889" t="s">
        <v>346</v>
      </c>
      <c r="AC1129" s="890"/>
      <c r="AD1129" s="890"/>
      <c r="AE1129" s="890"/>
      <c r="AF1129" s="891"/>
      <c r="AG1129" s="196">
        <f ca="1">IF($B$1119="Лікар загальної практики - сімейний лікар",IF(AG1123&lt;Законод!$C$22,0,(IF(AND(AG1123&gt;=Законод!$I$22,AG1123&lt;=Законод!$I$23),AG1123-Законод!$H$23,IF('01_Доходи'!AG1123&gt;=Законод!$I$22,Законод!$I$24,0)))),IF($B$1119="Лікар-педіатр",IF(AG1123&lt;Законод!$C$18,0,(IF(AND(AG1123&gt;=Законод!$I$18,AG1123&lt;=Законод!$I$19),AG1123-Законод!$H$19,IF('01_Доходи'!AG1123&gt;=Законод!$I$18,Законод!$H$20,0)))),IF($B$1119="Лікар-терапевт",IF(AG1123&lt;Законод!$C$26,0,(IF(AND(AG1123&gt;=Законод!$I$26,AG1123&lt;=Законод!$I$27),AG1123-Законод!$H$27,IF('01_Доходи'!AG1123&gt;=Законод!$I$26,Законод!$H$28,0)))),0)))</f>
        <v>0</v>
      </c>
      <c r="AH1129" s="930"/>
      <c r="AI1129" s="201"/>
      <c r="AJ1129" s="933"/>
      <c r="AK1129" s="927"/>
      <c r="AL1129" s="927"/>
      <c r="AM1129" s="899"/>
      <c r="AN1129" s="210">
        <f ca="1">IF(B1119="Лікар загальної практики - сімейний лікар",L1129*Законод!$C$9/4*Законод!$I$16,IF(B1119="Лікар-педіатр",L1129*Законод!$C$9/4*Законод!$I$16,IF(B1119="Лікар-терапевт",L1129*Законод!$C$9/4*Законод!$I$16,0)))</f>
        <v>0</v>
      </c>
      <c r="AO1129" s="210">
        <f ca="1">IF(B1119="Лікар загальної практики - сімейний лікар",S1129*Законод!$C$9/4*Законод!$I$16,IF(B1119="Лікар-педіатр",S1129*Законод!$C$9/4*Законод!$I$16,IF(B1119="Лікар-терапевт",S1129*Законод!$C$9/4*Законод!$I$16,0)))</f>
        <v>0</v>
      </c>
      <c r="AP1129" s="210">
        <f ca="1">IF(B1119="Лікар загальної практики - сімейний лікар",Z1129*Законод!$C$9/4*Законод!$I$16,IF(B1119="Лікар-педіатр",Z1129*Законод!$C$9/4*Законод!$I$16,IF(B1119="Лікар-терапевт",Z1129*Законод!$C$9/4*Законод!$I$16,0)))</f>
        <v>0</v>
      </c>
      <c r="AQ1129" s="210">
        <f ca="1">IF(B1119="Лікар загальної практики - сімейний лікар",AG1129*Законод!$C$9/4*Законод!$I$16,IF(B1119="Лікар-педіатр",AG1129*Законод!$C$9/4*Законод!$I$16,IF(B1119="Лікар-терапевт",AG1129*Законод!$C$9/4*Законод!$I$16,0)))</f>
        <v>0</v>
      </c>
      <c r="AR1129" s="211">
        <f t="shared" si="113"/>
        <v>0</v>
      </c>
    </row>
    <row r="1130" spans="1:44" s="218" customFormat="1" ht="31.9" hidden="1" customHeight="1" thickBot="1">
      <c r="A1130" s="213"/>
      <c r="B1130" s="894"/>
      <c r="C1130" s="897"/>
      <c r="D1130" s="913"/>
      <c r="E1130" s="910"/>
      <c r="F1130" s="239" t="str">
        <f ca="1">IF(B1119="Лікар-педіатр",Законод!$J$17,IF(B1119="Лікар загальної практики - сімейний лікар",Законод!$J$21,IF(B1119="Лікар-терапевт",Законод!$J$25,"х")))</f>
        <v>х</v>
      </c>
      <c r="G1130" s="935" t="s">
        <v>346</v>
      </c>
      <c r="H1130" s="936"/>
      <c r="I1130" s="936"/>
      <c r="J1130" s="936"/>
      <c r="K1130" s="937"/>
      <c r="L1130" s="196">
        <f ca="1">IF($B$1119="Лікар загальної практики - сімейний лікар",IF(L1123&gt;=Законод!$J$22,'01_Доходи'!L1123-('01_Доходи'!L1124+'01_Доходи'!L1125+'01_Доходи'!L1126+'01_Доходи'!L1127+'01_Доходи'!L1128+'01_Доходи'!L1129),0),IF($B$1119="Лікар-педіатр",IF(L1123&gt;=Законод!$J$18,'01_Доходи'!L1123-('01_Доходи'!L1124+'01_Доходи'!L1125+'01_Доходи'!L1126+'01_Доходи'!L1127+'01_Доходи'!L1128+'01_Доходи'!L1129),0),IF($B$1119="Лікар-терапевт",IF('01_Доходи'!L1123&gt;=Законод!$J$26,L1123-Законод!$I$27,0),0)))</f>
        <v>0</v>
      </c>
      <c r="M1130" s="931"/>
      <c r="N1130" s="935" t="s">
        <v>346</v>
      </c>
      <c r="O1130" s="936"/>
      <c r="P1130" s="936"/>
      <c r="Q1130" s="936"/>
      <c r="R1130" s="937"/>
      <c r="S1130" s="196">
        <f ca="1">IF($B$1119="Лікар загальної практики - сімейний лікар",IF(S1123&gt;=Законод!$J$22,'01_Доходи'!S1123-('01_Доходи'!S1124+'01_Доходи'!S1125+'01_Доходи'!S1126+'01_Доходи'!S1127+'01_Доходи'!S1128+'01_Доходи'!S1129),0),IF($B$1119="Лікар-педіатр",IF(S1123&gt;=Законод!$J$18,'01_Доходи'!S1123-('01_Доходи'!S1124+'01_Доходи'!S1125+'01_Доходи'!S1126+'01_Доходи'!S1127+'01_Доходи'!S1128+'01_Доходи'!S1129),0),IF($B$1119="Лікар-терапевт",IF('01_Доходи'!S1123&gt;=Законод!$J$26,S1123-Законод!$I$27,0),0)))</f>
        <v>0</v>
      </c>
      <c r="T1130" s="931"/>
      <c r="U1130" s="935" t="s">
        <v>346</v>
      </c>
      <c r="V1130" s="936"/>
      <c r="W1130" s="936"/>
      <c r="X1130" s="936"/>
      <c r="Y1130" s="937"/>
      <c r="Z1130" s="196">
        <f ca="1">IF($B$1119="Лікар загальної практики - сімейний лікар",IF(Z1123&gt;=Законод!$J$22,'01_Доходи'!Z1123-('01_Доходи'!Z1124+'01_Доходи'!Z1125+'01_Доходи'!Z1126+'01_Доходи'!Z1127+'01_Доходи'!Z1128+'01_Доходи'!Z1129),0),IF($B$1119="Лікар-педіатр",IF(Z1123&gt;=Законод!$J$18,'01_Доходи'!Z1123-('01_Доходи'!Z1124+'01_Доходи'!Z1125+'01_Доходи'!Z1126+'01_Доходи'!Z1127+'01_Доходи'!Z1128+'01_Доходи'!Z1129),0),IF($B$1119="Лікар-терапевт",IF('01_Доходи'!Z1123&gt;=Законод!$J$26,Z1123-Законод!$I$27,0),0)))</f>
        <v>0</v>
      </c>
      <c r="AA1130" s="931"/>
      <c r="AB1130" s="935" t="s">
        <v>346</v>
      </c>
      <c r="AC1130" s="936"/>
      <c r="AD1130" s="936"/>
      <c r="AE1130" s="936"/>
      <c r="AF1130" s="937"/>
      <c r="AG1130" s="196">
        <f ca="1">IF($B$1119="Лікар загальної практики - сімейний лікар",IF(AG1123&gt;=Законод!$J$22,'01_Доходи'!AG1123-('01_Доходи'!AG1124+'01_Доходи'!AG1125+'01_Доходи'!AG1126+'01_Доходи'!AG1127+'01_Доходи'!AG1128+'01_Доходи'!AG1129),0),IF($B$1119="Лікар-педіатр",IF(AG1123&gt;=Законод!$J$18,'01_Доходи'!AG1123-('01_Доходи'!AG1124+'01_Доходи'!AG1125+'01_Доходи'!AG1126+'01_Доходи'!AG1127+'01_Доходи'!AG1128+'01_Доходи'!AG1129),0),IF($B$1119="Лікар-терапевт",IF('01_Доходи'!AG1123&gt;=Законод!$J$26,AG1123-Законод!$I$27,0),0)))</f>
        <v>0</v>
      </c>
      <c r="AH1130" s="931"/>
      <c r="AI1130" s="215"/>
      <c r="AJ1130" s="934"/>
      <c r="AK1130" s="928"/>
      <c r="AL1130" s="928"/>
      <c r="AM1130" s="900"/>
      <c r="AN1130" s="216">
        <f ca="1">IF(B1119="Лікар загальної практики - сімейний лікар",L1130*Законод!$C$9/4*Законод!$J$16,IF(B1119="Лікар-педіатр",L1130*Законод!$C$9/4*Законод!$J$16,IF(B1119="Лікар-терапевт",L1130*Законод!$C$9/4*Законод!$J$16,0)))</f>
        <v>0</v>
      </c>
      <c r="AO1130" s="216">
        <f ca="1">IF(B1119="Лікар загальної практики - сімейний лікар",S1130*Законод!$C$9/4*Законод!$J$16,IF(B1119="Лікар-педіатр",S1130*Законод!$C$9/4*Законод!$J$16,IF(B1119="Лікар-терапевт",S1130*Законод!$C$9/4*Законод!$J$16,0)))</f>
        <v>0</v>
      </c>
      <c r="AP1130" s="216">
        <f ca="1">IF(B1119="Лікар загальної практики - сімейний лікар",S1130*Законод!$C$9/4*Законод!$J$16,IF(B1119="Лікар-педіатр",S1130*Законод!$C$9/4*Законод!$J$16,IF(B1119="Лікар-терапевт",S1130*Законод!$C$9/4*Законод!$J$16,0)))</f>
        <v>0</v>
      </c>
      <c r="AQ1130" s="216">
        <f ca="1">IF(B1119="Лікар загальної практики - сімейний лікар",AG1130*Законод!$C$9/4*Законод!$J$16,IF(B1119="Лікар-педіатр",AG1130*Законод!$C$9/4*Законод!$J$16,IF(B1119="Лікар-терапевт",AG1130*Законод!$C$9/4*Законод!$J$16,0)))</f>
        <v>0</v>
      </c>
      <c r="AR1130" s="217">
        <f t="shared" si="113"/>
        <v>0</v>
      </c>
    </row>
    <row r="1131" spans="1:44" s="247" customFormat="1" ht="23.45" hidden="1" customHeight="1" thickBot="1">
      <c r="A1131" s="243"/>
      <c r="B1131" s="244"/>
      <c r="C1131" s="244"/>
      <c r="D1131" s="244"/>
      <c r="E1131" s="244"/>
      <c r="F1131" s="245"/>
      <c r="G1131" s="246"/>
      <c r="H1131" s="246"/>
      <c r="L1131" s="248"/>
      <c r="S1131" s="248"/>
      <c r="Z1131" s="248"/>
      <c r="AG1131" s="248"/>
      <c r="AM1131" s="249"/>
      <c r="AR1131" s="250"/>
    </row>
    <row r="1132" spans="1:44" s="191" customFormat="1" ht="24.6" hidden="1" customHeight="1">
      <c r="A1132" s="194">
        <f>A1119+1</f>
        <v>85</v>
      </c>
      <c r="B1132" s="892"/>
      <c r="C1132" s="895"/>
      <c r="D1132" s="911"/>
      <c r="E1132" s="908"/>
      <c r="F1132" s="234" t="s">
        <v>582</v>
      </c>
      <c r="G1132" s="196">
        <f>IF($B$1132="Лікар-педіатр",G1135*L1132,IF($B$1132="Лікар-терапевт","х",IF($B$1132="Лікар загальної практики - сімейний лікар",G1135*L1132,0)))</f>
        <v>0</v>
      </c>
      <c r="H1132" s="196">
        <f>IF($B$1132="Лікар-педіатр",H1135*L1132,IF($B$1132="Лікар-терапевт","х",IF($B$1132="Лікар загальної практики - сімейний лікар",H1135*L1132,0)))</f>
        <v>0</v>
      </c>
      <c r="I1132" s="196">
        <f>IF($B$1132="Лікар-педіатр","x",IF($B$1132="Лікар-терапевт",I1135*L1132,IF($B$1132="Лікар загальної практики - сімейний лікар",I1135*L1132,0)))</f>
        <v>0</v>
      </c>
      <c r="J1132" s="196">
        <f>IF($B$1132="Лікар-педіатр","x",IF($B$1132="Лікар-терапевт",J1135*L1132,IF($B$1132="Лікар загальної практики - сімейний лікар",J1135*L1132,0)))</f>
        <v>0</v>
      </c>
      <c r="K1132" s="196">
        <f>IF($B$1132="Лікар-педіатр","x",IF($B$1132="Лікар-терапевт",K1135*L1132,IF($B$1132="Лікар загальної практики - сімейний лікар",K1135*L1132,0)))</f>
        <v>0</v>
      </c>
      <c r="L1132" s="558"/>
      <c r="M1132" s="929"/>
      <c r="N1132" s="196">
        <f>IF($B$1132="Лікар-педіатр",N1135*S1132,IF($B$1132="Лікар-терапевт","х",IF($B$1132="Лікар загальної практики - сімейний лікар",N1135*S1132,0)))</f>
        <v>0</v>
      </c>
      <c r="O1132" s="196">
        <f>IF($B$1132="Лікар-педіатр",O1135*S1132,IF($B$1132="Лікар-терапевт","х",IF($B$1132="Лікар загальної практики - сімейний лікар",O1135*S1132,0)))</f>
        <v>0</v>
      </c>
      <c r="P1132" s="196">
        <f>IF($B$1132="Лікар-педіатр","x",IF($B$1132="Лікар-терапевт",P1135*S1132,IF($B$1132="Лікар загальної практики - сімейний лікар",P1135*S1132,0)))</f>
        <v>0</v>
      </c>
      <c r="Q1132" s="196">
        <f>IF($B$1132="Лікар-педіатр","x",IF($B$1132="Лікар-терапевт",Q1135*S1132,IF($B$1132="Лікар загальної практики - сімейний лікар",Q1135*S1132,0)))</f>
        <v>0</v>
      </c>
      <c r="R1132" s="196">
        <f>IF($B$1132="Лікар-педіатр","x",IF($B$1132="Лікар-терапевт",R1135*S1132,IF($B$1132="Лікар загальної практики - сімейний лікар",R1135*S1132,0)))</f>
        <v>0</v>
      </c>
      <c r="S1132" s="558"/>
      <c r="T1132" s="929"/>
      <c r="U1132" s="196">
        <f>IF($B$1132="Лікар-педіатр",U1135*Z1132,IF($B$1132="Лікар-терапевт","х",IF($B$1132="Лікар загальної практики - сімейний лікар",U1135*Z1132,0)))</f>
        <v>0</v>
      </c>
      <c r="V1132" s="196">
        <f>IF($B$1132="Лікар-педіатр",V1135*Z1132,IF($B$1132="Лікар-терапевт","х",IF($B$1132="Лікар загальної практики - сімейний лікар",V1135*Z1132,0)))</f>
        <v>0</v>
      </c>
      <c r="W1132" s="196">
        <f>IF($B$1132="Лікар-педіатр","x",IF($B$1132="Лікар-терапевт",W1135*Z1132,IF($B$1132="Лікар загальної практики - сімейний лікар",W1135*Z1132,0)))</f>
        <v>0</v>
      </c>
      <c r="X1132" s="196">
        <f>IF($B$1132="Лікар-педіатр","x",IF($B$1132="Лікар-терапевт",X1135*Z1132,IF($B$1132="Лікар загальної практики - сімейний лікар",X1135*Z1132,0)))</f>
        <v>0</v>
      </c>
      <c r="Y1132" s="196">
        <f>IF($B$1132="Лікар-педіатр","x",IF($B$1132="Лікар-терапевт",Y1135*Z1132,IF($B$1132="Лікар загальної практики - сімейний лікар",Y1135*Z1132,0)))</f>
        <v>0</v>
      </c>
      <c r="Z1132" s="558"/>
      <c r="AA1132" s="929"/>
      <c r="AB1132" s="196">
        <f>IF($B$1132="Лікар-педіатр",AB1135*AG1132,IF($B$1132="Лікар-терапевт","х",IF($B$1132="Лікар загальної практики - сімейний лікар",AB1135*AG1132,0)))</f>
        <v>0</v>
      </c>
      <c r="AC1132" s="196">
        <f>IF($B$1132="Лікар-педіатр",AC1135*AG1132,IF($B$1132="Лікар-терапевт","х",IF($B$1132="Лікар загальної практики - сімейний лікар",AC1135*AG1132,0)))</f>
        <v>0</v>
      </c>
      <c r="AD1132" s="196">
        <f>IF($B$1132="Лікар-педіатр","x",IF($B$1132="Лікар-терапевт",AD1135*AG1132,IF($B$1132="Лікар загальної практики - сімейний лікар",AD1135*AG1132,0)))</f>
        <v>0</v>
      </c>
      <c r="AE1132" s="196">
        <f>IF($B$1132="Лікар-педіатр","x",IF($B$1132="Лікар-терапевт",AE1135*AG1132,IF($B$1132="Лікар загальної практики - сімейний лікар",AE1135*AG1132,0)))</f>
        <v>0</v>
      </c>
      <c r="AF1132" s="196">
        <f>IF($B$1132="Лікар-педіатр","x",IF($B$1132="Лікар-терапевт",AF1135*AG1132,IF($B$1132="Лікар загальної практики - сімейний лікар",AF1135*AG1132,0)))</f>
        <v>0</v>
      </c>
      <c r="AG1132" s="558"/>
      <c r="AH1132" s="929"/>
      <c r="AI1132" s="541">
        <f>A1132</f>
        <v>85</v>
      </c>
      <c r="AJ1132" s="932">
        <f>B1132</f>
        <v>0</v>
      </c>
      <c r="AK1132" s="926">
        <f>C1132</f>
        <v>0</v>
      </c>
      <c r="AL1132" s="926">
        <f>D1132</f>
        <v>0</v>
      </c>
      <c r="AM1132" s="901" t="s">
        <v>785</v>
      </c>
      <c r="AN1132" s="923">
        <f>SUM(AN1137:AN1143)</f>
        <v>0</v>
      </c>
      <c r="AO1132" s="923">
        <f>SUM(AO1137:AO1143)</f>
        <v>0</v>
      </c>
      <c r="AP1132" s="923">
        <f>SUM(AP1137:AP1143)</f>
        <v>0</v>
      </c>
      <c r="AQ1132" s="923">
        <f>SUM(AQ1137:AQ1143)</f>
        <v>0</v>
      </c>
      <c r="AR1132" s="914">
        <f>SUM(AN1132:AQ1136)</f>
        <v>0</v>
      </c>
    </row>
    <row r="1133" spans="1:44" s="50" customFormat="1" ht="28.15" hidden="1" customHeight="1">
      <c r="A1133" s="197"/>
      <c r="B1133" s="893"/>
      <c r="C1133" s="896"/>
      <c r="D1133" s="912"/>
      <c r="E1133" s="909"/>
      <c r="F1133" s="234" t="s">
        <v>583</v>
      </c>
      <c r="G1133" s="196">
        <f>IF($B$1132="Лікар-педіатр",G1135*L1133,IF($B$1132="Лікар-терапевт","х",IF($B$1132="Лікар загальної практики - сімейний лікар",G1135*L1133,0)))</f>
        <v>0</v>
      </c>
      <c r="H1133" s="196">
        <f>IF($B$1132="Лікар-педіатр",H1135*L1133,IF($B$1132="Лікар-терапевт","х",IF($B$1132="Лікар загальної практики - сімейний лікар",H1135*L1133,0)))</f>
        <v>0</v>
      </c>
      <c r="I1133" s="196">
        <f>IF($B$1132="Лікар-педіатр","x",IF($B$1132="Лікар-терапевт",I1135*L1133,IF($B$1132="Лікар загальної практики - сімейний лікар",I1135*L1133,0)))</f>
        <v>0</v>
      </c>
      <c r="J1133" s="196">
        <f>IF($B$1132="Лікар-педіатр","x",IF($B$1132="Лікар-терапевт",J1135*L1133,IF($B$1132="Лікар загальної практики - сімейний лікар",J1135*L1133,0)))</f>
        <v>0</v>
      </c>
      <c r="K1133" s="196">
        <f>IF($B$1132="Лікар-педіатр","x",IF($B$1132="Лікар-терапевт",K1135*L1133,IF($B$1132="Лікар загальної практики - сімейний лікар",K1135*L1133,0)))</f>
        <v>0</v>
      </c>
      <c r="L1133" s="558"/>
      <c r="M1133" s="930"/>
      <c r="N1133" s="196">
        <f>IF($B$1132="Лікар-педіатр",N1135*S1133,IF($B$1132="Лікар-терапевт","х",IF($B$1132="Лікар загальної практики - сімейний лікар",N1135*S1133,0)))</f>
        <v>0</v>
      </c>
      <c r="O1133" s="196">
        <f>IF($B$1132="Лікар-педіатр",O1135*S1133,IF($B$1132="Лікар-терапевт","х",IF($B$1132="Лікар загальної практики - сімейний лікар",O1135*S1133,0)))</f>
        <v>0</v>
      </c>
      <c r="P1133" s="196">
        <f>IF($B$1132="Лікар-педіатр","x",IF($B$1132="Лікар-терапевт",P1135*S1133,IF($B$1132="Лікар загальної практики - сімейний лікар",P1135*S1133,0)))</f>
        <v>0</v>
      </c>
      <c r="Q1133" s="196">
        <f>IF($B$1132="Лікар-педіатр","x",IF($B$1132="Лікар-терапевт",Q1135*S1133,IF($B$1132="Лікар загальної практики - сімейний лікар",Q1135*S1133,0)))</f>
        <v>0</v>
      </c>
      <c r="R1133" s="196">
        <f>IF($B$1132="Лікар-педіатр","x",IF($B$1132="Лікар-терапевт",R1135*S1133,IF($B$1132="Лікар загальної практики - сімейний лікар",R1135*S1133,0)))</f>
        <v>0</v>
      </c>
      <c r="S1133" s="558"/>
      <c r="T1133" s="930"/>
      <c r="U1133" s="196">
        <f>IF($B$1132="Лікар-педіатр",U1135*Z1133,IF($B$1132="Лікар-терапевт","х",IF($B$1132="Лікар загальної практики - сімейний лікар",U1135*Z1133,0)))</f>
        <v>0</v>
      </c>
      <c r="V1133" s="196">
        <f>IF($B$1132="Лікар-педіатр",V1135*Z1133,IF($B$1132="Лікар-терапевт","х",IF($B$1132="Лікар загальної практики - сімейний лікар",V1135*Z1133,0)))</f>
        <v>0</v>
      </c>
      <c r="W1133" s="196">
        <f>IF($B$1132="Лікар-педіатр","x",IF($B$1132="Лікар-терапевт",W1135*Z1133,IF($B$1132="Лікар загальної практики - сімейний лікар",W1135*Z1133,0)))</f>
        <v>0</v>
      </c>
      <c r="X1133" s="196">
        <f>IF($B$1132="Лікар-педіатр","x",IF($B$1132="Лікар-терапевт",X1135*Z1133,IF($B$1132="Лікар загальної практики - сімейний лікар",X1135*Z1133,0)))</f>
        <v>0</v>
      </c>
      <c r="Y1133" s="196">
        <f>IF($B$1132="Лікар-педіатр","x",IF($B$1132="Лікар-терапевт",Y1135*Z1133,IF($B$1132="Лікар загальної практики - сімейний лікар",Y1135*Z1133,0)))</f>
        <v>0</v>
      </c>
      <c r="Z1133" s="558"/>
      <c r="AA1133" s="930"/>
      <c r="AB1133" s="196">
        <f>IF($B$1132="Лікар-педіатр",AB1135*AG1133,IF($B$1132="Лікар-терапевт","х",IF($B$1132="Лікар загальної практики - сімейний лікар",AB1135*AG1133,0)))</f>
        <v>0</v>
      </c>
      <c r="AC1133" s="196">
        <f>IF($B$1132="Лікар-педіатр",AC1135*AG1133,IF($B$1132="Лікар-терапевт","х",IF($B$1132="Лікар загальної практики - сімейний лікар",AC1135*AG1133,0)))</f>
        <v>0</v>
      </c>
      <c r="AD1133" s="196">
        <f>IF($B$1132="Лікар-педіатр","x",IF($B$1132="Лікар-терапевт",AD1135*AG1133,IF($B$1132="Лікар загальної практики - сімейний лікар",AD1135*AG1133,0)))</f>
        <v>0</v>
      </c>
      <c r="AE1133" s="196">
        <f>IF($B$1132="Лікар-педіатр","x",IF($B$1132="Лікар-терапевт",AE1135*AG1133,IF($B$1132="Лікар загальної практики - сімейний лікар",AE1135*AG1133,0)))</f>
        <v>0</v>
      </c>
      <c r="AF1133" s="196">
        <f>IF($B$1132="Лікар-педіатр","x",IF($B$1132="Лікар-терапевт",AF1135*AG1133,IF($B$1132="Лікар загальної практики - сімейний лікар",AF1135*AG1133,0)))</f>
        <v>0</v>
      </c>
      <c r="AG1133" s="558"/>
      <c r="AH1133" s="930"/>
      <c r="AI1133" s="198"/>
      <c r="AJ1133" s="933"/>
      <c r="AK1133" s="927"/>
      <c r="AL1133" s="927"/>
      <c r="AM1133" s="902"/>
      <c r="AN1133" s="924"/>
      <c r="AO1133" s="924"/>
      <c r="AP1133" s="924"/>
      <c r="AQ1133" s="924"/>
      <c r="AR1133" s="915"/>
    </row>
    <row r="1134" spans="1:44" s="90" customFormat="1" ht="31.15" hidden="1" customHeight="1">
      <c r="A1134" s="240"/>
      <c r="B1134" s="893"/>
      <c r="C1134" s="896"/>
      <c r="D1134" s="912"/>
      <c r="E1134" s="909"/>
      <c r="F1134" s="241" t="s">
        <v>584</v>
      </c>
      <c r="G1134" s="199">
        <f>IF(B1132="Лікар загальної практики - сімейний лікар"," ",IF(B1132="Лікар-педіатр"," ",IF(B1132="Лікар-терапевт","х",0)))</f>
        <v>0</v>
      </c>
      <c r="H1134" s="199">
        <f>IF(B1132="Лікар загальної практики - сімейний лікар"," ",IF(B1132="Лікар-педіатр"," ",IF(B1132="Лікар-терапевт","х",0)))</f>
        <v>0</v>
      </c>
      <c r="I1134" s="199">
        <f>IF(B1132="Лікар загальної практики - сімейний лікар"," ",IF(B1132="Лікар-педіатр","х",IF(B1132="Лікар-терапевт"," ",0)))</f>
        <v>0</v>
      </c>
      <c r="J1134" s="199">
        <f>IF(B1132="Лікар загальної практики - сімейний лікар"," ",IF(B1132="Лікар-педіатр","х",IF(B1132="Лікар-терапевт"," ",0)))</f>
        <v>0</v>
      </c>
      <c r="K1134" s="199">
        <f>IF(B1132="Лікар загальної практики - сімейний лікар"," ",IF(B1132="Лікар-педіатр","х",IF(B1132="Лікар-терапевт"," ",0)))</f>
        <v>0</v>
      </c>
      <c r="L1134" s="200">
        <f>SUM(G1134:K1134)</f>
        <v>0</v>
      </c>
      <c r="M1134" s="930"/>
      <c r="N1134" s="199">
        <f>IF(B1132="Лікар загальної практики - сімейний лікар"," ",IF(B1132="Лікар-педіатр"," ",IF(B1132="Лікар-терапевт","х",0)))</f>
        <v>0</v>
      </c>
      <c r="O1134" s="199">
        <f>IF(B1132="Лікар загальної практики - сімейний лікар"," ",IF(B1132="Лікар-педіатр"," ",IF(B1132="Лікар-терапевт","х",0)))</f>
        <v>0</v>
      </c>
      <c r="P1134" s="199">
        <f>IF(B1132="Лікар загальної практики - сімейний лікар"," ",IF(B1132="Лікар-педіатр","х",IF(B1132="Лікар-терапевт"," ",0)))</f>
        <v>0</v>
      </c>
      <c r="Q1134" s="199">
        <f>IF(B1132="Лікар загальної практики - сімейний лікар"," ",IF(B1132="Лікар-педіатр","х",IF(B1132="Лікар-терапевт"," ",0)))</f>
        <v>0</v>
      </c>
      <c r="R1134" s="199">
        <f>IF(B1132="Лікар загальної практики - сімейний лікар"," ",IF(B1132="Лікар-педіатр","х",IF(B1132="Лікар-терапевт"," ",0)))</f>
        <v>0</v>
      </c>
      <c r="S1134" s="200">
        <f>SUM(N1134:R1134)</f>
        <v>0</v>
      </c>
      <c r="T1134" s="930"/>
      <c r="U1134" s="199">
        <f>IF(B1132="Лікар загальної практики - сімейний лікар"," ",IF(B1132="Лікар-педіатр"," ",IF(B1132="Лікар-терапевт","х",0)))</f>
        <v>0</v>
      </c>
      <c r="V1134" s="199">
        <f>IF(B1132="Лікар загальної практики - сімейний лікар"," ",IF(B1132="Лікар-педіатр"," ",IF(B1132="Лікар-терапевт","х",0)))</f>
        <v>0</v>
      </c>
      <c r="W1134" s="199">
        <f>IF(B1132="Лікар загальної практики - сімейний лікар"," ",IF(B1132="Лікар-педіатр","х",IF(B1132="Лікар-терапевт"," ",0)))</f>
        <v>0</v>
      </c>
      <c r="X1134" s="199">
        <f>IF(B1132="Лікар загальної практики - сімейний лікар"," ",IF(B1132="Лікар-педіатр","х",IF(B1132="Лікар-терапевт"," ",0)))</f>
        <v>0</v>
      </c>
      <c r="Y1134" s="199">
        <f>IF(B1132="Лікар загальної практики - сімейний лікар"," ",IF(B1132="Лікар-педіатр","х",IF(B1132="Лікар-терапевт"," ",0)))</f>
        <v>0</v>
      </c>
      <c r="Z1134" s="200">
        <f>SUM(U1134:Y1134)</f>
        <v>0</v>
      </c>
      <c r="AA1134" s="930"/>
      <c r="AB1134" s="199">
        <f>IF(B1132="Лікар загальної практики - сімейний лікар"," ",IF(B1132="Лікар-педіатр"," ",IF(B1132="Лікар-терапевт","х",0)))</f>
        <v>0</v>
      </c>
      <c r="AC1134" s="199">
        <f>IF(B1132="Лікар загальної практики - сімейний лікар"," ",IF(B1132="Лікар-педіатр"," ",IF(B1132="Лікар-терапевт","х",0)))</f>
        <v>0</v>
      </c>
      <c r="AD1134" s="199">
        <f>IF(B1132="Лікар загальної практики - сімейний лікар"," ",IF(B1132="Лікар-педіатр","х",IF(B1132="Лікар-терапевт"," ",0)))</f>
        <v>0</v>
      </c>
      <c r="AE1134" s="199">
        <f>IF(B1132="Лікар загальної практики - сімейний лікар"," ",IF(B1132="Лікар-педіатр","х",IF(B1132="Лікар-терапевт"," ",0)))</f>
        <v>0</v>
      </c>
      <c r="AF1134" s="199">
        <f>IF(B1132="Лікар загальної практики - сімейний лікар"," ",IF(B1132="Лікар-педіатр","х",IF(B1132="Лікар-терапевт"," ",0)))</f>
        <v>0</v>
      </c>
      <c r="AG1134" s="200">
        <f>SUM(AB1134:AF1134)</f>
        <v>0</v>
      </c>
      <c r="AH1134" s="930"/>
      <c r="AI1134" s="242"/>
      <c r="AJ1134" s="933"/>
      <c r="AK1134" s="927"/>
      <c r="AL1134" s="927"/>
      <c r="AM1134" s="902"/>
      <c r="AN1134" s="924"/>
      <c r="AO1134" s="924"/>
      <c r="AP1134" s="924"/>
      <c r="AQ1134" s="924"/>
      <c r="AR1134" s="915"/>
    </row>
    <row r="1135" spans="1:44" s="50" customFormat="1" ht="31.9" hidden="1" customHeight="1" thickBot="1">
      <c r="A1135" s="197"/>
      <c r="B1135" s="893"/>
      <c r="C1135" s="896"/>
      <c r="D1135" s="912"/>
      <c r="E1135" s="909"/>
      <c r="F1135" s="236" t="s">
        <v>349</v>
      </c>
      <c r="G1135" s="203">
        <f>IF($B$1132="Лікар-педіатр",G1134/L1134,IF($B$1132="Лікар-терапевт","х",IF($B$1132="Лікар загальної практики - сімейний лікар",G1134/L1134,0)))</f>
        <v>0</v>
      </c>
      <c r="H1135" s="203">
        <f>IF($B$1132="Лікар-педіатр",H1134/L1134,IF($B$1132="Лікар-терапевт","х",IF($B$1132="Лікар загальної практики - сімейний лікар",H1134/L1134,0)))</f>
        <v>0</v>
      </c>
      <c r="I1135" s="203">
        <f>IF($B$1132="Лікар-педіатр","x",IF($B$1132="Лікар-терапевт",I1134/L1134,IF($B$1132="Лікар загальної практики - сімейний лікар",I1134/L1134,0)))</f>
        <v>0</v>
      </c>
      <c r="J1135" s="203">
        <f>IF($B$1132="Лікар-педіатр","x",IF($B$1132="Лікар-терапевт",J1134/L1134,IF($B$1132="Лікар загальної практики - сімейний лікар",J1134/L1134,0)))</f>
        <v>0</v>
      </c>
      <c r="K1135" s="203">
        <f>IF($B$1132="Лікар-педіатр","x",IF($B$1132="Лікар-терапевт",K1134/L1134,IF($B$1132="Лікар загальної практики - сімейний лікар",K1134/L1134,0)))</f>
        <v>0</v>
      </c>
      <c r="L1135" s="203">
        <f>SUM(G1135:K1135)</f>
        <v>0</v>
      </c>
      <c r="M1135" s="930"/>
      <c r="N1135" s="203">
        <f>IF($B$1132="Лікар-педіатр",N1134/S1134,IF($B$1132="Лікар-терапевт","х",IF($B$1132="Лікар загальної практики - сімейний лікар",N1134/S1134,0)))</f>
        <v>0</v>
      </c>
      <c r="O1135" s="203">
        <f>IF($B$1132="Лікар-педіатр",O1134/S1134,IF($B$1132="Лікар-терапевт","х",IF($B$1132="Лікар загальної практики - сімейний лікар",O1134/S1134,0)))</f>
        <v>0</v>
      </c>
      <c r="P1135" s="203">
        <f>IF($B$1132="Лікар-педіатр","x",IF($B$1132="Лікар-терапевт",P1134/S1134,IF($B$1132="Лікар загальної практики - сімейний лікар",P1134/S1134,0)))</f>
        <v>0</v>
      </c>
      <c r="Q1135" s="203">
        <f>IF($B$1132="Лікар-педіатр","x",IF($B$1132="Лікар-терапевт",Q1134/S1134,IF($B$1132="Лікар загальної практики - сімейний лікар",Q1134/S1134,0)))</f>
        <v>0</v>
      </c>
      <c r="R1135" s="203">
        <f>IF($B$1132="Лікар-педіатр","x",IF($B$1132="Лікар-терапевт",R1134/S1134,IF($B$1132="Лікар загальної практики - сімейний лікар",R1134/S1134,0)))</f>
        <v>0</v>
      </c>
      <c r="S1135" s="203">
        <f>SUM(N1135:R1135)</f>
        <v>0</v>
      </c>
      <c r="T1135" s="930"/>
      <c r="U1135" s="203">
        <f>IF($B$1132="Лікар-педіатр",U1134/Z1134,IF($B$1132="Лікар-терапевт","х",IF($B$1132="Лікар загальної практики - сімейний лікар",U1134/Z1134,0)))</f>
        <v>0</v>
      </c>
      <c r="V1135" s="203">
        <f>IF($B$1132="Лікар-педіатр",V1134/Z1134,IF($B$1132="Лікар-терапевт","х",IF($B$1132="Лікар загальної практики - сімейний лікар",V1134/Z1134,0)))</f>
        <v>0</v>
      </c>
      <c r="W1135" s="203">
        <f>IF($B$1132="Лікар-педіатр","x",IF($B$1132="Лікар-терапевт",W1134/Z1134,IF($B$1132="Лікар загальної практики - сімейний лікар",W1134/Z1134,0)))</f>
        <v>0</v>
      </c>
      <c r="X1135" s="203">
        <f>IF($B$1132="Лікар-педіатр","x",IF($B$1132="Лікар-терапевт",X1134/Z1134,IF($B$1132="Лікар загальної практики - сімейний лікар",X1134/Z1134,0)))</f>
        <v>0</v>
      </c>
      <c r="Y1135" s="203">
        <f>IF($B$1132="Лікар-педіатр","x",IF($B$1132="Лікар-терапевт",Y1134/Z1134,IF($B$1132="Лікар загальної практики - сімейний лікар",Y1134/Z1134,0)))</f>
        <v>0</v>
      </c>
      <c r="Z1135" s="203">
        <f>SUM(U1135:Y1135)</f>
        <v>0</v>
      </c>
      <c r="AA1135" s="930"/>
      <c r="AB1135" s="203">
        <f>IF($B$1132="Лікар-педіатр",AB1134/AG1134,IF($B$1132="Лікар-терапевт","х",IF($B$1132="Лікар загальної практики - сімейний лікар",AB1134/AG1134,0)))</f>
        <v>0</v>
      </c>
      <c r="AC1135" s="203">
        <f>IF($B$1132="Лікар-педіатр",AC1134/AG1134,IF($B$1132="Лікар-терапевт","х",IF($B$1132="Лікар загальної практики - сімейний лікар",AC1134/AG1134,0)))</f>
        <v>0</v>
      </c>
      <c r="AD1135" s="203">
        <f>IF($B$1132="Лікар-педіатр","x",IF($B$1132="Лікар-терапевт",AD1134/AG1134,IF($B$1132="Лікар загальної практики - сімейний лікар",AD1134/AG1134,0)))</f>
        <v>0</v>
      </c>
      <c r="AE1135" s="203">
        <f>IF($B$1132="Лікар-педіатр","x",IF($B$1132="Лікар-терапевт",AE1134/AG1134,IF($B$1132="Лікар загальної практики - сімейний лікар",AE1134/AG1134,0)))</f>
        <v>0</v>
      </c>
      <c r="AF1135" s="203">
        <f>IF($B$1132="Лікар-педіатр","x",IF($B$1132="Лікар-терапевт",AF1134/AG1134,IF($B$1132="Лікар загальної практики - сімейний лікар",AF1134/AG1134,0)))</f>
        <v>0</v>
      </c>
      <c r="AG1135" s="203">
        <f>SUM(AB1135:AF1135)</f>
        <v>0</v>
      </c>
      <c r="AH1135" s="930"/>
      <c r="AI1135" s="201"/>
      <c r="AJ1135" s="933"/>
      <c r="AK1135" s="927"/>
      <c r="AL1135" s="927"/>
      <c r="AM1135" s="902"/>
      <c r="AN1135" s="924"/>
      <c r="AO1135" s="924"/>
      <c r="AP1135" s="924"/>
      <c r="AQ1135" s="924"/>
      <c r="AR1135" s="915"/>
    </row>
    <row r="1136" spans="1:44" s="50" customFormat="1" ht="45" hidden="1" customHeight="1" thickBot="1">
      <c r="A1136" s="197"/>
      <c r="B1136" s="893"/>
      <c r="C1136" s="896"/>
      <c r="D1136" s="912"/>
      <c r="E1136" s="909"/>
      <c r="F1136" s="204" t="s">
        <v>585</v>
      </c>
      <c r="G1136" s="205">
        <f>IF($B$1132="Лікар загальної практики - сімейний лікар",AVERAGE(G1132:G1134),IF($B$1132="Лікар-педіатр",AVERAGE(G1132:G1134),IF($B$1132="Лікар-терапевт","х",0)))</f>
        <v>0</v>
      </c>
      <c r="H1136" s="205">
        <f>IF($B$1132="Лікар загальної практики - сімейний лікар",AVERAGE(H1132:H1134),IF($B$1132="Лікар-педіатр",AVERAGE(H1132:H1134),IF($B$1132="Лікар-терапевт","х",0)))</f>
        <v>0</v>
      </c>
      <c r="I1136" s="205">
        <f>IF($B$1132="Лікар загальної практики - сімейний лікар",AVERAGE(I1132:I1134),IF($B$1132="Лікар-педіатр","x",IF($B$1132="Лікар-терапевт",AVERAGE(I1132:I1134),0)))</f>
        <v>0</v>
      </c>
      <c r="J1136" s="205">
        <f>IF($B$1132="Лікар загальної практики - сімейний лікар",AVERAGE(J1132:J1134),IF($B$1132="Лікар-педіатр","x",IF($B$1132="Лікар-терапевт",AVERAGE(J1132:J1134),0)))</f>
        <v>0</v>
      </c>
      <c r="K1136" s="205">
        <f>IF($B$1132="Лікар загальної практики - сімейний лікар",AVERAGE(K1132:K1134),IF($B$1132="Лікар-педіатр","x",IF($B$1132="Лікар-терапевт",AVERAGE(K1132:K1134),0)))</f>
        <v>0</v>
      </c>
      <c r="L1136" s="206">
        <f>SUM(G1136:K1136)</f>
        <v>0</v>
      </c>
      <c r="M1136" s="930"/>
      <c r="N1136" s="205">
        <f>IF($B$1132="Лікар загальної практики - сімейний лікар",AVERAGE(N1132:N1134),IF($B$1132="Лікар-педіатр",AVERAGE(N1132:N1134),IF($B$1132="Лікар-терапевт","х",0)))</f>
        <v>0</v>
      </c>
      <c r="O1136" s="205">
        <f>IF($B$1132="Лікар загальної практики - сімейний лікар",AVERAGE(O1132:O1134),IF($B$1132="Лікар-педіатр",AVERAGE(O1132:O1134),IF($B$1132="Лікар-терапевт","х",0)))</f>
        <v>0</v>
      </c>
      <c r="P1136" s="205">
        <f>IF($B$1132="Лікар загальної практики - сімейний лікар",AVERAGE(P1132:P1134),IF($B$1132="Лікар-педіатр","x",IF($B$1132="Лікар-терапевт",AVERAGE(P1132:P1134),0)))</f>
        <v>0</v>
      </c>
      <c r="Q1136" s="205">
        <f>IF($B$1132="Лікар загальної практики - сімейний лікар",AVERAGE(Q1132:Q1134),IF($B$1132="Лікар-педіатр","x",IF($B$1132="Лікар-терапевт",AVERAGE(Q1132:Q1134),0)))</f>
        <v>0</v>
      </c>
      <c r="R1136" s="205">
        <f>IF($B$1132="Лікар загальної практики - сімейний лікар",AVERAGE(R1132:R1134),IF($B$1132="Лікар-педіатр","x",IF($B$1132="Лікар-терапевт",AVERAGE(R1132:R1134),0)))</f>
        <v>0</v>
      </c>
      <c r="S1136" s="206">
        <f>SUM(N1136:R1136)</f>
        <v>0</v>
      </c>
      <c r="T1136" s="930"/>
      <c r="U1136" s="205">
        <f>IF($B$1132="Лікар загальної практики - сімейний лікар",AVERAGE(U1132:U1134),IF($B$1132="Лікар-педіатр",AVERAGE(U1132:U1134),IF($B$1132="Лікар-терапевт","х",0)))</f>
        <v>0</v>
      </c>
      <c r="V1136" s="205">
        <f>IF($B$1132="Лікар загальної практики - сімейний лікар",AVERAGE(V1132:V1134),IF($B$1132="Лікар-педіатр",AVERAGE(V1132:V1134),IF($B$1132="Лікар-терапевт","х",0)))</f>
        <v>0</v>
      </c>
      <c r="W1136" s="205">
        <f>IF($B$1132="Лікар загальної практики - сімейний лікар",AVERAGE(W1132:W1134),IF($B$1132="Лікар-педіатр","x",IF($B$1132="Лікар-терапевт",AVERAGE(W1132:W1134),0)))</f>
        <v>0</v>
      </c>
      <c r="X1136" s="205">
        <f>IF($B$1132="Лікар загальної практики - сімейний лікар",AVERAGE(X1132:X1134),IF($B$1132="Лікар-педіатр","x",IF($B$1132="Лікар-терапевт",AVERAGE(X1132:X1134),0)))</f>
        <v>0</v>
      </c>
      <c r="Y1136" s="205">
        <f>IF($B$1132="Лікар загальної практики - сімейний лікар",AVERAGE(Y1132:Y1134),IF($B$1132="Лікар-педіатр","x",IF($B$1132="Лікар-терапевт",AVERAGE(Y1132:Y1134),0)))</f>
        <v>0</v>
      </c>
      <c r="Z1136" s="206">
        <f>SUM(U1136:Y1136)</f>
        <v>0</v>
      </c>
      <c r="AA1136" s="930"/>
      <c r="AB1136" s="205">
        <f>IF($B$1132="Лікар загальної практики - сімейний лікар",AVERAGE(AB1132:AB1134),IF($B$1132="Лікар-педіатр",AVERAGE(AB1132:AB1134),IF($B$1132="Лікар-терапевт","х",0)))</f>
        <v>0</v>
      </c>
      <c r="AC1136" s="205">
        <f>IF($B$1132="Лікар загальної практики - сімейний лікар",AVERAGE(AC1132:AC1134),IF($B$1132="Лікар-педіатр",AVERAGE(AC1132:AC1134),IF($B$1132="Лікар-терапевт","х",0)))</f>
        <v>0</v>
      </c>
      <c r="AD1136" s="205">
        <f>IF($B$1132="Лікар загальної практики - сімейний лікар",AVERAGE(AD1132:AD1134),IF($B$1132="Лікар-педіатр","x",IF($B$1132="Лікар-терапевт",AVERAGE(AD1132:AD1134),0)))</f>
        <v>0</v>
      </c>
      <c r="AE1136" s="205">
        <f>IF($B$1132="Лікар загальної практики - сімейний лікар",AVERAGE(AE1132:AE1134),IF($B$1132="Лікар-педіатр","x",IF($B$1132="Лікар-терапевт",AVERAGE(AE1132:AE1134),0)))</f>
        <v>0</v>
      </c>
      <c r="AF1136" s="205">
        <f>IF($B$1132="Лікар загальної практики - сімейний лікар",AVERAGE(AF1132:AF1134),IF($B$1132="Лікар-педіатр","x",IF($B$1132="Лікар-терапевт",AVERAGE(AF1132:AF1134),0)))</f>
        <v>0</v>
      </c>
      <c r="AG1136" s="206">
        <f>SUM(AB1136:AF1136)</f>
        <v>0</v>
      </c>
      <c r="AH1136" s="930"/>
      <c r="AI1136" s="201"/>
      <c r="AJ1136" s="933"/>
      <c r="AK1136" s="927"/>
      <c r="AL1136" s="927"/>
      <c r="AM1136" s="903"/>
      <c r="AN1136" s="925"/>
      <c r="AO1136" s="925"/>
      <c r="AP1136" s="925"/>
      <c r="AQ1136" s="925"/>
      <c r="AR1136" s="916"/>
    </row>
    <row r="1137" spans="1:44" s="50" customFormat="1" ht="40.5" hidden="1">
      <c r="A1137" s="197"/>
      <c r="B1137" s="893"/>
      <c r="C1137" s="896"/>
      <c r="D1137" s="912"/>
      <c r="E1137" s="909"/>
      <c r="F1137" s="237" t="str">
        <f ca="1">IF(B1132="Лікар-педіатр",Законод!$C$17,IF(B1132="Лікар загальної практики - сімейний лікар",Законод!$C$21,IF(B1132="Лікар-терапевт",Законод!$C$25,"х")))</f>
        <v>х</v>
      </c>
      <c r="G1137" s="208">
        <f ca="1">IF($B$1132="Лікар загальної практики - сімейний лікар",IF(L1136&lt;=Законод!$C$22,G1136,Законод!$C$22*'01_Доходи'!G1135),IF($B$1132="Лікар-педіатр",IF(L1136&lt;=Законод!$C$18,G1136,Законод!$C$18*'01_Доходи'!G1135),IF($B$1132="Лікар-терапевт","x",0)))</f>
        <v>0</v>
      </c>
      <c r="H1137" s="208">
        <f ca="1">IF($B$1132="Лікар загальної практики - сімейний лікар",IF(L1136&lt;=Законод!$C$22,H1136,Законод!$C$22*'01_Доходи'!H1135),IF($B$1132="Лікар-педіатр",IF(L1136&lt;=Законод!$C$18,H1136,Законод!$C$18*'01_Доходи'!H1135),IF($B$1132="Лікар-терапевт","x",0)))</f>
        <v>0</v>
      </c>
      <c r="I1137" s="208">
        <f ca="1">IF($B$1132="Лікар загальної практики - сімейний лікар",IF(L1136&lt;=Законод!$C$22,I1136,Законод!$C$22*'01_Доходи'!I1135),IF($B$1132="Лікар-педіатр","x",IF($B$1132="Лікар-терапевт",IF(L1136&lt;=Законод!$C$26,I1136,Законод!$C$26*'01_Доходи'!I1135),0)))</f>
        <v>0</v>
      </c>
      <c r="J1137" s="208">
        <f ca="1">IF($B$1132="Лікар загальної практики - сімейний лікар",IF(L1136&lt;=Законод!$C$22,J1136,Законод!$C$22*'01_Доходи'!J1135),IF($B$1132="Лікар-педіатр","x",IF($B$1132="Лікар-терапевт",IF(L1136&lt;=Законод!$C$26,J1136,Законод!$C$26*'01_Доходи'!J1135),0)))</f>
        <v>0</v>
      </c>
      <c r="K1137" s="208">
        <f ca="1">IF($B$1132="Лікар загальної практики - сімейний лікар",IF(L1136&lt;=Законод!$C$22,K1136,Законод!$C$22*'01_Доходи'!K1135),IF($B$1132="Лікар-педіатр","x",IF($B$1132="Лікар-терапевт",IF(L1136&lt;=Законод!$C$26,K1136,Законод!$C$26*'01_Доходи'!K1135),0)))</f>
        <v>0</v>
      </c>
      <c r="L1137" s="209">
        <f ca="1">SUM(G1137:K1137)</f>
        <v>0</v>
      </c>
      <c r="M1137" s="930"/>
      <c r="N1137" s="208">
        <f ca="1">IF($B$1132="Лікар загальної практики - сімейний лікар",IF(S1136&lt;=Законод!$C$22,N1136,Законод!$C$22*'01_Доходи'!N1135),IF($B$1132="Лікар-педіатр",IF(S1136&lt;=Законод!$C$18,N1136,Законод!$C$18*'01_Доходи'!N1135),IF($B$1132="Лікар-терапевт","x",0)))</f>
        <v>0</v>
      </c>
      <c r="O1137" s="208">
        <f ca="1">IF($B$1132="Лікар загальної практики - сімейний лікар",IF(S1136&lt;=Законод!$C$22,O1136,Законод!$C$22*'01_Доходи'!O1135),IF($B$1132="Лікар-педіатр",IF(S1136&lt;=Законод!$C$18,O1136,Законод!$C$18*'01_Доходи'!O1135),IF($B$1132="Лікар-терапевт","x",0)))</f>
        <v>0</v>
      </c>
      <c r="P1137" s="208">
        <f ca="1">IF($B$1132="Лікар загальної практики - сімейний лікар",IF(S1136&lt;=Законод!$C$22,P1136,Законод!$C$22*'01_Доходи'!P1135),IF($B$1132="Лікар-педіатр","x",IF($B$1132="Лікар-терапевт",IF(S1136&lt;=Законод!$C$26,P1136,Законод!$C$26*'01_Доходи'!P1135),0)))</f>
        <v>0</v>
      </c>
      <c r="Q1137" s="208">
        <f ca="1">IF($B$1132="Лікар загальної практики - сімейний лікар",IF(S1136&lt;=Законод!$C$22,Q1136,Законод!$C$22*'01_Доходи'!Q1135),IF($B$1132="Лікар-педіатр","x",IF($B$1132="Лікар-терапевт",IF(S1136&lt;=Законод!$C$26,Q1136,Законод!$C$26*'01_Доходи'!Q1135),0)))</f>
        <v>0</v>
      </c>
      <c r="R1137" s="208">
        <f ca="1">IF($B$1132="Лікар загальної практики - сімейний лікар",IF(S1136&lt;=Законод!$C$22,R1136,Законод!$C$22*'01_Доходи'!R1135),IF($B$1132="Лікар-педіатр","x",IF($B$1132="Лікар-терапевт",IF(S1136&lt;=Законод!$C$26,R1136,Законод!$C$26*'01_Доходи'!R1135),0)))</f>
        <v>0</v>
      </c>
      <c r="S1137" s="209">
        <f ca="1">SUM(N1137:R1137)</f>
        <v>0</v>
      </c>
      <c r="T1137" s="930"/>
      <c r="U1137" s="208">
        <f ca="1">IF($B$1132="Лікар загальної практики - сімейний лікар",IF(Z1136&lt;=Законод!$C$22,U1136,Законод!$C$22*'01_Доходи'!U1135),IF($B$1132="Лікар-педіатр",IF(Z1136&lt;=Законод!$C$18,U1136,Законод!$C$18*'01_Доходи'!U1135),IF($B$1132="Лікар-терапевт","x",0)))</f>
        <v>0</v>
      </c>
      <c r="V1137" s="208">
        <f ca="1">IF($B$1132="Лікар загальної практики - сімейний лікар",IF(Z1136&lt;=Законод!$C$22,V1136,Законод!$C$22*'01_Доходи'!V1135),IF($B$1132="Лікар-педіатр",IF(Z1136&lt;=Законод!$C$18,V1136,Законод!$C$18*'01_Доходи'!V1135),IF($B$1132="Лікар-терапевт","x",0)))</f>
        <v>0</v>
      </c>
      <c r="W1137" s="208">
        <f ca="1">IF($B$1132="Лікар загальної практики - сімейний лікар",IF(Z1136&lt;=Законод!$C$22,W1136,Законод!$C$22*'01_Доходи'!W1135),IF($B$1132="Лікар-педіатр","x",IF($B$1132="Лікар-терапевт",IF(Z1136&lt;=Законод!$C$26,W1136,Законод!$C$26*'01_Доходи'!W1135),0)))</f>
        <v>0</v>
      </c>
      <c r="X1137" s="208">
        <f ca="1">IF($B$1132="Лікар загальної практики - сімейний лікар",IF(Z1136&lt;=Законод!$C$22,X1136,Законод!$C$22*'01_Доходи'!X1135),IF($B$1132="Лікар-педіатр","x",IF($B$1132="Лікар-терапевт",IF(Z1136&lt;=Законод!$C$26,X1136,Законод!$C$26*'01_Доходи'!X1135),0)))</f>
        <v>0</v>
      </c>
      <c r="Y1137" s="208">
        <f ca="1">IF($B$1132="Лікар загальної практики - сімейний лікар",IF(Z1136&lt;=Законод!$C$22,Y1136,Законод!$C$22*'01_Доходи'!Y1135),IF($B$1132="Лікар-педіатр","x",IF($B$1132="Лікар-терапевт",IF(Z1136&lt;=Законод!$C$26,Y1136,Законод!$C$26*'01_Доходи'!Y1135),0)))</f>
        <v>0</v>
      </c>
      <c r="Z1137" s="209">
        <f ca="1">SUM(U1137:Y1137)</f>
        <v>0</v>
      </c>
      <c r="AA1137" s="930"/>
      <c r="AB1137" s="208">
        <f ca="1">IF($B$1132="Лікар загальної практики - сімейний лікар",IF(AG1136&lt;=Законод!$C$22,AB1136,Законод!$C$22*'01_Доходи'!AB1135),IF($B$1132="Лікар-педіатр",IF(AG1136&lt;=Законод!$C$18,AB1136,Законод!$C$18*'01_Доходи'!AB1135),IF($B$1132="Лікар-терапевт","x",0)))</f>
        <v>0</v>
      </c>
      <c r="AC1137" s="208">
        <f ca="1">IF($B$1132="Лікар загальної практики - сімейний лікар",IF(AG1136&lt;=Законод!$C$22,AC1136,Законод!$C$22*'01_Доходи'!AC1135),IF($B$1132="Лікар-педіатр",IF(AG1136&lt;=Законод!$C$18,AC1136,Законод!$C$18*'01_Доходи'!AC1135),IF($B$1132="Лікар-терапевт","x",0)))</f>
        <v>0</v>
      </c>
      <c r="AD1137" s="208">
        <f ca="1">IF($B$1132="Лікар загальної практики - сімейний лікар",IF(AG1136&lt;=Законод!$C$22,AD1136,Законод!$C$22*'01_Доходи'!AD1135),IF($B$1132="Лікар-педіатр","x",IF($B$1132="Лікар-терапевт",IF(AG1136&lt;=Законод!$C$26,AD1136,Законод!$C$26*'01_Доходи'!AD1135),0)))</f>
        <v>0</v>
      </c>
      <c r="AE1137" s="208">
        <f ca="1">IF($B$1132="Лікар загальної практики - сімейний лікар",IF(AG1136&lt;=Законод!$C$22,AE1136,Законод!$C$22*'01_Доходи'!AE1135),IF($B$1132="Лікар-педіатр","x",IF($B$1132="Лікар-терапевт",IF(AG1136&lt;=Законод!$C$26,AE1136,Законод!$C$26*'01_Доходи'!AE1135),0)))</f>
        <v>0</v>
      </c>
      <c r="AF1137" s="208">
        <f ca="1">IF($B$1132="Лікар загальної практики - сімейний лікар",IF(AG1136&lt;=Законод!$C$22,AF1136,Законод!$C$22*'01_Доходи'!AF1135),IF($B$1132="Лікар-педіатр","x",IF($B$1132="Лікар-терапевт",IF(AG1136&lt;=Законод!$C$26,AF1136,Законод!$C$26*'01_Доходи'!AF1135),0)))</f>
        <v>0</v>
      </c>
      <c r="AG1137" s="209">
        <f ca="1">SUM(AB1137:AF1137)</f>
        <v>0</v>
      </c>
      <c r="AH1137" s="930"/>
      <c r="AI1137" s="201"/>
      <c r="AJ1137" s="933"/>
      <c r="AK1137" s="927"/>
      <c r="AL1137" s="927"/>
      <c r="AM1137" s="348" t="s">
        <v>374</v>
      </c>
      <c r="AN1137" s="210">
        <f ca="1">IF(B1132="Лікар загальної практики - сімейний лікар",G1137*Законод!$C$11+'01_Доходи'!H1137*Законод!$D$11+'01_Доходи'!I1137*Законод!$E$11+'01_Доходи'!J1137*Законод!$F$11+'01_Доходи'!K1137*Законод!$G$11,IF(B1132="Лікар-педіатр",G1137*Законод!$C$11+'01_Доходи'!H1137*Законод!$D$11,IF(B1132="Лікар-терапевт",'01_Доходи'!I1137*Законод!$E$11+'01_Доходи'!J1137*Законод!$F$11+'01_Доходи'!K1137*Законод!$G$11,0)))</f>
        <v>0</v>
      </c>
      <c r="AO1137" s="210">
        <f ca="1">IF(B1132="Лікар загальної практики - сімейний лікар",N1137*Законод!$C$11+'01_Доходи'!O1137*Законод!$D$11+'01_Доходи'!P1137*Законод!$E$11+'01_Доходи'!Q1137*Законод!$F$11+'01_Доходи'!R1137*Законод!$G$11,IF(B1132="Лікар-педіатр",N1137*Законод!$C$11+'01_Доходи'!O1137*Законод!$D$11,IF(B1132="Лікар-терапевт",'01_Доходи'!P1137*Законод!$E$11+'01_Доходи'!Q1137*Законод!$F$11+'01_Доходи'!R1137*Законод!$G$11,0)))</f>
        <v>0</v>
      </c>
      <c r="AP1137" s="210">
        <f ca="1">IF(B1132="Лікар загальної практики - сімейний лікар",U1137*Законод!$C$11+'01_Доходи'!V1137*Законод!$D$11+'01_Доходи'!W1137*Законод!$E$11+'01_Доходи'!X1137*Законод!$F$11+'01_Доходи'!Y1137*Законод!$G$11,IF(B1132="Лікар-педіатр",U1137*Законод!$C$11+'01_Доходи'!V1137*Законод!$D$11,IF(B1132="Лікар-терапевт",'01_Доходи'!W1137*Законод!$E$11+'01_Доходи'!X1137*Законод!$F$11+'01_Доходи'!Y1137*Законод!$G$11,0)))</f>
        <v>0</v>
      </c>
      <c r="AQ1137" s="210">
        <f ca="1">IF(B1132="Лікар загальної практики - сімейний лікар",AB1137*Законод!$C$11+'01_Доходи'!AC1137*Законод!$D$11+'01_Доходи'!AD1137*Законод!$E$11+'01_Доходи'!AE1137*Законод!$F$11+'01_Доходи'!AF1137*Законод!$G$11,IF(B1132="Лікар-педіатр",AB1137*Законод!$C$11+'01_Доходи'!AC1137*Законод!$D$11,IF(B1132="Лікар-терапевт",'01_Доходи'!AD1137*Законод!$E$11+'01_Доходи'!AE1137*Законод!$F$11+'01_Доходи'!AF1137*Законод!$G$11,0)))</f>
        <v>0</v>
      </c>
      <c r="AR1137" s="211">
        <f t="shared" ref="AR1137:AR1143" si="114">SUM(AN1137:AQ1137)</f>
        <v>0</v>
      </c>
    </row>
    <row r="1138" spans="1:44" s="50" customFormat="1" ht="31.9" hidden="1" customHeight="1">
      <c r="A1138" s="197"/>
      <c r="B1138" s="893"/>
      <c r="C1138" s="896"/>
      <c r="D1138" s="912"/>
      <c r="E1138" s="909"/>
      <c r="F1138" s="238" t="str">
        <f ca="1">IF(B1132="Лікар-педіатр",Законод!$E$17,IF(B1132="Лікар загальної практики - сімейний лікар",Законод!$E$21,IF(B1132="Лікар-терапевт",Законод!$E$25,"х")))</f>
        <v>х</v>
      </c>
      <c r="G1138" s="889" t="s">
        <v>346</v>
      </c>
      <c r="H1138" s="890"/>
      <c r="I1138" s="890"/>
      <c r="J1138" s="890"/>
      <c r="K1138" s="891"/>
      <c r="L1138" s="196">
        <f ca="1">IF($B$1132="Лікар загальної практики - сімейний лікар",IF(L1136&lt;Законод!$C$22,0,(IF(AND(L1136&gt;=Законод!$E$22,L1136&lt;=Законод!$E$23),L1136-Законод!$C$22,IF('01_Доходи'!L1136&gt;=Законод!$F$22,Законод!$E$24,0)))),IF($B$1132="Лікар-педіатр",IF(L1136&lt;Законод!$C$18,0,(IF(AND(L1136&gt;=Законод!$E$18,L1136&lt;=Законод!$E$19),L1136-Законод!$C$18,IF('01_Доходи'!L1136&gt;=Законод!$F$18,Законод!$E$20,0)))),IF($B$1132="Лікар-терапевт",IF(L1136&lt;Законод!$C$26,0,(IF(AND(L1136&gt;=Законод!$E$26,L1136&lt;=Законод!$E$27),L1136-Законод!$C$26,IF('01_Доходи'!L1136&gt;=Законод!$F$26,Законод!$E$28,0)))),0)))</f>
        <v>0</v>
      </c>
      <c r="M1138" s="930"/>
      <c r="N1138" s="889" t="s">
        <v>346</v>
      </c>
      <c r="O1138" s="890"/>
      <c r="P1138" s="890"/>
      <c r="Q1138" s="890"/>
      <c r="R1138" s="891"/>
      <c r="S1138" s="196">
        <f ca="1">IF($B$1132="Лікар загальної практики - сімейний лікар",IF(S1136&lt;Законод!$C$22,0,(IF(AND(S1136&gt;=Законод!$E$22,S1136&lt;=Законод!$E$23),S1136-Законод!$C$22,IF('01_Доходи'!S1136&gt;=Законод!$F$22,Законод!$E$24,0)))),IF($B$1132="Лікар-педіатр",IF(S1136&lt;Законод!$C$18,0,(IF(AND(S1136&gt;=Законод!$E$18,S1136&lt;=Законод!$E$19),S1136-Законод!$C$18,IF('01_Доходи'!S1136&gt;=Законод!$F$18,Законод!$E$20,0)))),IF($B$1132="Лікар-терапевт",IF(S1136&lt;Законод!$C$26,0,(IF(AND(S1136&gt;=Законод!$E$26,S1136&lt;=Законод!$E$27),S1136-Законод!$C$26,IF('01_Доходи'!S1136&gt;=Законод!$F$26,Законод!$E$28,0)))),0)))</f>
        <v>0</v>
      </c>
      <c r="T1138" s="930"/>
      <c r="U1138" s="889" t="s">
        <v>346</v>
      </c>
      <c r="V1138" s="890"/>
      <c r="W1138" s="890"/>
      <c r="X1138" s="890"/>
      <c r="Y1138" s="891"/>
      <c r="Z1138" s="196">
        <f ca="1">IF($B$1132="Лікар загальної практики - сімейний лікар",IF(Z1136&lt;Законод!$C$22,0,(IF(AND(Z1136&gt;=Законод!$E$22,Z1136&lt;=Законод!$E$23),Z1136-Законод!$C$22,IF('01_Доходи'!Z1136&gt;=Законод!$F$22,Законод!$E$24,0)))),IF($B$1132="Лікар-педіатр",IF(Z1136&lt;Законод!$C$18,0,(IF(AND(Z1136&gt;=Законод!$E$18,Z1136&lt;=Законод!$E$19),Z1136-Законод!$C$18,IF('01_Доходи'!Z1136&gt;=Законод!$F$18,Законод!$E$20,0)))),IF($B$1132="Лікар-терапевт",IF(Z1136&lt;Законод!$C$26,0,(IF(AND(Z1136&gt;=Законод!$E$26,Z1136&lt;=Законод!$E$27),Z1136-Законод!$C$26,IF('01_Доходи'!Z1136&gt;=Законод!$F$26,Законод!$E$28,0)))),0)))</f>
        <v>0</v>
      </c>
      <c r="AA1138" s="930"/>
      <c r="AB1138" s="889" t="s">
        <v>346</v>
      </c>
      <c r="AC1138" s="890"/>
      <c r="AD1138" s="890"/>
      <c r="AE1138" s="890"/>
      <c r="AF1138" s="891"/>
      <c r="AG1138" s="196">
        <f ca="1">IF($B$1132="Лікар загальної практики - сімейний лікар",IF(AG1136&lt;Законод!$C$22,0,(IF(AND(AG1136&gt;=Законод!$E$22,AG1136&lt;=Законод!$E$23),AG1136-Законод!$C$22,IF('01_Доходи'!AG1136&gt;=Законод!$F$22,Законод!$E$24,0)))),IF($B$1132="Лікар-педіатр",IF(AG1136&lt;Законод!$C$18,0,(IF(AND(AG1136&gt;=Законод!$E$18,AG1136&lt;=Законод!$E$19),AG1136-Законод!$C$18,IF('01_Доходи'!AG1136&gt;=Законод!$F$18,Законод!$E$20,0)))),IF($B$1132="Лікар-терапевт",IF(AG1136&lt;Законод!$C$26,0,(IF(AND(AG1136&gt;=Законод!$E$26,AG1136&lt;=Законод!$E$27),AG1136-Законод!$C$26,IF('01_Доходи'!AG1136&gt;=Законод!$F$26,Законод!$E$28,0)))),0)))</f>
        <v>0</v>
      </c>
      <c r="AH1138" s="930"/>
      <c r="AI1138" s="201"/>
      <c r="AJ1138" s="933"/>
      <c r="AK1138" s="927"/>
      <c r="AL1138" s="927"/>
      <c r="AM1138" s="898" t="s">
        <v>375</v>
      </c>
      <c r="AN1138" s="210">
        <f ca="1">IF(B1132="Лікар загальної практики - сімейний лікар",L1138*Законод!$C$9/4*Законод!$E$16,IF(B1132="Лікар-педіатр",L1138*Законод!$C$9/4*Законод!$E$16,IF(B1132="Лікар-терапевт",L1138*Законод!$C$9/4*Законод!$E$16,0)))</f>
        <v>0</v>
      </c>
      <c r="AO1138" s="210">
        <f ca="1">IF(B1132="Лікар загальної практики - сімейний лікар",S1138*Законод!$C$9/4*Законод!$E$16,IF(B1132="Лікар-педіатр",S1138*Законод!$C$9/4*Законод!$E$16,IF(B1132="Лікар-терапевт",S1138*Законод!$C$9/4*Законод!$E$16,0)))</f>
        <v>0</v>
      </c>
      <c r="AP1138" s="210">
        <f ca="1">IF(B1132="Лікар загальної практики - сімейний лікар",Z1138*Законод!$C$9/4*Законод!$E$16,IF(B1132="Лікар-педіатр",Z1138*Законод!$C$9/4*Законод!$E$16,IF(B1132="Лікар-терапевт",Z1138*Законод!$C$9/4*Законод!$E$16,0)))</f>
        <v>0</v>
      </c>
      <c r="AQ1138" s="210">
        <f ca="1">IF(B1132="Лікар загальної практики - сімейний лікар",AG1138*Законод!$C$9/4*Законод!$E$16,IF(B1132="Лікар-педіатр",AG1138*Законод!$C$9/4*Законод!$E$16,IF(B1132="Лікар-терапевт",AG1138*Законод!$C$9/4*Законод!$E$16,0)))</f>
        <v>0</v>
      </c>
      <c r="AR1138" s="211">
        <f t="shared" si="114"/>
        <v>0</v>
      </c>
    </row>
    <row r="1139" spans="1:44" s="50" customFormat="1" ht="31.9" hidden="1" customHeight="1">
      <c r="A1139" s="197"/>
      <c r="B1139" s="893"/>
      <c r="C1139" s="896"/>
      <c r="D1139" s="912"/>
      <c r="E1139" s="909"/>
      <c r="F1139" s="238" t="str">
        <f ca="1">IF(B1132="Лікар-педіатр",Законод!$F$17,IF(B1132="Лікар загальної практики - сімейний лікар",Законод!$F$21,IF(B1132="Лікар-терапевт",Законод!$F$25,"х")))</f>
        <v>х</v>
      </c>
      <c r="G1139" s="889" t="s">
        <v>346</v>
      </c>
      <c r="H1139" s="890"/>
      <c r="I1139" s="890"/>
      <c r="J1139" s="890"/>
      <c r="K1139" s="891"/>
      <c r="L1139" s="196">
        <f ca="1">IF($B$1132="Лікар загальної практики - сімейний лікар",IF(L1136&lt;Законод!$C$22,0,(IF(AND(L1136&gt;=Законод!$F$22,L1136&lt;=Законод!$F$23),L1136-Законод!$E$23,IF('01_Доходи'!L1136&gt;=Законод!$G$22,Законод!$F$24,0)))),IF($B$1132="Лікар-педіатр",IF(L1136&lt;Законод!$C$18,0,(IF(AND(L1136&gt;=Законод!$F$18,L1136&lt;=Законод!$F$19),L1136-Законод!$E$19,IF('01_Доходи'!L1136&gt;=Законод!$G$18,Законод!$F$20,0)))),IF($B$1132="Лікар-терапевт",IF(L1136&lt;Законод!$C$26,0,(IF(AND(L1136&gt;=Законод!$F$26,L1136&lt;=Законод!$F$27),L1136-Законод!$E$27,IF('01_Доходи'!L1136&gt;=Законод!$G$26,Законод!$F$28,0)))),0)))</f>
        <v>0</v>
      </c>
      <c r="M1139" s="930"/>
      <c r="N1139" s="889" t="s">
        <v>346</v>
      </c>
      <c r="O1139" s="890"/>
      <c r="P1139" s="890"/>
      <c r="Q1139" s="890"/>
      <c r="R1139" s="891"/>
      <c r="S1139" s="196">
        <f ca="1">IF($B$1132="Лікар загальної практики - сімейний лікар",IF(S1136&lt;Законод!$C$22,0,(IF(AND(S1136&gt;=Законод!$F$22,S1136&lt;=Законод!$F$23),S1136-Законод!$E$23,IF('01_Доходи'!S1136&gt;=Законод!$G$22,Законод!$F$24,0)))),IF($B$1132="Лікар-педіатр",IF(S1136&lt;Законод!$C$18,0,(IF(AND(S1136&gt;=Законод!$F$18,S1136&lt;=Законод!$F$19),S1136-Законод!$E$19,IF('01_Доходи'!S1136&gt;=Законод!$G$18,Законод!$F$20,0)))),IF($B$1132="Лікар-терапевт",IF(S1136&lt;Законод!$C$26,0,(IF(AND(S1136&gt;=Законод!$F$26,S1136&lt;=Законод!$F$27),S1136-Законод!$E$27,IF('01_Доходи'!S1136&gt;=Законод!$G$26,Законод!$F$28,0)))),0)))</f>
        <v>0</v>
      </c>
      <c r="T1139" s="930"/>
      <c r="U1139" s="889" t="s">
        <v>346</v>
      </c>
      <c r="V1139" s="890"/>
      <c r="W1139" s="890"/>
      <c r="X1139" s="890"/>
      <c r="Y1139" s="891"/>
      <c r="Z1139" s="196">
        <f ca="1">IF($B$1132="Лікар загальної практики - сімейний лікар",IF(Z1136&lt;Законод!$C$22,0,(IF(AND(Z1136&gt;=Законод!$F$22,Z1136&lt;=Законод!$F$23),Z1136-Законод!$E$23,IF('01_Доходи'!Z1136&gt;=Законод!$G$22,Законод!$F$24,0)))),IF($B$1132="Лікар-педіатр",IF(Z1136&lt;Законод!$C$18,0,(IF(AND(Z1136&gt;=Законод!$F$18,Z1136&lt;=Законод!$F$19),Z1136-Законод!$E$19,IF('01_Доходи'!Z1136&gt;=Законод!$G$18,Законод!$F$20,0)))),IF($B$1132="Лікар-терапевт",IF(Z1136&lt;Законод!$C$26,0,(IF(AND(Z1136&gt;=Законод!$F$26,Z1136&lt;=Законод!$F$27),Z1136-Законод!$E$27,IF('01_Доходи'!Z1136&gt;=Законод!$G$26,Законод!$F$28,0)))),0)))</f>
        <v>0</v>
      </c>
      <c r="AA1139" s="930"/>
      <c r="AB1139" s="889" t="s">
        <v>346</v>
      </c>
      <c r="AC1139" s="890"/>
      <c r="AD1139" s="890"/>
      <c r="AE1139" s="890"/>
      <c r="AF1139" s="891"/>
      <c r="AG1139" s="196">
        <f ca="1">IF($B$1132="Лікар загальної практики - сімейний лікар",IF(AG1136&lt;Законод!$C$22,0,(IF(AND(AG1136&gt;=Законод!$F$22,AG1136&lt;=Законод!$F$23),AG1136-Законод!$E$23,IF('01_Доходи'!AG1136&gt;=Законод!$G$22,Законод!$F$24,0)))),IF($B$1132="Лікар-педіатр",IF(AG1136&lt;Законод!$C$18,0,(IF(AND(AG1136&gt;=Законод!$F$18,AG1136&lt;=Законод!$F$19),AG1136-Законод!$E$19,IF('01_Доходи'!AG1136&gt;=Законод!$G$18,Законод!$F$20,0)))),IF($B$1132="Лікар-терапевт",IF(AG1136&lt;Законод!$C$26,0,(IF(AND(AG1136&gt;=Законод!$F$26,AG1136&lt;=Законод!$F$27),AG1136-Законод!$E$27,IF('01_Доходи'!AG1136&gt;=Законод!$G$26,Законод!$F$28,0)))),0)))</f>
        <v>0</v>
      </c>
      <c r="AH1139" s="930"/>
      <c r="AI1139" s="201"/>
      <c r="AJ1139" s="933"/>
      <c r="AK1139" s="927"/>
      <c r="AL1139" s="927"/>
      <c r="AM1139" s="899"/>
      <c r="AN1139" s="210">
        <f ca="1">IF(B1132="Лікар загальної практики - сімейний лікар",L1139*Законод!$C$9/4*Законод!$F$16,IF(B1132="Лікар-педіатр",L1139*Законод!$C$9/4*Законод!$F$16,IF(B1132="Лікар-терапевт",L1139*Законод!$C$9/4*Законод!$F$16,0)))</f>
        <v>0</v>
      </c>
      <c r="AO1139" s="210">
        <f ca="1">IF(B1132="Лікар загальної практики - сімейний лікар",S1139*Законод!$C$9/4*Законод!$F$16,IF(B1132="Лікар-педіатр",S1139*Законод!$C$9/4*Законод!$F$16,IF(B1132="Лікар-терапевт",S1139*Законод!$C$9/4*Законод!$F$16,0)))</f>
        <v>0</v>
      </c>
      <c r="AP1139" s="210">
        <f ca="1">IF(B1132="Лікар загальної практики - сімейний лікар",Z1139*Законод!$C$9/4*Законод!$F$16,IF(B1132="Лікар-педіатр",Z1139*Законод!$C$9/4*Законод!$F$16,IF(B1132="Лікар-терапевт",Z1139*Законод!$C$9/4*Законод!$F$16,0)))</f>
        <v>0</v>
      </c>
      <c r="AQ1139" s="210">
        <f ca="1">IF(B1132="Лікар загальної практики - сімейний лікар",AG1139*Законод!$C$9/4*Законод!$F$16,IF(B1132="Лікар-педіатр",AG1139*Законод!$C$9/4*Законод!$F$16,IF(B1132="Лікар-терапевт",AG1139*Законод!$C$9/4*Законод!$F$16,0)))</f>
        <v>0</v>
      </c>
      <c r="AR1139" s="211">
        <f t="shared" si="114"/>
        <v>0</v>
      </c>
    </row>
    <row r="1140" spans="1:44" s="50" customFormat="1" ht="31.9" hidden="1" customHeight="1">
      <c r="A1140" s="197"/>
      <c r="B1140" s="893"/>
      <c r="C1140" s="896"/>
      <c r="D1140" s="912"/>
      <c r="E1140" s="909"/>
      <c r="F1140" s="238" t="str">
        <f ca="1">IF(B1132="Лікар-педіатр",Законод!$G$17,IF(B1132="Лікар загальної практики - сімейний лікар",Законод!$G$21,IF(B1132="Лікар-терапевт",Законод!$G$25,"х")))</f>
        <v>х</v>
      </c>
      <c r="G1140" s="889" t="s">
        <v>346</v>
      </c>
      <c r="H1140" s="890"/>
      <c r="I1140" s="890"/>
      <c r="J1140" s="890"/>
      <c r="K1140" s="891"/>
      <c r="L1140" s="196">
        <f ca="1">IF($B$1132="Лікар загальної практики - сімейний лікар",IF(L1136&lt;Законод!$C$22,0,(IF(AND(L1136&gt;=Законод!$G$22,L1136&lt;=Законод!$G$23),L1136-Законод!$F$23,IF('01_Доходи'!L1136&gt;=Законод!$H$22,Законод!$G$24,0)))),IF($B$1132="Лікар-педіатр",IF(L1136&lt;Законод!$C$18,0,(IF(AND(L1136&gt;=Законод!$G$18,L1136&lt;=Законод!$G$19),L1136-Законод!$F$19,IF('01_Доходи'!L1136&gt;=Законод!$H$18,Законод!$G$20,0)))),IF($B$1132="Лікар-терапевт",IF(L1136&lt;Законод!$C$26,0,(IF(AND(L1136&gt;=Законод!$G$26,L1136&lt;=Законод!$G$27),L1136-Законод!$F$27,IF('01_Доходи'!L1136&gt;=Законод!$H$26,Законод!$G$28,0)))),0)))</f>
        <v>0</v>
      </c>
      <c r="M1140" s="930"/>
      <c r="N1140" s="889" t="s">
        <v>346</v>
      </c>
      <c r="O1140" s="890"/>
      <c r="P1140" s="890"/>
      <c r="Q1140" s="890"/>
      <c r="R1140" s="891"/>
      <c r="S1140" s="196">
        <f ca="1">IF($B$1132="Лікар загальної практики - сімейний лікар",IF(S1136&lt;Законод!$C$22,0,(IF(AND(S1136&gt;=Законод!$G$22,S1136&lt;=Законод!$G$23),S1136-Законод!$F$23,IF('01_Доходи'!S1136&gt;=Законод!$H$22,Законод!$G$24,0)))),IF($B$1132="Лікар-педіатр",IF(S1136&lt;Законод!$C$18,0,(IF(AND(S1136&gt;=Законод!$G$18,S1136&lt;=Законод!$G$19),S1136-Законод!$F$19,IF('01_Доходи'!S1136&gt;=Законод!$H$18,Законод!$G$20,0)))),IF($B$1132="Лікар-терапевт",IF(S1136&lt;Законод!$C$26,0,(IF(AND(S1136&gt;=Законод!$G$26,S1136&lt;=Законод!$G$27),S1136-Законод!$F$27,IF('01_Доходи'!S1136&gt;=Законод!$H$26,Законод!$G$28,0)))),0)))</f>
        <v>0</v>
      </c>
      <c r="T1140" s="930"/>
      <c r="U1140" s="889" t="s">
        <v>346</v>
      </c>
      <c r="V1140" s="890"/>
      <c r="W1140" s="890"/>
      <c r="X1140" s="890"/>
      <c r="Y1140" s="891"/>
      <c r="Z1140" s="196">
        <f ca="1">IF($B$1132="Лікар загальної практики - сімейний лікар",IF(Z1136&lt;Законод!$C$22,0,(IF(AND(Z1136&gt;=Законод!$G$22,Z1136&lt;=Законод!$G$23),Z1136-Законод!$F$23,IF('01_Доходи'!Z1136&gt;=Законод!$H$22,Законод!$G$24,0)))),IF($B$1132="Лікар-педіатр",IF(Z1136&lt;Законод!$C$18,0,(IF(AND(Z1136&gt;=Законод!$G$18,Z1136&lt;=Законод!$G$19),Z1136-Законод!$F$19,IF('01_Доходи'!Z1136&gt;=Законод!$H$18,Законод!$G$20,0)))),IF($B$1132="Лікар-терапевт",IF(Z1136&lt;Законод!$C$26,0,(IF(AND(Z1136&gt;=Законод!$G$26,Z1136&lt;=Законод!$G$27),Z1136-Законод!$F$27,IF('01_Доходи'!Z1136&gt;=Законод!$H$26,Законод!$G$28,0)))),0)))</f>
        <v>0</v>
      </c>
      <c r="AA1140" s="930"/>
      <c r="AB1140" s="889" t="s">
        <v>346</v>
      </c>
      <c r="AC1140" s="890"/>
      <c r="AD1140" s="890"/>
      <c r="AE1140" s="890"/>
      <c r="AF1140" s="891"/>
      <c r="AG1140" s="196">
        <f ca="1">IF($B$1132="Лікар загальної практики - сімейний лікар",IF(AG1136&lt;Законод!$C$22,0,(IF(AND(AG1136&gt;=Законод!$G$22,AG1136&lt;=Законод!$G$23),AG1136-Законод!$F$23,IF('01_Доходи'!AG1136&gt;=Законод!$H$22,Законод!$G$24,0)))),IF($B$1132="Лікар-педіатр",IF(AG1136&lt;Законод!$C$18,0,(IF(AND(AG1136&gt;=Законод!$G$18,AG1136&lt;=Законод!$G$19),AG1136-Законод!$F$19,IF('01_Доходи'!AG1136&gt;=Законод!$H$18,Законод!$G$20,0)))),IF($B$1132="Лікар-терапевт",IF(AG1136&lt;Законод!$C$26,0,(IF(AND(AG1136&gt;=Законод!$G$26,AG1136&lt;=Законод!$G$27),AG1136-Законод!$F$27,IF('01_Доходи'!AG1136&gt;=Законод!$H$26,Законод!$G$28,0)))),0)))</f>
        <v>0</v>
      </c>
      <c r="AH1140" s="930"/>
      <c r="AI1140" s="201"/>
      <c r="AJ1140" s="933"/>
      <c r="AK1140" s="927"/>
      <c r="AL1140" s="927"/>
      <c r="AM1140" s="899"/>
      <c r="AN1140" s="210">
        <f ca="1">IF(B1132="Лікар загальної практики - сімейний лікар",L1140*Законод!$C$9/4*Законод!$G$16,IF(B1132="Лікар-педіатр",L1140*Законод!$C$9/4*Законод!$G$16,IF(B1132="Лікар-терапевт",L1140*Законод!$C$9/4*Законод!$G$16,0)))</f>
        <v>0</v>
      </c>
      <c r="AO1140" s="210">
        <f ca="1">IF(B1132="Лікар загальної практики - сімейний лікар",S1140*Законод!$C$9/4*Законод!$G$16,IF(B1132="Лікар-педіатр",S1140*Законод!$C$9/4*Законод!$G$16,IF(B1132="Лікар-терапевт",S1140*Законод!$C$9/4*Законод!$G$16,0)))</f>
        <v>0</v>
      </c>
      <c r="AP1140" s="210">
        <f ca="1">IF(B1132="Лікар загальної практики - сімейний лікар",Z1140*Законод!$C$9/4*Законод!$G$16,IF(B1132="Лікар-педіатр",Z1140*Законод!$C$9/4*Законод!$G$16,IF(B1132="Лікар-терапевт",Z1140*Законод!$C$9/4*Законод!$G$16,0)))</f>
        <v>0</v>
      </c>
      <c r="AQ1140" s="210">
        <f ca="1">IF(B1132="Лікар загальної практики - сімейний лікар",AG1140*Законод!$C$9/4*Законод!$G$16,IF(B1132="Лікар-педіатр",AG1140*Законод!$C$9/4*Законод!$G$16,IF(B1132="Лікар-терапевт",AG1140*Законод!$C$9/4*Законод!$G$16,0)))</f>
        <v>0</v>
      </c>
      <c r="AR1140" s="211">
        <f t="shared" si="114"/>
        <v>0</v>
      </c>
    </row>
    <row r="1141" spans="1:44" s="50" customFormat="1" ht="31.9" hidden="1" customHeight="1">
      <c r="A1141" s="197"/>
      <c r="B1141" s="893"/>
      <c r="C1141" s="896"/>
      <c r="D1141" s="912"/>
      <c r="E1141" s="909"/>
      <c r="F1141" s="238" t="str">
        <f ca="1">IF(B1132="Лікар-педіатр",Законод!$H$17,IF(B1132="Лікар загальної практики - сімейний лікар",Законод!$H$21,IF(B1132="Лікар-терапевт",Законод!$H$25,"х")))</f>
        <v>х</v>
      </c>
      <c r="G1141" s="889" t="s">
        <v>346</v>
      </c>
      <c r="H1141" s="890"/>
      <c r="I1141" s="890"/>
      <c r="J1141" s="890"/>
      <c r="K1141" s="891"/>
      <c r="L1141" s="196">
        <f ca="1">IF($B$1132="Лікар загальної практики - сімейний лікар",IF(L1136&lt;Законод!$C$22,0,(IF(AND(L1136&gt;=Законод!$H$22,L1136&lt;=Законод!$H$23),L1136-Законод!$G$23,IF('01_Доходи'!L1136&gt;=Законод!$I$22,Законод!$H$24,0)))),IF($B$1132="Лікар-педіатр",IF(L1136&lt;Законод!$C$18,0,(IF(AND(L1136&gt;=Законод!$H$18,L1136&lt;=Законод!$H$19),L1136-Законод!$G$19,IF('01_Доходи'!L1136&gt;=Законод!$I$18,Законод!$H$20,0)))),IF($B$1132="Лікар-терапевт",IF(L1136&lt;Законод!$C$26,0,(IF(AND(L1136&gt;=Законод!$H$26,L1136&lt;=Законод!$H$27),L1136-Законод!$G$27,IF(L1136&gt;=Законод!$I$26,Законод!$H$28,0)))),0)))</f>
        <v>0</v>
      </c>
      <c r="M1141" s="930"/>
      <c r="N1141" s="889" t="s">
        <v>346</v>
      </c>
      <c r="O1141" s="890"/>
      <c r="P1141" s="890"/>
      <c r="Q1141" s="890"/>
      <c r="R1141" s="891"/>
      <c r="S1141" s="196">
        <f ca="1">IF($B$1132="Лікар загальної практики - сімейний лікар",IF(S1136&lt;Законод!$C$22,0,(IF(AND(S1136&gt;=Законод!$H$22,S1136&lt;=Законод!$H$23),S1136-Законод!$G$23,IF('01_Доходи'!S1136&gt;=Законод!$I$22,Законод!$H$24,0)))),IF($B$1132="Лікар-педіатр",IF(S1136&lt;Законод!$C$18,0,(IF(AND(S1136&gt;=Законод!$H$18,S1136&lt;=Законод!$H$19),S1136-Законод!$G$19,IF('01_Доходи'!S1136&gt;=Законод!$I$18,Законод!$H$20,0)))),IF($B$1132="Лікар-терапевт",IF(S1136&lt;Законод!$C$26,0,(IF(AND(S1136&gt;=Законод!$H$26,S1136&lt;=Законод!$H$27),S1136-Законод!$G$27,IF(S1136&gt;=Законод!$I$26,Законод!$H$28,0)))),0)))</f>
        <v>0</v>
      </c>
      <c r="T1141" s="930"/>
      <c r="U1141" s="889" t="s">
        <v>346</v>
      </c>
      <c r="V1141" s="890"/>
      <c r="W1141" s="890"/>
      <c r="X1141" s="890"/>
      <c r="Y1141" s="891"/>
      <c r="Z1141" s="196">
        <f ca="1">IF($B$1132="Лікар загальної практики - сімейний лікар",IF(Z1136&lt;Законод!$C$22,0,(IF(AND(Z1136&gt;=Законод!$H$22,Z1136&lt;=Законод!$H$23),Z1136-Законод!$G$23,IF('01_Доходи'!Z1136&gt;=Законод!$I$22,Законод!$H$24,0)))),IF($B$1132="Лікар-педіатр",IF(Z1136&lt;Законод!$C$18,0,(IF(AND(Z1136&gt;=Законод!$H$18,Z1136&lt;=Законод!$H$19),Z1136-Законод!$G$19,IF('01_Доходи'!Z1136&gt;=Законод!$I$18,Законод!$H$20,0)))),IF($B$1132="Лікар-терапевт",IF(Z1136&lt;Законод!$C$26,0,(IF(AND(Z1136&gt;=Законод!$H$26,Z1136&lt;=Законод!$H$27),Z1136-Законод!$G$27,IF(Z1136&gt;=Законод!$I$26,Законод!$H$28,0)))),0)))</f>
        <v>0</v>
      </c>
      <c r="AA1141" s="930"/>
      <c r="AB1141" s="889" t="s">
        <v>346</v>
      </c>
      <c r="AC1141" s="890"/>
      <c r="AD1141" s="890"/>
      <c r="AE1141" s="890"/>
      <c r="AF1141" s="891"/>
      <c r="AG1141" s="196">
        <f ca="1">IF($B$1132="Лікар загальної практики - сімейний лікар",IF(AG1136&lt;Законод!$C$22,0,(IF(AND(AG1136&gt;=Законод!$H$22,AG1136&lt;=Законод!$H$23),AG1136-Законод!$G$23,IF('01_Доходи'!AG1136&gt;=Законод!$I$22,Законод!$H$24,0)))),IF($B$1132="Лікар-педіатр",IF(AG1136&lt;Законод!$C$18,0,(IF(AND(AG1136&gt;=Законод!$H$18,AG1136&lt;=Законод!$H$19),AG1136-Законод!$G$19,IF('01_Доходи'!AG1136&gt;=Законод!$I$18,Законод!$H$20,0)))),IF($B$1132="Лікар-терапевт",IF(AG1136&lt;Законод!$C$26,0,(IF(AND(AG1136&gt;=Законод!$H$26,AG1136&lt;=Законод!$H$27),AG1136-Законод!$G$27,IF(AG1136&gt;=Законод!$I$26,Законод!$H$28,0)))),0)))</f>
        <v>0</v>
      </c>
      <c r="AH1141" s="930"/>
      <c r="AI1141" s="201"/>
      <c r="AJ1141" s="933"/>
      <c r="AK1141" s="927"/>
      <c r="AL1141" s="927"/>
      <c r="AM1141" s="899"/>
      <c r="AN1141" s="210">
        <f ca="1">IF(B1132="Лікар загальної практики - сімейний лікар",L1141*Законод!$C$9/4*Законод!$H$16,IF(B1132="Лікар-педіатр",L1141*Законод!$C$9/4*Законод!$H$16,IF(B1132="Лікар-терапевт",L1141*Законод!$C$9/4*Законод!$H$16,0)))</f>
        <v>0</v>
      </c>
      <c r="AO1141" s="210">
        <f ca="1">IF(B1132="Лікар загальної практики - сімейний лікар",S1141*Законод!$C$9/4*Законод!$H$16,IF(B1132="Лікар-педіатр",S1141*Законод!$C$9/4*Законод!$H$16,IF(B1132="Лікар-терапевт",S1141*Законод!$C$9/4*Законод!$H$16,0)))</f>
        <v>0</v>
      </c>
      <c r="AP1141" s="210">
        <f ca="1">IF(B1132="Лікар загальної практики - сімейний лікар",Z1141*Законод!$C$9/4*Законод!$H$16,IF(B1132="Лікар-педіатр",Z1141*Законод!$C$9/4*Законод!$H$16,IF(B1132="Лікар-терапевт",Z1141*Законод!$C$9/4*Законод!$H$16,0)))</f>
        <v>0</v>
      </c>
      <c r="AQ1141" s="210">
        <f ca="1">IF(B1132="Лікар загальної практики - сімейний лікар",AG1141*Законод!$C$9/4*Законод!$H$16,IF(B1132="Лікар-педіатр",AG1141*Законод!$C$9/4*Законод!$H$16,IF(B1132="Лікар-терапевт",AG1141*Законод!$C$9/4*Законод!$H$16,0)))</f>
        <v>0</v>
      </c>
      <c r="AR1141" s="211">
        <f t="shared" si="114"/>
        <v>0</v>
      </c>
    </row>
    <row r="1142" spans="1:44" s="50" customFormat="1" ht="31.9" hidden="1" customHeight="1">
      <c r="A1142" s="197"/>
      <c r="B1142" s="893"/>
      <c r="C1142" s="896"/>
      <c r="D1142" s="912"/>
      <c r="E1142" s="909"/>
      <c r="F1142" s="238" t="str">
        <f ca="1">IF(B1132="Лікар-педіатр",Законод!$I$17,IF(B1132="Лікар загальної практики - сімейний лікар",Законод!$I$21,IF(B1132="Лікар-терапевт",Законод!$I$25,"х")))</f>
        <v>х</v>
      </c>
      <c r="G1142" s="889" t="s">
        <v>346</v>
      </c>
      <c r="H1142" s="890"/>
      <c r="I1142" s="890"/>
      <c r="J1142" s="890"/>
      <c r="K1142" s="891"/>
      <c r="L1142" s="196">
        <f ca="1">IF($B$1132="Лікар загальної практики - сімейний лікар",IF(L1136&lt;Законод!$C$22,0,(IF(AND(L1136&gt;=Законод!$I$22,L1136&lt;=Законод!$I$23),L1136-Законод!$H$23,IF('01_Доходи'!L1136&gt;=Законод!$I$22,Законод!$I$24,0)))),IF($B$1132="Лікар-педіатр",IF(L1136&lt;Законод!$C$18,0,(IF(AND(L1136&gt;=Законод!$I$18,L1136&lt;=Законод!$I$19),L1136-Законод!$H$19,IF('01_Доходи'!L1136&gt;=Законод!$I$18,Законод!$H$20,0)))),IF($B$1132="Лікар-терапевт",IF(L1136&lt;Законод!$C$26,0,(IF(AND(L1136&gt;=Законод!$I$26,L1136&lt;=Законод!$I$27),L1136-Законод!$H$27,IF('01_Доходи'!L1136&gt;=Законод!$I$26,Законод!$H$28,0)))),0)))</f>
        <v>0</v>
      </c>
      <c r="M1142" s="930"/>
      <c r="N1142" s="889" t="s">
        <v>346</v>
      </c>
      <c r="O1142" s="890"/>
      <c r="P1142" s="890"/>
      <c r="Q1142" s="890"/>
      <c r="R1142" s="891"/>
      <c r="S1142" s="196">
        <f ca="1">IF($B$1132="Лікар загальної практики - сімейний лікар",IF(S1136&lt;Законод!$C$22,0,(IF(AND(S1136&gt;=Законод!$I$22,S1136&lt;=Законод!$I$23),S1136-Законод!$H$23,IF('01_Доходи'!S1136&gt;=Законод!$I$22,Законод!$I$24,0)))),IF($B$1132="Лікар-педіатр",IF(S1136&lt;Законод!$C$18,0,(IF(AND(S1136&gt;=Законод!$I$18,S1136&lt;=Законод!$I$19),S1136-Законод!$H$19,IF('01_Доходи'!S1136&gt;=Законод!$I$18,Законод!$H$20,0)))),IF($B$1132="Лікар-терапевт",IF(S1136&lt;Законод!$C$26,0,(IF(AND(S1136&gt;=Законод!$I$26,S1136&lt;=Законод!$I$27),S1136-Законод!$H$27,IF('01_Доходи'!S1136&gt;=Законод!$I$26,Законод!$H$28,0)))),0)))</f>
        <v>0</v>
      </c>
      <c r="T1142" s="930"/>
      <c r="U1142" s="889" t="s">
        <v>346</v>
      </c>
      <c r="V1142" s="890"/>
      <c r="W1142" s="890"/>
      <c r="X1142" s="890"/>
      <c r="Y1142" s="891"/>
      <c r="Z1142" s="196">
        <f ca="1">IF($B$1132="Лікар загальної практики - сімейний лікар",IF(Z1136&lt;Законод!$C$22,0,(IF(AND(Z1136&gt;=Законод!$I$22,Z1136&lt;=Законод!$I$23),Z1136-Законод!$H$23,IF('01_Доходи'!Z1136&gt;=Законод!$I$22,Законод!$I$24,0)))),IF($B$1132="Лікар-педіатр",IF(Z1136&lt;Законод!$C$18,0,(IF(AND(Z1136&gt;=Законод!$I$18,Z1136&lt;=Законод!$I$19),Z1136-Законод!$H$19,IF('01_Доходи'!Z1136&gt;=Законод!$I$18,Законод!$H$20,0)))),IF($B$1132="Лікар-терапевт",IF(Z1136&lt;Законод!$C$26,0,(IF(AND(Z1136&gt;=Законод!$I$26,Z1136&lt;=Законод!$I$27),Z1136-Законод!$H$27,IF('01_Доходи'!Z1136&gt;=Законод!$I$26,Законод!$H$28,0)))),0)))</f>
        <v>0</v>
      </c>
      <c r="AA1142" s="930"/>
      <c r="AB1142" s="889" t="s">
        <v>346</v>
      </c>
      <c r="AC1142" s="890"/>
      <c r="AD1142" s="890"/>
      <c r="AE1142" s="890"/>
      <c r="AF1142" s="891"/>
      <c r="AG1142" s="196">
        <f ca="1">IF($B$1132="Лікар загальної практики - сімейний лікар",IF(AG1136&lt;Законод!$C$22,0,(IF(AND(AG1136&gt;=Законод!$I$22,AG1136&lt;=Законод!$I$23),AG1136-Законод!$H$23,IF('01_Доходи'!AG1136&gt;=Законод!$I$22,Законод!$I$24,0)))),IF($B$1132="Лікар-педіатр",IF(AG1136&lt;Законод!$C$18,0,(IF(AND(AG1136&gt;=Законод!$I$18,AG1136&lt;=Законод!$I$19),AG1136-Законод!$H$19,IF('01_Доходи'!AG1136&gt;=Законод!$I$18,Законод!$H$20,0)))),IF($B$1132="Лікар-терапевт",IF(AG1136&lt;Законод!$C$26,0,(IF(AND(AG1136&gt;=Законод!$I$26,AG1136&lt;=Законод!$I$27),AG1136-Законод!$H$27,IF('01_Доходи'!AG1136&gt;=Законод!$I$26,Законод!$H$28,0)))),0)))</f>
        <v>0</v>
      </c>
      <c r="AH1142" s="930"/>
      <c r="AI1142" s="201"/>
      <c r="AJ1142" s="933"/>
      <c r="AK1142" s="927"/>
      <c r="AL1142" s="927"/>
      <c r="AM1142" s="899"/>
      <c r="AN1142" s="210">
        <f ca="1">IF(B1132="Лікар загальної практики - сімейний лікар",L1142*Законод!$C$9/4*Законод!$I$16,IF(B1132="Лікар-педіатр",L1142*Законод!$C$9/4*Законод!$I$16,IF(B1132="Лікар-терапевт",L1142*Законод!$C$9/4*Законод!$I$16,0)))</f>
        <v>0</v>
      </c>
      <c r="AO1142" s="210">
        <f ca="1">IF(B1132="Лікар загальної практики - сімейний лікар",S1142*Законод!$C$9/4*Законод!$I$16,IF(B1132="Лікар-педіатр",S1142*Законод!$C$9/4*Законод!$I$16,IF(B1132="Лікар-терапевт",S1142*Законод!$C$9/4*Законод!$I$16,0)))</f>
        <v>0</v>
      </c>
      <c r="AP1142" s="210">
        <f ca="1">IF(B1132="Лікар загальної практики - сімейний лікар",Z1142*Законод!$C$9/4*Законод!$I$16,IF(B1132="Лікар-педіатр",Z1142*Законод!$C$9/4*Законод!$I$16,IF(B1132="Лікар-терапевт",Z1142*Законод!$C$9/4*Законод!$I$16,0)))</f>
        <v>0</v>
      </c>
      <c r="AQ1142" s="210">
        <f ca="1">IF(B1132="Лікар загальної практики - сімейний лікар",AG1142*Законод!$C$9/4*Законод!$I$16,IF(B1132="Лікар-педіатр",AG1142*Законод!$C$9/4*Законод!$I$16,IF(B1132="Лікар-терапевт",AG1142*Законод!$C$9/4*Законод!$I$16,0)))</f>
        <v>0</v>
      </c>
      <c r="AR1142" s="211">
        <f t="shared" si="114"/>
        <v>0</v>
      </c>
    </row>
    <row r="1143" spans="1:44" s="218" customFormat="1" ht="31.9" hidden="1" customHeight="1" thickBot="1">
      <c r="A1143" s="213"/>
      <c r="B1143" s="894"/>
      <c r="C1143" s="897"/>
      <c r="D1143" s="913"/>
      <c r="E1143" s="910"/>
      <c r="F1143" s="239" t="str">
        <f ca="1">IF(B1132="Лікар-педіатр",Законод!$J$17,IF(B1132="Лікар загальної практики - сімейний лікар",Законод!$J$21,IF(B1132="Лікар-терапевт",Законод!$J$25,"х")))</f>
        <v>х</v>
      </c>
      <c r="G1143" s="935" t="s">
        <v>346</v>
      </c>
      <c r="H1143" s="936"/>
      <c r="I1143" s="936"/>
      <c r="J1143" s="936"/>
      <c r="K1143" s="937"/>
      <c r="L1143" s="196">
        <f ca="1">IF($B$1132="Лікар загальної практики - сімейний лікар",IF(L1136&gt;=Законод!$J$22,'01_Доходи'!L1136-('01_Доходи'!L1137+'01_Доходи'!L1138+'01_Доходи'!L1139+'01_Доходи'!L1140+'01_Доходи'!L1141+'01_Доходи'!L1142),0),IF($B$1132="Лікар-педіатр",IF(L1136&gt;=Законод!$J$18,'01_Доходи'!L1136-('01_Доходи'!L1137+'01_Доходи'!L1138+'01_Доходи'!L1139+'01_Доходи'!L1140+'01_Доходи'!L1141+'01_Доходи'!L1142),0),IF($B$1132="Лікар-терапевт",IF('01_Доходи'!L1136&gt;=Законод!$J$26,L1136-Законод!$I$27,0),0)))</f>
        <v>0</v>
      </c>
      <c r="M1143" s="931"/>
      <c r="N1143" s="935" t="s">
        <v>346</v>
      </c>
      <c r="O1143" s="936"/>
      <c r="P1143" s="936"/>
      <c r="Q1143" s="936"/>
      <c r="R1143" s="937"/>
      <c r="S1143" s="196">
        <f ca="1">IF($B$1132="Лікар загальної практики - сімейний лікар",IF(S1136&gt;=Законод!$J$22,'01_Доходи'!S1136-('01_Доходи'!S1137+'01_Доходи'!S1138+'01_Доходи'!S1139+'01_Доходи'!S1140+'01_Доходи'!S1141+'01_Доходи'!S1142),0),IF($B$1132="Лікар-педіатр",IF(S1136&gt;=Законод!$J$18,'01_Доходи'!S1136-('01_Доходи'!S1137+'01_Доходи'!S1138+'01_Доходи'!S1139+'01_Доходи'!S1140+'01_Доходи'!S1141+'01_Доходи'!S1142),0),IF($B$1132="Лікар-терапевт",IF('01_Доходи'!S1136&gt;=Законод!$J$26,S1136-Законод!$I$27,0),0)))</f>
        <v>0</v>
      </c>
      <c r="T1143" s="931"/>
      <c r="U1143" s="935" t="s">
        <v>346</v>
      </c>
      <c r="V1143" s="936"/>
      <c r="W1143" s="936"/>
      <c r="X1143" s="936"/>
      <c r="Y1143" s="937"/>
      <c r="Z1143" s="196">
        <f ca="1">IF($B$1132="Лікар загальної практики - сімейний лікар",IF(Z1136&gt;=Законод!$J$22,'01_Доходи'!Z1136-('01_Доходи'!Z1137+'01_Доходи'!Z1138+'01_Доходи'!Z1139+'01_Доходи'!Z1140+'01_Доходи'!Z1141+'01_Доходи'!Z1142),0),IF($B$1132="Лікар-педіатр",IF(Z1136&gt;=Законод!$J$18,'01_Доходи'!Z1136-('01_Доходи'!Z1137+'01_Доходи'!Z1138+'01_Доходи'!Z1139+'01_Доходи'!Z1140+'01_Доходи'!Z1141+'01_Доходи'!Z1142),0),IF($B$1132="Лікар-терапевт",IF('01_Доходи'!Z1136&gt;=Законод!$J$26,Z1136-Законод!$I$27,0),0)))</f>
        <v>0</v>
      </c>
      <c r="AA1143" s="931"/>
      <c r="AB1143" s="935" t="s">
        <v>346</v>
      </c>
      <c r="AC1143" s="936"/>
      <c r="AD1143" s="936"/>
      <c r="AE1143" s="936"/>
      <c r="AF1143" s="937"/>
      <c r="AG1143" s="196">
        <f ca="1">IF($B$1132="Лікар загальної практики - сімейний лікар",IF(AG1136&gt;=Законод!$J$22,'01_Доходи'!AG1136-('01_Доходи'!AG1137+'01_Доходи'!AG1138+'01_Доходи'!AG1139+'01_Доходи'!AG1140+'01_Доходи'!AG1141+'01_Доходи'!AG1142),0),IF($B$1132="Лікар-педіатр",IF(AG1136&gt;=Законод!$J$18,'01_Доходи'!AG1136-('01_Доходи'!AG1137+'01_Доходи'!AG1138+'01_Доходи'!AG1139+'01_Доходи'!AG1140+'01_Доходи'!AG1141+'01_Доходи'!AG1142),0),IF($B$1132="Лікар-терапевт",IF('01_Доходи'!AG1136&gt;=Законод!$J$26,AG1136-Законод!$I$27,0),0)))</f>
        <v>0</v>
      </c>
      <c r="AH1143" s="931"/>
      <c r="AI1143" s="215"/>
      <c r="AJ1143" s="934"/>
      <c r="AK1143" s="928"/>
      <c r="AL1143" s="928"/>
      <c r="AM1143" s="900"/>
      <c r="AN1143" s="216">
        <f ca="1">IF(B1132="Лікар загальної практики - сімейний лікар",L1143*Законод!$C$9/4*Законод!$J$16,IF(B1132="Лікар-педіатр",L1143*Законод!$C$9/4*Законод!$J$16,IF(B1132="Лікар-терапевт",L1143*Законод!$C$9/4*Законод!$J$16,0)))</f>
        <v>0</v>
      </c>
      <c r="AO1143" s="216">
        <f ca="1">IF(B1132="Лікар загальної практики - сімейний лікар",S1143*Законод!$C$9/4*Законод!$J$16,IF(B1132="Лікар-педіатр",S1143*Законод!$C$9/4*Законод!$J$16,IF(B1132="Лікар-терапевт",S1143*Законод!$C$9/4*Законод!$J$16,0)))</f>
        <v>0</v>
      </c>
      <c r="AP1143" s="216">
        <f ca="1">IF(B1132="Лікар загальної практики - сімейний лікар",S1143*Законод!$C$9/4*Законод!$J$16,IF(B1132="Лікар-педіатр",S1143*Законод!$C$9/4*Законод!$J$16,IF(B1132="Лікар-терапевт",S1143*Законод!$C$9/4*Законод!$J$16,0)))</f>
        <v>0</v>
      </c>
      <c r="AQ1143" s="216">
        <f ca="1">IF(B1132="Лікар загальної практики - сімейний лікар",AG1143*Законод!$C$9/4*Законод!$J$16,IF(B1132="Лікар-педіатр",AG1143*Законод!$C$9/4*Законод!$J$16,IF(B1132="Лікар-терапевт",AG1143*Законод!$C$9/4*Законод!$J$16,0)))</f>
        <v>0</v>
      </c>
      <c r="AR1143" s="217">
        <f t="shared" si="114"/>
        <v>0</v>
      </c>
    </row>
    <row r="1144" spans="1:44" s="247" customFormat="1" ht="23.45" hidden="1" customHeight="1" thickBot="1">
      <c r="A1144" s="243"/>
      <c r="B1144" s="244"/>
      <c r="C1144" s="244"/>
      <c r="D1144" s="244"/>
      <c r="E1144" s="244"/>
      <c r="F1144" s="245"/>
      <c r="G1144" s="246"/>
      <c r="H1144" s="246"/>
      <c r="L1144" s="248"/>
      <c r="S1144" s="248"/>
      <c r="Z1144" s="248"/>
      <c r="AG1144" s="248"/>
      <c r="AM1144" s="249"/>
      <c r="AR1144" s="250"/>
    </row>
    <row r="1145" spans="1:44" s="191" customFormat="1" ht="24.6" hidden="1" customHeight="1">
      <c r="A1145" s="194">
        <f>A1132+1</f>
        <v>86</v>
      </c>
      <c r="B1145" s="892"/>
      <c r="C1145" s="895"/>
      <c r="D1145" s="911"/>
      <c r="E1145" s="908"/>
      <c r="F1145" s="234" t="s">
        <v>582</v>
      </c>
      <c r="G1145" s="196">
        <f>IF($B$1145="Лікар-педіатр",G1148*L1145,IF($B$1145="Лікар-терапевт","х",IF($B$1145="Лікар загальної практики - сімейний лікар",G1148*L1145,0)))</f>
        <v>0</v>
      </c>
      <c r="H1145" s="196">
        <f>IF($B$1145="Лікар-педіатр",H1148*L1145,IF($B$1145="Лікар-терапевт","х",IF($B$1145="Лікар загальної практики - сімейний лікар",H1148*L1145,0)))</f>
        <v>0</v>
      </c>
      <c r="I1145" s="196">
        <f>IF($B$1145="Лікар-педіатр","x",IF($B$1145="Лікар-терапевт",I1148*L1145,IF($B$1145="Лікар загальної практики - сімейний лікар",I1148*L1145,0)))</f>
        <v>0</v>
      </c>
      <c r="J1145" s="196">
        <f>IF($B$1145="Лікар-педіатр","x",IF($B$1145="Лікар-терапевт",J1148*L1145,IF($B$1145="Лікар загальної практики - сімейний лікар",J1148*L1145,0)))</f>
        <v>0</v>
      </c>
      <c r="K1145" s="196">
        <f>IF($B$1145="Лікар-педіатр","x",IF($B$1145="Лікар-терапевт",K1148*L1145,IF($B$1145="Лікар загальної практики - сімейний лікар",K1148*L1145,0)))</f>
        <v>0</v>
      </c>
      <c r="L1145" s="558"/>
      <c r="M1145" s="929"/>
      <c r="N1145" s="196">
        <f>IF($B$1145="Лікар-педіатр",N1148*S1145,IF($B$1145="Лікар-терапевт","х",IF($B$1145="Лікар загальної практики - сімейний лікар",N1148*S1145,0)))</f>
        <v>0</v>
      </c>
      <c r="O1145" s="196">
        <f>IF($B$1145="Лікар-педіатр",O1148*S1145,IF($B$1145="Лікар-терапевт","х",IF($B$1145="Лікар загальної практики - сімейний лікар",O1148*S1145,0)))</f>
        <v>0</v>
      </c>
      <c r="P1145" s="196">
        <f>IF($B$1145="Лікар-педіатр","x",IF($B$1145="Лікар-терапевт",P1148*S1145,IF($B$1145="Лікар загальної практики - сімейний лікар",P1148*S1145,0)))</f>
        <v>0</v>
      </c>
      <c r="Q1145" s="196">
        <f>IF($B$1145="Лікар-педіатр","x",IF($B$1145="Лікар-терапевт",Q1148*S1145,IF($B$1145="Лікар загальної практики - сімейний лікар",Q1148*S1145,0)))</f>
        <v>0</v>
      </c>
      <c r="R1145" s="196">
        <f>IF($B$1145="Лікар-педіатр","x",IF($B$1145="Лікар-терапевт",R1148*S1145,IF($B$1145="Лікар загальної практики - сімейний лікар",R1148*S1145,0)))</f>
        <v>0</v>
      </c>
      <c r="S1145" s="558"/>
      <c r="T1145" s="929"/>
      <c r="U1145" s="196">
        <f>IF($B$1145="Лікар-педіатр",U1148*Z1145,IF($B$1145="Лікар-терапевт","х",IF($B$1145="Лікар загальної практики - сімейний лікар",U1148*Z1145,0)))</f>
        <v>0</v>
      </c>
      <c r="V1145" s="196">
        <f>IF($B$1145="Лікар-педіатр",V1148*Z1145,IF($B$1145="Лікар-терапевт","х",IF($B$1145="Лікар загальної практики - сімейний лікар",V1148*Z1145,0)))</f>
        <v>0</v>
      </c>
      <c r="W1145" s="196">
        <f>IF($B$1145="Лікар-педіатр","x",IF($B$1145="Лікар-терапевт",W1148*Z1145,IF($B$1145="Лікар загальної практики - сімейний лікар",W1148*Z1145,0)))</f>
        <v>0</v>
      </c>
      <c r="X1145" s="196">
        <f>IF($B$1145="Лікар-педіатр","x",IF($B$1145="Лікар-терапевт",X1148*Z1145,IF($B$1145="Лікар загальної практики - сімейний лікар",X1148*Z1145,0)))</f>
        <v>0</v>
      </c>
      <c r="Y1145" s="196">
        <f>IF($B$1145="Лікар-педіатр","x",IF($B$1145="Лікар-терапевт",Y1148*Z1145,IF($B$1145="Лікар загальної практики - сімейний лікар",Y1148*Z1145,0)))</f>
        <v>0</v>
      </c>
      <c r="Z1145" s="558"/>
      <c r="AA1145" s="929"/>
      <c r="AB1145" s="196">
        <f>IF($B$1145="Лікар-педіатр",AB1148*AG1145,IF($B$1145="Лікар-терапевт","х",IF($B$1145="Лікар загальної практики - сімейний лікар",AB1148*AG1145,0)))</f>
        <v>0</v>
      </c>
      <c r="AC1145" s="196">
        <f>IF($B$1145="Лікар-педіатр",AC1148*AG1145,IF($B$1145="Лікар-терапевт","х",IF($B$1145="Лікар загальної практики - сімейний лікар",AC1148*AG1145,0)))</f>
        <v>0</v>
      </c>
      <c r="AD1145" s="196">
        <f>IF($B$1145="Лікар-педіатр","x",IF($B$1145="Лікар-терапевт",AD1148*AG1145,IF($B$1145="Лікар загальної практики - сімейний лікар",AD1148*AG1145,0)))</f>
        <v>0</v>
      </c>
      <c r="AE1145" s="196">
        <f>IF($B$1145="Лікар-педіатр","x",IF($B$1145="Лікар-терапевт",AE1148*AG1145,IF($B$1145="Лікар загальної практики - сімейний лікар",AE1148*AG1145,0)))</f>
        <v>0</v>
      </c>
      <c r="AF1145" s="196">
        <f>IF($B$1145="Лікар-педіатр","x",IF($B$1145="Лікар-терапевт",AF1148*AG1145,IF($B$1145="Лікар загальної практики - сімейний лікар",AF1148*AG1145,0)))</f>
        <v>0</v>
      </c>
      <c r="AG1145" s="558"/>
      <c r="AH1145" s="929"/>
      <c r="AI1145" s="541">
        <f>A1145</f>
        <v>86</v>
      </c>
      <c r="AJ1145" s="932">
        <f>B1145</f>
        <v>0</v>
      </c>
      <c r="AK1145" s="926">
        <f>C1145</f>
        <v>0</v>
      </c>
      <c r="AL1145" s="926">
        <f>D1145</f>
        <v>0</v>
      </c>
      <c r="AM1145" s="901" t="s">
        <v>785</v>
      </c>
      <c r="AN1145" s="923">
        <f>SUM(AN1150:AN1156)</f>
        <v>0</v>
      </c>
      <c r="AO1145" s="923">
        <f>SUM(AO1150:AO1156)</f>
        <v>0</v>
      </c>
      <c r="AP1145" s="923">
        <f>SUM(AP1150:AP1156)</f>
        <v>0</v>
      </c>
      <c r="AQ1145" s="923">
        <f>SUM(AQ1150:AQ1156)</f>
        <v>0</v>
      </c>
      <c r="AR1145" s="914">
        <f>SUM(AN1145:AQ1149)</f>
        <v>0</v>
      </c>
    </row>
    <row r="1146" spans="1:44" s="50" customFormat="1" ht="28.15" hidden="1" customHeight="1">
      <c r="A1146" s="197"/>
      <c r="B1146" s="893"/>
      <c r="C1146" s="896"/>
      <c r="D1146" s="912"/>
      <c r="E1146" s="909"/>
      <c r="F1146" s="234" t="s">
        <v>583</v>
      </c>
      <c r="G1146" s="196">
        <f>IF($B$1145="Лікар-педіатр",G1148*L1146,IF($B$1145="Лікар-терапевт","х",IF($B$1145="Лікар загальної практики - сімейний лікар",G1148*L1146,0)))</f>
        <v>0</v>
      </c>
      <c r="H1146" s="196">
        <f>IF($B$1145="Лікар-педіатр",H1148*L1146,IF($B$1145="Лікар-терапевт","х",IF($B$1145="Лікар загальної практики - сімейний лікар",H1148*L1146,0)))</f>
        <v>0</v>
      </c>
      <c r="I1146" s="196">
        <f>IF($B$1145="Лікар-педіатр","x",IF($B$1145="Лікар-терапевт",I1148*L1146,IF($B$1145="Лікар загальної практики - сімейний лікар",I1148*L1146,0)))</f>
        <v>0</v>
      </c>
      <c r="J1146" s="196">
        <f>IF($B$1145="Лікар-педіатр","x",IF($B$1145="Лікар-терапевт",J1148*L1146,IF($B$1145="Лікар загальної практики - сімейний лікар",J1148*L1146,0)))</f>
        <v>0</v>
      </c>
      <c r="K1146" s="196">
        <f>IF($B$1145="Лікар-педіатр","x",IF($B$1145="Лікар-терапевт",K1148*L1146,IF($B$1145="Лікар загальної практики - сімейний лікар",K1148*L1146,0)))</f>
        <v>0</v>
      </c>
      <c r="L1146" s="558"/>
      <c r="M1146" s="930"/>
      <c r="N1146" s="196">
        <f>IF($B$1145="Лікар-педіатр",N1148*S1146,IF($B$1145="Лікар-терапевт","х",IF($B$1145="Лікар загальної практики - сімейний лікар",N1148*S1146,0)))</f>
        <v>0</v>
      </c>
      <c r="O1146" s="196">
        <f>IF($B$1145="Лікар-педіатр",O1148*S1146,IF($B$1145="Лікар-терапевт","х",IF($B$1145="Лікар загальної практики - сімейний лікар",O1148*S1146,0)))</f>
        <v>0</v>
      </c>
      <c r="P1146" s="196">
        <f>IF($B$1145="Лікар-педіатр","x",IF($B$1145="Лікар-терапевт",P1148*S1146,IF($B$1145="Лікар загальної практики - сімейний лікар",P1148*S1146,0)))</f>
        <v>0</v>
      </c>
      <c r="Q1146" s="196">
        <f>IF($B$1145="Лікар-педіатр","x",IF($B$1145="Лікар-терапевт",Q1148*S1146,IF($B$1145="Лікар загальної практики - сімейний лікар",Q1148*S1146,0)))</f>
        <v>0</v>
      </c>
      <c r="R1146" s="196">
        <f>IF($B$1145="Лікар-педіатр","x",IF($B$1145="Лікар-терапевт",R1148*S1146,IF($B$1145="Лікар загальної практики - сімейний лікар",R1148*S1146,0)))</f>
        <v>0</v>
      </c>
      <c r="S1146" s="558"/>
      <c r="T1146" s="930"/>
      <c r="U1146" s="196">
        <f>IF($B$1145="Лікар-педіатр",U1148*Z1146,IF($B$1145="Лікар-терапевт","х",IF($B$1145="Лікар загальної практики - сімейний лікар",U1148*Z1146,0)))</f>
        <v>0</v>
      </c>
      <c r="V1146" s="196">
        <f>IF($B$1145="Лікар-педіатр",V1148*Z1146,IF($B$1145="Лікар-терапевт","х",IF($B$1145="Лікар загальної практики - сімейний лікар",V1148*Z1146,0)))</f>
        <v>0</v>
      </c>
      <c r="W1146" s="196">
        <f>IF($B$1145="Лікар-педіатр","x",IF($B$1145="Лікар-терапевт",W1148*Z1146,IF($B$1145="Лікар загальної практики - сімейний лікар",W1148*Z1146,0)))</f>
        <v>0</v>
      </c>
      <c r="X1146" s="196">
        <f>IF($B$1145="Лікар-педіатр","x",IF($B$1145="Лікар-терапевт",X1148*Z1146,IF($B$1145="Лікар загальної практики - сімейний лікар",X1148*Z1146,0)))</f>
        <v>0</v>
      </c>
      <c r="Y1146" s="196">
        <f>IF($B$1145="Лікар-педіатр","x",IF($B$1145="Лікар-терапевт",Y1148*Z1146,IF($B$1145="Лікар загальної практики - сімейний лікар",Y1148*Z1146,0)))</f>
        <v>0</v>
      </c>
      <c r="Z1146" s="558"/>
      <c r="AA1146" s="930"/>
      <c r="AB1146" s="196">
        <f>IF($B$1145="Лікар-педіатр",AB1148*AG1146,IF($B$1145="Лікар-терапевт","х",IF($B$1145="Лікар загальної практики - сімейний лікар",AB1148*AG1146,0)))</f>
        <v>0</v>
      </c>
      <c r="AC1146" s="196">
        <f>IF($B$1145="Лікар-педіатр",AC1148*AG1146,IF($B$1145="Лікар-терапевт","х",IF($B$1145="Лікар загальної практики - сімейний лікар",AC1148*AG1146,0)))</f>
        <v>0</v>
      </c>
      <c r="AD1146" s="196">
        <f>IF($B$1145="Лікар-педіатр","x",IF($B$1145="Лікар-терапевт",AD1148*AG1146,IF($B$1145="Лікар загальної практики - сімейний лікар",AD1148*AG1146,0)))</f>
        <v>0</v>
      </c>
      <c r="AE1146" s="196">
        <f>IF($B$1145="Лікар-педіатр","x",IF($B$1145="Лікар-терапевт",AE1148*AG1146,IF($B$1145="Лікар загальної практики - сімейний лікар",AE1148*AG1146,0)))</f>
        <v>0</v>
      </c>
      <c r="AF1146" s="196">
        <f>IF($B$1145="Лікар-педіатр","x",IF($B$1145="Лікар-терапевт",AF1148*AG1146,IF($B$1145="Лікар загальної практики - сімейний лікар",AF1148*AG1146,0)))</f>
        <v>0</v>
      </c>
      <c r="AG1146" s="558"/>
      <c r="AH1146" s="930"/>
      <c r="AI1146" s="198"/>
      <c r="AJ1146" s="933"/>
      <c r="AK1146" s="927"/>
      <c r="AL1146" s="927"/>
      <c r="AM1146" s="902"/>
      <c r="AN1146" s="924"/>
      <c r="AO1146" s="924"/>
      <c r="AP1146" s="924"/>
      <c r="AQ1146" s="924"/>
      <c r="AR1146" s="915"/>
    </row>
    <row r="1147" spans="1:44" s="90" customFormat="1" ht="31.15" hidden="1" customHeight="1">
      <c r="A1147" s="240"/>
      <c r="B1147" s="893"/>
      <c r="C1147" s="896"/>
      <c r="D1147" s="912"/>
      <c r="E1147" s="909"/>
      <c r="F1147" s="241" t="s">
        <v>584</v>
      </c>
      <c r="G1147" s="199">
        <f>IF(B1145="Лікар загальної практики - сімейний лікар"," ",IF(B1145="Лікар-педіатр"," ",IF(B1145="Лікар-терапевт","х",0)))</f>
        <v>0</v>
      </c>
      <c r="H1147" s="199">
        <f>IF(B1145="Лікар загальної практики - сімейний лікар"," ",IF(B1145="Лікар-педіатр"," ",IF(B1145="Лікар-терапевт","х",0)))</f>
        <v>0</v>
      </c>
      <c r="I1147" s="199">
        <f>IF(B1145="Лікар загальної практики - сімейний лікар"," ",IF(B1145="Лікар-педіатр","х",IF(B1145="Лікар-терапевт"," ",0)))</f>
        <v>0</v>
      </c>
      <c r="J1147" s="199">
        <f>IF(B1145="Лікар загальної практики - сімейний лікар"," ",IF(B1145="Лікар-педіатр","х",IF(B1145="Лікар-терапевт"," ",0)))</f>
        <v>0</v>
      </c>
      <c r="K1147" s="199">
        <f>IF(B1145="Лікар загальної практики - сімейний лікар"," ",IF(B1145="Лікар-педіатр","х",IF(B1145="Лікар-терапевт"," ",0)))</f>
        <v>0</v>
      </c>
      <c r="L1147" s="200">
        <f>SUM(G1147:K1147)</f>
        <v>0</v>
      </c>
      <c r="M1147" s="930"/>
      <c r="N1147" s="199">
        <f>IF(B1145="Лікар загальної практики - сімейний лікар"," ",IF(B1145="Лікар-педіатр"," ",IF(B1145="Лікар-терапевт","х",0)))</f>
        <v>0</v>
      </c>
      <c r="O1147" s="199">
        <f>IF(B1145="Лікар загальної практики - сімейний лікар"," ",IF(B1145="Лікар-педіатр"," ",IF(B1145="Лікар-терапевт","х",0)))</f>
        <v>0</v>
      </c>
      <c r="P1147" s="199">
        <f>IF(B1145="Лікар загальної практики - сімейний лікар"," ",IF(B1145="Лікар-педіатр","х",IF(B1145="Лікар-терапевт"," ",0)))</f>
        <v>0</v>
      </c>
      <c r="Q1147" s="199">
        <f>IF(B1145="Лікар загальної практики - сімейний лікар"," ",IF(B1145="Лікар-педіатр","х",IF(B1145="Лікар-терапевт"," ",0)))</f>
        <v>0</v>
      </c>
      <c r="R1147" s="199">
        <f>IF(B1145="Лікар загальної практики - сімейний лікар"," ",IF(B1145="Лікар-педіатр","х",IF(B1145="Лікар-терапевт"," ",0)))</f>
        <v>0</v>
      </c>
      <c r="S1147" s="200">
        <f>SUM(N1147:R1147)</f>
        <v>0</v>
      </c>
      <c r="T1147" s="930"/>
      <c r="U1147" s="199">
        <f>IF(B1145="Лікар загальної практики - сімейний лікар"," ",IF(B1145="Лікар-педіатр"," ",IF(B1145="Лікар-терапевт","х",0)))</f>
        <v>0</v>
      </c>
      <c r="V1147" s="199">
        <f>IF(B1145="Лікар загальної практики - сімейний лікар"," ",IF(B1145="Лікар-педіатр"," ",IF(B1145="Лікар-терапевт","х",0)))</f>
        <v>0</v>
      </c>
      <c r="W1147" s="199">
        <f>IF(B1145="Лікар загальної практики - сімейний лікар"," ",IF(B1145="Лікар-педіатр","х",IF(B1145="Лікар-терапевт"," ",0)))</f>
        <v>0</v>
      </c>
      <c r="X1147" s="199">
        <f>IF(B1145="Лікар загальної практики - сімейний лікар"," ",IF(B1145="Лікар-педіатр","х",IF(B1145="Лікар-терапевт"," ",0)))</f>
        <v>0</v>
      </c>
      <c r="Y1147" s="199">
        <f>IF(B1145="Лікар загальної практики - сімейний лікар"," ",IF(B1145="Лікар-педіатр","х",IF(B1145="Лікар-терапевт"," ",0)))</f>
        <v>0</v>
      </c>
      <c r="Z1147" s="200">
        <f>SUM(U1147:Y1147)</f>
        <v>0</v>
      </c>
      <c r="AA1147" s="930"/>
      <c r="AB1147" s="199">
        <f>IF(B1145="Лікар загальної практики - сімейний лікар"," ",IF(B1145="Лікар-педіатр"," ",IF(B1145="Лікар-терапевт","х",0)))</f>
        <v>0</v>
      </c>
      <c r="AC1147" s="199">
        <f>IF(B1145="Лікар загальної практики - сімейний лікар"," ",IF(B1145="Лікар-педіатр"," ",IF(B1145="Лікар-терапевт","х",0)))</f>
        <v>0</v>
      </c>
      <c r="AD1147" s="199">
        <f>IF(B1145="Лікар загальної практики - сімейний лікар"," ",IF(B1145="Лікар-педіатр","х",IF(B1145="Лікар-терапевт"," ",0)))</f>
        <v>0</v>
      </c>
      <c r="AE1147" s="199">
        <f>IF(B1145="Лікар загальної практики - сімейний лікар"," ",IF(B1145="Лікар-педіатр","х",IF(B1145="Лікар-терапевт"," ",0)))</f>
        <v>0</v>
      </c>
      <c r="AF1147" s="199">
        <f>IF(B1145="Лікар загальної практики - сімейний лікар"," ",IF(B1145="Лікар-педіатр","х",IF(B1145="Лікар-терапевт"," ",0)))</f>
        <v>0</v>
      </c>
      <c r="AG1147" s="200">
        <f>SUM(AB1147:AF1147)</f>
        <v>0</v>
      </c>
      <c r="AH1147" s="930"/>
      <c r="AI1147" s="242"/>
      <c r="AJ1147" s="933"/>
      <c r="AK1147" s="927"/>
      <c r="AL1147" s="927"/>
      <c r="AM1147" s="902"/>
      <c r="AN1147" s="924"/>
      <c r="AO1147" s="924"/>
      <c r="AP1147" s="924"/>
      <c r="AQ1147" s="924"/>
      <c r="AR1147" s="915"/>
    </row>
    <row r="1148" spans="1:44" s="50" customFormat="1" ht="31.9" hidden="1" customHeight="1" thickBot="1">
      <c r="A1148" s="197"/>
      <c r="B1148" s="893"/>
      <c r="C1148" s="896"/>
      <c r="D1148" s="912"/>
      <c r="E1148" s="909"/>
      <c r="F1148" s="236" t="s">
        <v>349</v>
      </c>
      <c r="G1148" s="203">
        <f>IF($B$1145="Лікар-педіатр",G1147/L1147,IF($B$1145="Лікар-терапевт","х",IF($B$1145="Лікар загальної практики - сімейний лікар",G1147/L1147,0)))</f>
        <v>0</v>
      </c>
      <c r="H1148" s="203">
        <f>IF($B$1145="Лікар-педіатр",H1147/L1147,IF($B$1145="Лікар-терапевт","х",IF($B$1145="Лікар загальної практики - сімейний лікар",H1147/L1147,0)))</f>
        <v>0</v>
      </c>
      <c r="I1148" s="203">
        <f>IF($B$1145="Лікар-педіатр","x",IF($B$1145="Лікар-терапевт",I1147/L1147,IF($B$1145="Лікар загальної практики - сімейний лікар",I1147/L1147,0)))</f>
        <v>0</v>
      </c>
      <c r="J1148" s="203">
        <f>IF($B$1145="Лікар-педіатр","x",IF($B$1145="Лікар-терапевт",J1147/L1147,IF($B$1145="Лікар загальної практики - сімейний лікар",J1147/L1147,0)))</f>
        <v>0</v>
      </c>
      <c r="K1148" s="203">
        <f>IF($B$1145="Лікар-педіатр","x",IF($B$1145="Лікар-терапевт",K1147/L1147,IF($B$1145="Лікар загальної практики - сімейний лікар",K1147/L1147,0)))</f>
        <v>0</v>
      </c>
      <c r="L1148" s="203">
        <f>SUM(G1148:K1148)</f>
        <v>0</v>
      </c>
      <c r="M1148" s="930"/>
      <c r="N1148" s="203">
        <f>IF($B$1145="Лікар-педіатр",N1147/S1147,IF($B$1145="Лікар-терапевт","х",IF($B$1145="Лікар загальної практики - сімейний лікар",N1147/S1147,0)))</f>
        <v>0</v>
      </c>
      <c r="O1148" s="203">
        <f>IF($B$1145="Лікар-педіатр",O1147/S1147,IF($B$1145="Лікар-терапевт","х",IF($B$1145="Лікар загальної практики - сімейний лікар",O1147/S1147,0)))</f>
        <v>0</v>
      </c>
      <c r="P1148" s="203">
        <f>IF($B$1145="Лікар-педіатр","x",IF($B$1145="Лікар-терапевт",P1147/S1147,IF($B$1145="Лікар загальної практики - сімейний лікар",P1147/S1147,0)))</f>
        <v>0</v>
      </c>
      <c r="Q1148" s="203">
        <f>IF($B$1145="Лікар-педіатр","x",IF($B$1145="Лікар-терапевт",Q1147/S1147,IF($B$1145="Лікар загальної практики - сімейний лікар",Q1147/S1147,0)))</f>
        <v>0</v>
      </c>
      <c r="R1148" s="203">
        <f>IF($B$1145="Лікар-педіатр","x",IF($B$1145="Лікар-терапевт",R1147/S1147,IF($B$1145="Лікар загальної практики - сімейний лікар",R1147/S1147,0)))</f>
        <v>0</v>
      </c>
      <c r="S1148" s="203">
        <f>SUM(N1148:R1148)</f>
        <v>0</v>
      </c>
      <c r="T1148" s="930"/>
      <c r="U1148" s="203">
        <f>IF($B$1145="Лікар-педіатр",U1147/Z1147,IF($B$1145="Лікар-терапевт","х",IF($B$1145="Лікар загальної практики - сімейний лікар",U1147/Z1147,0)))</f>
        <v>0</v>
      </c>
      <c r="V1148" s="203">
        <f>IF($B$1145="Лікар-педіатр",V1147/Z1147,IF($B$1145="Лікар-терапевт","х",IF($B$1145="Лікар загальної практики - сімейний лікар",V1147/Z1147,0)))</f>
        <v>0</v>
      </c>
      <c r="W1148" s="203">
        <f>IF($B$1145="Лікар-педіатр","x",IF($B$1145="Лікар-терапевт",W1147/Z1147,IF($B$1145="Лікар загальної практики - сімейний лікар",W1147/Z1147,0)))</f>
        <v>0</v>
      </c>
      <c r="X1148" s="203">
        <f>IF($B$1145="Лікар-педіатр","x",IF($B$1145="Лікар-терапевт",X1147/Z1147,IF($B$1145="Лікар загальної практики - сімейний лікар",X1147/Z1147,0)))</f>
        <v>0</v>
      </c>
      <c r="Y1148" s="203">
        <f>IF($B$1145="Лікар-педіатр","x",IF($B$1145="Лікар-терапевт",Y1147/Z1147,IF($B$1145="Лікар загальної практики - сімейний лікар",Y1147/Z1147,0)))</f>
        <v>0</v>
      </c>
      <c r="Z1148" s="203">
        <f>SUM(U1148:Y1148)</f>
        <v>0</v>
      </c>
      <c r="AA1148" s="930"/>
      <c r="AB1148" s="203">
        <f>IF($B$1145="Лікар-педіатр",AB1147/AG1147,IF($B$1145="Лікар-терапевт","х",IF($B$1145="Лікар загальної практики - сімейний лікар",AB1147/AG1147,0)))</f>
        <v>0</v>
      </c>
      <c r="AC1148" s="203">
        <f>IF($B$1145="Лікар-педіатр",AC1147/AG1147,IF($B$1145="Лікар-терапевт","х",IF($B$1145="Лікар загальної практики - сімейний лікар",AC1147/AG1147,0)))</f>
        <v>0</v>
      </c>
      <c r="AD1148" s="203">
        <f>IF($B$1145="Лікар-педіатр","x",IF($B$1145="Лікар-терапевт",AD1147/AG1147,IF($B$1145="Лікар загальної практики - сімейний лікар",AD1147/AG1147,0)))</f>
        <v>0</v>
      </c>
      <c r="AE1148" s="203">
        <f>IF($B$1145="Лікар-педіатр","x",IF($B$1145="Лікар-терапевт",AE1147/AG1147,IF($B$1145="Лікар загальної практики - сімейний лікар",AE1147/AG1147,0)))</f>
        <v>0</v>
      </c>
      <c r="AF1148" s="203">
        <f>IF($B$1145="Лікар-педіатр","x",IF($B$1145="Лікар-терапевт",AF1147/AG1147,IF($B$1145="Лікар загальної практики - сімейний лікар",AF1147/AG1147,0)))</f>
        <v>0</v>
      </c>
      <c r="AG1148" s="203">
        <f>SUM(AB1148:AF1148)</f>
        <v>0</v>
      </c>
      <c r="AH1148" s="930"/>
      <c r="AI1148" s="201"/>
      <c r="AJ1148" s="933"/>
      <c r="AK1148" s="927"/>
      <c r="AL1148" s="927"/>
      <c r="AM1148" s="902"/>
      <c r="AN1148" s="924"/>
      <c r="AO1148" s="924"/>
      <c r="AP1148" s="924"/>
      <c r="AQ1148" s="924"/>
      <c r="AR1148" s="915"/>
    </row>
    <row r="1149" spans="1:44" s="50" customFormat="1" ht="45" hidden="1" customHeight="1" thickBot="1">
      <c r="A1149" s="197"/>
      <c r="B1149" s="893"/>
      <c r="C1149" s="896"/>
      <c r="D1149" s="912"/>
      <c r="E1149" s="909"/>
      <c r="F1149" s="204" t="s">
        <v>585</v>
      </c>
      <c r="G1149" s="205">
        <f>IF($B$1145="Лікар загальної практики - сімейний лікар",AVERAGE(G1145:G1147),IF($B$1145="Лікар-педіатр",AVERAGE(G1145:G1147),IF($B$1145="Лікар-терапевт","х",0)))</f>
        <v>0</v>
      </c>
      <c r="H1149" s="205">
        <f>IF($B$1145="Лікар загальної практики - сімейний лікар",AVERAGE(H1145:H1147),IF($B$1145="Лікар-педіатр",AVERAGE(H1145:H1147),IF($B$1145="Лікар-терапевт","х",0)))</f>
        <v>0</v>
      </c>
      <c r="I1149" s="205">
        <f>IF($B$1145="Лікар загальної практики - сімейний лікар",AVERAGE(I1145:I1147),IF($B$1145="Лікар-педіатр","x",IF($B$1145="Лікар-терапевт",AVERAGE(I1145:I1147),0)))</f>
        <v>0</v>
      </c>
      <c r="J1149" s="205">
        <f>IF($B$1145="Лікар загальної практики - сімейний лікар",AVERAGE(J1145:J1147),IF($B$1145="Лікар-педіатр","x",IF($B$1145="Лікар-терапевт",AVERAGE(J1145:J1147),0)))</f>
        <v>0</v>
      </c>
      <c r="K1149" s="205">
        <f>IF($B$1145="Лікар загальної практики - сімейний лікар",AVERAGE(K1145:K1147),IF($B$1145="Лікар-педіатр","x",IF($B$1145="Лікар-терапевт",AVERAGE(K1145:K1147),0)))</f>
        <v>0</v>
      </c>
      <c r="L1149" s="206">
        <f>SUM(G1149:K1149)</f>
        <v>0</v>
      </c>
      <c r="M1149" s="930"/>
      <c r="N1149" s="205">
        <f>IF($B$1145="Лікар загальної практики - сімейний лікар",AVERAGE(N1145:N1147),IF($B$1145="Лікар-педіатр",AVERAGE(N1145:N1147),IF($B$1145="Лікар-терапевт","х",0)))</f>
        <v>0</v>
      </c>
      <c r="O1149" s="205">
        <f>IF($B$1145="Лікар загальної практики - сімейний лікар",AVERAGE(O1145:O1147),IF($B$1145="Лікар-педіатр",AVERAGE(O1145:O1147),IF($B$1145="Лікар-терапевт","х",0)))</f>
        <v>0</v>
      </c>
      <c r="P1149" s="205">
        <f>IF($B$1145="Лікар загальної практики - сімейний лікар",AVERAGE(P1145:P1147),IF($B$1145="Лікар-педіатр","x",IF($B$1145="Лікар-терапевт",AVERAGE(P1145:P1147),0)))</f>
        <v>0</v>
      </c>
      <c r="Q1149" s="205">
        <f>IF($B$1145="Лікар загальної практики - сімейний лікар",AVERAGE(Q1145:Q1147),IF($B$1145="Лікар-педіатр","x",IF($B$1145="Лікар-терапевт",AVERAGE(Q1145:Q1147),0)))</f>
        <v>0</v>
      </c>
      <c r="R1149" s="205">
        <f>IF($B$1145="Лікар загальної практики - сімейний лікар",AVERAGE(R1145:R1147),IF($B$1145="Лікар-педіатр","x",IF($B$1145="Лікар-терапевт",AVERAGE(R1145:R1147),0)))</f>
        <v>0</v>
      </c>
      <c r="S1149" s="206">
        <f>SUM(N1149:R1149)</f>
        <v>0</v>
      </c>
      <c r="T1149" s="930"/>
      <c r="U1149" s="205">
        <f>IF($B$1145="Лікар загальної практики - сімейний лікар",AVERAGE(U1145:U1147),IF($B$1145="Лікар-педіатр",AVERAGE(U1145:U1147),IF($B$1145="Лікар-терапевт","х",0)))</f>
        <v>0</v>
      </c>
      <c r="V1149" s="205">
        <f>IF($B$1145="Лікар загальної практики - сімейний лікар",AVERAGE(V1145:V1147),IF($B$1145="Лікар-педіатр",AVERAGE(V1145:V1147),IF($B$1145="Лікар-терапевт","х",0)))</f>
        <v>0</v>
      </c>
      <c r="W1149" s="205">
        <f>IF($B$1145="Лікар загальної практики - сімейний лікар",AVERAGE(W1145:W1147),IF($B$1145="Лікар-педіатр","x",IF($B$1145="Лікар-терапевт",AVERAGE(W1145:W1147),0)))</f>
        <v>0</v>
      </c>
      <c r="X1149" s="205">
        <f>IF($B$1145="Лікар загальної практики - сімейний лікар",AVERAGE(X1145:X1147),IF($B$1145="Лікар-педіатр","x",IF($B$1145="Лікар-терапевт",AVERAGE(X1145:X1147),0)))</f>
        <v>0</v>
      </c>
      <c r="Y1149" s="205">
        <f>IF($B$1145="Лікар загальної практики - сімейний лікар",AVERAGE(Y1145:Y1147),IF($B$1145="Лікар-педіатр","x",IF($B$1145="Лікар-терапевт",AVERAGE(Y1145:Y1147),0)))</f>
        <v>0</v>
      </c>
      <c r="Z1149" s="206">
        <f>SUM(U1149:Y1149)</f>
        <v>0</v>
      </c>
      <c r="AA1149" s="930"/>
      <c r="AB1149" s="205">
        <f>IF($B$1145="Лікар загальної практики - сімейний лікар",AVERAGE(AB1145:AB1147),IF($B$1145="Лікар-педіатр",AVERAGE(AB1145:AB1147),IF($B$1145="Лікар-терапевт","х",0)))</f>
        <v>0</v>
      </c>
      <c r="AC1149" s="205">
        <f>IF($B$1145="Лікар загальної практики - сімейний лікар",AVERAGE(AC1145:AC1147),IF($B$1145="Лікар-педіатр",AVERAGE(AC1145:AC1147),IF($B$1145="Лікар-терапевт","х",0)))</f>
        <v>0</v>
      </c>
      <c r="AD1149" s="205">
        <f>IF($B$1145="Лікар загальної практики - сімейний лікар",AVERAGE(AD1145:AD1147),IF($B$1145="Лікар-педіатр","x",IF($B$1145="Лікар-терапевт",AVERAGE(AD1145:AD1147),0)))</f>
        <v>0</v>
      </c>
      <c r="AE1149" s="205">
        <f>IF($B$1145="Лікар загальної практики - сімейний лікар",AVERAGE(AE1145:AE1147),IF($B$1145="Лікар-педіатр","x",IF($B$1145="Лікар-терапевт",AVERAGE(AE1145:AE1147),0)))</f>
        <v>0</v>
      </c>
      <c r="AF1149" s="205">
        <f>IF($B$1145="Лікар загальної практики - сімейний лікар",AVERAGE(AF1145:AF1147),IF($B$1145="Лікар-педіатр","x",IF($B$1145="Лікар-терапевт",AVERAGE(AF1145:AF1147),0)))</f>
        <v>0</v>
      </c>
      <c r="AG1149" s="206">
        <f>SUM(AB1149:AF1149)</f>
        <v>0</v>
      </c>
      <c r="AH1149" s="930"/>
      <c r="AI1149" s="201"/>
      <c r="AJ1149" s="933"/>
      <c r="AK1149" s="927"/>
      <c r="AL1149" s="927"/>
      <c r="AM1149" s="903"/>
      <c r="AN1149" s="925"/>
      <c r="AO1149" s="925"/>
      <c r="AP1149" s="925"/>
      <c r="AQ1149" s="925"/>
      <c r="AR1149" s="916"/>
    </row>
    <row r="1150" spans="1:44" s="50" customFormat="1" ht="40.5" hidden="1">
      <c r="A1150" s="197"/>
      <c r="B1150" s="893"/>
      <c r="C1150" s="896"/>
      <c r="D1150" s="912"/>
      <c r="E1150" s="909"/>
      <c r="F1150" s="237" t="str">
        <f ca="1">IF(B1145="Лікар-педіатр",Законод!$C$17,IF(B1145="Лікар загальної практики - сімейний лікар",Законод!$C$21,IF(B1145="Лікар-терапевт",Законод!$C$25,"х")))</f>
        <v>х</v>
      </c>
      <c r="G1150" s="208">
        <f ca="1">IF($B$1145="Лікар загальної практики - сімейний лікар",IF(L1149&lt;=Законод!$C$22,G1149,Законод!$C$22*'01_Доходи'!G1148),IF($B$1145="Лікар-педіатр",IF(L1149&lt;=Законод!$C$18,G1149,Законод!$C$18*'01_Доходи'!G1148),IF($B$1145="Лікар-терапевт","x",0)))</f>
        <v>0</v>
      </c>
      <c r="H1150" s="208">
        <f ca="1">IF($B$1145="Лікар загальної практики - сімейний лікар",IF(L1149&lt;=Законод!$C$22,H1149,Законод!$C$22*'01_Доходи'!H1148),IF($B$1145="Лікар-педіатр",IF(L1149&lt;=Законод!$C$18,H1149,Законод!$C$18*'01_Доходи'!H1148),IF($B$1145="Лікар-терапевт","x",0)))</f>
        <v>0</v>
      </c>
      <c r="I1150" s="208">
        <f ca="1">IF($B$1145="Лікар загальної практики - сімейний лікар",IF(L1149&lt;=Законод!$C$22,I1149,Законод!$C$22*'01_Доходи'!I1148),IF($B$1145="Лікар-педіатр","x",IF($B$1145="Лікар-терапевт",IF(L1149&lt;=Законод!$C$26,I1149,Законод!$C$26*'01_Доходи'!I1148),0)))</f>
        <v>0</v>
      </c>
      <c r="J1150" s="208">
        <f ca="1">IF($B$1145="Лікар загальної практики - сімейний лікар",IF(L1149&lt;=Законод!$C$22,J1149,Законод!$C$22*'01_Доходи'!J1148),IF($B$1145="Лікар-педіатр","x",IF($B$1145="Лікар-терапевт",IF(L1149&lt;=Законод!$C$26,J1149,Законод!$C$26*'01_Доходи'!J1148),0)))</f>
        <v>0</v>
      </c>
      <c r="K1150" s="208">
        <f ca="1">IF($B$1145="Лікар загальної практики - сімейний лікар",IF(L1149&lt;=Законод!$C$22,K1149,Законод!$C$22*'01_Доходи'!K1148),IF($B$1145="Лікар-педіатр","x",IF($B$1145="Лікар-терапевт",IF(L1149&lt;=Законод!$C$26,K1149,Законод!$C$26*'01_Доходи'!K1148),0)))</f>
        <v>0</v>
      </c>
      <c r="L1150" s="209">
        <f ca="1">SUM(G1150:K1150)</f>
        <v>0</v>
      </c>
      <c r="M1150" s="930"/>
      <c r="N1150" s="208">
        <f ca="1">IF($B$1145="Лікар загальної практики - сімейний лікар",IF(S1149&lt;=Законод!$C$22,N1149,Законод!$C$22*'01_Доходи'!N1148),IF($B$1145="Лікар-педіатр",IF(S1149&lt;=Законод!$C$18,N1149,Законод!$C$18*'01_Доходи'!N1148),IF($B$1145="Лікар-терапевт","x",0)))</f>
        <v>0</v>
      </c>
      <c r="O1150" s="208">
        <f ca="1">IF($B$1145="Лікар загальної практики - сімейний лікар",IF(S1149&lt;=Законод!$C$22,O1149,Законод!$C$22*'01_Доходи'!O1148),IF($B$1145="Лікар-педіатр",IF(S1149&lt;=Законод!$C$18,O1149,Законод!$C$18*'01_Доходи'!O1148),IF($B$1145="Лікар-терапевт","x",0)))</f>
        <v>0</v>
      </c>
      <c r="P1150" s="208">
        <f ca="1">IF($B$1145="Лікар загальної практики - сімейний лікар",IF(S1149&lt;=Законод!$C$22,P1149,Законод!$C$22*'01_Доходи'!P1148),IF($B$1145="Лікар-педіатр","x",IF($B$1145="Лікар-терапевт",IF(S1149&lt;=Законод!$C$26,P1149,Законод!$C$26*'01_Доходи'!P1148),0)))</f>
        <v>0</v>
      </c>
      <c r="Q1150" s="208">
        <f ca="1">IF($B$1145="Лікар загальної практики - сімейний лікар",IF(S1149&lt;=Законод!$C$22,Q1149,Законод!$C$22*'01_Доходи'!Q1148),IF($B$1145="Лікар-педіатр","x",IF($B$1145="Лікар-терапевт",IF(S1149&lt;=Законод!$C$26,Q1149,Законод!$C$26*'01_Доходи'!Q1148),0)))</f>
        <v>0</v>
      </c>
      <c r="R1150" s="208">
        <f ca="1">IF($B$1145="Лікар загальної практики - сімейний лікар",IF(S1149&lt;=Законод!$C$22,R1149,Законод!$C$22*'01_Доходи'!R1148),IF($B$1145="Лікар-педіатр","x",IF($B$1145="Лікар-терапевт",IF(S1149&lt;=Законод!$C$26,R1149,Законод!$C$26*'01_Доходи'!R1148),0)))</f>
        <v>0</v>
      </c>
      <c r="S1150" s="209">
        <f ca="1">SUM(N1150:R1150)</f>
        <v>0</v>
      </c>
      <c r="T1150" s="930"/>
      <c r="U1150" s="208">
        <f ca="1">IF($B$1145="Лікар загальної практики - сімейний лікар",IF(Z1149&lt;=Законод!$C$22,U1149,Законод!$C$22*'01_Доходи'!U1148),IF($B$1145="Лікар-педіатр",IF(Z1149&lt;=Законод!$C$18,U1149,Законод!$C$18*'01_Доходи'!U1148),IF($B$1145="Лікар-терапевт","x",0)))</f>
        <v>0</v>
      </c>
      <c r="V1150" s="208">
        <f ca="1">IF($B$1145="Лікар загальної практики - сімейний лікар",IF(Z1149&lt;=Законод!$C$22,V1149,Законод!$C$22*'01_Доходи'!V1148),IF($B$1145="Лікар-педіатр",IF(Z1149&lt;=Законод!$C$18,V1149,Законод!$C$18*'01_Доходи'!V1148),IF($B$1145="Лікар-терапевт","x",0)))</f>
        <v>0</v>
      </c>
      <c r="W1150" s="208">
        <f ca="1">IF($B$1145="Лікар загальної практики - сімейний лікар",IF(Z1149&lt;=Законод!$C$22,W1149,Законод!$C$22*'01_Доходи'!W1148),IF($B$1145="Лікар-педіатр","x",IF($B$1145="Лікар-терапевт",IF(Z1149&lt;=Законод!$C$26,W1149,Законод!$C$26*'01_Доходи'!W1148),0)))</f>
        <v>0</v>
      </c>
      <c r="X1150" s="208">
        <f ca="1">IF($B$1145="Лікар загальної практики - сімейний лікар",IF(Z1149&lt;=Законод!$C$22,X1149,Законод!$C$22*'01_Доходи'!X1148),IF($B$1145="Лікар-педіатр","x",IF($B$1145="Лікар-терапевт",IF(Z1149&lt;=Законод!$C$26,X1149,Законод!$C$26*'01_Доходи'!X1148),0)))</f>
        <v>0</v>
      </c>
      <c r="Y1150" s="208">
        <f ca="1">IF($B$1145="Лікар загальної практики - сімейний лікар",IF(Z1149&lt;=Законод!$C$22,Y1149,Законод!$C$22*'01_Доходи'!Y1148),IF($B$1145="Лікар-педіатр","x",IF($B$1145="Лікар-терапевт",IF(Z1149&lt;=Законод!$C$26,Y1149,Законод!$C$26*'01_Доходи'!Y1148),0)))</f>
        <v>0</v>
      </c>
      <c r="Z1150" s="209">
        <f ca="1">SUM(U1150:Y1150)</f>
        <v>0</v>
      </c>
      <c r="AA1150" s="930"/>
      <c r="AB1150" s="208">
        <f ca="1">IF($B$1145="Лікар загальної практики - сімейний лікар",IF(AG1149&lt;=Законод!$C$22,AB1149,Законод!$C$22*'01_Доходи'!AB1148),IF($B$1145="Лікар-педіатр",IF(AG1149&lt;=Законод!$C$18,AB1149,Законод!$C$18*'01_Доходи'!AB1148),IF($B$1145="Лікар-терапевт","x",0)))</f>
        <v>0</v>
      </c>
      <c r="AC1150" s="208">
        <f ca="1">IF($B$1145="Лікар загальної практики - сімейний лікар",IF(AG1149&lt;=Законод!$C$22,AC1149,Законод!$C$22*'01_Доходи'!AC1148),IF($B$1145="Лікар-педіатр",IF(AG1149&lt;=Законод!$C$18,AC1149,Законод!$C$18*'01_Доходи'!AC1148),IF($B$1145="Лікар-терапевт","x",0)))</f>
        <v>0</v>
      </c>
      <c r="AD1150" s="208">
        <f ca="1">IF($B$1145="Лікар загальної практики - сімейний лікар",IF(AG1149&lt;=Законод!$C$22,AD1149,Законод!$C$22*'01_Доходи'!AD1148),IF($B$1145="Лікар-педіатр","x",IF($B$1145="Лікар-терапевт",IF(AG1149&lt;=Законод!$C$26,AD1149,Законод!$C$26*'01_Доходи'!AD1148),0)))</f>
        <v>0</v>
      </c>
      <c r="AE1150" s="208">
        <f ca="1">IF($B$1145="Лікар загальної практики - сімейний лікар",IF(AG1149&lt;=Законод!$C$22,AE1149,Законод!$C$22*'01_Доходи'!AE1148),IF($B$1145="Лікар-педіатр","x",IF($B$1145="Лікар-терапевт",IF(AG1149&lt;=Законод!$C$26,AE1149,Законод!$C$26*'01_Доходи'!AE1148),0)))</f>
        <v>0</v>
      </c>
      <c r="AF1150" s="208">
        <f ca="1">IF($B$1145="Лікар загальної практики - сімейний лікар",IF(AG1149&lt;=Законод!$C$22,AF1149,Законод!$C$22*'01_Доходи'!AF1148),IF($B$1145="Лікар-педіатр","x",IF($B$1145="Лікар-терапевт",IF(AG1149&lt;=Законод!$C$26,AF1149,Законод!$C$26*'01_Доходи'!AF1148),0)))</f>
        <v>0</v>
      </c>
      <c r="AG1150" s="209">
        <f ca="1">SUM(AB1150:AF1150)</f>
        <v>0</v>
      </c>
      <c r="AH1150" s="930"/>
      <c r="AI1150" s="201"/>
      <c r="AJ1150" s="933"/>
      <c r="AK1150" s="927"/>
      <c r="AL1150" s="927"/>
      <c r="AM1150" s="348" t="s">
        <v>374</v>
      </c>
      <c r="AN1150" s="210">
        <f ca="1">IF(B1145="Лікар загальної практики - сімейний лікар",G1150*Законод!$C$11+'01_Доходи'!H1150*Законод!$D$11+'01_Доходи'!I1150*Законод!$E$11+'01_Доходи'!J1150*Законод!$F$11+'01_Доходи'!K1150*Законод!$G$11,IF(B1145="Лікар-педіатр",G1150*Законод!$C$11+'01_Доходи'!H1150*Законод!$D$11,IF(B1145="Лікар-терапевт",'01_Доходи'!I1150*Законод!$E$11+'01_Доходи'!J1150*Законод!$F$11+'01_Доходи'!K1150*Законод!$G$11,0)))</f>
        <v>0</v>
      </c>
      <c r="AO1150" s="210">
        <f ca="1">IF(B1145="Лікар загальної практики - сімейний лікар",N1150*Законод!$C$11+'01_Доходи'!O1150*Законод!$D$11+'01_Доходи'!P1150*Законод!$E$11+'01_Доходи'!Q1150*Законод!$F$11+'01_Доходи'!R1150*Законод!$G$11,IF(B1145="Лікар-педіатр",N1150*Законод!$C$11+'01_Доходи'!O1150*Законод!$D$11,IF(B1145="Лікар-терапевт",'01_Доходи'!P1150*Законод!$E$11+'01_Доходи'!Q1150*Законод!$F$11+'01_Доходи'!R1150*Законод!$G$11,0)))</f>
        <v>0</v>
      </c>
      <c r="AP1150" s="210">
        <f ca="1">IF(B1145="Лікар загальної практики - сімейний лікар",U1150*Законод!$C$11+'01_Доходи'!V1150*Законод!$D$11+'01_Доходи'!W1150*Законод!$E$11+'01_Доходи'!X1150*Законод!$F$11+'01_Доходи'!Y1150*Законод!$G$11,IF(B1145="Лікар-педіатр",U1150*Законод!$C$11+'01_Доходи'!V1150*Законод!$D$11,IF(B1145="Лікар-терапевт",'01_Доходи'!W1150*Законод!$E$11+'01_Доходи'!X1150*Законод!$F$11+'01_Доходи'!Y1150*Законод!$G$11,0)))</f>
        <v>0</v>
      </c>
      <c r="AQ1150" s="210">
        <f ca="1">IF(B1145="Лікар загальної практики - сімейний лікар",AB1150*Законод!$C$11+'01_Доходи'!AC1150*Законод!$D$11+'01_Доходи'!AD1150*Законод!$E$11+'01_Доходи'!AE1150*Законод!$F$11+'01_Доходи'!AF1150*Законод!$G$11,IF(B1145="Лікар-педіатр",AB1150*Законод!$C$11+'01_Доходи'!AC1150*Законод!$D$11,IF(B1145="Лікар-терапевт",'01_Доходи'!AD1150*Законод!$E$11+'01_Доходи'!AE1150*Законод!$F$11+'01_Доходи'!AF1150*Законод!$G$11,0)))</f>
        <v>0</v>
      </c>
      <c r="AR1150" s="211">
        <f t="shared" ref="AR1150:AR1156" si="115">SUM(AN1150:AQ1150)</f>
        <v>0</v>
      </c>
    </row>
    <row r="1151" spans="1:44" s="50" customFormat="1" ht="31.9" hidden="1" customHeight="1">
      <c r="A1151" s="197"/>
      <c r="B1151" s="893"/>
      <c r="C1151" s="896"/>
      <c r="D1151" s="912"/>
      <c r="E1151" s="909"/>
      <c r="F1151" s="238" t="str">
        <f ca="1">IF(B1145="Лікар-педіатр",Законод!$E$17,IF(B1145="Лікар загальної практики - сімейний лікар",Законод!$E$21,IF(B1145="Лікар-терапевт",Законод!$E$25,"х")))</f>
        <v>х</v>
      </c>
      <c r="G1151" s="889" t="s">
        <v>346</v>
      </c>
      <c r="H1151" s="890"/>
      <c r="I1151" s="890"/>
      <c r="J1151" s="890"/>
      <c r="K1151" s="891"/>
      <c r="L1151" s="196">
        <f ca="1">IF($B$1145="Лікар загальної практики - сімейний лікар",IF(L1149&lt;Законод!$C$22,0,(IF(AND(L1149&gt;=Законод!$E$22,L1149&lt;=Законод!$E$23),L1149-Законод!$C$22,IF('01_Доходи'!L1149&gt;=Законод!$F$22,Законод!$E$24,0)))),IF($B$1145="Лікар-педіатр",IF(L1149&lt;Законод!$C$18,0,(IF(AND(L1149&gt;=Законод!$E$18,L1149&lt;=Законод!$E$19),L1149-Законод!$C$18,IF('01_Доходи'!L1149&gt;=Законод!$F$18,Законод!$E$20,0)))),IF($B$1145="Лікар-терапевт",IF(L1149&lt;Законод!$C$26,0,(IF(AND(L1149&gt;=Законод!$E$26,L1149&lt;=Законод!$E$27),L1149-Законод!$C$26,IF('01_Доходи'!L1149&gt;=Законод!$F$26,Законод!$E$28,0)))),0)))</f>
        <v>0</v>
      </c>
      <c r="M1151" s="930"/>
      <c r="N1151" s="889" t="s">
        <v>346</v>
      </c>
      <c r="O1151" s="890"/>
      <c r="P1151" s="890"/>
      <c r="Q1151" s="890"/>
      <c r="R1151" s="891"/>
      <c r="S1151" s="196">
        <f ca="1">IF($B$1145="Лікар загальної практики - сімейний лікар",IF(S1149&lt;Законод!$C$22,0,(IF(AND(S1149&gt;=Законод!$E$22,S1149&lt;=Законод!$E$23),S1149-Законод!$C$22,IF('01_Доходи'!S1149&gt;=Законод!$F$22,Законод!$E$24,0)))),IF($B$1145="Лікар-педіатр",IF(S1149&lt;Законод!$C$18,0,(IF(AND(S1149&gt;=Законод!$E$18,S1149&lt;=Законод!$E$19),S1149-Законод!$C$18,IF('01_Доходи'!S1149&gt;=Законод!$F$18,Законод!$E$20,0)))),IF($B$1145="Лікар-терапевт",IF(S1149&lt;Законод!$C$26,0,(IF(AND(S1149&gt;=Законод!$E$26,S1149&lt;=Законод!$E$27),S1149-Законод!$C$26,IF('01_Доходи'!S1149&gt;=Законод!$F$26,Законод!$E$28,0)))),0)))</f>
        <v>0</v>
      </c>
      <c r="T1151" s="930"/>
      <c r="U1151" s="889" t="s">
        <v>346</v>
      </c>
      <c r="V1151" s="890"/>
      <c r="W1151" s="890"/>
      <c r="X1151" s="890"/>
      <c r="Y1151" s="891"/>
      <c r="Z1151" s="196">
        <f ca="1">IF($B$1145="Лікар загальної практики - сімейний лікар",IF(Z1149&lt;Законод!$C$22,0,(IF(AND(Z1149&gt;=Законод!$E$22,Z1149&lt;=Законод!$E$23),Z1149-Законод!$C$22,IF('01_Доходи'!Z1149&gt;=Законод!$F$22,Законод!$E$24,0)))),IF($B$1145="Лікар-педіатр",IF(Z1149&lt;Законод!$C$18,0,(IF(AND(Z1149&gt;=Законод!$E$18,Z1149&lt;=Законод!$E$19),Z1149-Законод!$C$18,IF('01_Доходи'!Z1149&gt;=Законод!$F$18,Законод!$E$20,0)))),IF($B$1145="Лікар-терапевт",IF(Z1149&lt;Законод!$C$26,0,(IF(AND(Z1149&gt;=Законод!$E$26,Z1149&lt;=Законод!$E$27),Z1149-Законод!$C$26,IF('01_Доходи'!Z1149&gt;=Законод!$F$26,Законод!$E$28,0)))),0)))</f>
        <v>0</v>
      </c>
      <c r="AA1151" s="930"/>
      <c r="AB1151" s="889" t="s">
        <v>346</v>
      </c>
      <c r="AC1151" s="890"/>
      <c r="AD1151" s="890"/>
      <c r="AE1151" s="890"/>
      <c r="AF1151" s="891"/>
      <c r="AG1151" s="196">
        <f ca="1">IF($B$1145="Лікар загальної практики - сімейний лікар",IF(AG1149&lt;Законод!$C$22,0,(IF(AND(AG1149&gt;=Законод!$E$22,AG1149&lt;=Законод!$E$23),AG1149-Законод!$C$22,IF('01_Доходи'!AG1149&gt;=Законод!$F$22,Законод!$E$24,0)))),IF($B$1145="Лікар-педіатр",IF(AG1149&lt;Законод!$C$18,0,(IF(AND(AG1149&gt;=Законод!$E$18,AG1149&lt;=Законод!$E$19),AG1149-Законод!$C$18,IF('01_Доходи'!AG1149&gt;=Законод!$F$18,Законод!$E$20,0)))),IF($B$1145="Лікар-терапевт",IF(AG1149&lt;Законод!$C$26,0,(IF(AND(AG1149&gt;=Законод!$E$26,AG1149&lt;=Законод!$E$27),AG1149-Законод!$C$26,IF('01_Доходи'!AG1149&gt;=Законод!$F$26,Законод!$E$28,0)))),0)))</f>
        <v>0</v>
      </c>
      <c r="AH1151" s="930"/>
      <c r="AI1151" s="201"/>
      <c r="AJ1151" s="933"/>
      <c r="AK1151" s="927"/>
      <c r="AL1151" s="927"/>
      <c r="AM1151" s="898" t="s">
        <v>375</v>
      </c>
      <c r="AN1151" s="210">
        <f ca="1">IF(B1145="Лікар загальної практики - сімейний лікар",L1151*Законод!$C$9/4*Законод!$E$16,IF(B1145="Лікар-педіатр",L1151*Законод!$C$9/4*Законод!$E$16,IF(B1145="Лікар-терапевт",L1151*Законод!$C$9/4*Законод!$E$16,0)))</f>
        <v>0</v>
      </c>
      <c r="AO1151" s="210">
        <f ca="1">IF(B1145="Лікар загальної практики - сімейний лікар",S1151*Законод!$C$9/4*Законод!$E$16,IF(B1145="Лікар-педіатр",S1151*Законод!$C$9/4*Законод!$E$16,IF(B1145="Лікар-терапевт",S1151*Законод!$C$9/4*Законод!$E$16,0)))</f>
        <v>0</v>
      </c>
      <c r="AP1151" s="210">
        <f ca="1">IF(B1145="Лікар загальної практики - сімейний лікар",Z1151*Законод!$C$9/4*Законод!$E$16,IF(B1145="Лікар-педіатр",Z1151*Законод!$C$9/4*Законод!$E$16,IF(B1145="Лікар-терапевт",Z1151*Законод!$C$9/4*Законод!$E$16,0)))</f>
        <v>0</v>
      </c>
      <c r="AQ1151" s="210">
        <f ca="1">IF(B1145="Лікар загальної практики - сімейний лікар",AG1151*Законод!$C$9/4*Законод!$E$16,IF(B1145="Лікар-педіатр",AG1151*Законод!$C$9/4*Законод!$E$16,IF(B1145="Лікар-терапевт",AG1151*Законод!$C$9/4*Законод!$E$16,0)))</f>
        <v>0</v>
      </c>
      <c r="AR1151" s="211">
        <f t="shared" si="115"/>
        <v>0</v>
      </c>
    </row>
    <row r="1152" spans="1:44" s="50" customFormat="1" ht="31.9" hidden="1" customHeight="1">
      <c r="A1152" s="197"/>
      <c r="B1152" s="893"/>
      <c r="C1152" s="896"/>
      <c r="D1152" s="912"/>
      <c r="E1152" s="909"/>
      <c r="F1152" s="238" t="str">
        <f ca="1">IF(B1145="Лікар-педіатр",Законод!$F$17,IF(B1145="Лікар загальної практики - сімейний лікар",Законод!$F$21,IF(B1145="Лікар-терапевт",Законод!$F$25,"х")))</f>
        <v>х</v>
      </c>
      <c r="G1152" s="889" t="s">
        <v>346</v>
      </c>
      <c r="H1152" s="890"/>
      <c r="I1152" s="890"/>
      <c r="J1152" s="890"/>
      <c r="K1152" s="891"/>
      <c r="L1152" s="196">
        <f ca="1">IF($B$1145="Лікар загальної практики - сімейний лікар",IF(L1149&lt;Законод!$C$22,0,(IF(AND(L1149&gt;=Законод!$F$22,L1149&lt;=Законод!$F$23),L1149-Законод!$E$23,IF('01_Доходи'!L1149&gt;=Законод!$G$22,Законод!$F$24,0)))),IF($B$1145="Лікар-педіатр",IF(L1149&lt;Законод!$C$18,0,(IF(AND(L1149&gt;=Законод!$F$18,L1149&lt;=Законод!$F$19),L1149-Законод!$E$19,IF('01_Доходи'!L1149&gt;=Законод!$G$18,Законод!$F$20,0)))),IF($B$1145="Лікар-терапевт",IF(L1149&lt;Законод!$C$26,0,(IF(AND(L1149&gt;=Законод!$F$26,L1149&lt;=Законод!$F$27),L1149-Законод!$E$27,IF('01_Доходи'!L1149&gt;=Законод!$G$26,Законод!$F$28,0)))),0)))</f>
        <v>0</v>
      </c>
      <c r="M1152" s="930"/>
      <c r="N1152" s="889" t="s">
        <v>346</v>
      </c>
      <c r="O1152" s="890"/>
      <c r="P1152" s="890"/>
      <c r="Q1152" s="890"/>
      <c r="R1152" s="891"/>
      <c r="S1152" s="196">
        <f ca="1">IF($B$1145="Лікар загальної практики - сімейний лікар",IF(S1149&lt;Законод!$C$22,0,(IF(AND(S1149&gt;=Законод!$F$22,S1149&lt;=Законод!$F$23),S1149-Законод!$E$23,IF('01_Доходи'!S1149&gt;=Законод!$G$22,Законод!$F$24,0)))),IF($B$1145="Лікар-педіатр",IF(S1149&lt;Законод!$C$18,0,(IF(AND(S1149&gt;=Законод!$F$18,S1149&lt;=Законод!$F$19),S1149-Законод!$E$19,IF('01_Доходи'!S1149&gt;=Законод!$G$18,Законод!$F$20,0)))),IF($B$1145="Лікар-терапевт",IF(S1149&lt;Законод!$C$26,0,(IF(AND(S1149&gt;=Законод!$F$26,S1149&lt;=Законод!$F$27),S1149-Законод!$E$27,IF('01_Доходи'!S1149&gt;=Законод!$G$26,Законод!$F$28,0)))),0)))</f>
        <v>0</v>
      </c>
      <c r="T1152" s="930"/>
      <c r="U1152" s="889" t="s">
        <v>346</v>
      </c>
      <c r="V1152" s="890"/>
      <c r="W1152" s="890"/>
      <c r="X1152" s="890"/>
      <c r="Y1152" s="891"/>
      <c r="Z1152" s="196">
        <f ca="1">IF($B$1145="Лікар загальної практики - сімейний лікар",IF(Z1149&lt;Законод!$C$22,0,(IF(AND(Z1149&gt;=Законод!$F$22,Z1149&lt;=Законод!$F$23),Z1149-Законод!$E$23,IF('01_Доходи'!Z1149&gt;=Законод!$G$22,Законод!$F$24,0)))),IF($B$1145="Лікар-педіатр",IF(Z1149&lt;Законод!$C$18,0,(IF(AND(Z1149&gt;=Законод!$F$18,Z1149&lt;=Законод!$F$19),Z1149-Законод!$E$19,IF('01_Доходи'!Z1149&gt;=Законод!$G$18,Законод!$F$20,0)))),IF($B$1145="Лікар-терапевт",IF(Z1149&lt;Законод!$C$26,0,(IF(AND(Z1149&gt;=Законод!$F$26,Z1149&lt;=Законод!$F$27),Z1149-Законод!$E$27,IF('01_Доходи'!Z1149&gt;=Законод!$G$26,Законод!$F$28,0)))),0)))</f>
        <v>0</v>
      </c>
      <c r="AA1152" s="930"/>
      <c r="AB1152" s="889" t="s">
        <v>346</v>
      </c>
      <c r="AC1152" s="890"/>
      <c r="AD1152" s="890"/>
      <c r="AE1152" s="890"/>
      <c r="AF1152" s="891"/>
      <c r="AG1152" s="196">
        <f ca="1">IF($B$1145="Лікар загальної практики - сімейний лікар",IF(AG1149&lt;Законод!$C$22,0,(IF(AND(AG1149&gt;=Законод!$F$22,AG1149&lt;=Законод!$F$23),AG1149-Законод!$E$23,IF('01_Доходи'!AG1149&gt;=Законод!$G$22,Законод!$F$24,0)))),IF($B$1145="Лікар-педіатр",IF(AG1149&lt;Законод!$C$18,0,(IF(AND(AG1149&gt;=Законод!$F$18,AG1149&lt;=Законод!$F$19),AG1149-Законод!$E$19,IF('01_Доходи'!AG1149&gt;=Законод!$G$18,Законод!$F$20,0)))),IF($B$1145="Лікар-терапевт",IF(AG1149&lt;Законод!$C$26,0,(IF(AND(AG1149&gt;=Законод!$F$26,AG1149&lt;=Законод!$F$27),AG1149-Законод!$E$27,IF('01_Доходи'!AG1149&gt;=Законод!$G$26,Законод!$F$28,0)))),0)))</f>
        <v>0</v>
      </c>
      <c r="AH1152" s="930"/>
      <c r="AI1152" s="201"/>
      <c r="AJ1152" s="933"/>
      <c r="AK1152" s="927"/>
      <c r="AL1152" s="927"/>
      <c r="AM1152" s="899"/>
      <c r="AN1152" s="210">
        <f ca="1">IF(B1145="Лікар загальної практики - сімейний лікар",L1152*Законод!$C$9/4*Законод!$F$16,IF(B1145="Лікар-педіатр",L1152*Законод!$C$9/4*Законод!$F$16,IF(B1145="Лікар-терапевт",L1152*Законод!$C$9/4*Законод!$F$16,0)))</f>
        <v>0</v>
      </c>
      <c r="AO1152" s="210">
        <f ca="1">IF(B1145="Лікар загальної практики - сімейний лікар",S1152*Законод!$C$9/4*Законод!$F$16,IF(B1145="Лікар-педіатр",S1152*Законод!$C$9/4*Законод!$F$16,IF(B1145="Лікар-терапевт",S1152*Законод!$C$9/4*Законод!$F$16,0)))</f>
        <v>0</v>
      </c>
      <c r="AP1152" s="210">
        <f ca="1">IF(B1145="Лікар загальної практики - сімейний лікар",Z1152*Законод!$C$9/4*Законод!$F$16,IF(B1145="Лікар-педіатр",Z1152*Законод!$C$9/4*Законод!$F$16,IF(B1145="Лікар-терапевт",Z1152*Законод!$C$9/4*Законод!$F$16,0)))</f>
        <v>0</v>
      </c>
      <c r="AQ1152" s="210">
        <f ca="1">IF(B1145="Лікар загальної практики - сімейний лікар",AG1152*Законод!$C$9/4*Законод!$F$16,IF(B1145="Лікар-педіатр",AG1152*Законод!$C$9/4*Законод!$F$16,IF(B1145="Лікар-терапевт",AG1152*Законод!$C$9/4*Законод!$F$16,0)))</f>
        <v>0</v>
      </c>
      <c r="AR1152" s="211">
        <f t="shared" si="115"/>
        <v>0</v>
      </c>
    </row>
    <row r="1153" spans="1:44" s="50" customFormat="1" ht="31.9" hidden="1" customHeight="1">
      <c r="A1153" s="197"/>
      <c r="B1153" s="893"/>
      <c r="C1153" s="896"/>
      <c r="D1153" s="912"/>
      <c r="E1153" s="909"/>
      <c r="F1153" s="238" t="str">
        <f ca="1">IF(B1145="Лікар-педіатр",Законод!$G$17,IF(B1145="Лікар загальної практики - сімейний лікар",Законод!$G$21,IF(B1145="Лікар-терапевт",Законод!$G$25,"х")))</f>
        <v>х</v>
      </c>
      <c r="G1153" s="889" t="s">
        <v>346</v>
      </c>
      <c r="H1153" s="890"/>
      <c r="I1153" s="890"/>
      <c r="J1153" s="890"/>
      <c r="K1153" s="891"/>
      <c r="L1153" s="196">
        <f ca="1">IF($B$1145="Лікар загальної практики - сімейний лікар",IF(L1149&lt;Законод!$C$22,0,(IF(AND(L1149&gt;=Законод!$G$22,L1149&lt;=Законод!$G$23),L1149-Законод!$F$23,IF('01_Доходи'!L1149&gt;=Законод!$H$22,Законод!$G$24,0)))),IF($B$1145="Лікар-педіатр",IF(L1149&lt;Законод!$C$18,0,(IF(AND(L1149&gt;=Законод!$G$18,L1149&lt;=Законод!$G$19),L1149-Законод!$F$19,IF('01_Доходи'!L1149&gt;=Законод!$H$18,Законод!$G$20,0)))),IF($B$1145="Лікар-терапевт",IF(L1149&lt;Законод!$C$26,0,(IF(AND(L1149&gt;=Законод!$G$26,L1149&lt;=Законод!$G$27),L1149-Законод!$F$27,IF('01_Доходи'!L1149&gt;=Законод!$H$26,Законод!$G$28,0)))),0)))</f>
        <v>0</v>
      </c>
      <c r="M1153" s="930"/>
      <c r="N1153" s="889" t="s">
        <v>346</v>
      </c>
      <c r="O1153" s="890"/>
      <c r="P1153" s="890"/>
      <c r="Q1153" s="890"/>
      <c r="R1153" s="891"/>
      <c r="S1153" s="196">
        <f ca="1">IF($B$1145="Лікар загальної практики - сімейний лікар",IF(S1149&lt;Законод!$C$22,0,(IF(AND(S1149&gt;=Законод!$G$22,S1149&lt;=Законод!$G$23),S1149-Законод!$F$23,IF('01_Доходи'!S1149&gt;=Законод!$H$22,Законод!$G$24,0)))),IF($B$1145="Лікар-педіатр",IF(S1149&lt;Законод!$C$18,0,(IF(AND(S1149&gt;=Законод!$G$18,S1149&lt;=Законод!$G$19),S1149-Законод!$F$19,IF('01_Доходи'!S1149&gt;=Законод!$H$18,Законод!$G$20,0)))),IF($B$1145="Лікар-терапевт",IF(S1149&lt;Законод!$C$26,0,(IF(AND(S1149&gt;=Законод!$G$26,S1149&lt;=Законод!$G$27),S1149-Законод!$F$27,IF('01_Доходи'!S1149&gt;=Законод!$H$26,Законод!$G$28,0)))),0)))</f>
        <v>0</v>
      </c>
      <c r="T1153" s="930"/>
      <c r="U1153" s="889" t="s">
        <v>346</v>
      </c>
      <c r="V1153" s="890"/>
      <c r="W1153" s="890"/>
      <c r="X1153" s="890"/>
      <c r="Y1153" s="891"/>
      <c r="Z1153" s="196">
        <f ca="1">IF($B$1145="Лікар загальної практики - сімейний лікар",IF(Z1149&lt;Законод!$C$22,0,(IF(AND(Z1149&gt;=Законод!$G$22,Z1149&lt;=Законод!$G$23),Z1149-Законод!$F$23,IF('01_Доходи'!Z1149&gt;=Законод!$H$22,Законод!$G$24,0)))),IF($B$1145="Лікар-педіатр",IF(Z1149&lt;Законод!$C$18,0,(IF(AND(Z1149&gt;=Законод!$G$18,Z1149&lt;=Законод!$G$19),Z1149-Законод!$F$19,IF('01_Доходи'!Z1149&gt;=Законод!$H$18,Законод!$G$20,0)))),IF($B$1145="Лікар-терапевт",IF(Z1149&lt;Законод!$C$26,0,(IF(AND(Z1149&gt;=Законод!$G$26,Z1149&lt;=Законод!$G$27),Z1149-Законод!$F$27,IF('01_Доходи'!Z1149&gt;=Законод!$H$26,Законод!$G$28,0)))),0)))</f>
        <v>0</v>
      </c>
      <c r="AA1153" s="930"/>
      <c r="AB1153" s="889" t="s">
        <v>346</v>
      </c>
      <c r="AC1153" s="890"/>
      <c r="AD1153" s="890"/>
      <c r="AE1153" s="890"/>
      <c r="AF1153" s="891"/>
      <c r="AG1153" s="196">
        <f ca="1">IF($B$1145="Лікар загальної практики - сімейний лікар",IF(AG1149&lt;Законод!$C$22,0,(IF(AND(AG1149&gt;=Законод!$G$22,AG1149&lt;=Законод!$G$23),AG1149-Законод!$F$23,IF('01_Доходи'!AG1149&gt;=Законод!$H$22,Законод!$G$24,0)))),IF($B$1145="Лікар-педіатр",IF(AG1149&lt;Законод!$C$18,0,(IF(AND(AG1149&gt;=Законод!$G$18,AG1149&lt;=Законод!$G$19),AG1149-Законод!$F$19,IF('01_Доходи'!AG1149&gt;=Законод!$H$18,Законод!$G$20,0)))),IF($B$1145="Лікар-терапевт",IF(AG1149&lt;Законод!$C$26,0,(IF(AND(AG1149&gt;=Законод!$G$26,AG1149&lt;=Законод!$G$27),AG1149-Законод!$F$27,IF('01_Доходи'!AG1149&gt;=Законод!$H$26,Законод!$G$28,0)))),0)))</f>
        <v>0</v>
      </c>
      <c r="AH1153" s="930"/>
      <c r="AI1153" s="201"/>
      <c r="AJ1153" s="933"/>
      <c r="AK1153" s="927"/>
      <c r="AL1153" s="927"/>
      <c r="AM1153" s="899"/>
      <c r="AN1153" s="210">
        <f ca="1">IF(B1145="Лікар загальної практики - сімейний лікар",L1153*Законод!$C$9/4*Законод!$G$16,IF(B1145="Лікар-педіатр",L1153*Законод!$C$9/4*Законод!$G$16,IF(B1145="Лікар-терапевт",L1153*Законод!$C$9/4*Законод!$G$16,0)))</f>
        <v>0</v>
      </c>
      <c r="AO1153" s="210">
        <f ca="1">IF(B1145="Лікар загальної практики - сімейний лікар",S1153*Законод!$C$9/4*Законод!$G$16,IF(B1145="Лікар-педіатр",S1153*Законод!$C$9/4*Законод!$G$16,IF(B1145="Лікар-терапевт",S1153*Законод!$C$9/4*Законод!$G$16,0)))</f>
        <v>0</v>
      </c>
      <c r="AP1153" s="210">
        <f ca="1">IF(B1145="Лікар загальної практики - сімейний лікар",Z1153*Законод!$C$9/4*Законод!$G$16,IF(B1145="Лікар-педіатр",Z1153*Законод!$C$9/4*Законод!$G$16,IF(B1145="Лікар-терапевт",Z1153*Законод!$C$9/4*Законод!$G$16,0)))</f>
        <v>0</v>
      </c>
      <c r="AQ1153" s="210">
        <f ca="1">IF(B1145="Лікар загальної практики - сімейний лікар",AG1153*Законод!$C$9/4*Законод!$G$16,IF(B1145="Лікар-педіатр",AG1153*Законод!$C$9/4*Законод!$G$16,IF(B1145="Лікар-терапевт",AG1153*Законод!$C$9/4*Законод!$G$16,0)))</f>
        <v>0</v>
      </c>
      <c r="AR1153" s="211">
        <f t="shared" si="115"/>
        <v>0</v>
      </c>
    </row>
    <row r="1154" spans="1:44" s="50" customFormat="1" ht="31.9" hidden="1" customHeight="1">
      <c r="A1154" s="197"/>
      <c r="B1154" s="893"/>
      <c r="C1154" s="896"/>
      <c r="D1154" s="912"/>
      <c r="E1154" s="909"/>
      <c r="F1154" s="238" t="str">
        <f ca="1">IF(B1145="Лікар-педіатр",Законод!$H$17,IF(B1145="Лікар загальної практики - сімейний лікар",Законод!$H$21,IF(B1145="Лікар-терапевт",Законод!$H$25,"х")))</f>
        <v>х</v>
      </c>
      <c r="G1154" s="889" t="s">
        <v>346</v>
      </c>
      <c r="H1154" s="890"/>
      <c r="I1154" s="890"/>
      <c r="J1154" s="890"/>
      <c r="K1154" s="891"/>
      <c r="L1154" s="196">
        <f ca="1">IF($B$1145="Лікар загальної практики - сімейний лікар",IF(L1149&lt;Законод!$C$22,0,(IF(AND(L1149&gt;=Законод!$H$22,L1149&lt;=Законод!$H$23),L1149-Законод!$G$23,IF('01_Доходи'!L1149&gt;=Законод!$I$22,Законод!$H$24,0)))),IF($B$1145="Лікар-педіатр",IF(L1149&lt;Законод!$C$18,0,(IF(AND(L1149&gt;=Законод!$H$18,L1149&lt;=Законод!$H$19),L1149-Законод!$G$19,IF('01_Доходи'!L1149&gt;=Законод!$I$18,Законод!$H$20,0)))),IF($B$1145="Лікар-терапевт",IF(L1149&lt;Законод!$C$26,0,(IF(AND(L1149&gt;=Законод!$H$26,L1149&lt;=Законод!$H$27),L1149-Законод!$G$27,IF(L1149&gt;=Законод!$I$26,Законод!$H$28,0)))),0)))</f>
        <v>0</v>
      </c>
      <c r="M1154" s="930"/>
      <c r="N1154" s="889" t="s">
        <v>346</v>
      </c>
      <c r="O1154" s="890"/>
      <c r="P1154" s="890"/>
      <c r="Q1154" s="890"/>
      <c r="R1154" s="891"/>
      <c r="S1154" s="196">
        <f ca="1">IF($B$1145="Лікар загальної практики - сімейний лікар",IF(S1149&lt;Законод!$C$22,0,(IF(AND(S1149&gt;=Законод!$H$22,S1149&lt;=Законод!$H$23),S1149-Законод!$G$23,IF('01_Доходи'!S1149&gt;=Законод!$I$22,Законод!$H$24,0)))),IF($B$1145="Лікар-педіатр",IF(S1149&lt;Законод!$C$18,0,(IF(AND(S1149&gt;=Законод!$H$18,S1149&lt;=Законод!$H$19),S1149-Законод!$G$19,IF('01_Доходи'!S1149&gt;=Законод!$I$18,Законод!$H$20,0)))),IF($B$1145="Лікар-терапевт",IF(S1149&lt;Законод!$C$26,0,(IF(AND(S1149&gt;=Законод!$H$26,S1149&lt;=Законод!$H$27),S1149-Законод!$G$27,IF(S1149&gt;=Законод!$I$26,Законод!$H$28,0)))),0)))</f>
        <v>0</v>
      </c>
      <c r="T1154" s="930"/>
      <c r="U1154" s="889" t="s">
        <v>346</v>
      </c>
      <c r="V1154" s="890"/>
      <c r="W1154" s="890"/>
      <c r="X1154" s="890"/>
      <c r="Y1154" s="891"/>
      <c r="Z1154" s="196">
        <f ca="1">IF($B$1145="Лікар загальної практики - сімейний лікар",IF(Z1149&lt;Законод!$C$22,0,(IF(AND(Z1149&gt;=Законод!$H$22,Z1149&lt;=Законод!$H$23),Z1149-Законод!$G$23,IF('01_Доходи'!Z1149&gt;=Законод!$I$22,Законод!$H$24,0)))),IF($B$1145="Лікар-педіатр",IF(Z1149&lt;Законод!$C$18,0,(IF(AND(Z1149&gt;=Законод!$H$18,Z1149&lt;=Законод!$H$19),Z1149-Законод!$G$19,IF('01_Доходи'!Z1149&gt;=Законод!$I$18,Законод!$H$20,0)))),IF($B$1145="Лікар-терапевт",IF(Z1149&lt;Законод!$C$26,0,(IF(AND(Z1149&gt;=Законод!$H$26,Z1149&lt;=Законод!$H$27),Z1149-Законод!$G$27,IF(Z1149&gt;=Законод!$I$26,Законод!$H$28,0)))),0)))</f>
        <v>0</v>
      </c>
      <c r="AA1154" s="930"/>
      <c r="AB1154" s="889" t="s">
        <v>346</v>
      </c>
      <c r="AC1154" s="890"/>
      <c r="AD1154" s="890"/>
      <c r="AE1154" s="890"/>
      <c r="AF1154" s="891"/>
      <c r="AG1154" s="196">
        <f ca="1">IF($B$1145="Лікар загальної практики - сімейний лікар",IF(AG1149&lt;Законод!$C$22,0,(IF(AND(AG1149&gt;=Законод!$H$22,AG1149&lt;=Законод!$H$23),AG1149-Законод!$G$23,IF('01_Доходи'!AG1149&gt;=Законод!$I$22,Законод!$H$24,0)))),IF($B$1145="Лікар-педіатр",IF(AG1149&lt;Законод!$C$18,0,(IF(AND(AG1149&gt;=Законод!$H$18,AG1149&lt;=Законод!$H$19),AG1149-Законод!$G$19,IF('01_Доходи'!AG1149&gt;=Законод!$I$18,Законод!$H$20,0)))),IF($B$1145="Лікар-терапевт",IF(AG1149&lt;Законод!$C$26,0,(IF(AND(AG1149&gt;=Законод!$H$26,AG1149&lt;=Законод!$H$27),AG1149-Законод!$G$27,IF(AG1149&gt;=Законод!$I$26,Законод!$H$28,0)))),0)))</f>
        <v>0</v>
      </c>
      <c r="AH1154" s="930"/>
      <c r="AI1154" s="201"/>
      <c r="AJ1154" s="933"/>
      <c r="AK1154" s="927"/>
      <c r="AL1154" s="927"/>
      <c r="AM1154" s="899"/>
      <c r="AN1154" s="210">
        <f ca="1">IF(B1145="Лікар загальної практики - сімейний лікар",L1154*Законод!$C$9/4*Законод!$H$16,IF(B1145="Лікар-педіатр",L1154*Законод!$C$9/4*Законод!$H$16,IF(B1145="Лікар-терапевт",L1154*Законод!$C$9/4*Законод!$H$16,0)))</f>
        <v>0</v>
      </c>
      <c r="AO1154" s="210">
        <f ca="1">IF(B1145="Лікар загальної практики - сімейний лікар",S1154*Законод!$C$9/4*Законод!$H$16,IF(B1145="Лікар-педіатр",S1154*Законод!$C$9/4*Законод!$H$16,IF(B1145="Лікар-терапевт",S1154*Законод!$C$9/4*Законод!$H$16,0)))</f>
        <v>0</v>
      </c>
      <c r="AP1154" s="210">
        <f ca="1">IF(B1145="Лікар загальної практики - сімейний лікар",Z1154*Законод!$C$9/4*Законод!$H$16,IF(B1145="Лікар-педіатр",Z1154*Законод!$C$9/4*Законод!$H$16,IF(B1145="Лікар-терапевт",Z1154*Законод!$C$9/4*Законод!$H$16,0)))</f>
        <v>0</v>
      </c>
      <c r="AQ1154" s="210">
        <f ca="1">IF(B1145="Лікар загальної практики - сімейний лікар",AG1154*Законод!$C$9/4*Законод!$H$16,IF(B1145="Лікар-педіатр",AG1154*Законод!$C$9/4*Законод!$H$16,IF(B1145="Лікар-терапевт",AG1154*Законод!$C$9/4*Законод!$H$16,0)))</f>
        <v>0</v>
      </c>
      <c r="AR1154" s="211">
        <f t="shared" si="115"/>
        <v>0</v>
      </c>
    </row>
    <row r="1155" spans="1:44" s="50" customFormat="1" ht="31.9" hidden="1" customHeight="1">
      <c r="A1155" s="197"/>
      <c r="B1155" s="893"/>
      <c r="C1155" s="896"/>
      <c r="D1155" s="912"/>
      <c r="E1155" s="909"/>
      <c r="F1155" s="238" t="str">
        <f ca="1">IF(B1145="Лікар-педіатр",Законод!$I$17,IF(B1145="Лікар загальної практики - сімейний лікар",Законод!$I$21,IF(B1145="Лікар-терапевт",Законод!$I$25,"х")))</f>
        <v>х</v>
      </c>
      <c r="G1155" s="889" t="s">
        <v>346</v>
      </c>
      <c r="H1155" s="890"/>
      <c r="I1155" s="890"/>
      <c r="J1155" s="890"/>
      <c r="K1155" s="891"/>
      <c r="L1155" s="196">
        <f ca="1">IF($B$1145="Лікар загальної практики - сімейний лікар",IF(L1149&lt;Законод!$C$22,0,(IF(AND(L1149&gt;=Законод!$I$22,L1149&lt;=Законод!$I$23),L1149-Законод!$H$23,IF('01_Доходи'!L1149&gt;=Законод!$I$22,Законод!$I$24,0)))),IF($B$1145="Лікар-педіатр",IF(L1149&lt;Законод!$C$18,0,(IF(AND(L1149&gt;=Законод!$I$18,L1149&lt;=Законод!$I$19),L1149-Законод!$H$19,IF('01_Доходи'!L1149&gt;=Законод!$I$18,Законод!$H$20,0)))),IF($B$1145="Лікар-терапевт",IF(L1149&lt;Законод!$C$26,0,(IF(AND(L1149&gt;=Законод!$I$26,L1149&lt;=Законод!$I$27),L1149-Законод!$H$27,IF('01_Доходи'!L1149&gt;=Законод!$I$26,Законод!$H$28,0)))),0)))</f>
        <v>0</v>
      </c>
      <c r="M1155" s="930"/>
      <c r="N1155" s="889" t="s">
        <v>346</v>
      </c>
      <c r="O1155" s="890"/>
      <c r="P1155" s="890"/>
      <c r="Q1155" s="890"/>
      <c r="R1155" s="891"/>
      <c r="S1155" s="196">
        <f ca="1">IF($B$1145="Лікар загальної практики - сімейний лікар",IF(S1149&lt;Законод!$C$22,0,(IF(AND(S1149&gt;=Законод!$I$22,S1149&lt;=Законод!$I$23),S1149-Законод!$H$23,IF('01_Доходи'!S1149&gt;=Законод!$I$22,Законод!$I$24,0)))),IF($B$1145="Лікар-педіатр",IF(S1149&lt;Законод!$C$18,0,(IF(AND(S1149&gt;=Законод!$I$18,S1149&lt;=Законод!$I$19),S1149-Законод!$H$19,IF('01_Доходи'!S1149&gt;=Законод!$I$18,Законод!$H$20,0)))),IF($B$1145="Лікар-терапевт",IF(S1149&lt;Законод!$C$26,0,(IF(AND(S1149&gt;=Законод!$I$26,S1149&lt;=Законод!$I$27),S1149-Законод!$H$27,IF('01_Доходи'!S1149&gt;=Законод!$I$26,Законод!$H$28,0)))),0)))</f>
        <v>0</v>
      </c>
      <c r="T1155" s="930"/>
      <c r="U1155" s="889" t="s">
        <v>346</v>
      </c>
      <c r="V1155" s="890"/>
      <c r="W1155" s="890"/>
      <c r="X1155" s="890"/>
      <c r="Y1155" s="891"/>
      <c r="Z1155" s="196">
        <f ca="1">IF($B$1145="Лікар загальної практики - сімейний лікар",IF(Z1149&lt;Законод!$C$22,0,(IF(AND(Z1149&gt;=Законод!$I$22,Z1149&lt;=Законод!$I$23),Z1149-Законод!$H$23,IF('01_Доходи'!Z1149&gt;=Законод!$I$22,Законод!$I$24,0)))),IF($B$1145="Лікар-педіатр",IF(Z1149&lt;Законод!$C$18,0,(IF(AND(Z1149&gt;=Законод!$I$18,Z1149&lt;=Законод!$I$19),Z1149-Законод!$H$19,IF('01_Доходи'!Z1149&gt;=Законод!$I$18,Законод!$H$20,0)))),IF($B$1145="Лікар-терапевт",IF(Z1149&lt;Законод!$C$26,0,(IF(AND(Z1149&gt;=Законод!$I$26,Z1149&lt;=Законод!$I$27),Z1149-Законод!$H$27,IF('01_Доходи'!Z1149&gt;=Законод!$I$26,Законод!$H$28,0)))),0)))</f>
        <v>0</v>
      </c>
      <c r="AA1155" s="930"/>
      <c r="AB1155" s="889" t="s">
        <v>346</v>
      </c>
      <c r="AC1155" s="890"/>
      <c r="AD1155" s="890"/>
      <c r="AE1155" s="890"/>
      <c r="AF1155" s="891"/>
      <c r="AG1155" s="196">
        <f ca="1">IF($B$1145="Лікар загальної практики - сімейний лікар",IF(AG1149&lt;Законод!$C$22,0,(IF(AND(AG1149&gt;=Законод!$I$22,AG1149&lt;=Законод!$I$23),AG1149-Законод!$H$23,IF('01_Доходи'!AG1149&gt;=Законод!$I$22,Законод!$I$24,0)))),IF($B$1145="Лікар-педіатр",IF(AG1149&lt;Законод!$C$18,0,(IF(AND(AG1149&gt;=Законод!$I$18,AG1149&lt;=Законод!$I$19),AG1149-Законод!$H$19,IF('01_Доходи'!AG1149&gt;=Законод!$I$18,Законод!$H$20,0)))),IF($B$1145="Лікар-терапевт",IF(AG1149&lt;Законод!$C$26,0,(IF(AND(AG1149&gt;=Законод!$I$26,AG1149&lt;=Законод!$I$27),AG1149-Законод!$H$27,IF('01_Доходи'!AG1149&gt;=Законод!$I$26,Законод!$H$28,0)))),0)))</f>
        <v>0</v>
      </c>
      <c r="AH1155" s="930"/>
      <c r="AI1155" s="201"/>
      <c r="AJ1155" s="933"/>
      <c r="AK1155" s="927"/>
      <c r="AL1155" s="927"/>
      <c r="AM1155" s="899"/>
      <c r="AN1155" s="210">
        <f ca="1">IF(B1145="Лікар загальної практики - сімейний лікар",L1155*Законод!$C$9/4*Законод!$I$16,IF(B1145="Лікар-педіатр",L1155*Законод!$C$9/4*Законод!$I$16,IF(B1145="Лікар-терапевт",L1155*Законод!$C$9/4*Законод!$I$16,0)))</f>
        <v>0</v>
      </c>
      <c r="AO1155" s="210">
        <f ca="1">IF(B1145="Лікар загальної практики - сімейний лікар",S1155*Законод!$C$9/4*Законод!$I$16,IF(B1145="Лікар-педіатр",S1155*Законод!$C$9/4*Законод!$I$16,IF(B1145="Лікар-терапевт",S1155*Законод!$C$9/4*Законод!$I$16,0)))</f>
        <v>0</v>
      </c>
      <c r="AP1155" s="210">
        <f ca="1">IF(B1145="Лікар загальної практики - сімейний лікар",Z1155*Законод!$C$9/4*Законод!$I$16,IF(B1145="Лікар-педіатр",Z1155*Законод!$C$9/4*Законод!$I$16,IF(B1145="Лікар-терапевт",Z1155*Законод!$C$9/4*Законод!$I$16,0)))</f>
        <v>0</v>
      </c>
      <c r="AQ1155" s="210">
        <f ca="1">IF(B1145="Лікар загальної практики - сімейний лікар",AG1155*Законод!$C$9/4*Законод!$I$16,IF(B1145="Лікар-педіатр",AG1155*Законод!$C$9/4*Законод!$I$16,IF(B1145="Лікар-терапевт",AG1155*Законод!$C$9/4*Законод!$I$16,0)))</f>
        <v>0</v>
      </c>
      <c r="AR1155" s="211">
        <f t="shared" si="115"/>
        <v>0</v>
      </c>
    </row>
    <row r="1156" spans="1:44" s="218" customFormat="1" ht="31.9" hidden="1" customHeight="1" thickBot="1">
      <c r="A1156" s="213"/>
      <c r="B1156" s="894"/>
      <c r="C1156" s="897"/>
      <c r="D1156" s="913"/>
      <c r="E1156" s="910"/>
      <c r="F1156" s="239" t="str">
        <f ca="1">IF(B1145="Лікар-педіатр",Законод!$J$17,IF(B1145="Лікар загальної практики - сімейний лікар",Законод!$J$21,IF(B1145="Лікар-терапевт",Законод!$J$25,"х")))</f>
        <v>х</v>
      </c>
      <c r="G1156" s="935" t="s">
        <v>346</v>
      </c>
      <c r="H1156" s="936"/>
      <c r="I1156" s="936"/>
      <c r="J1156" s="936"/>
      <c r="K1156" s="937"/>
      <c r="L1156" s="196">
        <f ca="1">IF($B$1145="Лікар загальної практики - сімейний лікар",IF(L1149&gt;=Законод!$J$22,'01_Доходи'!L1149-('01_Доходи'!L1150+'01_Доходи'!L1151+'01_Доходи'!L1152+'01_Доходи'!L1153+'01_Доходи'!L1154+'01_Доходи'!L1155),0),IF($B$1145="Лікар-педіатр",IF(L1149&gt;=Законод!$J$18,'01_Доходи'!L1149-('01_Доходи'!L1150+'01_Доходи'!L1151+'01_Доходи'!L1152+'01_Доходи'!L1153+'01_Доходи'!L1154+'01_Доходи'!L1155),0),IF($B$1145="Лікар-терапевт",IF('01_Доходи'!L1149&gt;=Законод!$J$26,L1149-Законод!$I$27,0),0)))</f>
        <v>0</v>
      </c>
      <c r="M1156" s="931"/>
      <c r="N1156" s="935" t="s">
        <v>346</v>
      </c>
      <c r="O1156" s="936"/>
      <c r="P1156" s="936"/>
      <c r="Q1156" s="936"/>
      <c r="R1156" s="937"/>
      <c r="S1156" s="196">
        <f ca="1">IF($B$1145="Лікар загальної практики - сімейний лікар",IF(S1149&gt;=Законод!$J$22,'01_Доходи'!S1149-('01_Доходи'!S1150+'01_Доходи'!S1151+'01_Доходи'!S1152+'01_Доходи'!S1153+'01_Доходи'!S1154+'01_Доходи'!S1155),0),IF($B$1145="Лікар-педіатр",IF(S1149&gt;=Законод!$J$18,'01_Доходи'!S1149-('01_Доходи'!S1150+'01_Доходи'!S1151+'01_Доходи'!S1152+'01_Доходи'!S1153+'01_Доходи'!S1154+'01_Доходи'!S1155),0),IF($B$1145="Лікар-терапевт",IF('01_Доходи'!S1149&gt;=Законод!$J$26,S1149-Законод!$I$27,0),0)))</f>
        <v>0</v>
      </c>
      <c r="T1156" s="931"/>
      <c r="U1156" s="935" t="s">
        <v>346</v>
      </c>
      <c r="V1156" s="936"/>
      <c r="W1156" s="936"/>
      <c r="X1156" s="936"/>
      <c r="Y1156" s="937"/>
      <c r="Z1156" s="196">
        <f ca="1">IF($B$1145="Лікар загальної практики - сімейний лікар",IF(Z1149&gt;=Законод!$J$22,'01_Доходи'!Z1149-('01_Доходи'!Z1150+'01_Доходи'!Z1151+'01_Доходи'!Z1152+'01_Доходи'!Z1153+'01_Доходи'!Z1154+'01_Доходи'!Z1155),0),IF($B$1145="Лікар-педіатр",IF(Z1149&gt;=Законод!$J$18,'01_Доходи'!Z1149-('01_Доходи'!Z1150+'01_Доходи'!Z1151+'01_Доходи'!Z1152+'01_Доходи'!Z1153+'01_Доходи'!Z1154+'01_Доходи'!Z1155),0),IF($B$1145="Лікар-терапевт",IF('01_Доходи'!Z1149&gt;=Законод!$J$26,Z1149-Законод!$I$27,0),0)))</f>
        <v>0</v>
      </c>
      <c r="AA1156" s="931"/>
      <c r="AB1156" s="935" t="s">
        <v>346</v>
      </c>
      <c r="AC1156" s="936"/>
      <c r="AD1156" s="936"/>
      <c r="AE1156" s="936"/>
      <c r="AF1156" s="937"/>
      <c r="AG1156" s="196">
        <f ca="1">IF($B$1145="Лікар загальної практики - сімейний лікар",IF(AG1149&gt;=Законод!$J$22,'01_Доходи'!AG1149-('01_Доходи'!AG1150+'01_Доходи'!AG1151+'01_Доходи'!AG1152+'01_Доходи'!AG1153+'01_Доходи'!AG1154+'01_Доходи'!AG1155),0),IF($B$1145="Лікар-педіатр",IF(AG1149&gt;=Законод!$J$18,'01_Доходи'!AG1149-('01_Доходи'!AG1150+'01_Доходи'!AG1151+'01_Доходи'!AG1152+'01_Доходи'!AG1153+'01_Доходи'!AG1154+'01_Доходи'!AG1155),0),IF($B$1145="Лікар-терапевт",IF('01_Доходи'!AG1149&gt;=Законод!$J$26,AG1149-Законод!$I$27,0),0)))</f>
        <v>0</v>
      </c>
      <c r="AH1156" s="931"/>
      <c r="AI1156" s="215"/>
      <c r="AJ1156" s="934"/>
      <c r="AK1156" s="928"/>
      <c r="AL1156" s="928"/>
      <c r="AM1156" s="900"/>
      <c r="AN1156" s="216">
        <f ca="1">IF(B1145="Лікар загальної практики - сімейний лікар",L1156*Законод!$C$9/4*Законод!$J$16,IF(B1145="Лікар-педіатр",L1156*Законод!$C$9/4*Законод!$J$16,IF(B1145="Лікар-терапевт",L1156*Законод!$C$9/4*Законод!$J$16,0)))</f>
        <v>0</v>
      </c>
      <c r="AO1156" s="216">
        <f ca="1">IF(B1145="Лікар загальної практики - сімейний лікар",S1156*Законод!$C$9/4*Законод!$J$16,IF(B1145="Лікар-педіатр",S1156*Законод!$C$9/4*Законод!$J$16,IF(B1145="Лікар-терапевт",S1156*Законод!$C$9/4*Законод!$J$16,0)))</f>
        <v>0</v>
      </c>
      <c r="AP1156" s="216">
        <f ca="1">IF(B1145="Лікар загальної практики - сімейний лікар",S1156*Законод!$C$9/4*Законод!$J$16,IF(B1145="Лікар-педіатр",S1156*Законод!$C$9/4*Законод!$J$16,IF(B1145="Лікар-терапевт",S1156*Законод!$C$9/4*Законод!$J$16,0)))</f>
        <v>0</v>
      </c>
      <c r="AQ1156" s="216">
        <f ca="1">IF(B1145="Лікар загальної практики - сімейний лікар",AG1156*Законод!$C$9/4*Законод!$J$16,IF(B1145="Лікар-педіатр",AG1156*Законод!$C$9/4*Законод!$J$16,IF(B1145="Лікар-терапевт",AG1156*Законод!$C$9/4*Законод!$J$16,0)))</f>
        <v>0</v>
      </c>
      <c r="AR1156" s="217">
        <f t="shared" si="115"/>
        <v>0</v>
      </c>
    </row>
    <row r="1157" spans="1:44" s="247" customFormat="1" ht="23.45" hidden="1" customHeight="1" thickBot="1">
      <c r="A1157" s="243"/>
      <c r="B1157" s="244"/>
      <c r="C1157" s="244"/>
      <c r="D1157" s="244"/>
      <c r="E1157" s="244"/>
      <c r="F1157" s="245"/>
      <c r="G1157" s="246"/>
      <c r="H1157" s="246"/>
      <c r="L1157" s="248"/>
      <c r="S1157" s="248"/>
      <c r="Z1157" s="248"/>
      <c r="AG1157" s="248"/>
      <c r="AM1157" s="249"/>
      <c r="AR1157" s="250"/>
    </row>
    <row r="1158" spans="1:44" s="191" customFormat="1" ht="24.6" hidden="1" customHeight="1">
      <c r="A1158" s="194">
        <f>A1145+1</f>
        <v>87</v>
      </c>
      <c r="B1158" s="892"/>
      <c r="C1158" s="895"/>
      <c r="D1158" s="911"/>
      <c r="E1158" s="908"/>
      <c r="F1158" s="234" t="s">
        <v>582</v>
      </c>
      <c r="G1158" s="196">
        <f>IF($B$1158="Лікар-педіатр",G1161*L1158,IF($B$1158="Лікар-терапевт","х",IF($B$1158="Лікар загальної практики - сімейний лікар",G1161*L1158,0)))</f>
        <v>0</v>
      </c>
      <c r="H1158" s="196">
        <f>IF($B$1158="Лікар-педіатр",H1161*L1158,IF($B$1158="Лікар-терапевт","х",IF($B$1158="Лікар загальної практики - сімейний лікар",H1161*L1158,0)))</f>
        <v>0</v>
      </c>
      <c r="I1158" s="196">
        <f>IF($B$1158="Лікар-педіатр","x",IF($B$1158="Лікар-терапевт",I1161*L1158,IF($B$1158="Лікар загальної практики - сімейний лікар",I1161*L1158,0)))</f>
        <v>0</v>
      </c>
      <c r="J1158" s="196">
        <f>IF($B$1158="Лікар-педіатр","x",IF($B$1158="Лікар-терапевт",J1161*L1158,IF($B$1158="Лікар загальної практики - сімейний лікар",J1161*L1158,0)))</f>
        <v>0</v>
      </c>
      <c r="K1158" s="196">
        <f>IF($B$1158="Лікар-педіатр","x",IF($B$1158="Лікар-терапевт",K1161*L1158,IF($B$1158="Лікар загальної практики - сімейний лікар",K1161*L1158,0)))</f>
        <v>0</v>
      </c>
      <c r="L1158" s="558"/>
      <c r="M1158" s="929"/>
      <c r="N1158" s="196">
        <f>IF($B$1158="Лікар-педіатр",N1161*S1158,IF($B$1158="Лікар-терапевт","х",IF($B$1158="Лікар загальної практики - сімейний лікар",N1161*S1158,0)))</f>
        <v>0</v>
      </c>
      <c r="O1158" s="196">
        <f>IF($B$1158="Лікар-педіатр",O1161*S1158,IF($B$1158="Лікар-терапевт","х",IF($B$1158="Лікар загальної практики - сімейний лікар",O1161*S1158,0)))</f>
        <v>0</v>
      </c>
      <c r="P1158" s="196">
        <f>IF($B$1158="Лікар-педіатр","x",IF($B$1158="Лікар-терапевт",P1161*S1158,IF($B$1158="Лікар загальної практики - сімейний лікар",P1161*S1158,0)))</f>
        <v>0</v>
      </c>
      <c r="Q1158" s="196">
        <f>IF($B$1158="Лікар-педіатр","x",IF($B$1158="Лікар-терапевт",Q1161*S1158,IF($B$1158="Лікар загальної практики - сімейний лікар",Q1161*S1158,0)))</f>
        <v>0</v>
      </c>
      <c r="R1158" s="196">
        <f>IF($B$1158="Лікар-педіатр","x",IF($B$1158="Лікар-терапевт",R1161*S1158,IF($B$1158="Лікар загальної практики - сімейний лікар",R1161*S1158,0)))</f>
        <v>0</v>
      </c>
      <c r="S1158" s="558"/>
      <c r="T1158" s="929"/>
      <c r="U1158" s="196">
        <f>IF($B$1158="Лікар-педіатр",U1161*Z1158,IF($B$1158="Лікар-терапевт","х",IF($B$1158="Лікар загальної практики - сімейний лікар",U1161*Z1158,0)))</f>
        <v>0</v>
      </c>
      <c r="V1158" s="196">
        <f>IF($B$1158="Лікар-педіатр",V1161*Z1158,IF($B$1158="Лікар-терапевт","х",IF($B$1158="Лікар загальної практики - сімейний лікар",V1161*Z1158,0)))</f>
        <v>0</v>
      </c>
      <c r="W1158" s="196">
        <f>IF($B$1158="Лікар-педіатр","x",IF($B$1158="Лікар-терапевт",W1161*Z1158,IF($B$1158="Лікар загальної практики - сімейний лікар",W1161*Z1158,0)))</f>
        <v>0</v>
      </c>
      <c r="X1158" s="196">
        <f>IF($B$1158="Лікар-педіатр","x",IF($B$1158="Лікар-терапевт",X1161*Z1158,IF($B$1158="Лікар загальної практики - сімейний лікар",X1161*Z1158,0)))</f>
        <v>0</v>
      </c>
      <c r="Y1158" s="196">
        <f>IF($B$1158="Лікар-педіатр","x",IF($B$1158="Лікар-терапевт",Y1161*Z1158,IF($B$1158="Лікар загальної практики - сімейний лікар",Y1161*Z1158,0)))</f>
        <v>0</v>
      </c>
      <c r="Z1158" s="558"/>
      <c r="AA1158" s="929"/>
      <c r="AB1158" s="196">
        <f>IF($B$1158="Лікар-педіатр",AB1161*AG1158,IF($B$1158="Лікар-терапевт","х",IF($B$1158="Лікар загальної практики - сімейний лікар",AB1161*AG1158,0)))</f>
        <v>0</v>
      </c>
      <c r="AC1158" s="196">
        <f>IF($B$1158="Лікар-педіатр",AC1161*AG1158,IF($B$1158="Лікар-терапевт","х",IF($B$1158="Лікар загальної практики - сімейний лікар",AC1161*AG1158,0)))</f>
        <v>0</v>
      </c>
      <c r="AD1158" s="196">
        <f>IF($B$1158="Лікар-педіатр","x",IF($B$1158="Лікар-терапевт",AD1161*AG1158,IF($B$1158="Лікар загальної практики - сімейний лікар",AD1161*AG1158,0)))</f>
        <v>0</v>
      </c>
      <c r="AE1158" s="196">
        <f>IF($B$1158="Лікар-педіатр","x",IF($B$1158="Лікар-терапевт",AE1161*AG1158,IF($B$1158="Лікар загальної практики - сімейний лікар",AE1161*AG1158,0)))</f>
        <v>0</v>
      </c>
      <c r="AF1158" s="196">
        <f>IF($B$1158="Лікар-педіатр","x",IF($B$1158="Лікар-терапевт",AF1161*AG1158,IF($B$1158="Лікар загальної практики - сімейний лікар",AF1161*AG1158,0)))</f>
        <v>0</v>
      </c>
      <c r="AG1158" s="558"/>
      <c r="AH1158" s="929"/>
      <c r="AI1158" s="541">
        <f>A1158</f>
        <v>87</v>
      </c>
      <c r="AJ1158" s="932">
        <f>B1158</f>
        <v>0</v>
      </c>
      <c r="AK1158" s="926">
        <f>C1158</f>
        <v>0</v>
      </c>
      <c r="AL1158" s="926">
        <f>D1158</f>
        <v>0</v>
      </c>
      <c r="AM1158" s="901" t="s">
        <v>785</v>
      </c>
      <c r="AN1158" s="923">
        <f>SUM(AN1163:AN1169)</f>
        <v>0</v>
      </c>
      <c r="AO1158" s="923">
        <f>SUM(AO1163:AO1169)</f>
        <v>0</v>
      </c>
      <c r="AP1158" s="923">
        <f>SUM(AP1163:AP1169)</f>
        <v>0</v>
      </c>
      <c r="AQ1158" s="923">
        <f>SUM(AQ1163:AQ1169)</f>
        <v>0</v>
      </c>
      <c r="AR1158" s="914">
        <f>SUM(AN1158:AQ1162)</f>
        <v>0</v>
      </c>
    </row>
    <row r="1159" spans="1:44" s="50" customFormat="1" ht="28.15" hidden="1" customHeight="1">
      <c r="A1159" s="197"/>
      <c r="B1159" s="893"/>
      <c r="C1159" s="896"/>
      <c r="D1159" s="912"/>
      <c r="E1159" s="909"/>
      <c r="F1159" s="234" t="s">
        <v>583</v>
      </c>
      <c r="G1159" s="196">
        <f>IF($B$1158="Лікар-педіатр",G1161*L1159,IF($B$1158="Лікар-терапевт","х",IF($B$1158="Лікар загальної практики - сімейний лікар",G1161*L1159,0)))</f>
        <v>0</v>
      </c>
      <c r="H1159" s="196">
        <f>IF($B$1158="Лікар-педіатр",H1161*L1159,IF($B$1158="Лікар-терапевт","х",IF($B$1158="Лікар загальної практики - сімейний лікар",H1161*L1159,0)))</f>
        <v>0</v>
      </c>
      <c r="I1159" s="196">
        <f>IF($B$1158="Лікар-педіатр","x",IF($B$1158="Лікар-терапевт",I1161*L1159,IF($B$1158="Лікар загальної практики - сімейний лікар",I1161*L1159,0)))</f>
        <v>0</v>
      </c>
      <c r="J1159" s="196">
        <f>IF($B$1158="Лікар-педіатр","x",IF($B$1158="Лікар-терапевт",J1161*L1159,IF($B$1158="Лікар загальної практики - сімейний лікар",J1161*L1159,0)))</f>
        <v>0</v>
      </c>
      <c r="K1159" s="196">
        <f>IF($B$1158="Лікар-педіатр","x",IF($B$1158="Лікар-терапевт",K1161*L1159,IF($B$1158="Лікар загальної практики - сімейний лікар",K1161*L1159,0)))</f>
        <v>0</v>
      </c>
      <c r="L1159" s="558"/>
      <c r="M1159" s="930"/>
      <c r="N1159" s="196">
        <f>IF($B$1158="Лікар-педіатр",N1161*S1159,IF($B$1158="Лікар-терапевт","х",IF($B$1158="Лікар загальної практики - сімейний лікар",N1161*S1159,0)))</f>
        <v>0</v>
      </c>
      <c r="O1159" s="196">
        <f>IF($B$1158="Лікар-педіатр",O1161*S1159,IF($B$1158="Лікар-терапевт","х",IF($B$1158="Лікар загальної практики - сімейний лікар",O1161*S1159,0)))</f>
        <v>0</v>
      </c>
      <c r="P1159" s="196">
        <f>IF($B$1158="Лікар-педіатр","x",IF($B$1158="Лікар-терапевт",P1161*S1159,IF($B$1158="Лікар загальної практики - сімейний лікар",P1161*S1159,0)))</f>
        <v>0</v>
      </c>
      <c r="Q1159" s="196">
        <f>IF($B$1158="Лікар-педіатр","x",IF($B$1158="Лікар-терапевт",Q1161*S1159,IF($B$1158="Лікар загальної практики - сімейний лікар",Q1161*S1159,0)))</f>
        <v>0</v>
      </c>
      <c r="R1159" s="196">
        <f>IF($B$1158="Лікар-педіатр","x",IF($B$1158="Лікар-терапевт",R1161*S1159,IF($B$1158="Лікар загальної практики - сімейний лікар",R1161*S1159,0)))</f>
        <v>0</v>
      </c>
      <c r="S1159" s="558"/>
      <c r="T1159" s="930"/>
      <c r="U1159" s="196">
        <f>IF($B$1158="Лікар-педіатр",U1161*Z1159,IF($B$1158="Лікар-терапевт","х",IF($B$1158="Лікар загальної практики - сімейний лікар",U1161*Z1159,0)))</f>
        <v>0</v>
      </c>
      <c r="V1159" s="196">
        <f>IF($B$1158="Лікар-педіатр",V1161*Z1159,IF($B$1158="Лікар-терапевт","х",IF($B$1158="Лікар загальної практики - сімейний лікар",V1161*Z1159,0)))</f>
        <v>0</v>
      </c>
      <c r="W1159" s="196">
        <f>IF($B$1158="Лікар-педіатр","x",IF($B$1158="Лікар-терапевт",W1161*Z1159,IF($B$1158="Лікар загальної практики - сімейний лікар",W1161*Z1159,0)))</f>
        <v>0</v>
      </c>
      <c r="X1159" s="196">
        <f>IF($B$1158="Лікар-педіатр","x",IF($B$1158="Лікар-терапевт",X1161*Z1159,IF($B$1158="Лікар загальної практики - сімейний лікар",X1161*Z1159,0)))</f>
        <v>0</v>
      </c>
      <c r="Y1159" s="196">
        <f>IF($B$1158="Лікар-педіатр","x",IF($B$1158="Лікар-терапевт",Y1161*Z1159,IF($B$1158="Лікар загальної практики - сімейний лікар",Y1161*Z1159,0)))</f>
        <v>0</v>
      </c>
      <c r="Z1159" s="558"/>
      <c r="AA1159" s="930"/>
      <c r="AB1159" s="196">
        <f>IF($B$1158="Лікар-педіатр",AB1161*AG1159,IF($B$1158="Лікар-терапевт","х",IF($B$1158="Лікар загальної практики - сімейний лікар",AB1161*AG1159,0)))</f>
        <v>0</v>
      </c>
      <c r="AC1159" s="196">
        <f>IF($B$1158="Лікар-педіатр",AC1161*AG1159,IF($B$1158="Лікар-терапевт","х",IF($B$1158="Лікар загальної практики - сімейний лікар",AC1161*AG1159,0)))</f>
        <v>0</v>
      </c>
      <c r="AD1159" s="196">
        <f>IF($B$1158="Лікар-педіатр","x",IF($B$1158="Лікар-терапевт",AD1161*AG1159,IF($B$1158="Лікар загальної практики - сімейний лікар",AD1161*AG1159,0)))</f>
        <v>0</v>
      </c>
      <c r="AE1159" s="196">
        <f>IF($B$1158="Лікар-педіатр","x",IF($B$1158="Лікар-терапевт",AE1161*AG1159,IF($B$1158="Лікар загальної практики - сімейний лікар",AE1161*AG1159,0)))</f>
        <v>0</v>
      </c>
      <c r="AF1159" s="196">
        <f>IF($B$1158="Лікар-педіатр","x",IF($B$1158="Лікар-терапевт",AF1161*AG1159,IF($B$1158="Лікар загальної практики - сімейний лікар",AF1161*AG1159,0)))</f>
        <v>0</v>
      </c>
      <c r="AG1159" s="558"/>
      <c r="AH1159" s="930"/>
      <c r="AI1159" s="198"/>
      <c r="AJ1159" s="933"/>
      <c r="AK1159" s="927"/>
      <c r="AL1159" s="927"/>
      <c r="AM1159" s="902"/>
      <c r="AN1159" s="924"/>
      <c r="AO1159" s="924"/>
      <c r="AP1159" s="924"/>
      <c r="AQ1159" s="924"/>
      <c r="AR1159" s="915"/>
    </row>
    <row r="1160" spans="1:44" s="90" customFormat="1" ht="31.15" hidden="1" customHeight="1">
      <c r="A1160" s="240"/>
      <c r="B1160" s="893"/>
      <c r="C1160" s="896"/>
      <c r="D1160" s="912"/>
      <c r="E1160" s="909"/>
      <c r="F1160" s="241" t="s">
        <v>584</v>
      </c>
      <c r="G1160" s="199">
        <f>IF(B1158="Лікар загальної практики - сімейний лікар"," ",IF(B1158="Лікар-педіатр"," ",IF(B1158="Лікар-терапевт","х",0)))</f>
        <v>0</v>
      </c>
      <c r="H1160" s="199">
        <f>IF(B1158="Лікар загальної практики - сімейний лікар"," ",IF(B1158="Лікар-педіатр"," ",IF(B1158="Лікар-терапевт","х",0)))</f>
        <v>0</v>
      </c>
      <c r="I1160" s="199">
        <f>IF(B1158="Лікар загальної практики - сімейний лікар"," ",IF(B1158="Лікар-педіатр","х",IF(B1158="Лікар-терапевт"," ",0)))</f>
        <v>0</v>
      </c>
      <c r="J1160" s="199">
        <f>IF(B1158="Лікар загальної практики - сімейний лікар"," ",IF(B1158="Лікар-педіатр","х",IF(B1158="Лікар-терапевт"," ",0)))</f>
        <v>0</v>
      </c>
      <c r="K1160" s="199">
        <f>IF(B1158="Лікар загальної практики - сімейний лікар"," ",IF(B1158="Лікар-педіатр","х",IF(B1158="Лікар-терапевт"," ",0)))</f>
        <v>0</v>
      </c>
      <c r="L1160" s="200">
        <f>SUM(G1160:K1160)</f>
        <v>0</v>
      </c>
      <c r="M1160" s="930"/>
      <c r="N1160" s="199">
        <f>IF(B1158="Лікар загальної практики - сімейний лікар"," ",IF(B1158="Лікар-педіатр"," ",IF(B1158="Лікар-терапевт","х",0)))</f>
        <v>0</v>
      </c>
      <c r="O1160" s="199">
        <f>IF(B1158="Лікар загальної практики - сімейний лікар"," ",IF(B1158="Лікар-педіатр"," ",IF(B1158="Лікар-терапевт","х",0)))</f>
        <v>0</v>
      </c>
      <c r="P1160" s="199">
        <f>IF(B1158="Лікар загальної практики - сімейний лікар"," ",IF(B1158="Лікар-педіатр","х",IF(B1158="Лікар-терапевт"," ",0)))</f>
        <v>0</v>
      </c>
      <c r="Q1160" s="199">
        <f>IF(B1158="Лікар загальної практики - сімейний лікар"," ",IF(B1158="Лікар-педіатр","х",IF(B1158="Лікар-терапевт"," ",0)))</f>
        <v>0</v>
      </c>
      <c r="R1160" s="199">
        <f>IF(B1158="Лікар загальної практики - сімейний лікар"," ",IF(B1158="Лікар-педіатр","х",IF(B1158="Лікар-терапевт"," ",0)))</f>
        <v>0</v>
      </c>
      <c r="S1160" s="200">
        <f>SUM(N1160:R1160)</f>
        <v>0</v>
      </c>
      <c r="T1160" s="930"/>
      <c r="U1160" s="199">
        <f>IF(B1158="Лікар загальної практики - сімейний лікар"," ",IF(B1158="Лікар-педіатр"," ",IF(B1158="Лікар-терапевт","х",0)))</f>
        <v>0</v>
      </c>
      <c r="V1160" s="199">
        <f>IF(B1158="Лікар загальної практики - сімейний лікар"," ",IF(B1158="Лікар-педіатр"," ",IF(B1158="Лікар-терапевт","х",0)))</f>
        <v>0</v>
      </c>
      <c r="W1160" s="199">
        <f>IF(B1158="Лікар загальної практики - сімейний лікар"," ",IF(B1158="Лікар-педіатр","х",IF(B1158="Лікар-терапевт"," ",0)))</f>
        <v>0</v>
      </c>
      <c r="X1160" s="199">
        <f>IF(B1158="Лікар загальної практики - сімейний лікар"," ",IF(B1158="Лікар-педіатр","х",IF(B1158="Лікар-терапевт"," ",0)))</f>
        <v>0</v>
      </c>
      <c r="Y1160" s="199">
        <f>IF(B1158="Лікар загальної практики - сімейний лікар"," ",IF(B1158="Лікар-педіатр","х",IF(B1158="Лікар-терапевт"," ",0)))</f>
        <v>0</v>
      </c>
      <c r="Z1160" s="200">
        <f>SUM(U1160:Y1160)</f>
        <v>0</v>
      </c>
      <c r="AA1160" s="930"/>
      <c r="AB1160" s="199">
        <f>IF(B1158="Лікар загальної практики - сімейний лікар"," ",IF(B1158="Лікар-педіатр"," ",IF(B1158="Лікар-терапевт","х",0)))</f>
        <v>0</v>
      </c>
      <c r="AC1160" s="199">
        <f>IF(B1158="Лікар загальної практики - сімейний лікар"," ",IF(B1158="Лікар-педіатр"," ",IF(B1158="Лікар-терапевт","х",0)))</f>
        <v>0</v>
      </c>
      <c r="AD1160" s="199">
        <f>IF(B1158="Лікар загальної практики - сімейний лікар"," ",IF(B1158="Лікар-педіатр","х",IF(B1158="Лікар-терапевт"," ",0)))</f>
        <v>0</v>
      </c>
      <c r="AE1160" s="199">
        <f>IF(B1158="Лікар загальної практики - сімейний лікар"," ",IF(B1158="Лікар-педіатр","х",IF(B1158="Лікар-терапевт"," ",0)))</f>
        <v>0</v>
      </c>
      <c r="AF1160" s="199">
        <f>IF(B1158="Лікар загальної практики - сімейний лікар"," ",IF(B1158="Лікар-педіатр","х",IF(B1158="Лікар-терапевт"," ",0)))</f>
        <v>0</v>
      </c>
      <c r="AG1160" s="200">
        <f>SUM(AB1160:AF1160)</f>
        <v>0</v>
      </c>
      <c r="AH1160" s="930"/>
      <c r="AI1160" s="242"/>
      <c r="AJ1160" s="933"/>
      <c r="AK1160" s="927"/>
      <c r="AL1160" s="927"/>
      <c r="AM1160" s="902"/>
      <c r="AN1160" s="924"/>
      <c r="AO1160" s="924"/>
      <c r="AP1160" s="924"/>
      <c r="AQ1160" s="924"/>
      <c r="AR1160" s="915"/>
    </row>
    <row r="1161" spans="1:44" s="50" customFormat="1" ht="31.9" hidden="1" customHeight="1" thickBot="1">
      <c r="A1161" s="197"/>
      <c r="B1161" s="893"/>
      <c r="C1161" s="896"/>
      <c r="D1161" s="912"/>
      <c r="E1161" s="909"/>
      <c r="F1161" s="236" t="s">
        <v>349</v>
      </c>
      <c r="G1161" s="203">
        <f>IF($B$1158="Лікар-педіатр",G1160/L1160,IF($B$1158="Лікар-терапевт","х",IF($B$1158="Лікар загальної практики - сімейний лікар",G1160/L1160,0)))</f>
        <v>0</v>
      </c>
      <c r="H1161" s="203">
        <f>IF($B$1158="Лікар-педіатр",H1160/L1160,IF($B$1158="Лікар-терапевт","х",IF($B$1158="Лікар загальної практики - сімейний лікар",H1160/L1160,0)))</f>
        <v>0</v>
      </c>
      <c r="I1161" s="203">
        <f>IF($B$1158="Лікар-педіатр","x",IF($B$1158="Лікар-терапевт",I1160/L1160,IF($B$1158="Лікар загальної практики - сімейний лікар",I1160/L1160,0)))</f>
        <v>0</v>
      </c>
      <c r="J1161" s="203">
        <f>IF($B$1158="Лікар-педіатр","x",IF($B$1158="Лікар-терапевт",J1160/L1160,IF($B$1158="Лікар загальної практики - сімейний лікар",J1160/L1160,0)))</f>
        <v>0</v>
      </c>
      <c r="K1161" s="203">
        <f>IF($B$1158="Лікар-педіатр","x",IF($B$1158="Лікар-терапевт",K1160/L1160,IF($B$1158="Лікар загальної практики - сімейний лікар",K1160/L1160,0)))</f>
        <v>0</v>
      </c>
      <c r="L1161" s="203">
        <f>SUM(G1161:K1161)</f>
        <v>0</v>
      </c>
      <c r="M1161" s="930"/>
      <c r="N1161" s="203">
        <f>IF($B$1158="Лікар-педіатр",N1160/S1160,IF($B$1158="Лікар-терапевт","х",IF($B$1158="Лікар загальної практики - сімейний лікар",N1160/S1160,0)))</f>
        <v>0</v>
      </c>
      <c r="O1161" s="203">
        <f>IF($B$1158="Лікар-педіатр",O1160/S1160,IF($B$1158="Лікар-терапевт","х",IF($B$1158="Лікар загальної практики - сімейний лікар",O1160/S1160,0)))</f>
        <v>0</v>
      </c>
      <c r="P1161" s="203">
        <f>IF($B$1158="Лікар-педіатр","x",IF($B$1158="Лікар-терапевт",P1160/S1160,IF($B$1158="Лікар загальної практики - сімейний лікар",P1160/S1160,0)))</f>
        <v>0</v>
      </c>
      <c r="Q1161" s="203">
        <f>IF($B$1158="Лікар-педіатр","x",IF($B$1158="Лікар-терапевт",Q1160/S1160,IF($B$1158="Лікар загальної практики - сімейний лікар",Q1160/S1160,0)))</f>
        <v>0</v>
      </c>
      <c r="R1161" s="203">
        <f>IF($B$1158="Лікар-педіатр","x",IF($B$1158="Лікар-терапевт",R1160/S1160,IF($B$1158="Лікар загальної практики - сімейний лікар",R1160/S1160,0)))</f>
        <v>0</v>
      </c>
      <c r="S1161" s="203">
        <f>SUM(N1161:R1161)</f>
        <v>0</v>
      </c>
      <c r="T1161" s="930"/>
      <c r="U1161" s="203">
        <f>IF($B$1158="Лікар-педіатр",U1160/Z1160,IF($B$1158="Лікар-терапевт","х",IF($B$1158="Лікар загальної практики - сімейний лікар",U1160/Z1160,0)))</f>
        <v>0</v>
      </c>
      <c r="V1161" s="203">
        <f>IF($B$1158="Лікар-педіатр",V1160/Z1160,IF($B$1158="Лікар-терапевт","х",IF($B$1158="Лікар загальної практики - сімейний лікар",V1160/Z1160,0)))</f>
        <v>0</v>
      </c>
      <c r="W1161" s="203">
        <f>IF($B$1158="Лікар-педіатр","x",IF($B$1158="Лікар-терапевт",W1160/Z1160,IF($B$1158="Лікар загальної практики - сімейний лікар",W1160/Z1160,0)))</f>
        <v>0</v>
      </c>
      <c r="X1161" s="203">
        <f>IF($B$1158="Лікар-педіатр","x",IF($B$1158="Лікар-терапевт",X1160/Z1160,IF($B$1158="Лікар загальної практики - сімейний лікар",X1160/Z1160,0)))</f>
        <v>0</v>
      </c>
      <c r="Y1161" s="203">
        <f>IF($B$1158="Лікар-педіатр","x",IF($B$1158="Лікар-терапевт",Y1160/Z1160,IF($B$1158="Лікар загальної практики - сімейний лікар",Y1160/Z1160,0)))</f>
        <v>0</v>
      </c>
      <c r="Z1161" s="203">
        <f>SUM(U1161:Y1161)</f>
        <v>0</v>
      </c>
      <c r="AA1161" s="930"/>
      <c r="AB1161" s="203">
        <f>IF($B$1158="Лікар-педіатр",AB1160/AG1160,IF($B$1158="Лікар-терапевт","х",IF($B$1158="Лікар загальної практики - сімейний лікар",AB1160/AG1160,0)))</f>
        <v>0</v>
      </c>
      <c r="AC1161" s="203">
        <f>IF($B$1158="Лікар-педіатр",AC1160/AG1160,IF($B$1158="Лікар-терапевт","х",IF($B$1158="Лікар загальної практики - сімейний лікар",AC1160/AG1160,0)))</f>
        <v>0</v>
      </c>
      <c r="AD1161" s="203">
        <f>IF($B$1158="Лікар-педіатр","x",IF($B$1158="Лікар-терапевт",AD1160/AG1160,IF($B$1158="Лікар загальної практики - сімейний лікар",AD1160/AG1160,0)))</f>
        <v>0</v>
      </c>
      <c r="AE1161" s="203">
        <f>IF($B$1158="Лікар-педіатр","x",IF($B$1158="Лікар-терапевт",AE1160/AG1160,IF($B$1158="Лікар загальної практики - сімейний лікар",AE1160/AG1160,0)))</f>
        <v>0</v>
      </c>
      <c r="AF1161" s="203">
        <f>IF($B$1158="Лікар-педіатр","x",IF($B$1158="Лікар-терапевт",AF1160/AG1160,IF($B$1158="Лікар загальної практики - сімейний лікар",AF1160/AG1160,0)))</f>
        <v>0</v>
      </c>
      <c r="AG1161" s="203">
        <f>SUM(AB1161:AF1161)</f>
        <v>0</v>
      </c>
      <c r="AH1161" s="930"/>
      <c r="AI1161" s="201"/>
      <c r="AJ1161" s="933"/>
      <c r="AK1161" s="927"/>
      <c r="AL1161" s="927"/>
      <c r="AM1161" s="902"/>
      <c r="AN1161" s="924"/>
      <c r="AO1161" s="924"/>
      <c r="AP1161" s="924"/>
      <c r="AQ1161" s="924"/>
      <c r="AR1161" s="915"/>
    </row>
    <row r="1162" spans="1:44" s="50" customFormat="1" ht="45" hidden="1" customHeight="1" thickBot="1">
      <c r="A1162" s="197"/>
      <c r="B1162" s="893"/>
      <c r="C1162" s="896"/>
      <c r="D1162" s="912"/>
      <c r="E1162" s="909"/>
      <c r="F1162" s="204" t="s">
        <v>585</v>
      </c>
      <c r="G1162" s="205">
        <f>IF($B$1158="Лікар загальної практики - сімейний лікар",AVERAGE(G1158:G1160),IF($B$1158="Лікар-педіатр",AVERAGE(G1158:G1160),IF($B$1158="Лікар-терапевт","х",0)))</f>
        <v>0</v>
      </c>
      <c r="H1162" s="205">
        <f>IF($B$1158="Лікар загальної практики - сімейний лікар",AVERAGE(H1158:H1160),IF($B$1158="Лікар-педіатр",AVERAGE(H1158:H1160),IF($B$1158="Лікар-терапевт","х",0)))</f>
        <v>0</v>
      </c>
      <c r="I1162" s="205">
        <f>IF($B$1158="Лікар загальної практики - сімейний лікар",AVERAGE(I1158:I1160),IF($B$1158="Лікар-педіатр","x",IF($B$1158="Лікар-терапевт",AVERAGE(I1158:I1160),0)))</f>
        <v>0</v>
      </c>
      <c r="J1162" s="205">
        <f>IF($B$1158="Лікар загальної практики - сімейний лікар",AVERAGE(J1158:J1160),IF($B$1158="Лікар-педіатр","x",IF($B$1158="Лікар-терапевт",AVERAGE(J1158:J1160),0)))</f>
        <v>0</v>
      </c>
      <c r="K1162" s="205">
        <f>IF($B$1158="Лікар загальної практики - сімейний лікар",AVERAGE(K1158:K1160),IF($B$1158="Лікар-педіатр","x",IF($B$1158="Лікар-терапевт",AVERAGE(K1158:K1160),0)))</f>
        <v>0</v>
      </c>
      <c r="L1162" s="206">
        <f>SUM(G1162:K1162)</f>
        <v>0</v>
      </c>
      <c r="M1162" s="930"/>
      <c r="N1162" s="205">
        <f>IF($B$1158="Лікар загальної практики - сімейний лікар",AVERAGE(N1158:N1160),IF($B$1158="Лікар-педіатр",AVERAGE(N1158:N1160),IF($B$1158="Лікар-терапевт","х",0)))</f>
        <v>0</v>
      </c>
      <c r="O1162" s="205">
        <f>IF($B$1158="Лікар загальної практики - сімейний лікар",AVERAGE(O1158:O1160),IF($B$1158="Лікар-педіатр",AVERAGE(O1158:O1160),IF($B$1158="Лікар-терапевт","х",0)))</f>
        <v>0</v>
      </c>
      <c r="P1162" s="205">
        <f>IF($B$1158="Лікар загальної практики - сімейний лікар",AVERAGE(P1158:P1160),IF($B$1158="Лікар-педіатр","x",IF($B$1158="Лікар-терапевт",AVERAGE(P1158:P1160),0)))</f>
        <v>0</v>
      </c>
      <c r="Q1162" s="205">
        <f>IF($B$1158="Лікар загальної практики - сімейний лікар",AVERAGE(Q1158:Q1160),IF($B$1158="Лікар-педіатр","x",IF($B$1158="Лікар-терапевт",AVERAGE(Q1158:Q1160),0)))</f>
        <v>0</v>
      </c>
      <c r="R1162" s="205">
        <f>IF($B$1158="Лікар загальної практики - сімейний лікар",AVERAGE(R1158:R1160),IF($B$1158="Лікар-педіатр","x",IF($B$1158="Лікар-терапевт",AVERAGE(R1158:R1160),0)))</f>
        <v>0</v>
      </c>
      <c r="S1162" s="206">
        <f>SUM(N1162:R1162)</f>
        <v>0</v>
      </c>
      <c r="T1162" s="930"/>
      <c r="U1162" s="205">
        <f>IF($B$1158="Лікар загальної практики - сімейний лікар",AVERAGE(U1158:U1160),IF($B$1158="Лікар-педіатр",AVERAGE(U1158:U1160),IF($B$1158="Лікар-терапевт","х",0)))</f>
        <v>0</v>
      </c>
      <c r="V1162" s="205">
        <f>IF($B$1158="Лікар загальної практики - сімейний лікар",AVERAGE(V1158:V1160),IF($B$1158="Лікар-педіатр",AVERAGE(V1158:V1160),IF($B$1158="Лікар-терапевт","х",0)))</f>
        <v>0</v>
      </c>
      <c r="W1162" s="205">
        <f>IF($B$1158="Лікар загальної практики - сімейний лікар",AVERAGE(W1158:W1160),IF($B$1158="Лікар-педіатр","x",IF($B$1158="Лікар-терапевт",AVERAGE(W1158:W1160),0)))</f>
        <v>0</v>
      </c>
      <c r="X1162" s="205">
        <f>IF($B$1158="Лікар загальної практики - сімейний лікар",AVERAGE(X1158:X1160),IF($B$1158="Лікар-педіатр","x",IF($B$1158="Лікар-терапевт",AVERAGE(X1158:X1160),0)))</f>
        <v>0</v>
      </c>
      <c r="Y1162" s="205">
        <f>IF($B$1158="Лікар загальної практики - сімейний лікар",AVERAGE(Y1158:Y1160),IF($B$1158="Лікар-педіатр","x",IF($B$1158="Лікар-терапевт",AVERAGE(Y1158:Y1160),0)))</f>
        <v>0</v>
      </c>
      <c r="Z1162" s="206">
        <f>SUM(U1162:Y1162)</f>
        <v>0</v>
      </c>
      <c r="AA1162" s="930"/>
      <c r="AB1162" s="205">
        <f>IF($B$1158="Лікар загальної практики - сімейний лікар",AVERAGE(AB1158:AB1160),IF($B$1158="Лікар-педіатр",AVERAGE(AB1158:AB1160),IF($B$1158="Лікар-терапевт","х",0)))</f>
        <v>0</v>
      </c>
      <c r="AC1162" s="205">
        <f>IF($B$1158="Лікар загальної практики - сімейний лікар",AVERAGE(AC1158:AC1160),IF($B$1158="Лікар-педіатр",AVERAGE(AC1158:AC1160),IF($B$1158="Лікар-терапевт","х",0)))</f>
        <v>0</v>
      </c>
      <c r="AD1162" s="205">
        <f>IF($B$1158="Лікар загальної практики - сімейний лікар",AVERAGE(AD1158:AD1160),IF($B$1158="Лікар-педіатр","x",IF($B$1158="Лікар-терапевт",AVERAGE(AD1158:AD1160),0)))</f>
        <v>0</v>
      </c>
      <c r="AE1162" s="205">
        <f>IF($B$1158="Лікар загальної практики - сімейний лікар",AVERAGE(AE1158:AE1160),IF($B$1158="Лікар-педіатр","x",IF($B$1158="Лікар-терапевт",AVERAGE(AE1158:AE1160),0)))</f>
        <v>0</v>
      </c>
      <c r="AF1162" s="205">
        <f>IF($B$1158="Лікар загальної практики - сімейний лікар",AVERAGE(AF1158:AF1160),IF($B$1158="Лікар-педіатр","x",IF($B$1158="Лікар-терапевт",AVERAGE(AF1158:AF1160),0)))</f>
        <v>0</v>
      </c>
      <c r="AG1162" s="206">
        <f>SUM(AB1162:AF1162)</f>
        <v>0</v>
      </c>
      <c r="AH1162" s="930"/>
      <c r="AI1162" s="201"/>
      <c r="AJ1162" s="933"/>
      <c r="AK1162" s="927"/>
      <c r="AL1162" s="927"/>
      <c r="AM1162" s="903"/>
      <c r="AN1162" s="925"/>
      <c r="AO1162" s="925"/>
      <c r="AP1162" s="925"/>
      <c r="AQ1162" s="925"/>
      <c r="AR1162" s="916"/>
    </row>
    <row r="1163" spans="1:44" s="50" customFormat="1" ht="40.5" hidden="1">
      <c r="A1163" s="197"/>
      <c r="B1163" s="893"/>
      <c r="C1163" s="896"/>
      <c r="D1163" s="912"/>
      <c r="E1163" s="909"/>
      <c r="F1163" s="237" t="str">
        <f ca="1">IF(B1158="Лікар-педіатр",Законод!$C$17,IF(B1158="Лікар загальної практики - сімейний лікар",Законод!$C$21,IF(B1158="Лікар-терапевт",Законод!$C$25,"х")))</f>
        <v>х</v>
      </c>
      <c r="G1163" s="208">
        <f ca="1">IF($B$1158="Лікар загальної практики - сімейний лікар",IF(L1162&lt;=Законод!$C$22,G1162,Законод!$C$22*'01_Доходи'!G1161),IF($B$1158="Лікар-педіатр",IF(L1162&lt;=Законод!$C$18,G1162,Законод!$C$18*'01_Доходи'!G1161),IF($B$1158="Лікар-терапевт","x",0)))</f>
        <v>0</v>
      </c>
      <c r="H1163" s="208">
        <f ca="1">IF($B$1158="Лікар загальної практики - сімейний лікар",IF(L1162&lt;=Законод!$C$22,H1162,Законод!$C$22*'01_Доходи'!H1161),IF($B$1158="Лікар-педіатр",IF(L1162&lt;=Законод!$C$18,H1162,Законод!$C$18*'01_Доходи'!H1161),IF($B$1158="Лікар-терапевт","x",0)))</f>
        <v>0</v>
      </c>
      <c r="I1163" s="208">
        <f ca="1">IF($B$1158="Лікар загальної практики - сімейний лікар",IF(L1162&lt;=Законод!$C$22,I1162,Законод!$C$22*'01_Доходи'!I1161),IF($B$1158="Лікар-педіатр","x",IF($B$1158="Лікар-терапевт",IF(L1162&lt;=Законод!$C$26,I1162,Законод!$C$26*'01_Доходи'!I1161),0)))</f>
        <v>0</v>
      </c>
      <c r="J1163" s="208">
        <f ca="1">IF($B$1158="Лікар загальної практики - сімейний лікар",IF(L1162&lt;=Законод!$C$22,J1162,Законод!$C$22*'01_Доходи'!J1161),IF($B$1158="Лікар-педіатр","x",IF($B$1158="Лікар-терапевт",IF(L1162&lt;=Законод!$C$26,J1162,Законод!$C$26*'01_Доходи'!J1161),0)))</f>
        <v>0</v>
      </c>
      <c r="K1163" s="208">
        <f ca="1">IF($B$1158="Лікар загальної практики - сімейний лікар",IF(L1162&lt;=Законод!$C$22,K1162,Законод!$C$22*'01_Доходи'!K1161),IF($B$1158="Лікар-педіатр","x",IF($B$1158="Лікар-терапевт",IF(L1162&lt;=Законод!$C$26,K1162,Законод!$C$26*'01_Доходи'!K1161),0)))</f>
        <v>0</v>
      </c>
      <c r="L1163" s="209">
        <f ca="1">SUM(G1163:K1163)</f>
        <v>0</v>
      </c>
      <c r="M1163" s="930"/>
      <c r="N1163" s="208">
        <f ca="1">IF($B$1158="Лікар загальної практики - сімейний лікар",IF(S1162&lt;=Законод!$C$22,N1162,Законод!$C$22*'01_Доходи'!N1161),IF($B$1158="Лікар-педіатр",IF(S1162&lt;=Законод!$C$18,N1162,Законод!$C$18*'01_Доходи'!N1161),IF($B$1158="Лікар-терапевт","x",0)))</f>
        <v>0</v>
      </c>
      <c r="O1163" s="208">
        <f ca="1">IF($B$1158="Лікар загальної практики - сімейний лікар",IF(S1162&lt;=Законод!$C$22,O1162,Законод!$C$22*'01_Доходи'!O1161),IF($B$1158="Лікар-педіатр",IF(S1162&lt;=Законод!$C$18,O1162,Законод!$C$18*'01_Доходи'!O1161),IF($B$1158="Лікар-терапевт","x",0)))</f>
        <v>0</v>
      </c>
      <c r="P1163" s="208">
        <f ca="1">IF($B$1158="Лікар загальної практики - сімейний лікар",IF(S1162&lt;=Законод!$C$22,P1162,Законод!$C$22*'01_Доходи'!P1161),IF($B$1158="Лікар-педіатр","x",IF($B$1158="Лікар-терапевт",IF(S1162&lt;=Законод!$C$26,P1162,Законод!$C$26*'01_Доходи'!P1161),0)))</f>
        <v>0</v>
      </c>
      <c r="Q1163" s="208">
        <f ca="1">IF($B$1158="Лікар загальної практики - сімейний лікар",IF(S1162&lt;=Законод!$C$22,Q1162,Законод!$C$22*'01_Доходи'!Q1161),IF($B$1158="Лікар-педіатр","x",IF($B$1158="Лікар-терапевт",IF(S1162&lt;=Законод!$C$26,Q1162,Законод!$C$26*'01_Доходи'!Q1161),0)))</f>
        <v>0</v>
      </c>
      <c r="R1163" s="208">
        <f ca="1">IF($B$1158="Лікар загальної практики - сімейний лікар",IF(S1162&lt;=Законод!$C$22,R1162,Законод!$C$22*'01_Доходи'!R1161),IF($B$1158="Лікар-педіатр","x",IF($B$1158="Лікар-терапевт",IF(S1162&lt;=Законод!$C$26,R1162,Законод!$C$26*'01_Доходи'!R1161),0)))</f>
        <v>0</v>
      </c>
      <c r="S1163" s="209">
        <f ca="1">SUM(N1163:R1163)</f>
        <v>0</v>
      </c>
      <c r="T1163" s="930"/>
      <c r="U1163" s="208">
        <f ca="1">IF($B$1158="Лікар загальної практики - сімейний лікар",IF(Z1162&lt;=Законод!$C$22,U1162,Законод!$C$22*'01_Доходи'!U1161),IF($B$1158="Лікар-педіатр",IF(Z1162&lt;=Законод!$C$18,U1162,Законод!$C$18*'01_Доходи'!U1161),IF($B$1158="Лікар-терапевт","x",0)))</f>
        <v>0</v>
      </c>
      <c r="V1163" s="208">
        <f ca="1">IF($B$1158="Лікар загальної практики - сімейний лікар",IF(Z1162&lt;=Законод!$C$22,V1162,Законод!$C$22*'01_Доходи'!V1161),IF($B$1158="Лікар-педіатр",IF(Z1162&lt;=Законод!$C$18,V1162,Законод!$C$18*'01_Доходи'!V1161),IF($B$1158="Лікар-терапевт","x",0)))</f>
        <v>0</v>
      </c>
      <c r="W1163" s="208">
        <f ca="1">IF($B$1158="Лікар загальної практики - сімейний лікар",IF(Z1162&lt;=Законод!$C$22,W1162,Законод!$C$22*'01_Доходи'!W1161),IF($B$1158="Лікар-педіатр","x",IF($B$1158="Лікар-терапевт",IF(Z1162&lt;=Законод!$C$26,W1162,Законод!$C$26*'01_Доходи'!W1161),0)))</f>
        <v>0</v>
      </c>
      <c r="X1163" s="208">
        <f ca="1">IF($B$1158="Лікар загальної практики - сімейний лікар",IF(Z1162&lt;=Законод!$C$22,X1162,Законод!$C$22*'01_Доходи'!X1161),IF($B$1158="Лікар-педіатр","x",IF($B$1158="Лікар-терапевт",IF(Z1162&lt;=Законод!$C$26,X1162,Законод!$C$26*'01_Доходи'!X1161),0)))</f>
        <v>0</v>
      </c>
      <c r="Y1163" s="208">
        <f ca="1">IF($B$1158="Лікар загальної практики - сімейний лікар",IF(Z1162&lt;=Законод!$C$22,Y1162,Законод!$C$22*'01_Доходи'!Y1161),IF($B$1158="Лікар-педіатр","x",IF($B$1158="Лікар-терапевт",IF(Z1162&lt;=Законод!$C$26,Y1162,Законод!$C$26*'01_Доходи'!Y1161),0)))</f>
        <v>0</v>
      </c>
      <c r="Z1163" s="209">
        <f ca="1">SUM(U1163:Y1163)</f>
        <v>0</v>
      </c>
      <c r="AA1163" s="930"/>
      <c r="AB1163" s="208">
        <f ca="1">IF($B$1158="Лікар загальної практики - сімейний лікар",IF(AG1162&lt;=Законод!$C$22,AB1162,Законод!$C$22*'01_Доходи'!AB1161),IF($B$1158="Лікар-педіатр",IF(AG1162&lt;=Законод!$C$18,AB1162,Законод!$C$18*'01_Доходи'!AB1161),IF($B$1158="Лікар-терапевт","x",0)))</f>
        <v>0</v>
      </c>
      <c r="AC1163" s="208">
        <f ca="1">IF($B$1158="Лікар загальної практики - сімейний лікар",IF(AG1162&lt;=Законод!$C$22,AC1162,Законод!$C$22*'01_Доходи'!AC1161),IF($B$1158="Лікар-педіатр",IF(AG1162&lt;=Законод!$C$18,AC1162,Законод!$C$18*'01_Доходи'!AC1161),IF($B$1158="Лікар-терапевт","x",0)))</f>
        <v>0</v>
      </c>
      <c r="AD1163" s="208">
        <f ca="1">IF($B$1158="Лікар загальної практики - сімейний лікар",IF(AG1162&lt;=Законод!$C$22,AD1162,Законод!$C$22*'01_Доходи'!AD1161),IF($B$1158="Лікар-педіатр","x",IF($B$1158="Лікар-терапевт",IF(AG1162&lt;=Законод!$C$26,AD1162,Законод!$C$26*'01_Доходи'!AD1161),0)))</f>
        <v>0</v>
      </c>
      <c r="AE1163" s="208">
        <f ca="1">IF($B$1158="Лікар загальної практики - сімейний лікар",IF(AG1162&lt;=Законод!$C$22,AE1162,Законод!$C$22*'01_Доходи'!AE1161),IF($B$1158="Лікар-педіатр","x",IF($B$1158="Лікар-терапевт",IF(AG1162&lt;=Законод!$C$26,AE1162,Законод!$C$26*'01_Доходи'!AE1161),0)))</f>
        <v>0</v>
      </c>
      <c r="AF1163" s="208">
        <f ca="1">IF($B$1158="Лікар загальної практики - сімейний лікар",IF(AG1162&lt;=Законод!$C$22,AF1162,Законод!$C$22*'01_Доходи'!AF1161),IF($B$1158="Лікар-педіатр","x",IF($B$1158="Лікар-терапевт",IF(AG1162&lt;=Законод!$C$26,AF1162,Законод!$C$26*'01_Доходи'!AF1161),0)))</f>
        <v>0</v>
      </c>
      <c r="AG1163" s="209">
        <f ca="1">SUM(AB1163:AF1163)</f>
        <v>0</v>
      </c>
      <c r="AH1163" s="930"/>
      <c r="AI1163" s="201"/>
      <c r="AJ1163" s="933"/>
      <c r="AK1163" s="927"/>
      <c r="AL1163" s="927"/>
      <c r="AM1163" s="348" t="s">
        <v>374</v>
      </c>
      <c r="AN1163" s="210">
        <f ca="1">IF(B1158="Лікар загальної практики - сімейний лікар",G1163*Законод!$C$11+'01_Доходи'!H1163*Законод!$D$11+'01_Доходи'!I1163*Законод!$E$11+'01_Доходи'!J1163*Законод!$F$11+'01_Доходи'!K1163*Законод!$G$11,IF(B1158="Лікар-педіатр",G1163*Законод!$C$11+'01_Доходи'!H1163*Законод!$D$11,IF(B1158="Лікар-терапевт",'01_Доходи'!I1163*Законод!$E$11+'01_Доходи'!J1163*Законод!$F$11+'01_Доходи'!K1163*Законод!$G$11,0)))</f>
        <v>0</v>
      </c>
      <c r="AO1163" s="210">
        <f ca="1">IF(B1158="Лікар загальної практики - сімейний лікар",N1163*Законод!$C$11+'01_Доходи'!O1163*Законод!$D$11+'01_Доходи'!P1163*Законод!$E$11+'01_Доходи'!Q1163*Законод!$F$11+'01_Доходи'!R1163*Законод!$G$11,IF(B1158="Лікар-педіатр",N1163*Законод!$C$11+'01_Доходи'!O1163*Законод!$D$11,IF(B1158="Лікар-терапевт",'01_Доходи'!P1163*Законод!$E$11+'01_Доходи'!Q1163*Законод!$F$11+'01_Доходи'!R1163*Законод!$G$11,0)))</f>
        <v>0</v>
      </c>
      <c r="AP1163" s="210">
        <f ca="1">IF(B1158="Лікар загальної практики - сімейний лікар",U1163*Законод!$C$11+'01_Доходи'!V1163*Законод!$D$11+'01_Доходи'!W1163*Законод!$E$11+'01_Доходи'!X1163*Законод!$F$11+'01_Доходи'!Y1163*Законод!$G$11,IF(B1158="Лікар-педіатр",U1163*Законод!$C$11+'01_Доходи'!V1163*Законод!$D$11,IF(B1158="Лікар-терапевт",'01_Доходи'!W1163*Законод!$E$11+'01_Доходи'!X1163*Законод!$F$11+'01_Доходи'!Y1163*Законод!$G$11,0)))</f>
        <v>0</v>
      </c>
      <c r="AQ1163" s="210">
        <f ca="1">IF(B1158="Лікар загальної практики - сімейний лікар",AB1163*Законод!$C$11+'01_Доходи'!AC1163*Законод!$D$11+'01_Доходи'!AD1163*Законод!$E$11+'01_Доходи'!AE1163*Законод!$F$11+'01_Доходи'!AF1163*Законод!$G$11,IF(B1158="Лікар-педіатр",AB1163*Законод!$C$11+'01_Доходи'!AC1163*Законод!$D$11,IF(B1158="Лікар-терапевт",'01_Доходи'!AD1163*Законод!$E$11+'01_Доходи'!AE1163*Законод!$F$11+'01_Доходи'!AF1163*Законод!$G$11,0)))</f>
        <v>0</v>
      </c>
      <c r="AR1163" s="211">
        <f t="shared" ref="AR1163:AR1169" si="116">SUM(AN1163:AQ1163)</f>
        <v>0</v>
      </c>
    </row>
    <row r="1164" spans="1:44" s="50" customFormat="1" ht="31.9" hidden="1" customHeight="1">
      <c r="A1164" s="197"/>
      <c r="B1164" s="893"/>
      <c r="C1164" s="896"/>
      <c r="D1164" s="912"/>
      <c r="E1164" s="909"/>
      <c r="F1164" s="238" t="str">
        <f ca="1">IF(B1158="Лікар-педіатр",Законод!$E$17,IF(B1158="Лікар загальної практики - сімейний лікар",Законод!$E$21,IF(B1158="Лікар-терапевт",Законод!$E$25,"х")))</f>
        <v>х</v>
      </c>
      <c r="G1164" s="889" t="s">
        <v>346</v>
      </c>
      <c r="H1164" s="890"/>
      <c r="I1164" s="890"/>
      <c r="J1164" s="890"/>
      <c r="K1164" s="891"/>
      <c r="L1164" s="196">
        <f ca="1">IF($B$1158="Лікар загальної практики - сімейний лікар",IF(L1162&lt;Законод!$C$22,0,(IF(AND(L1162&gt;=Законод!$E$22,L1162&lt;=Законод!$E$23),L1162-Законод!$C$22,IF('01_Доходи'!L1162&gt;=Законод!$F$22,Законод!$E$24,0)))),IF($B$1158="Лікар-педіатр",IF(L1162&lt;Законод!$C$18,0,(IF(AND(L1162&gt;=Законод!$E$18,L1162&lt;=Законод!$E$19),L1162-Законод!$C$18,IF('01_Доходи'!L1162&gt;=Законод!$F$18,Законод!$E$20,0)))),IF($B$1158="Лікар-терапевт",IF(L1162&lt;Законод!$C$26,0,(IF(AND(L1162&gt;=Законод!$E$26,L1162&lt;=Законод!$E$27),L1162-Законод!$C$26,IF('01_Доходи'!L1162&gt;=Законод!$F$26,Законод!$E$28,0)))),0)))</f>
        <v>0</v>
      </c>
      <c r="M1164" s="930"/>
      <c r="N1164" s="889" t="s">
        <v>346</v>
      </c>
      <c r="O1164" s="890"/>
      <c r="P1164" s="890"/>
      <c r="Q1164" s="890"/>
      <c r="R1164" s="891"/>
      <c r="S1164" s="196">
        <f ca="1">IF($B$1158="Лікар загальної практики - сімейний лікар",IF(S1162&lt;Законод!$C$22,0,(IF(AND(S1162&gt;=Законод!$E$22,S1162&lt;=Законод!$E$23),S1162-Законод!$C$22,IF('01_Доходи'!S1162&gt;=Законод!$F$22,Законод!$E$24,0)))),IF($B$1158="Лікар-педіатр",IF(S1162&lt;Законод!$C$18,0,(IF(AND(S1162&gt;=Законод!$E$18,S1162&lt;=Законод!$E$19),S1162-Законод!$C$18,IF('01_Доходи'!S1162&gt;=Законод!$F$18,Законод!$E$20,0)))),IF($B$1158="Лікар-терапевт",IF(S1162&lt;Законод!$C$26,0,(IF(AND(S1162&gt;=Законод!$E$26,S1162&lt;=Законод!$E$27),S1162-Законод!$C$26,IF('01_Доходи'!S1162&gt;=Законод!$F$26,Законод!$E$28,0)))),0)))</f>
        <v>0</v>
      </c>
      <c r="T1164" s="930"/>
      <c r="U1164" s="889" t="s">
        <v>346</v>
      </c>
      <c r="V1164" s="890"/>
      <c r="W1164" s="890"/>
      <c r="X1164" s="890"/>
      <c r="Y1164" s="891"/>
      <c r="Z1164" s="196">
        <f ca="1">IF($B$1158="Лікар загальної практики - сімейний лікар",IF(Z1162&lt;Законод!$C$22,0,(IF(AND(Z1162&gt;=Законод!$E$22,Z1162&lt;=Законод!$E$23),Z1162-Законод!$C$22,IF('01_Доходи'!Z1162&gt;=Законод!$F$22,Законод!$E$24,0)))),IF($B$1158="Лікар-педіатр",IF(Z1162&lt;Законод!$C$18,0,(IF(AND(Z1162&gt;=Законод!$E$18,Z1162&lt;=Законод!$E$19),Z1162-Законод!$C$18,IF('01_Доходи'!Z1162&gt;=Законод!$F$18,Законод!$E$20,0)))),IF($B$1158="Лікар-терапевт",IF(Z1162&lt;Законод!$C$26,0,(IF(AND(Z1162&gt;=Законод!$E$26,Z1162&lt;=Законод!$E$27),Z1162-Законод!$C$26,IF('01_Доходи'!Z1162&gt;=Законод!$F$26,Законод!$E$28,0)))),0)))</f>
        <v>0</v>
      </c>
      <c r="AA1164" s="930"/>
      <c r="AB1164" s="889" t="s">
        <v>346</v>
      </c>
      <c r="AC1164" s="890"/>
      <c r="AD1164" s="890"/>
      <c r="AE1164" s="890"/>
      <c r="AF1164" s="891"/>
      <c r="AG1164" s="196">
        <f ca="1">IF($B$1158="Лікар загальної практики - сімейний лікар",IF(AG1162&lt;Законод!$C$22,0,(IF(AND(AG1162&gt;=Законод!$E$22,AG1162&lt;=Законод!$E$23),AG1162-Законод!$C$22,IF('01_Доходи'!AG1162&gt;=Законод!$F$22,Законод!$E$24,0)))),IF($B$1158="Лікар-педіатр",IF(AG1162&lt;Законод!$C$18,0,(IF(AND(AG1162&gt;=Законод!$E$18,AG1162&lt;=Законод!$E$19),AG1162-Законод!$C$18,IF('01_Доходи'!AG1162&gt;=Законод!$F$18,Законод!$E$20,0)))),IF($B$1158="Лікар-терапевт",IF(AG1162&lt;Законод!$C$26,0,(IF(AND(AG1162&gt;=Законод!$E$26,AG1162&lt;=Законод!$E$27),AG1162-Законод!$C$26,IF('01_Доходи'!AG1162&gt;=Законод!$F$26,Законод!$E$28,0)))),0)))</f>
        <v>0</v>
      </c>
      <c r="AH1164" s="930"/>
      <c r="AI1164" s="201"/>
      <c r="AJ1164" s="933"/>
      <c r="AK1164" s="927"/>
      <c r="AL1164" s="927"/>
      <c r="AM1164" s="898" t="s">
        <v>375</v>
      </c>
      <c r="AN1164" s="210">
        <f ca="1">IF(B1158="Лікар загальної практики - сімейний лікар",L1164*Законод!$C$9/4*Законод!$E$16,IF(B1158="Лікар-педіатр",L1164*Законод!$C$9/4*Законод!$E$16,IF(B1158="Лікар-терапевт",L1164*Законод!$C$9/4*Законод!$E$16,0)))</f>
        <v>0</v>
      </c>
      <c r="AO1164" s="210">
        <f ca="1">IF(B1158="Лікар загальної практики - сімейний лікар",S1164*Законод!$C$9/4*Законод!$E$16,IF(B1158="Лікар-педіатр",S1164*Законод!$C$9/4*Законод!$E$16,IF(B1158="Лікар-терапевт",S1164*Законод!$C$9/4*Законод!$E$16,0)))</f>
        <v>0</v>
      </c>
      <c r="AP1164" s="210">
        <f ca="1">IF(B1158="Лікар загальної практики - сімейний лікар",Z1164*Законод!$C$9/4*Законод!$E$16,IF(B1158="Лікар-педіатр",Z1164*Законод!$C$9/4*Законод!$E$16,IF(B1158="Лікар-терапевт",Z1164*Законод!$C$9/4*Законод!$E$16,0)))</f>
        <v>0</v>
      </c>
      <c r="AQ1164" s="210">
        <f ca="1">IF(B1158="Лікар загальної практики - сімейний лікар",AG1164*Законод!$C$9/4*Законод!$E$16,IF(B1158="Лікар-педіатр",AG1164*Законод!$C$9/4*Законод!$E$16,IF(B1158="Лікар-терапевт",AG1164*Законод!$C$9/4*Законод!$E$16,0)))</f>
        <v>0</v>
      </c>
      <c r="AR1164" s="211">
        <f t="shared" si="116"/>
        <v>0</v>
      </c>
    </row>
    <row r="1165" spans="1:44" s="50" customFormat="1" ht="31.9" hidden="1" customHeight="1">
      <c r="A1165" s="197"/>
      <c r="B1165" s="893"/>
      <c r="C1165" s="896"/>
      <c r="D1165" s="912"/>
      <c r="E1165" s="909"/>
      <c r="F1165" s="238" t="str">
        <f ca="1">IF(B1158="Лікар-педіатр",Законод!$F$17,IF(B1158="Лікар загальної практики - сімейний лікар",Законод!$F$21,IF(B1158="Лікар-терапевт",Законод!$F$25,"х")))</f>
        <v>х</v>
      </c>
      <c r="G1165" s="889" t="s">
        <v>346</v>
      </c>
      <c r="H1165" s="890"/>
      <c r="I1165" s="890"/>
      <c r="J1165" s="890"/>
      <c r="K1165" s="891"/>
      <c r="L1165" s="196">
        <f ca="1">IF($B$1158="Лікар загальної практики - сімейний лікар",IF(L1162&lt;Законод!$C$22,0,(IF(AND(L1162&gt;=Законод!$F$22,L1162&lt;=Законод!$F$23),L1162-Законод!$E$23,IF('01_Доходи'!L1162&gt;=Законод!$G$22,Законод!$F$24,0)))),IF($B$1158="Лікар-педіатр",IF(L1162&lt;Законод!$C$18,0,(IF(AND(L1162&gt;=Законод!$F$18,L1162&lt;=Законод!$F$19),L1162-Законод!$E$19,IF('01_Доходи'!L1162&gt;=Законод!$G$18,Законод!$F$20,0)))),IF($B$1158="Лікар-терапевт",IF(L1162&lt;Законод!$C$26,0,(IF(AND(L1162&gt;=Законод!$F$26,L1162&lt;=Законод!$F$27),L1162-Законод!$E$27,IF('01_Доходи'!L1162&gt;=Законод!$G$26,Законод!$F$28,0)))),0)))</f>
        <v>0</v>
      </c>
      <c r="M1165" s="930"/>
      <c r="N1165" s="889" t="s">
        <v>346</v>
      </c>
      <c r="O1165" s="890"/>
      <c r="P1165" s="890"/>
      <c r="Q1165" s="890"/>
      <c r="R1165" s="891"/>
      <c r="S1165" s="196">
        <f ca="1">IF($B$1158="Лікар загальної практики - сімейний лікар",IF(S1162&lt;Законод!$C$22,0,(IF(AND(S1162&gt;=Законод!$F$22,S1162&lt;=Законод!$F$23),S1162-Законод!$E$23,IF('01_Доходи'!S1162&gt;=Законод!$G$22,Законод!$F$24,0)))),IF($B$1158="Лікар-педіатр",IF(S1162&lt;Законод!$C$18,0,(IF(AND(S1162&gt;=Законод!$F$18,S1162&lt;=Законод!$F$19),S1162-Законод!$E$19,IF('01_Доходи'!S1162&gt;=Законод!$G$18,Законод!$F$20,0)))),IF($B$1158="Лікар-терапевт",IF(S1162&lt;Законод!$C$26,0,(IF(AND(S1162&gt;=Законод!$F$26,S1162&lt;=Законод!$F$27),S1162-Законод!$E$27,IF('01_Доходи'!S1162&gt;=Законод!$G$26,Законод!$F$28,0)))),0)))</f>
        <v>0</v>
      </c>
      <c r="T1165" s="930"/>
      <c r="U1165" s="889" t="s">
        <v>346</v>
      </c>
      <c r="V1165" s="890"/>
      <c r="W1165" s="890"/>
      <c r="X1165" s="890"/>
      <c r="Y1165" s="891"/>
      <c r="Z1165" s="196">
        <f ca="1">IF($B$1158="Лікар загальної практики - сімейний лікар",IF(Z1162&lt;Законод!$C$22,0,(IF(AND(Z1162&gt;=Законод!$F$22,Z1162&lt;=Законод!$F$23),Z1162-Законод!$E$23,IF('01_Доходи'!Z1162&gt;=Законод!$G$22,Законод!$F$24,0)))),IF($B$1158="Лікар-педіатр",IF(Z1162&lt;Законод!$C$18,0,(IF(AND(Z1162&gt;=Законод!$F$18,Z1162&lt;=Законод!$F$19),Z1162-Законод!$E$19,IF('01_Доходи'!Z1162&gt;=Законод!$G$18,Законод!$F$20,0)))),IF($B$1158="Лікар-терапевт",IF(Z1162&lt;Законод!$C$26,0,(IF(AND(Z1162&gt;=Законод!$F$26,Z1162&lt;=Законод!$F$27),Z1162-Законод!$E$27,IF('01_Доходи'!Z1162&gt;=Законод!$G$26,Законод!$F$28,0)))),0)))</f>
        <v>0</v>
      </c>
      <c r="AA1165" s="930"/>
      <c r="AB1165" s="889" t="s">
        <v>346</v>
      </c>
      <c r="AC1165" s="890"/>
      <c r="AD1165" s="890"/>
      <c r="AE1165" s="890"/>
      <c r="AF1165" s="891"/>
      <c r="AG1165" s="196">
        <f ca="1">IF($B$1158="Лікар загальної практики - сімейний лікар",IF(AG1162&lt;Законод!$C$22,0,(IF(AND(AG1162&gt;=Законод!$F$22,AG1162&lt;=Законод!$F$23),AG1162-Законод!$E$23,IF('01_Доходи'!AG1162&gt;=Законод!$G$22,Законод!$F$24,0)))),IF($B$1158="Лікар-педіатр",IF(AG1162&lt;Законод!$C$18,0,(IF(AND(AG1162&gt;=Законод!$F$18,AG1162&lt;=Законод!$F$19),AG1162-Законод!$E$19,IF('01_Доходи'!AG1162&gt;=Законод!$G$18,Законод!$F$20,0)))),IF($B$1158="Лікар-терапевт",IF(AG1162&lt;Законод!$C$26,0,(IF(AND(AG1162&gt;=Законод!$F$26,AG1162&lt;=Законод!$F$27),AG1162-Законод!$E$27,IF('01_Доходи'!AG1162&gt;=Законод!$G$26,Законод!$F$28,0)))),0)))</f>
        <v>0</v>
      </c>
      <c r="AH1165" s="930"/>
      <c r="AI1165" s="201"/>
      <c r="AJ1165" s="933"/>
      <c r="AK1165" s="927"/>
      <c r="AL1165" s="927"/>
      <c r="AM1165" s="899"/>
      <c r="AN1165" s="210">
        <f ca="1">IF(B1158="Лікар загальної практики - сімейний лікар",L1165*Законод!$C$9/4*Законод!$F$16,IF(B1158="Лікар-педіатр",L1165*Законод!$C$9/4*Законод!$F$16,IF(B1158="Лікар-терапевт",L1165*Законод!$C$9/4*Законод!$F$16,0)))</f>
        <v>0</v>
      </c>
      <c r="AO1165" s="210">
        <f ca="1">IF(B1158="Лікар загальної практики - сімейний лікар",S1165*Законод!$C$9/4*Законод!$F$16,IF(B1158="Лікар-педіатр",S1165*Законод!$C$9/4*Законод!$F$16,IF(B1158="Лікар-терапевт",S1165*Законод!$C$9/4*Законод!$F$16,0)))</f>
        <v>0</v>
      </c>
      <c r="AP1165" s="210">
        <f ca="1">IF(B1158="Лікар загальної практики - сімейний лікар",Z1165*Законод!$C$9/4*Законод!$F$16,IF(B1158="Лікар-педіатр",Z1165*Законод!$C$9/4*Законод!$F$16,IF(B1158="Лікар-терапевт",Z1165*Законод!$C$9/4*Законод!$F$16,0)))</f>
        <v>0</v>
      </c>
      <c r="AQ1165" s="210">
        <f ca="1">IF(B1158="Лікар загальної практики - сімейний лікар",AG1165*Законод!$C$9/4*Законод!$F$16,IF(B1158="Лікар-педіатр",AG1165*Законод!$C$9/4*Законод!$F$16,IF(B1158="Лікар-терапевт",AG1165*Законод!$C$9/4*Законод!$F$16,0)))</f>
        <v>0</v>
      </c>
      <c r="AR1165" s="211">
        <f t="shared" si="116"/>
        <v>0</v>
      </c>
    </row>
    <row r="1166" spans="1:44" s="50" customFormat="1" ht="31.9" hidden="1" customHeight="1">
      <c r="A1166" s="197"/>
      <c r="B1166" s="893"/>
      <c r="C1166" s="896"/>
      <c r="D1166" s="912"/>
      <c r="E1166" s="909"/>
      <c r="F1166" s="238" t="str">
        <f ca="1">IF(B1158="Лікар-педіатр",Законод!$G$17,IF(B1158="Лікар загальної практики - сімейний лікар",Законод!$G$21,IF(B1158="Лікар-терапевт",Законод!$G$25,"х")))</f>
        <v>х</v>
      </c>
      <c r="G1166" s="889" t="s">
        <v>346</v>
      </c>
      <c r="H1166" s="890"/>
      <c r="I1166" s="890"/>
      <c r="J1166" s="890"/>
      <c r="K1166" s="891"/>
      <c r="L1166" s="196">
        <f ca="1">IF($B$1158="Лікар загальної практики - сімейний лікар",IF(L1162&lt;Законод!$C$22,0,(IF(AND(L1162&gt;=Законод!$G$22,L1162&lt;=Законод!$G$23),L1162-Законод!$F$23,IF('01_Доходи'!L1162&gt;=Законод!$H$22,Законод!$G$24,0)))),IF($B$1158="Лікар-педіатр",IF(L1162&lt;Законод!$C$18,0,(IF(AND(L1162&gt;=Законод!$G$18,L1162&lt;=Законод!$G$19),L1162-Законод!$F$19,IF('01_Доходи'!L1162&gt;=Законод!$H$18,Законод!$G$20,0)))),IF($B$1158="Лікар-терапевт",IF(L1162&lt;Законод!$C$26,0,(IF(AND(L1162&gt;=Законод!$G$26,L1162&lt;=Законод!$G$27),L1162-Законод!$F$27,IF('01_Доходи'!L1162&gt;=Законод!$H$26,Законод!$G$28,0)))),0)))</f>
        <v>0</v>
      </c>
      <c r="M1166" s="930"/>
      <c r="N1166" s="889" t="s">
        <v>346</v>
      </c>
      <c r="O1166" s="890"/>
      <c r="P1166" s="890"/>
      <c r="Q1166" s="890"/>
      <c r="R1166" s="891"/>
      <c r="S1166" s="196">
        <f ca="1">IF($B$1158="Лікар загальної практики - сімейний лікар",IF(S1162&lt;Законод!$C$22,0,(IF(AND(S1162&gt;=Законод!$G$22,S1162&lt;=Законод!$G$23),S1162-Законод!$F$23,IF('01_Доходи'!S1162&gt;=Законод!$H$22,Законод!$G$24,0)))),IF($B$1158="Лікар-педіатр",IF(S1162&lt;Законод!$C$18,0,(IF(AND(S1162&gt;=Законод!$G$18,S1162&lt;=Законод!$G$19),S1162-Законод!$F$19,IF('01_Доходи'!S1162&gt;=Законод!$H$18,Законод!$G$20,0)))),IF($B$1158="Лікар-терапевт",IF(S1162&lt;Законод!$C$26,0,(IF(AND(S1162&gt;=Законод!$G$26,S1162&lt;=Законод!$G$27),S1162-Законод!$F$27,IF('01_Доходи'!S1162&gt;=Законод!$H$26,Законод!$G$28,0)))),0)))</f>
        <v>0</v>
      </c>
      <c r="T1166" s="930"/>
      <c r="U1166" s="889" t="s">
        <v>346</v>
      </c>
      <c r="V1166" s="890"/>
      <c r="W1166" s="890"/>
      <c r="X1166" s="890"/>
      <c r="Y1166" s="891"/>
      <c r="Z1166" s="196">
        <f ca="1">IF($B$1158="Лікар загальної практики - сімейний лікар",IF(Z1162&lt;Законод!$C$22,0,(IF(AND(Z1162&gt;=Законод!$G$22,Z1162&lt;=Законод!$G$23),Z1162-Законод!$F$23,IF('01_Доходи'!Z1162&gt;=Законод!$H$22,Законод!$G$24,0)))),IF($B$1158="Лікар-педіатр",IF(Z1162&lt;Законод!$C$18,0,(IF(AND(Z1162&gt;=Законод!$G$18,Z1162&lt;=Законод!$G$19),Z1162-Законод!$F$19,IF('01_Доходи'!Z1162&gt;=Законод!$H$18,Законод!$G$20,0)))),IF($B$1158="Лікар-терапевт",IF(Z1162&lt;Законод!$C$26,0,(IF(AND(Z1162&gt;=Законод!$G$26,Z1162&lt;=Законод!$G$27),Z1162-Законод!$F$27,IF('01_Доходи'!Z1162&gt;=Законод!$H$26,Законод!$G$28,0)))),0)))</f>
        <v>0</v>
      </c>
      <c r="AA1166" s="930"/>
      <c r="AB1166" s="889" t="s">
        <v>346</v>
      </c>
      <c r="AC1166" s="890"/>
      <c r="AD1166" s="890"/>
      <c r="AE1166" s="890"/>
      <c r="AF1166" s="891"/>
      <c r="AG1166" s="196">
        <f ca="1">IF($B$1158="Лікар загальної практики - сімейний лікар",IF(AG1162&lt;Законод!$C$22,0,(IF(AND(AG1162&gt;=Законод!$G$22,AG1162&lt;=Законод!$G$23),AG1162-Законод!$F$23,IF('01_Доходи'!AG1162&gt;=Законод!$H$22,Законод!$G$24,0)))),IF($B$1158="Лікар-педіатр",IF(AG1162&lt;Законод!$C$18,0,(IF(AND(AG1162&gt;=Законод!$G$18,AG1162&lt;=Законод!$G$19),AG1162-Законод!$F$19,IF('01_Доходи'!AG1162&gt;=Законод!$H$18,Законод!$G$20,0)))),IF($B$1158="Лікар-терапевт",IF(AG1162&lt;Законод!$C$26,0,(IF(AND(AG1162&gt;=Законод!$G$26,AG1162&lt;=Законод!$G$27),AG1162-Законод!$F$27,IF('01_Доходи'!AG1162&gt;=Законод!$H$26,Законод!$G$28,0)))),0)))</f>
        <v>0</v>
      </c>
      <c r="AH1166" s="930"/>
      <c r="AI1166" s="201"/>
      <c r="AJ1166" s="933"/>
      <c r="AK1166" s="927"/>
      <c r="AL1166" s="927"/>
      <c r="AM1166" s="899"/>
      <c r="AN1166" s="210">
        <f ca="1">IF(B1158="Лікар загальної практики - сімейний лікар",L1166*Законод!$C$9/4*Законод!$G$16,IF(B1158="Лікар-педіатр",L1166*Законод!$C$9/4*Законод!$G$16,IF(B1158="Лікар-терапевт",L1166*Законод!$C$9/4*Законод!$G$16,0)))</f>
        <v>0</v>
      </c>
      <c r="AO1166" s="210">
        <f ca="1">IF(B1158="Лікар загальної практики - сімейний лікар",S1166*Законод!$C$9/4*Законод!$G$16,IF(B1158="Лікар-педіатр",S1166*Законод!$C$9/4*Законод!$G$16,IF(B1158="Лікар-терапевт",S1166*Законод!$C$9/4*Законод!$G$16,0)))</f>
        <v>0</v>
      </c>
      <c r="AP1166" s="210">
        <f ca="1">IF(B1158="Лікар загальної практики - сімейний лікар",Z1166*Законод!$C$9/4*Законод!$G$16,IF(B1158="Лікар-педіатр",Z1166*Законод!$C$9/4*Законод!$G$16,IF(B1158="Лікар-терапевт",Z1166*Законод!$C$9/4*Законод!$G$16,0)))</f>
        <v>0</v>
      </c>
      <c r="AQ1166" s="210">
        <f ca="1">IF(B1158="Лікар загальної практики - сімейний лікар",AG1166*Законод!$C$9/4*Законод!$G$16,IF(B1158="Лікар-педіатр",AG1166*Законод!$C$9/4*Законод!$G$16,IF(B1158="Лікар-терапевт",AG1166*Законод!$C$9/4*Законод!$G$16,0)))</f>
        <v>0</v>
      </c>
      <c r="AR1166" s="211">
        <f t="shared" si="116"/>
        <v>0</v>
      </c>
    </row>
    <row r="1167" spans="1:44" s="50" customFormat="1" ht="31.9" hidden="1" customHeight="1">
      <c r="A1167" s="197"/>
      <c r="B1167" s="893"/>
      <c r="C1167" s="896"/>
      <c r="D1167" s="912"/>
      <c r="E1167" s="909"/>
      <c r="F1167" s="238" t="str">
        <f ca="1">IF(B1158="Лікар-педіатр",Законод!$H$17,IF(B1158="Лікар загальної практики - сімейний лікар",Законод!$H$21,IF(B1158="Лікар-терапевт",Законод!$H$25,"х")))</f>
        <v>х</v>
      </c>
      <c r="G1167" s="889" t="s">
        <v>346</v>
      </c>
      <c r="H1167" s="890"/>
      <c r="I1167" s="890"/>
      <c r="J1167" s="890"/>
      <c r="K1167" s="891"/>
      <c r="L1167" s="196">
        <f ca="1">IF($B$1158="Лікар загальної практики - сімейний лікар",IF(L1162&lt;Законод!$C$22,0,(IF(AND(L1162&gt;=Законод!$H$22,L1162&lt;=Законод!$H$23),L1162-Законод!$G$23,IF('01_Доходи'!L1162&gt;=Законод!$I$22,Законод!$H$24,0)))),IF($B$1158="Лікар-педіатр",IF(L1162&lt;Законод!$C$18,0,(IF(AND(L1162&gt;=Законод!$H$18,L1162&lt;=Законод!$H$19),L1162-Законод!$G$19,IF('01_Доходи'!L1162&gt;=Законод!$I$18,Законод!$H$20,0)))),IF($B$1158="Лікар-терапевт",IF(L1162&lt;Законод!$C$26,0,(IF(AND(L1162&gt;=Законод!$H$26,L1162&lt;=Законод!$H$27),L1162-Законод!$G$27,IF(L1162&gt;=Законод!$I$26,Законод!$H$28,0)))),0)))</f>
        <v>0</v>
      </c>
      <c r="M1167" s="930"/>
      <c r="N1167" s="889" t="s">
        <v>346</v>
      </c>
      <c r="O1167" s="890"/>
      <c r="P1167" s="890"/>
      <c r="Q1167" s="890"/>
      <c r="R1167" s="891"/>
      <c r="S1167" s="196">
        <f ca="1">IF($B$1158="Лікар загальної практики - сімейний лікар",IF(S1162&lt;Законод!$C$22,0,(IF(AND(S1162&gt;=Законод!$H$22,S1162&lt;=Законод!$H$23),S1162-Законод!$G$23,IF('01_Доходи'!S1162&gt;=Законод!$I$22,Законод!$H$24,0)))),IF($B$1158="Лікар-педіатр",IF(S1162&lt;Законод!$C$18,0,(IF(AND(S1162&gt;=Законод!$H$18,S1162&lt;=Законод!$H$19),S1162-Законод!$G$19,IF('01_Доходи'!S1162&gt;=Законод!$I$18,Законод!$H$20,0)))),IF($B$1158="Лікар-терапевт",IF(S1162&lt;Законод!$C$26,0,(IF(AND(S1162&gt;=Законод!$H$26,S1162&lt;=Законод!$H$27),S1162-Законод!$G$27,IF(S1162&gt;=Законод!$I$26,Законод!$H$28,0)))),0)))</f>
        <v>0</v>
      </c>
      <c r="T1167" s="930"/>
      <c r="U1167" s="889" t="s">
        <v>346</v>
      </c>
      <c r="V1167" s="890"/>
      <c r="W1167" s="890"/>
      <c r="X1167" s="890"/>
      <c r="Y1167" s="891"/>
      <c r="Z1167" s="196">
        <f ca="1">IF($B$1158="Лікар загальної практики - сімейний лікар",IF(Z1162&lt;Законод!$C$22,0,(IF(AND(Z1162&gt;=Законод!$H$22,Z1162&lt;=Законод!$H$23),Z1162-Законод!$G$23,IF('01_Доходи'!Z1162&gt;=Законод!$I$22,Законод!$H$24,0)))),IF($B$1158="Лікар-педіатр",IF(Z1162&lt;Законод!$C$18,0,(IF(AND(Z1162&gt;=Законод!$H$18,Z1162&lt;=Законод!$H$19),Z1162-Законод!$G$19,IF('01_Доходи'!Z1162&gt;=Законод!$I$18,Законод!$H$20,0)))),IF($B$1158="Лікар-терапевт",IF(Z1162&lt;Законод!$C$26,0,(IF(AND(Z1162&gt;=Законод!$H$26,Z1162&lt;=Законод!$H$27),Z1162-Законод!$G$27,IF(Z1162&gt;=Законод!$I$26,Законод!$H$28,0)))),0)))</f>
        <v>0</v>
      </c>
      <c r="AA1167" s="930"/>
      <c r="AB1167" s="889" t="s">
        <v>346</v>
      </c>
      <c r="AC1167" s="890"/>
      <c r="AD1167" s="890"/>
      <c r="AE1167" s="890"/>
      <c r="AF1167" s="891"/>
      <c r="AG1167" s="196">
        <f ca="1">IF($B$1158="Лікар загальної практики - сімейний лікар",IF(AG1162&lt;Законод!$C$22,0,(IF(AND(AG1162&gt;=Законод!$H$22,AG1162&lt;=Законод!$H$23),AG1162-Законод!$G$23,IF('01_Доходи'!AG1162&gt;=Законод!$I$22,Законод!$H$24,0)))),IF($B$1158="Лікар-педіатр",IF(AG1162&lt;Законод!$C$18,0,(IF(AND(AG1162&gt;=Законод!$H$18,AG1162&lt;=Законод!$H$19),AG1162-Законод!$G$19,IF('01_Доходи'!AG1162&gt;=Законод!$I$18,Законод!$H$20,0)))),IF($B$1158="Лікар-терапевт",IF(AG1162&lt;Законод!$C$26,0,(IF(AND(AG1162&gt;=Законод!$H$26,AG1162&lt;=Законод!$H$27),AG1162-Законод!$G$27,IF(AG1162&gt;=Законод!$I$26,Законод!$H$28,0)))),0)))</f>
        <v>0</v>
      </c>
      <c r="AH1167" s="930"/>
      <c r="AI1167" s="201"/>
      <c r="AJ1167" s="933"/>
      <c r="AK1167" s="927"/>
      <c r="AL1167" s="927"/>
      <c r="AM1167" s="899"/>
      <c r="AN1167" s="210">
        <f ca="1">IF(B1158="Лікар загальної практики - сімейний лікар",L1167*Законод!$C$9/4*Законод!$H$16,IF(B1158="Лікар-педіатр",L1167*Законод!$C$9/4*Законод!$H$16,IF(B1158="Лікар-терапевт",L1167*Законод!$C$9/4*Законод!$H$16,0)))</f>
        <v>0</v>
      </c>
      <c r="AO1167" s="210">
        <f ca="1">IF(B1158="Лікар загальної практики - сімейний лікар",S1167*Законод!$C$9/4*Законод!$H$16,IF(B1158="Лікар-педіатр",S1167*Законод!$C$9/4*Законод!$H$16,IF(B1158="Лікар-терапевт",S1167*Законод!$C$9/4*Законод!$H$16,0)))</f>
        <v>0</v>
      </c>
      <c r="AP1167" s="210">
        <f ca="1">IF(B1158="Лікар загальної практики - сімейний лікар",Z1167*Законод!$C$9/4*Законод!$H$16,IF(B1158="Лікар-педіатр",Z1167*Законод!$C$9/4*Законод!$H$16,IF(B1158="Лікар-терапевт",Z1167*Законод!$C$9/4*Законод!$H$16,0)))</f>
        <v>0</v>
      </c>
      <c r="AQ1167" s="210">
        <f ca="1">IF(B1158="Лікар загальної практики - сімейний лікар",AG1167*Законод!$C$9/4*Законод!$H$16,IF(B1158="Лікар-педіатр",AG1167*Законод!$C$9/4*Законод!$H$16,IF(B1158="Лікар-терапевт",AG1167*Законод!$C$9/4*Законод!$H$16,0)))</f>
        <v>0</v>
      </c>
      <c r="AR1167" s="211">
        <f t="shared" si="116"/>
        <v>0</v>
      </c>
    </row>
    <row r="1168" spans="1:44" s="50" customFormat="1" ht="31.9" hidden="1" customHeight="1">
      <c r="A1168" s="197"/>
      <c r="B1168" s="893"/>
      <c r="C1168" s="896"/>
      <c r="D1168" s="912"/>
      <c r="E1168" s="909"/>
      <c r="F1168" s="238" t="str">
        <f ca="1">IF(B1158="Лікар-педіатр",Законод!$I$17,IF(B1158="Лікар загальної практики - сімейний лікар",Законод!$I$21,IF(B1158="Лікар-терапевт",Законод!$I$25,"х")))</f>
        <v>х</v>
      </c>
      <c r="G1168" s="889" t="s">
        <v>346</v>
      </c>
      <c r="H1168" s="890"/>
      <c r="I1168" s="890"/>
      <c r="J1168" s="890"/>
      <c r="K1168" s="891"/>
      <c r="L1168" s="196">
        <f ca="1">IF($B$1158="Лікар загальної практики - сімейний лікар",IF(L1162&lt;Законод!$C$22,0,(IF(AND(L1162&gt;=Законод!$I$22,L1162&lt;=Законод!$I$23),L1162-Законод!$H$23,IF('01_Доходи'!L1162&gt;=Законод!$I$22,Законод!$I$24,0)))),IF($B$1158="Лікар-педіатр",IF(L1162&lt;Законод!$C$18,0,(IF(AND(L1162&gt;=Законод!$I$18,L1162&lt;=Законод!$I$19),L1162-Законод!$H$19,IF('01_Доходи'!L1162&gt;=Законод!$I$18,Законод!$H$20,0)))),IF($B$1158="Лікар-терапевт",IF(L1162&lt;Законод!$C$26,0,(IF(AND(L1162&gt;=Законод!$I$26,L1162&lt;=Законод!$I$27),L1162-Законод!$H$27,IF('01_Доходи'!L1162&gt;=Законод!$I$26,Законод!$H$28,0)))),0)))</f>
        <v>0</v>
      </c>
      <c r="M1168" s="930"/>
      <c r="N1168" s="889" t="s">
        <v>346</v>
      </c>
      <c r="O1168" s="890"/>
      <c r="P1168" s="890"/>
      <c r="Q1168" s="890"/>
      <c r="R1168" s="891"/>
      <c r="S1168" s="196">
        <f ca="1">IF($B$1158="Лікар загальної практики - сімейний лікар",IF(S1162&lt;Законод!$C$22,0,(IF(AND(S1162&gt;=Законод!$I$22,S1162&lt;=Законод!$I$23),S1162-Законод!$H$23,IF('01_Доходи'!S1162&gt;=Законод!$I$22,Законод!$I$24,0)))),IF($B$1158="Лікар-педіатр",IF(S1162&lt;Законод!$C$18,0,(IF(AND(S1162&gt;=Законод!$I$18,S1162&lt;=Законод!$I$19),S1162-Законод!$H$19,IF('01_Доходи'!S1162&gt;=Законод!$I$18,Законод!$H$20,0)))),IF($B$1158="Лікар-терапевт",IF(S1162&lt;Законод!$C$26,0,(IF(AND(S1162&gt;=Законод!$I$26,S1162&lt;=Законод!$I$27),S1162-Законод!$H$27,IF('01_Доходи'!S1162&gt;=Законод!$I$26,Законод!$H$28,0)))),0)))</f>
        <v>0</v>
      </c>
      <c r="T1168" s="930"/>
      <c r="U1168" s="889" t="s">
        <v>346</v>
      </c>
      <c r="V1168" s="890"/>
      <c r="W1168" s="890"/>
      <c r="X1168" s="890"/>
      <c r="Y1168" s="891"/>
      <c r="Z1168" s="196">
        <f ca="1">IF($B$1158="Лікар загальної практики - сімейний лікар",IF(Z1162&lt;Законод!$C$22,0,(IF(AND(Z1162&gt;=Законод!$I$22,Z1162&lt;=Законод!$I$23),Z1162-Законод!$H$23,IF('01_Доходи'!Z1162&gt;=Законод!$I$22,Законод!$I$24,0)))),IF($B$1158="Лікар-педіатр",IF(Z1162&lt;Законод!$C$18,0,(IF(AND(Z1162&gt;=Законод!$I$18,Z1162&lt;=Законод!$I$19),Z1162-Законод!$H$19,IF('01_Доходи'!Z1162&gt;=Законод!$I$18,Законод!$H$20,0)))),IF($B$1158="Лікар-терапевт",IF(Z1162&lt;Законод!$C$26,0,(IF(AND(Z1162&gt;=Законод!$I$26,Z1162&lt;=Законод!$I$27),Z1162-Законод!$H$27,IF('01_Доходи'!Z1162&gt;=Законод!$I$26,Законод!$H$28,0)))),0)))</f>
        <v>0</v>
      </c>
      <c r="AA1168" s="930"/>
      <c r="AB1168" s="889" t="s">
        <v>346</v>
      </c>
      <c r="AC1168" s="890"/>
      <c r="AD1168" s="890"/>
      <c r="AE1168" s="890"/>
      <c r="AF1168" s="891"/>
      <c r="AG1168" s="196">
        <f ca="1">IF($B$1158="Лікар загальної практики - сімейний лікар",IF(AG1162&lt;Законод!$C$22,0,(IF(AND(AG1162&gt;=Законод!$I$22,AG1162&lt;=Законод!$I$23),AG1162-Законод!$H$23,IF('01_Доходи'!AG1162&gt;=Законод!$I$22,Законод!$I$24,0)))),IF($B$1158="Лікар-педіатр",IF(AG1162&lt;Законод!$C$18,0,(IF(AND(AG1162&gt;=Законод!$I$18,AG1162&lt;=Законод!$I$19),AG1162-Законод!$H$19,IF('01_Доходи'!AG1162&gt;=Законод!$I$18,Законод!$H$20,0)))),IF($B$1158="Лікар-терапевт",IF(AG1162&lt;Законод!$C$26,0,(IF(AND(AG1162&gt;=Законод!$I$26,AG1162&lt;=Законод!$I$27),AG1162-Законод!$H$27,IF('01_Доходи'!AG1162&gt;=Законод!$I$26,Законод!$H$28,0)))),0)))</f>
        <v>0</v>
      </c>
      <c r="AH1168" s="930"/>
      <c r="AI1168" s="201"/>
      <c r="AJ1168" s="933"/>
      <c r="AK1168" s="927"/>
      <c r="AL1168" s="927"/>
      <c r="AM1168" s="899"/>
      <c r="AN1168" s="210">
        <f ca="1">IF(B1158="Лікар загальної практики - сімейний лікар",L1168*Законод!$C$9/4*Законод!$I$16,IF(B1158="Лікар-педіатр",L1168*Законод!$C$9/4*Законод!$I$16,IF(B1158="Лікар-терапевт",L1168*Законод!$C$9/4*Законод!$I$16,0)))</f>
        <v>0</v>
      </c>
      <c r="AO1168" s="210">
        <f ca="1">IF(B1158="Лікар загальної практики - сімейний лікар",S1168*Законод!$C$9/4*Законод!$I$16,IF(B1158="Лікар-педіатр",S1168*Законод!$C$9/4*Законод!$I$16,IF(B1158="Лікар-терапевт",S1168*Законод!$C$9/4*Законод!$I$16,0)))</f>
        <v>0</v>
      </c>
      <c r="AP1168" s="210">
        <f ca="1">IF(B1158="Лікар загальної практики - сімейний лікар",Z1168*Законод!$C$9/4*Законод!$I$16,IF(B1158="Лікар-педіатр",Z1168*Законод!$C$9/4*Законод!$I$16,IF(B1158="Лікар-терапевт",Z1168*Законод!$C$9/4*Законод!$I$16,0)))</f>
        <v>0</v>
      </c>
      <c r="AQ1168" s="210">
        <f ca="1">IF(B1158="Лікар загальної практики - сімейний лікар",AG1168*Законод!$C$9/4*Законод!$I$16,IF(B1158="Лікар-педіатр",AG1168*Законод!$C$9/4*Законод!$I$16,IF(B1158="Лікар-терапевт",AG1168*Законод!$C$9/4*Законод!$I$16,0)))</f>
        <v>0</v>
      </c>
      <c r="AR1168" s="211">
        <f t="shared" si="116"/>
        <v>0</v>
      </c>
    </row>
    <row r="1169" spans="1:44" s="218" customFormat="1" ht="31.9" hidden="1" customHeight="1" thickBot="1">
      <c r="A1169" s="213"/>
      <c r="B1169" s="894"/>
      <c r="C1169" s="897"/>
      <c r="D1169" s="913"/>
      <c r="E1169" s="910"/>
      <c r="F1169" s="239" t="str">
        <f ca="1">IF(B1158="Лікар-педіатр",Законод!$J$17,IF(B1158="Лікар загальної практики - сімейний лікар",Законод!$J$21,IF(B1158="Лікар-терапевт",Законод!$J$25,"х")))</f>
        <v>х</v>
      </c>
      <c r="G1169" s="935" t="s">
        <v>346</v>
      </c>
      <c r="H1169" s="936"/>
      <c r="I1169" s="936"/>
      <c r="J1169" s="936"/>
      <c r="K1169" s="937"/>
      <c r="L1169" s="196">
        <f ca="1">IF($B$1158="Лікар загальної практики - сімейний лікар",IF(L1162&gt;=Законод!$J$22,'01_Доходи'!L1162-('01_Доходи'!L1163+'01_Доходи'!L1164+'01_Доходи'!L1165+'01_Доходи'!L1166+'01_Доходи'!L1167+'01_Доходи'!L1168),0),IF($B$1158="Лікар-педіатр",IF(L1162&gt;=Законод!$J$18,'01_Доходи'!L1162-('01_Доходи'!L1163+'01_Доходи'!L1164+'01_Доходи'!L1165+'01_Доходи'!L1166+'01_Доходи'!L1167+'01_Доходи'!L1168),0),IF($B$1158="Лікар-терапевт",IF('01_Доходи'!L1162&gt;=Законод!$J$26,L1162-Законод!$I$27,0),0)))</f>
        <v>0</v>
      </c>
      <c r="M1169" s="931"/>
      <c r="N1169" s="935" t="s">
        <v>346</v>
      </c>
      <c r="O1169" s="936"/>
      <c r="P1169" s="936"/>
      <c r="Q1169" s="936"/>
      <c r="R1169" s="937"/>
      <c r="S1169" s="196">
        <f ca="1">IF($B$1158="Лікар загальної практики - сімейний лікар",IF(S1162&gt;=Законод!$J$22,'01_Доходи'!S1162-('01_Доходи'!S1163+'01_Доходи'!S1164+'01_Доходи'!S1165+'01_Доходи'!S1166+'01_Доходи'!S1167+'01_Доходи'!S1168),0),IF($B$1158="Лікар-педіатр",IF(S1162&gt;=Законод!$J$18,'01_Доходи'!S1162-('01_Доходи'!S1163+'01_Доходи'!S1164+'01_Доходи'!S1165+'01_Доходи'!S1166+'01_Доходи'!S1167+'01_Доходи'!S1168),0),IF($B$1158="Лікар-терапевт",IF('01_Доходи'!S1162&gt;=Законод!$J$26,S1162-Законод!$I$27,0),0)))</f>
        <v>0</v>
      </c>
      <c r="T1169" s="931"/>
      <c r="U1169" s="935" t="s">
        <v>346</v>
      </c>
      <c r="V1169" s="936"/>
      <c r="W1169" s="936"/>
      <c r="X1169" s="936"/>
      <c r="Y1169" s="937"/>
      <c r="Z1169" s="196">
        <f ca="1">IF($B$1158="Лікар загальної практики - сімейний лікар",IF(Z1162&gt;=Законод!$J$22,'01_Доходи'!Z1162-('01_Доходи'!Z1163+'01_Доходи'!Z1164+'01_Доходи'!Z1165+'01_Доходи'!Z1166+'01_Доходи'!Z1167+'01_Доходи'!Z1168),0),IF($B$1158="Лікар-педіатр",IF(Z1162&gt;=Законод!$J$18,'01_Доходи'!Z1162-('01_Доходи'!Z1163+'01_Доходи'!Z1164+'01_Доходи'!Z1165+'01_Доходи'!Z1166+'01_Доходи'!Z1167+'01_Доходи'!Z1168),0),IF($B$1158="Лікар-терапевт",IF('01_Доходи'!Z1162&gt;=Законод!$J$26,Z1162-Законод!$I$27,0),0)))</f>
        <v>0</v>
      </c>
      <c r="AA1169" s="931"/>
      <c r="AB1169" s="935" t="s">
        <v>346</v>
      </c>
      <c r="AC1169" s="936"/>
      <c r="AD1169" s="936"/>
      <c r="AE1169" s="936"/>
      <c r="AF1169" s="937"/>
      <c r="AG1169" s="196">
        <f ca="1">IF($B$1158="Лікар загальної практики - сімейний лікар",IF(AG1162&gt;=Законод!$J$22,'01_Доходи'!AG1162-('01_Доходи'!AG1163+'01_Доходи'!AG1164+'01_Доходи'!AG1165+'01_Доходи'!AG1166+'01_Доходи'!AG1167+'01_Доходи'!AG1168),0),IF($B$1158="Лікар-педіатр",IF(AG1162&gt;=Законод!$J$18,'01_Доходи'!AG1162-('01_Доходи'!AG1163+'01_Доходи'!AG1164+'01_Доходи'!AG1165+'01_Доходи'!AG1166+'01_Доходи'!AG1167+'01_Доходи'!AG1168),0),IF($B$1158="Лікар-терапевт",IF('01_Доходи'!AG1162&gt;=Законод!$J$26,AG1162-Законод!$I$27,0),0)))</f>
        <v>0</v>
      </c>
      <c r="AH1169" s="931"/>
      <c r="AI1169" s="215"/>
      <c r="AJ1169" s="934"/>
      <c r="AK1169" s="928"/>
      <c r="AL1169" s="928"/>
      <c r="AM1169" s="900"/>
      <c r="AN1169" s="216">
        <f ca="1">IF(B1158="Лікар загальної практики - сімейний лікар",L1169*Законод!$C$9/4*Законод!$J$16,IF(B1158="Лікар-педіатр",L1169*Законод!$C$9/4*Законод!$J$16,IF(B1158="Лікар-терапевт",L1169*Законод!$C$9/4*Законод!$J$16,0)))</f>
        <v>0</v>
      </c>
      <c r="AO1169" s="216">
        <f ca="1">IF(B1158="Лікар загальної практики - сімейний лікар",S1169*Законод!$C$9/4*Законод!$J$16,IF(B1158="Лікар-педіатр",S1169*Законод!$C$9/4*Законод!$J$16,IF(B1158="Лікар-терапевт",S1169*Законод!$C$9/4*Законод!$J$16,0)))</f>
        <v>0</v>
      </c>
      <c r="AP1169" s="216">
        <f ca="1">IF(B1158="Лікар загальної практики - сімейний лікар",S1169*Законод!$C$9/4*Законод!$J$16,IF(B1158="Лікар-педіатр",S1169*Законод!$C$9/4*Законод!$J$16,IF(B1158="Лікар-терапевт",S1169*Законод!$C$9/4*Законод!$J$16,0)))</f>
        <v>0</v>
      </c>
      <c r="AQ1169" s="216">
        <f ca="1">IF(B1158="Лікар загальної практики - сімейний лікар",AG1169*Законод!$C$9/4*Законод!$J$16,IF(B1158="Лікар-педіатр",AG1169*Законод!$C$9/4*Законод!$J$16,IF(B1158="Лікар-терапевт",AG1169*Законод!$C$9/4*Законод!$J$16,0)))</f>
        <v>0</v>
      </c>
      <c r="AR1169" s="217">
        <f t="shared" si="116"/>
        <v>0</v>
      </c>
    </row>
    <row r="1170" spans="1:44" s="247" customFormat="1" ht="23.45" hidden="1" customHeight="1" thickBot="1">
      <c r="A1170" s="243"/>
      <c r="B1170" s="244"/>
      <c r="C1170" s="244"/>
      <c r="D1170" s="244"/>
      <c r="E1170" s="244"/>
      <c r="F1170" s="245"/>
      <c r="G1170" s="246"/>
      <c r="H1170" s="246"/>
      <c r="L1170" s="248"/>
      <c r="S1170" s="248"/>
      <c r="Z1170" s="248"/>
      <c r="AG1170" s="248"/>
      <c r="AM1170" s="249"/>
      <c r="AR1170" s="250"/>
    </row>
    <row r="1171" spans="1:44" s="191" customFormat="1" ht="24.6" hidden="1" customHeight="1">
      <c r="A1171" s="194">
        <f>A1158+1</f>
        <v>88</v>
      </c>
      <c r="B1171" s="892"/>
      <c r="C1171" s="895"/>
      <c r="D1171" s="911"/>
      <c r="E1171" s="908"/>
      <c r="F1171" s="234" t="s">
        <v>582</v>
      </c>
      <c r="G1171" s="196">
        <f>IF($B$1171="Лікар-педіатр",G1174*L1171,IF($B$1171="Лікар-терапевт","х",IF($B$1171="Лікар загальної практики - сімейний лікар",G1174*L1171,0)))</f>
        <v>0</v>
      </c>
      <c r="H1171" s="196">
        <f>IF($B$1171="Лікар-педіатр",H1174*L1171,IF($B$1171="Лікар-терапевт","х",IF($B$1171="Лікар загальної практики - сімейний лікар",H1174*L1171,0)))</f>
        <v>0</v>
      </c>
      <c r="I1171" s="196">
        <f>IF($B$1171="Лікар-педіатр","x",IF($B$1171="Лікар-терапевт",I1174*L1171,IF($B$1171="Лікар загальної практики - сімейний лікар",I1174*L1171,0)))</f>
        <v>0</v>
      </c>
      <c r="J1171" s="196">
        <f>IF($B$1171="Лікар-педіатр","x",IF($B$1171="Лікар-терапевт",J1174*L1171,IF($B$1171="Лікар загальної практики - сімейний лікар",J1174*L1171,0)))</f>
        <v>0</v>
      </c>
      <c r="K1171" s="196">
        <f>IF($B$1171="Лікар-педіатр","x",IF($B$1171="Лікар-терапевт",K1174*L1171,IF($B$1171="Лікар загальної практики - сімейний лікар",K1174*L1171,0)))</f>
        <v>0</v>
      </c>
      <c r="L1171" s="558"/>
      <c r="M1171" s="929"/>
      <c r="N1171" s="196">
        <f>IF($B$1171="Лікар-педіатр",N1174*S1171,IF($B$1171="Лікар-терапевт","х",IF($B$1171="Лікар загальної практики - сімейний лікар",N1174*S1171,0)))</f>
        <v>0</v>
      </c>
      <c r="O1171" s="196">
        <f>IF($B$1171="Лікар-педіатр",O1174*S1171,IF($B$1171="Лікар-терапевт","х",IF($B$1171="Лікар загальної практики - сімейний лікар",O1174*S1171,0)))</f>
        <v>0</v>
      </c>
      <c r="P1171" s="196">
        <f>IF($B$1171="Лікар-педіатр","x",IF($B$1171="Лікар-терапевт",P1174*S1171,IF($B$1171="Лікар загальної практики - сімейний лікар",P1174*S1171,0)))</f>
        <v>0</v>
      </c>
      <c r="Q1171" s="196">
        <f>IF($B$1171="Лікар-педіатр","x",IF($B$1171="Лікар-терапевт",Q1174*S1171,IF($B$1171="Лікар загальної практики - сімейний лікар",Q1174*S1171,0)))</f>
        <v>0</v>
      </c>
      <c r="R1171" s="196">
        <f>IF($B$1171="Лікар-педіатр","x",IF($B$1171="Лікар-терапевт",R1174*S1171,IF($B$1171="Лікар загальної практики - сімейний лікар",R1174*S1171,0)))</f>
        <v>0</v>
      </c>
      <c r="S1171" s="558"/>
      <c r="T1171" s="929"/>
      <c r="U1171" s="196">
        <f>IF($B$1171="Лікар-педіатр",U1174*Z1171,IF($B$1171="Лікар-терапевт","х",IF($B$1171="Лікар загальної практики - сімейний лікар",U1174*Z1171,0)))</f>
        <v>0</v>
      </c>
      <c r="V1171" s="196">
        <f>IF($B$1171="Лікар-педіатр",V1174*Z1171,IF($B$1171="Лікар-терапевт","х",IF($B$1171="Лікар загальної практики - сімейний лікар",V1174*Z1171,0)))</f>
        <v>0</v>
      </c>
      <c r="W1171" s="196">
        <f>IF($B$1171="Лікар-педіатр","x",IF($B$1171="Лікар-терапевт",W1174*Z1171,IF($B$1171="Лікар загальної практики - сімейний лікар",W1174*Z1171,0)))</f>
        <v>0</v>
      </c>
      <c r="X1171" s="196">
        <f>IF($B$1171="Лікар-педіатр","x",IF($B$1171="Лікар-терапевт",X1174*Z1171,IF($B$1171="Лікар загальної практики - сімейний лікар",X1174*Z1171,0)))</f>
        <v>0</v>
      </c>
      <c r="Y1171" s="196">
        <f>IF($B$1171="Лікар-педіатр","x",IF($B$1171="Лікар-терапевт",Y1174*Z1171,IF($B$1171="Лікар загальної практики - сімейний лікар",Y1174*Z1171,0)))</f>
        <v>0</v>
      </c>
      <c r="Z1171" s="558"/>
      <c r="AA1171" s="929"/>
      <c r="AB1171" s="196">
        <f>IF($B$1171="Лікар-педіатр",AB1174*AG1171,IF($B$1171="Лікар-терапевт","х",IF($B$1171="Лікар загальної практики - сімейний лікар",AB1174*AG1171,0)))</f>
        <v>0</v>
      </c>
      <c r="AC1171" s="196">
        <f>IF($B$1171="Лікар-педіатр",AC1174*AG1171,IF($B$1171="Лікар-терапевт","х",IF($B$1171="Лікар загальної практики - сімейний лікар",AC1174*AG1171,0)))</f>
        <v>0</v>
      </c>
      <c r="AD1171" s="196">
        <f>IF($B$1171="Лікар-педіатр","x",IF($B$1171="Лікар-терапевт",AD1174*AG1171,IF($B$1171="Лікар загальної практики - сімейний лікар",AD1174*AG1171,0)))</f>
        <v>0</v>
      </c>
      <c r="AE1171" s="196">
        <f>IF($B$1171="Лікар-педіатр","x",IF($B$1171="Лікар-терапевт",AE1174*AG1171,IF($B$1171="Лікар загальної практики - сімейний лікар",AE1174*AG1171,0)))</f>
        <v>0</v>
      </c>
      <c r="AF1171" s="196">
        <f>IF($B$1171="Лікар-педіатр","x",IF($B$1171="Лікар-терапевт",AF1174*AG1171,IF($B$1171="Лікар загальної практики - сімейний лікар",AF1174*AG1171,0)))</f>
        <v>0</v>
      </c>
      <c r="AG1171" s="558"/>
      <c r="AH1171" s="929"/>
      <c r="AI1171" s="541">
        <f>A1171</f>
        <v>88</v>
      </c>
      <c r="AJ1171" s="932">
        <f>B1171</f>
        <v>0</v>
      </c>
      <c r="AK1171" s="926">
        <f>C1171</f>
        <v>0</v>
      </c>
      <c r="AL1171" s="926">
        <f>D1171</f>
        <v>0</v>
      </c>
      <c r="AM1171" s="901" t="s">
        <v>785</v>
      </c>
      <c r="AN1171" s="923">
        <f>SUM(AN1176:AN1182)</f>
        <v>0</v>
      </c>
      <c r="AO1171" s="923">
        <f>SUM(AO1176:AO1182)</f>
        <v>0</v>
      </c>
      <c r="AP1171" s="923">
        <f>SUM(AP1176:AP1182)</f>
        <v>0</v>
      </c>
      <c r="AQ1171" s="923">
        <f>SUM(AQ1176:AQ1182)</f>
        <v>0</v>
      </c>
      <c r="AR1171" s="914">
        <f>SUM(AN1171:AQ1175)</f>
        <v>0</v>
      </c>
    </row>
    <row r="1172" spans="1:44" s="50" customFormat="1" ht="28.15" hidden="1" customHeight="1">
      <c r="A1172" s="197"/>
      <c r="B1172" s="893"/>
      <c r="C1172" s="896"/>
      <c r="D1172" s="912"/>
      <c r="E1172" s="909"/>
      <c r="F1172" s="234" t="s">
        <v>583</v>
      </c>
      <c r="G1172" s="196">
        <f>IF($B$1171="Лікар-педіатр",G1174*L1172,IF($B$1171="Лікар-терапевт","х",IF($B$1171="Лікар загальної практики - сімейний лікар",G1174*L1172,0)))</f>
        <v>0</v>
      </c>
      <c r="H1172" s="196">
        <f>IF($B$1171="Лікар-педіатр",H1174*L1172,IF($B$1171="Лікар-терапевт","х",IF($B$1171="Лікар загальної практики - сімейний лікар",H1174*L1172,0)))</f>
        <v>0</v>
      </c>
      <c r="I1172" s="196">
        <f>IF($B$1171="Лікар-педіатр","x",IF($B$1171="Лікар-терапевт",I1174*L1172,IF($B$1171="Лікар загальної практики - сімейний лікар",I1174*L1172,0)))</f>
        <v>0</v>
      </c>
      <c r="J1172" s="196">
        <f>IF($B$1171="Лікар-педіатр","x",IF($B$1171="Лікар-терапевт",J1174*L1172,IF($B$1171="Лікар загальної практики - сімейний лікар",J1174*L1172,0)))</f>
        <v>0</v>
      </c>
      <c r="K1172" s="196">
        <f>IF($B$1171="Лікар-педіатр","x",IF($B$1171="Лікар-терапевт",K1174*L1172,IF($B$1171="Лікар загальної практики - сімейний лікар",K1174*L1172,0)))</f>
        <v>0</v>
      </c>
      <c r="L1172" s="558"/>
      <c r="M1172" s="930"/>
      <c r="N1172" s="196">
        <f>IF($B$1171="Лікар-педіатр",N1174*S1172,IF($B$1171="Лікар-терапевт","х",IF($B$1171="Лікар загальної практики - сімейний лікар",N1174*S1172,0)))</f>
        <v>0</v>
      </c>
      <c r="O1172" s="196">
        <f>IF($B$1171="Лікар-педіатр",O1174*S1172,IF($B$1171="Лікар-терапевт","х",IF($B$1171="Лікар загальної практики - сімейний лікар",O1174*S1172,0)))</f>
        <v>0</v>
      </c>
      <c r="P1172" s="196">
        <f>IF($B$1171="Лікар-педіатр","x",IF($B$1171="Лікар-терапевт",P1174*S1172,IF($B$1171="Лікар загальної практики - сімейний лікар",P1174*S1172,0)))</f>
        <v>0</v>
      </c>
      <c r="Q1172" s="196">
        <f>IF($B$1171="Лікар-педіатр","x",IF($B$1171="Лікар-терапевт",Q1174*S1172,IF($B$1171="Лікар загальної практики - сімейний лікар",Q1174*S1172,0)))</f>
        <v>0</v>
      </c>
      <c r="R1172" s="196">
        <f>IF($B$1171="Лікар-педіатр","x",IF($B$1171="Лікар-терапевт",R1174*S1172,IF($B$1171="Лікар загальної практики - сімейний лікар",R1174*S1172,0)))</f>
        <v>0</v>
      </c>
      <c r="S1172" s="558"/>
      <c r="T1172" s="930"/>
      <c r="U1172" s="196">
        <f>IF($B$1171="Лікар-педіатр",U1174*Z1172,IF($B$1171="Лікар-терапевт","х",IF($B$1171="Лікар загальної практики - сімейний лікар",U1174*Z1172,0)))</f>
        <v>0</v>
      </c>
      <c r="V1172" s="196">
        <f>IF($B$1171="Лікар-педіатр",V1174*Z1172,IF($B$1171="Лікар-терапевт","х",IF($B$1171="Лікар загальної практики - сімейний лікар",V1174*Z1172,0)))</f>
        <v>0</v>
      </c>
      <c r="W1172" s="196">
        <f>IF($B$1171="Лікар-педіатр","x",IF($B$1171="Лікар-терапевт",W1174*Z1172,IF($B$1171="Лікар загальної практики - сімейний лікар",W1174*Z1172,0)))</f>
        <v>0</v>
      </c>
      <c r="X1172" s="196">
        <f>IF($B$1171="Лікар-педіатр","x",IF($B$1171="Лікар-терапевт",X1174*Z1172,IF($B$1171="Лікар загальної практики - сімейний лікар",X1174*Z1172,0)))</f>
        <v>0</v>
      </c>
      <c r="Y1172" s="196">
        <f>IF($B$1171="Лікар-педіатр","x",IF($B$1171="Лікар-терапевт",Y1174*Z1172,IF($B$1171="Лікар загальної практики - сімейний лікар",Y1174*Z1172,0)))</f>
        <v>0</v>
      </c>
      <c r="Z1172" s="558"/>
      <c r="AA1172" s="930"/>
      <c r="AB1172" s="196">
        <f>IF($B$1171="Лікар-педіатр",AB1174*AG1172,IF($B$1171="Лікар-терапевт","х",IF($B$1171="Лікар загальної практики - сімейний лікар",AB1174*AG1172,0)))</f>
        <v>0</v>
      </c>
      <c r="AC1172" s="196">
        <f>IF($B$1171="Лікар-педіатр",AC1174*AG1172,IF($B$1171="Лікар-терапевт","х",IF($B$1171="Лікар загальної практики - сімейний лікар",AC1174*AG1172,0)))</f>
        <v>0</v>
      </c>
      <c r="AD1172" s="196">
        <f>IF($B$1171="Лікар-педіатр","x",IF($B$1171="Лікар-терапевт",AD1174*AG1172,IF($B$1171="Лікар загальної практики - сімейний лікар",AD1174*AG1172,0)))</f>
        <v>0</v>
      </c>
      <c r="AE1172" s="196">
        <f>IF($B$1171="Лікар-педіатр","x",IF($B$1171="Лікар-терапевт",AE1174*AG1172,IF($B$1171="Лікар загальної практики - сімейний лікар",AE1174*AG1172,0)))</f>
        <v>0</v>
      </c>
      <c r="AF1172" s="196">
        <f>IF($B$1171="Лікар-педіатр","x",IF($B$1171="Лікар-терапевт",AF1174*AG1172,IF($B$1171="Лікар загальної практики - сімейний лікар",AF1174*AG1172,0)))</f>
        <v>0</v>
      </c>
      <c r="AG1172" s="558"/>
      <c r="AH1172" s="930"/>
      <c r="AI1172" s="198"/>
      <c r="AJ1172" s="933"/>
      <c r="AK1172" s="927"/>
      <c r="AL1172" s="927"/>
      <c r="AM1172" s="902"/>
      <c r="AN1172" s="924"/>
      <c r="AO1172" s="924"/>
      <c r="AP1172" s="924"/>
      <c r="AQ1172" s="924"/>
      <c r="AR1172" s="915"/>
    </row>
    <row r="1173" spans="1:44" s="90" customFormat="1" ht="31.15" hidden="1" customHeight="1">
      <c r="A1173" s="240"/>
      <c r="B1173" s="893"/>
      <c r="C1173" s="896"/>
      <c r="D1173" s="912"/>
      <c r="E1173" s="909"/>
      <c r="F1173" s="241" t="s">
        <v>584</v>
      </c>
      <c r="G1173" s="199">
        <f>IF(B1171="Лікар загальної практики - сімейний лікар"," ",IF(B1171="Лікар-педіатр"," ",IF(B1171="Лікар-терапевт","х",0)))</f>
        <v>0</v>
      </c>
      <c r="H1173" s="199">
        <f>IF(B1171="Лікар загальної практики - сімейний лікар"," ",IF(B1171="Лікар-педіатр"," ",IF(B1171="Лікар-терапевт","х",0)))</f>
        <v>0</v>
      </c>
      <c r="I1173" s="199">
        <f>IF(B1171="Лікар загальної практики - сімейний лікар"," ",IF(B1171="Лікар-педіатр","х",IF(B1171="Лікар-терапевт"," ",0)))</f>
        <v>0</v>
      </c>
      <c r="J1173" s="199">
        <f>IF(B1171="Лікар загальної практики - сімейний лікар"," ",IF(B1171="Лікар-педіатр","х",IF(B1171="Лікар-терапевт"," ",0)))</f>
        <v>0</v>
      </c>
      <c r="K1173" s="199">
        <f>IF(B1171="Лікар загальної практики - сімейний лікар"," ",IF(B1171="Лікар-педіатр","х",IF(B1171="Лікар-терапевт"," ",0)))</f>
        <v>0</v>
      </c>
      <c r="L1173" s="200">
        <f>SUM(G1173:K1173)</f>
        <v>0</v>
      </c>
      <c r="M1173" s="930"/>
      <c r="N1173" s="199">
        <f>IF(B1171="Лікар загальної практики - сімейний лікар"," ",IF(B1171="Лікар-педіатр"," ",IF(B1171="Лікар-терапевт","х",0)))</f>
        <v>0</v>
      </c>
      <c r="O1173" s="199">
        <f>IF(B1171="Лікар загальної практики - сімейний лікар"," ",IF(B1171="Лікар-педіатр"," ",IF(B1171="Лікар-терапевт","х",0)))</f>
        <v>0</v>
      </c>
      <c r="P1173" s="199">
        <f>IF(B1171="Лікар загальної практики - сімейний лікар"," ",IF(B1171="Лікар-педіатр","х",IF(B1171="Лікар-терапевт"," ",0)))</f>
        <v>0</v>
      </c>
      <c r="Q1173" s="199">
        <f>IF(B1171="Лікар загальної практики - сімейний лікар"," ",IF(B1171="Лікар-педіатр","х",IF(B1171="Лікар-терапевт"," ",0)))</f>
        <v>0</v>
      </c>
      <c r="R1173" s="199">
        <f>IF(B1171="Лікар загальної практики - сімейний лікар"," ",IF(B1171="Лікар-педіатр","х",IF(B1171="Лікар-терапевт"," ",0)))</f>
        <v>0</v>
      </c>
      <c r="S1173" s="200">
        <f>SUM(N1173:R1173)</f>
        <v>0</v>
      </c>
      <c r="T1173" s="930"/>
      <c r="U1173" s="199">
        <f>IF(B1171="Лікар загальної практики - сімейний лікар"," ",IF(B1171="Лікар-педіатр"," ",IF(B1171="Лікар-терапевт","х",0)))</f>
        <v>0</v>
      </c>
      <c r="V1173" s="199">
        <f>IF(B1171="Лікар загальної практики - сімейний лікар"," ",IF(B1171="Лікар-педіатр"," ",IF(B1171="Лікар-терапевт","х",0)))</f>
        <v>0</v>
      </c>
      <c r="W1173" s="199">
        <f>IF(B1171="Лікар загальної практики - сімейний лікар"," ",IF(B1171="Лікар-педіатр","х",IF(B1171="Лікар-терапевт"," ",0)))</f>
        <v>0</v>
      </c>
      <c r="X1173" s="199">
        <f>IF(B1171="Лікар загальної практики - сімейний лікар"," ",IF(B1171="Лікар-педіатр","х",IF(B1171="Лікар-терапевт"," ",0)))</f>
        <v>0</v>
      </c>
      <c r="Y1173" s="199">
        <f>IF(B1171="Лікар загальної практики - сімейний лікар"," ",IF(B1171="Лікар-педіатр","х",IF(B1171="Лікар-терапевт"," ",0)))</f>
        <v>0</v>
      </c>
      <c r="Z1173" s="200">
        <f>SUM(U1173:Y1173)</f>
        <v>0</v>
      </c>
      <c r="AA1173" s="930"/>
      <c r="AB1173" s="199">
        <f>IF(B1171="Лікар загальної практики - сімейний лікар"," ",IF(B1171="Лікар-педіатр"," ",IF(B1171="Лікар-терапевт","х",0)))</f>
        <v>0</v>
      </c>
      <c r="AC1173" s="199">
        <f>IF(B1171="Лікар загальної практики - сімейний лікар"," ",IF(B1171="Лікар-педіатр"," ",IF(B1171="Лікар-терапевт","х",0)))</f>
        <v>0</v>
      </c>
      <c r="AD1173" s="199">
        <f>IF(B1171="Лікар загальної практики - сімейний лікар"," ",IF(B1171="Лікар-педіатр","х",IF(B1171="Лікар-терапевт"," ",0)))</f>
        <v>0</v>
      </c>
      <c r="AE1173" s="199">
        <f>IF(B1171="Лікар загальної практики - сімейний лікар"," ",IF(B1171="Лікар-педіатр","х",IF(B1171="Лікар-терапевт"," ",0)))</f>
        <v>0</v>
      </c>
      <c r="AF1173" s="199">
        <f>IF(B1171="Лікар загальної практики - сімейний лікар"," ",IF(B1171="Лікар-педіатр","х",IF(B1171="Лікар-терапевт"," ",0)))</f>
        <v>0</v>
      </c>
      <c r="AG1173" s="200">
        <f>SUM(AB1173:AF1173)</f>
        <v>0</v>
      </c>
      <c r="AH1173" s="930"/>
      <c r="AI1173" s="242"/>
      <c r="AJ1173" s="933"/>
      <c r="AK1173" s="927"/>
      <c r="AL1173" s="927"/>
      <c r="AM1173" s="902"/>
      <c r="AN1173" s="924"/>
      <c r="AO1173" s="924"/>
      <c r="AP1173" s="924"/>
      <c r="AQ1173" s="924"/>
      <c r="AR1173" s="915"/>
    </row>
    <row r="1174" spans="1:44" s="50" customFormat="1" ht="31.9" hidden="1" customHeight="1" thickBot="1">
      <c r="A1174" s="197"/>
      <c r="B1174" s="893"/>
      <c r="C1174" s="896"/>
      <c r="D1174" s="912"/>
      <c r="E1174" s="909"/>
      <c r="F1174" s="236" t="s">
        <v>349</v>
      </c>
      <c r="G1174" s="203">
        <f>IF($B$1171="Лікар-педіатр",G1173/L1173,IF($B$1171="Лікар-терапевт","х",IF($B$1171="Лікар загальної практики - сімейний лікар",G1173/L1173,0)))</f>
        <v>0</v>
      </c>
      <c r="H1174" s="203">
        <f>IF($B$1171="Лікар-педіатр",H1173/L1173,IF($B$1171="Лікар-терапевт","х",IF($B$1171="Лікар загальної практики - сімейний лікар",H1173/L1173,0)))</f>
        <v>0</v>
      </c>
      <c r="I1174" s="203">
        <f>IF($B$1171="Лікар-педіатр","x",IF($B$1171="Лікар-терапевт",I1173/L1173,IF($B$1171="Лікар загальної практики - сімейний лікар",I1173/L1173,0)))</f>
        <v>0</v>
      </c>
      <c r="J1174" s="203">
        <f>IF($B$1171="Лікар-педіатр","x",IF($B$1171="Лікар-терапевт",J1173/L1173,IF($B$1171="Лікар загальної практики - сімейний лікар",J1173/L1173,0)))</f>
        <v>0</v>
      </c>
      <c r="K1174" s="203">
        <f>IF($B$1171="Лікар-педіатр","x",IF($B$1171="Лікар-терапевт",K1173/L1173,IF($B$1171="Лікар загальної практики - сімейний лікар",K1173/L1173,0)))</f>
        <v>0</v>
      </c>
      <c r="L1174" s="203">
        <f>SUM(G1174:K1174)</f>
        <v>0</v>
      </c>
      <c r="M1174" s="930"/>
      <c r="N1174" s="203">
        <f>IF($B$1171="Лікар-педіатр",N1173/S1173,IF($B$1171="Лікар-терапевт","х",IF($B$1171="Лікар загальної практики - сімейний лікар",N1173/S1173,0)))</f>
        <v>0</v>
      </c>
      <c r="O1174" s="203">
        <f>IF($B$1171="Лікар-педіатр",O1173/S1173,IF($B$1171="Лікар-терапевт","х",IF($B$1171="Лікар загальної практики - сімейний лікар",O1173/S1173,0)))</f>
        <v>0</v>
      </c>
      <c r="P1174" s="203">
        <f>IF($B$1171="Лікар-педіатр","x",IF($B$1171="Лікар-терапевт",P1173/S1173,IF($B$1171="Лікар загальної практики - сімейний лікар",P1173/S1173,0)))</f>
        <v>0</v>
      </c>
      <c r="Q1174" s="203">
        <f>IF($B$1171="Лікар-педіатр","x",IF($B$1171="Лікар-терапевт",Q1173/S1173,IF($B$1171="Лікар загальної практики - сімейний лікар",Q1173/S1173,0)))</f>
        <v>0</v>
      </c>
      <c r="R1174" s="203">
        <f>IF($B$1171="Лікар-педіатр","x",IF($B$1171="Лікар-терапевт",R1173/S1173,IF($B$1171="Лікар загальної практики - сімейний лікар",R1173/S1173,0)))</f>
        <v>0</v>
      </c>
      <c r="S1174" s="203">
        <f>SUM(N1174:R1174)</f>
        <v>0</v>
      </c>
      <c r="T1174" s="930"/>
      <c r="U1174" s="203">
        <f>IF($B$1171="Лікар-педіатр",U1173/Z1173,IF($B$1171="Лікар-терапевт","х",IF($B$1171="Лікар загальної практики - сімейний лікар",U1173/Z1173,0)))</f>
        <v>0</v>
      </c>
      <c r="V1174" s="203">
        <f>IF($B$1171="Лікар-педіатр",V1173/Z1173,IF($B$1171="Лікар-терапевт","х",IF($B$1171="Лікар загальної практики - сімейний лікар",V1173/Z1173,0)))</f>
        <v>0</v>
      </c>
      <c r="W1174" s="203">
        <f>IF($B$1171="Лікар-педіатр","x",IF($B$1171="Лікар-терапевт",W1173/Z1173,IF($B$1171="Лікар загальної практики - сімейний лікар",W1173/Z1173,0)))</f>
        <v>0</v>
      </c>
      <c r="X1174" s="203">
        <f>IF($B$1171="Лікар-педіатр","x",IF($B$1171="Лікар-терапевт",X1173/Z1173,IF($B$1171="Лікар загальної практики - сімейний лікар",X1173/Z1173,0)))</f>
        <v>0</v>
      </c>
      <c r="Y1174" s="203">
        <f>IF($B$1171="Лікар-педіатр","x",IF($B$1171="Лікар-терапевт",Y1173/Z1173,IF($B$1171="Лікар загальної практики - сімейний лікар",Y1173/Z1173,0)))</f>
        <v>0</v>
      </c>
      <c r="Z1174" s="203">
        <f>SUM(U1174:Y1174)</f>
        <v>0</v>
      </c>
      <c r="AA1174" s="930"/>
      <c r="AB1174" s="203">
        <f>IF($B$1171="Лікар-педіатр",AB1173/AG1173,IF($B$1171="Лікар-терапевт","х",IF($B$1171="Лікар загальної практики - сімейний лікар",AB1173/AG1173,0)))</f>
        <v>0</v>
      </c>
      <c r="AC1174" s="203">
        <f>IF($B$1171="Лікар-педіатр",AC1173/AG1173,IF($B$1171="Лікар-терапевт","х",IF($B$1171="Лікар загальної практики - сімейний лікар",AC1173/AG1173,0)))</f>
        <v>0</v>
      </c>
      <c r="AD1174" s="203">
        <f>IF($B$1171="Лікар-педіатр","x",IF($B$1171="Лікар-терапевт",AD1173/AG1173,IF($B$1171="Лікар загальної практики - сімейний лікар",AD1173/AG1173,0)))</f>
        <v>0</v>
      </c>
      <c r="AE1174" s="203">
        <f>IF($B$1171="Лікар-педіатр","x",IF($B$1171="Лікар-терапевт",AE1173/AG1173,IF($B$1171="Лікар загальної практики - сімейний лікар",AE1173/AG1173,0)))</f>
        <v>0</v>
      </c>
      <c r="AF1174" s="203">
        <f>IF($B$1171="Лікар-педіатр","x",IF($B$1171="Лікар-терапевт",AF1173/AG1173,IF($B$1171="Лікар загальної практики - сімейний лікар",AF1173/AG1173,0)))</f>
        <v>0</v>
      </c>
      <c r="AG1174" s="203">
        <f>SUM(AB1174:AF1174)</f>
        <v>0</v>
      </c>
      <c r="AH1174" s="930"/>
      <c r="AI1174" s="201"/>
      <c r="AJ1174" s="933"/>
      <c r="AK1174" s="927"/>
      <c r="AL1174" s="927"/>
      <c r="AM1174" s="902"/>
      <c r="AN1174" s="924"/>
      <c r="AO1174" s="924"/>
      <c r="AP1174" s="924"/>
      <c r="AQ1174" s="924"/>
      <c r="AR1174" s="915"/>
    </row>
    <row r="1175" spans="1:44" s="50" customFormat="1" ht="45" hidden="1" customHeight="1" thickBot="1">
      <c r="A1175" s="197"/>
      <c r="B1175" s="893"/>
      <c r="C1175" s="896"/>
      <c r="D1175" s="912"/>
      <c r="E1175" s="909"/>
      <c r="F1175" s="204" t="s">
        <v>585</v>
      </c>
      <c r="G1175" s="205">
        <f>IF($B$1171="Лікар загальної практики - сімейний лікар",AVERAGE(G1171:G1173),IF($B$1171="Лікар-педіатр",AVERAGE(G1171:G1173),IF($B$1171="Лікар-терапевт","х",0)))</f>
        <v>0</v>
      </c>
      <c r="H1175" s="205">
        <f>IF($B$1171="Лікар загальної практики - сімейний лікар",AVERAGE(H1171:H1173),IF($B$1171="Лікар-педіатр",AVERAGE(H1171:H1173),IF($B$1171="Лікар-терапевт","х",0)))</f>
        <v>0</v>
      </c>
      <c r="I1175" s="205">
        <f>IF($B$1171="Лікар загальної практики - сімейний лікар",AVERAGE(I1171:I1173),IF($B$1171="Лікар-педіатр","x",IF($B$1171="Лікар-терапевт",AVERAGE(I1171:I1173),0)))</f>
        <v>0</v>
      </c>
      <c r="J1175" s="205">
        <f>IF($B$1171="Лікар загальної практики - сімейний лікар",AVERAGE(J1171:J1173),IF($B$1171="Лікар-педіатр","x",IF($B$1171="Лікар-терапевт",AVERAGE(J1171:J1173),0)))</f>
        <v>0</v>
      </c>
      <c r="K1175" s="205">
        <f>IF($B$1171="Лікар загальної практики - сімейний лікар",AVERAGE(K1171:K1173),IF($B$1171="Лікар-педіатр","x",IF($B$1171="Лікар-терапевт",AVERAGE(K1171:K1173),0)))</f>
        <v>0</v>
      </c>
      <c r="L1175" s="206">
        <f>SUM(G1175:K1175)</f>
        <v>0</v>
      </c>
      <c r="M1175" s="930"/>
      <c r="N1175" s="205">
        <f>IF($B$1171="Лікар загальної практики - сімейний лікар",AVERAGE(N1171:N1173),IF($B$1171="Лікар-педіатр",AVERAGE(N1171:N1173),IF($B$1171="Лікар-терапевт","х",0)))</f>
        <v>0</v>
      </c>
      <c r="O1175" s="205">
        <f>IF($B$1171="Лікар загальної практики - сімейний лікар",AVERAGE(O1171:O1173),IF($B$1171="Лікар-педіатр",AVERAGE(O1171:O1173),IF($B$1171="Лікар-терапевт","х",0)))</f>
        <v>0</v>
      </c>
      <c r="P1175" s="205">
        <f>IF($B$1171="Лікар загальної практики - сімейний лікар",AVERAGE(P1171:P1173),IF($B$1171="Лікар-педіатр","x",IF($B$1171="Лікар-терапевт",AVERAGE(P1171:P1173),0)))</f>
        <v>0</v>
      </c>
      <c r="Q1175" s="205">
        <f>IF($B$1171="Лікар загальної практики - сімейний лікар",AVERAGE(Q1171:Q1173),IF($B$1171="Лікар-педіатр","x",IF($B$1171="Лікар-терапевт",AVERAGE(Q1171:Q1173),0)))</f>
        <v>0</v>
      </c>
      <c r="R1175" s="205">
        <f>IF($B$1171="Лікар загальної практики - сімейний лікар",AVERAGE(R1171:R1173),IF($B$1171="Лікар-педіатр","x",IF($B$1171="Лікар-терапевт",AVERAGE(R1171:R1173),0)))</f>
        <v>0</v>
      </c>
      <c r="S1175" s="206">
        <f>SUM(N1175:R1175)</f>
        <v>0</v>
      </c>
      <c r="T1175" s="930"/>
      <c r="U1175" s="205">
        <f>IF($B$1171="Лікар загальної практики - сімейний лікар",AVERAGE(U1171:U1173),IF($B$1171="Лікар-педіатр",AVERAGE(U1171:U1173),IF($B$1171="Лікар-терапевт","х",0)))</f>
        <v>0</v>
      </c>
      <c r="V1175" s="205">
        <f>IF($B$1171="Лікар загальної практики - сімейний лікар",AVERAGE(V1171:V1173),IF($B$1171="Лікар-педіатр",AVERAGE(V1171:V1173),IF($B$1171="Лікар-терапевт","х",0)))</f>
        <v>0</v>
      </c>
      <c r="W1175" s="205">
        <f>IF($B$1171="Лікар загальної практики - сімейний лікар",AVERAGE(W1171:W1173),IF($B$1171="Лікар-педіатр","x",IF($B$1171="Лікар-терапевт",AVERAGE(W1171:W1173),0)))</f>
        <v>0</v>
      </c>
      <c r="X1175" s="205">
        <f>IF($B$1171="Лікар загальної практики - сімейний лікар",AVERAGE(X1171:X1173),IF($B$1171="Лікар-педіатр","x",IF($B$1171="Лікар-терапевт",AVERAGE(X1171:X1173),0)))</f>
        <v>0</v>
      </c>
      <c r="Y1175" s="205">
        <f>IF($B$1171="Лікар загальної практики - сімейний лікар",AVERAGE(Y1171:Y1173),IF($B$1171="Лікар-педіатр","x",IF($B$1171="Лікар-терапевт",AVERAGE(Y1171:Y1173),0)))</f>
        <v>0</v>
      </c>
      <c r="Z1175" s="206">
        <f>SUM(U1175:Y1175)</f>
        <v>0</v>
      </c>
      <c r="AA1175" s="930"/>
      <c r="AB1175" s="205">
        <f>IF($B$1171="Лікар загальної практики - сімейний лікар",AVERAGE(AB1171:AB1173),IF($B$1171="Лікар-педіатр",AVERAGE(AB1171:AB1173),IF($B$1171="Лікар-терапевт","х",0)))</f>
        <v>0</v>
      </c>
      <c r="AC1175" s="205">
        <f>IF($B$1171="Лікар загальної практики - сімейний лікар",AVERAGE(AC1171:AC1173),IF($B$1171="Лікар-педіатр",AVERAGE(AC1171:AC1173),IF($B$1171="Лікар-терапевт","х",0)))</f>
        <v>0</v>
      </c>
      <c r="AD1175" s="205">
        <f>IF($B$1171="Лікар загальної практики - сімейний лікар",AVERAGE(AD1171:AD1173),IF($B$1171="Лікар-педіатр","x",IF($B$1171="Лікар-терапевт",AVERAGE(AD1171:AD1173),0)))</f>
        <v>0</v>
      </c>
      <c r="AE1175" s="205">
        <f>IF($B$1171="Лікар загальної практики - сімейний лікар",AVERAGE(AE1171:AE1173),IF($B$1171="Лікар-педіатр","x",IF($B$1171="Лікар-терапевт",AVERAGE(AE1171:AE1173),0)))</f>
        <v>0</v>
      </c>
      <c r="AF1175" s="205">
        <f>IF($B$1171="Лікар загальної практики - сімейний лікар",AVERAGE(AF1171:AF1173),IF($B$1171="Лікар-педіатр","x",IF($B$1171="Лікар-терапевт",AVERAGE(AF1171:AF1173),0)))</f>
        <v>0</v>
      </c>
      <c r="AG1175" s="206">
        <f>SUM(AB1175:AF1175)</f>
        <v>0</v>
      </c>
      <c r="AH1175" s="930"/>
      <c r="AI1175" s="201"/>
      <c r="AJ1175" s="933"/>
      <c r="AK1175" s="927"/>
      <c r="AL1175" s="927"/>
      <c r="AM1175" s="903"/>
      <c r="AN1175" s="925"/>
      <c r="AO1175" s="925"/>
      <c r="AP1175" s="925"/>
      <c r="AQ1175" s="925"/>
      <c r="AR1175" s="916"/>
    </row>
    <row r="1176" spans="1:44" s="50" customFormat="1" ht="40.5" hidden="1">
      <c r="A1176" s="197"/>
      <c r="B1176" s="893"/>
      <c r="C1176" s="896"/>
      <c r="D1176" s="912"/>
      <c r="E1176" s="909"/>
      <c r="F1176" s="237" t="str">
        <f ca="1">IF(B1171="Лікар-педіатр",Законод!$C$17,IF(B1171="Лікар загальної практики - сімейний лікар",Законод!$C$21,IF(B1171="Лікар-терапевт",Законод!$C$25,"х")))</f>
        <v>х</v>
      </c>
      <c r="G1176" s="208">
        <f ca="1">IF($B$1171="Лікар загальної практики - сімейний лікар",IF(L1175&lt;=Законод!$C$22,G1175,Законод!$C$22*'01_Доходи'!G1174),IF($B$1171="Лікар-педіатр",IF(L1175&lt;=Законод!$C$18,G1175,Законод!$C$18*'01_Доходи'!G1174),IF($B$1171="Лікар-терапевт","x",0)))</f>
        <v>0</v>
      </c>
      <c r="H1176" s="208">
        <f ca="1">IF($B$1171="Лікар загальної практики - сімейний лікар",IF(L1175&lt;=Законод!$C$22,H1175,Законод!$C$22*'01_Доходи'!H1174),IF($B$1171="Лікар-педіатр",IF(L1175&lt;=Законод!$C$18,H1175,Законод!$C$18*'01_Доходи'!H1174),IF($B$1171="Лікар-терапевт","x",0)))</f>
        <v>0</v>
      </c>
      <c r="I1176" s="208">
        <f ca="1">IF($B$1171="Лікар загальної практики - сімейний лікар",IF(L1175&lt;=Законод!$C$22,I1175,Законод!$C$22*'01_Доходи'!I1174),IF($B$1171="Лікар-педіатр","x",IF($B$1171="Лікар-терапевт",IF(L1175&lt;=Законод!$C$26,I1175,Законод!$C$26*'01_Доходи'!I1174),0)))</f>
        <v>0</v>
      </c>
      <c r="J1176" s="208">
        <f ca="1">IF($B$1171="Лікар загальної практики - сімейний лікар",IF(L1175&lt;=Законод!$C$22,J1175,Законод!$C$22*'01_Доходи'!J1174),IF($B$1171="Лікар-педіатр","x",IF($B$1171="Лікар-терапевт",IF(L1175&lt;=Законод!$C$26,J1175,Законод!$C$26*'01_Доходи'!J1174),0)))</f>
        <v>0</v>
      </c>
      <c r="K1176" s="208">
        <f ca="1">IF($B$1171="Лікар загальної практики - сімейний лікар",IF(L1175&lt;=Законод!$C$22,K1175,Законод!$C$22*'01_Доходи'!K1174),IF($B$1171="Лікар-педіатр","x",IF($B$1171="Лікар-терапевт",IF(L1175&lt;=Законод!$C$26,K1175,Законод!$C$26*'01_Доходи'!K1174),0)))</f>
        <v>0</v>
      </c>
      <c r="L1176" s="209">
        <f ca="1">SUM(G1176:K1176)</f>
        <v>0</v>
      </c>
      <c r="M1176" s="930"/>
      <c r="N1176" s="208">
        <f ca="1">IF($B$1171="Лікар загальної практики - сімейний лікар",IF(S1175&lt;=Законод!$C$22,N1175,Законод!$C$22*'01_Доходи'!N1174),IF($B$1171="Лікар-педіатр",IF(S1175&lt;=Законод!$C$18,N1175,Законод!$C$18*'01_Доходи'!N1174),IF($B$1171="Лікар-терапевт","x",0)))</f>
        <v>0</v>
      </c>
      <c r="O1176" s="208">
        <f ca="1">IF($B$1171="Лікар загальної практики - сімейний лікар",IF(S1175&lt;=Законод!$C$22,O1175,Законод!$C$22*'01_Доходи'!O1174),IF($B$1171="Лікар-педіатр",IF(S1175&lt;=Законод!$C$18,O1175,Законод!$C$18*'01_Доходи'!O1174),IF($B$1171="Лікар-терапевт","x",0)))</f>
        <v>0</v>
      </c>
      <c r="P1176" s="208">
        <f ca="1">IF($B$1171="Лікар загальної практики - сімейний лікар",IF(S1175&lt;=Законод!$C$22,P1175,Законод!$C$22*'01_Доходи'!P1174),IF($B$1171="Лікар-педіатр","x",IF($B$1171="Лікар-терапевт",IF(S1175&lt;=Законод!$C$26,P1175,Законод!$C$26*'01_Доходи'!P1174),0)))</f>
        <v>0</v>
      </c>
      <c r="Q1176" s="208">
        <f ca="1">IF($B$1171="Лікар загальної практики - сімейний лікар",IF(S1175&lt;=Законод!$C$22,Q1175,Законод!$C$22*'01_Доходи'!Q1174),IF($B$1171="Лікар-педіатр","x",IF($B$1171="Лікар-терапевт",IF(S1175&lt;=Законод!$C$26,Q1175,Законод!$C$26*'01_Доходи'!Q1174),0)))</f>
        <v>0</v>
      </c>
      <c r="R1176" s="208">
        <f ca="1">IF($B$1171="Лікар загальної практики - сімейний лікар",IF(S1175&lt;=Законод!$C$22,R1175,Законод!$C$22*'01_Доходи'!R1174),IF($B$1171="Лікар-педіатр","x",IF($B$1171="Лікар-терапевт",IF(S1175&lt;=Законод!$C$26,R1175,Законод!$C$26*'01_Доходи'!R1174),0)))</f>
        <v>0</v>
      </c>
      <c r="S1176" s="209">
        <f ca="1">SUM(N1176:R1176)</f>
        <v>0</v>
      </c>
      <c r="T1176" s="930"/>
      <c r="U1176" s="208">
        <f ca="1">IF($B$1171="Лікар загальної практики - сімейний лікар",IF(Z1175&lt;=Законод!$C$22,U1175,Законод!$C$22*'01_Доходи'!U1174),IF($B$1171="Лікар-педіатр",IF(Z1175&lt;=Законод!$C$18,U1175,Законод!$C$18*'01_Доходи'!U1174),IF($B$1171="Лікар-терапевт","x",0)))</f>
        <v>0</v>
      </c>
      <c r="V1176" s="208">
        <f ca="1">IF($B$1171="Лікар загальної практики - сімейний лікар",IF(Z1175&lt;=Законод!$C$22,V1175,Законод!$C$22*'01_Доходи'!V1174),IF($B$1171="Лікар-педіатр",IF(Z1175&lt;=Законод!$C$18,V1175,Законод!$C$18*'01_Доходи'!V1174),IF($B$1171="Лікар-терапевт","x",0)))</f>
        <v>0</v>
      </c>
      <c r="W1176" s="208">
        <f ca="1">IF($B$1171="Лікар загальної практики - сімейний лікар",IF(Z1175&lt;=Законод!$C$22,W1175,Законод!$C$22*'01_Доходи'!W1174),IF($B$1171="Лікар-педіатр","x",IF($B$1171="Лікар-терапевт",IF(Z1175&lt;=Законод!$C$26,W1175,Законод!$C$26*'01_Доходи'!W1174),0)))</f>
        <v>0</v>
      </c>
      <c r="X1176" s="208">
        <f ca="1">IF($B$1171="Лікар загальної практики - сімейний лікар",IF(Z1175&lt;=Законод!$C$22,X1175,Законод!$C$22*'01_Доходи'!X1174),IF($B$1171="Лікар-педіатр","x",IF($B$1171="Лікар-терапевт",IF(Z1175&lt;=Законод!$C$26,X1175,Законод!$C$26*'01_Доходи'!X1174),0)))</f>
        <v>0</v>
      </c>
      <c r="Y1176" s="208">
        <f ca="1">IF($B$1171="Лікар загальної практики - сімейний лікар",IF(Z1175&lt;=Законод!$C$22,Y1175,Законод!$C$22*'01_Доходи'!Y1174),IF($B$1171="Лікар-педіатр","x",IF($B$1171="Лікар-терапевт",IF(Z1175&lt;=Законод!$C$26,Y1175,Законод!$C$26*'01_Доходи'!Y1174),0)))</f>
        <v>0</v>
      </c>
      <c r="Z1176" s="209">
        <f ca="1">SUM(U1176:Y1176)</f>
        <v>0</v>
      </c>
      <c r="AA1176" s="930"/>
      <c r="AB1176" s="208">
        <f ca="1">IF($B$1171="Лікар загальної практики - сімейний лікар",IF(AG1175&lt;=Законод!$C$22,AB1175,Законод!$C$22*'01_Доходи'!AB1174),IF($B$1171="Лікар-педіатр",IF(AG1175&lt;=Законод!$C$18,AB1175,Законод!$C$18*'01_Доходи'!AB1174),IF($B$1171="Лікар-терапевт","x",0)))</f>
        <v>0</v>
      </c>
      <c r="AC1176" s="208">
        <f ca="1">IF($B$1171="Лікар загальної практики - сімейний лікар",IF(AG1175&lt;=Законод!$C$22,AC1175,Законод!$C$22*'01_Доходи'!AC1174),IF($B$1171="Лікар-педіатр",IF(AG1175&lt;=Законод!$C$18,AC1175,Законод!$C$18*'01_Доходи'!AC1174),IF($B$1171="Лікар-терапевт","x",0)))</f>
        <v>0</v>
      </c>
      <c r="AD1176" s="208">
        <f ca="1">IF($B$1171="Лікар загальної практики - сімейний лікар",IF(AG1175&lt;=Законод!$C$22,AD1175,Законод!$C$22*'01_Доходи'!AD1174),IF($B$1171="Лікар-педіатр","x",IF($B$1171="Лікар-терапевт",IF(AG1175&lt;=Законод!$C$26,AD1175,Законод!$C$26*'01_Доходи'!AD1174),0)))</f>
        <v>0</v>
      </c>
      <c r="AE1176" s="208">
        <f ca="1">IF($B$1171="Лікар загальної практики - сімейний лікар",IF(AG1175&lt;=Законод!$C$22,AE1175,Законод!$C$22*'01_Доходи'!AE1174),IF($B$1171="Лікар-педіатр","x",IF($B$1171="Лікар-терапевт",IF(AG1175&lt;=Законод!$C$26,AE1175,Законод!$C$26*'01_Доходи'!AE1174),0)))</f>
        <v>0</v>
      </c>
      <c r="AF1176" s="208">
        <f ca="1">IF($B$1171="Лікар загальної практики - сімейний лікар",IF(AG1175&lt;=Законод!$C$22,AF1175,Законод!$C$22*'01_Доходи'!AF1174),IF($B$1171="Лікар-педіатр","x",IF($B$1171="Лікар-терапевт",IF(AG1175&lt;=Законод!$C$26,AF1175,Законод!$C$26*'01_Доходи'!AF1174),0)))</f>
        <v>0</v>
      </c>
      <c r="AG1176" s="209">
        <f ca="1">SUM(AB1176:AF1176)</f>
        <v>0</v>
      </c>
      <c r="AH1176" s="930"/>
      <c r="AI1176" s="201"/>
      <c r="AJ1176" s="933"/>
      <c r="AK1176" s="927"/>
      <c r="AL1176" s="927"/>
      <c r="AM1176" s="348" t="s">
        <v>374</v>
      </c>
      <c r="AN1176" s="210">
        <f ca="1">IF(B1171="Лікар загальної практики - сімейний лікар",G1176*Законод!$C$11+'01_Доходи'!H1176*Законод!$D$11+'01_Доходи'!I1176*Законод!$E$11+'01_Доходи'!J1176*Законод!$F$11+'01_Доходи'!K1176*Законод!$G$11,IF(B1171="Лікар-педіатр",G1176*Законод!$C$11+'01_Доходи'!H1176*Законод!$D$11,IF(B1171="Лікар-терапевт",'01_Доходи'!I1176*Законод!$E$11+'01_Доходи'!J1176*Законод!$F$11+'01_Доходи'!K1176*Законод!$G$11,0)))</f>
        <v>0</v>
      </c>
      <c r="AO1176" s="210">
        <f ca="1">IF(B1171="Лікар загальної практики - сімейний лікар",N1176*Законод!$C$11+'01_Доходи'!O1176*Законод!$D$11+'01_Доходи'!P1176*Законод!$E$11+'01_Доходи'!Q1176*Законод!$F$11+'01_Доходи'!R1176*Законод!$G$11,IF(B1171="Лікар-педіатр",N1176*Законод!$C$11+'01_Доходи'!O1176*Законод!$D$11,IF(B1171="Лікар-терапевт",'01_Доходи'!P1176*Законод!$E$11+'01_Доходи'!Q1176*Законод!$F$11+'01_Доходи'!R1176*Законод!$G$11,0)))</f>
        <v>0</v>
      </c>
      <c r="AP1176" s="210">
        <f ca="1">IF(B1171="Лікар загальної практики - сімейний лікар",U1176*Законод!$C$11+'01_Доходи'!V1176*Законод!$D$11+'01_Доходи'!W1176*Законод!$E$11+'01_Доходи'!X1176*Законод!$F$11+'01_Доходи'!Y1176*Законод!$G$11,IF(B1171="Лікар-педіатр",U1176*Законод!$C$11+'01_Доходи'!V1176*Законод!$D$11,IF(B1171="Лікар-терапевт",'01_Доходи'!W1176*Законод!$E$11+'01_Доходи'!X1176*Законод!$F$11+'01_Доходи'!Y1176*Законод!$G$11,0)))</f>
        <v>0</v>
      </c>
      <c r="AQ1176" s="210">
        <f ca="1">IF(B1171="Лікар загальної практики - сімейний лікар",AB1176*Законод!$C$11+'01_Доходи'!AC1176*Законод!$D$11+'01_Доходи'!AD1176*Законод!$E$11+'01_Доходи'!AE1176*Законод!$F$11+'01_Доходи'!AF1176*Законод!$G$11,IF(B1171="Лікар-педіатр",AB1176*Законод!$C$11+'01_Доходи'!AC1176*Законод!$D$11,IF(B1171="Лікар-терапевт",'01_Доходи'!AD1176*Законод!$E$11+'01_Доходи'!AE1176*Законод!$F$11+'01_Доходи'!AF1176*Законод!$G$11,0)))</f>
        <v>0</v>
      </c>
      <c r="AR1176" s="211">
        <f t="shared" ref="AR1176:AR1182" si="117">SUM(AN1176:AQ1176)</f>
        <v>0</v>
      </c>
    </row>
    <row r="1177" spans="1:44" s="50" customFormat="1" ht="31.9" hidden="1" customHeight="1">
      <c r="A1177" s="197"/>
      <c r="B1177" s="893"/>
      <c r="C1177" s="896"/>
      <c r="D1177" s="912"/>
      <c r="E1177" s="909"/>
      <c r="F1177" s="238" t="str">
        <f ca="1">IF(B1171="Лікар-педіатр",Законод!$E$17,IF(B1171="Лікар загальної практики - сімейний лікар",Законод!$E$21,IF(B1171="Лікар-терапевт",Законод!$E$25,"х")))</f>
        <v>х</v>
      </c>
      <c r="G1177" s="889" t="s">
        <v>346</v>
      </c>
      <c r="H1177" s="890"/>
      <c r="I1177" s="890"/>
      <c r="J1177" s="890"/>
      <c r="K1177" s="891"/>
      <c r="L1177" s="196">
        <f ca="1">IF($B$1171="Лікар загальної практики - сімейний лікар",IF(L1175&lt;Законод!$C$22,0,(IF(AND(L1175&gt;=Законод!$E$22,L1175&lt;=Законод!$E$23),L1175-Законод!$C$22,IF('01_Доходи'!L1175&gt;=Законод!$F$22,Законод!$E$24,0)))),IF($B$1171="Лікар-педіатр",IF(L1175&lt;Законод!$C$18,0,(IF(AND(L1175&gt;=Законод!$E$18,L1175&lt;=Законод!$E$19),L1175-Законод!$C$18,IF('01_Доходи'!L1175&gt;=Законод!$F$18,Законод!$E$20,0)))),IF($B$1171="Лікар-терапевт",IF(L1175&lt;Законод!$C$26,0,(IF(AND(L1175&gt;=Законод!$E$26,L1175&lt;=Законод!$E$27),L1175-Законод!$C$26,IF('01_Доходи'!L1175&gt;=Законод!$F$26,Законод!$E$28,0)))),0)))</f>
        <v>0</v>
      </c>
      <c r="M1177" s="930"/>
      <c r="N1177" s="889" t="s">
        <v>346</v>
      </c>
      <c r="O1177" s="890"/>
      <c r="P1177" s="890"/>
      <c r="Q1177" s="890"/>
      <c r="R1177" s="891"/>
      <c r="S1177" s="196">
        <f ca="1">IF($B$1171="Лікар загальної практики - сімейний лікар",IF(S1175&lt;Законод!$C$22,0,(IF(AND(S1175&gt;=Законод!$E$22,S1175&lt;=Законод!$E$23),S1175-Законод!$C$22,IF('01_Доходи'!S1175&gt;=Законод!$F$22,Законод!$E$24,0)))),IF($B$1171="Лікар-педіатр",IF(S1175&lt;Законод!$C$18,0,(IF(AND(S1175&gt;=Законод!$E$18,S1175&lt;=Законод!$E$19),S1175-Законод!$C$18,IF('01_Доходи'!S1175&gt;=Законод!$F$18,Законод!$E$20,0)))),IF($B$1171="Лікар-терапевт",IF(S1175&lt;Законод!$C$26,0,(IF(AND(S1175&gt;=Законод!$E$26,S1175&lt;=Законод!$E$27),S1175-Законод!$C$26,IF('01_Доходи'!S1175&gt;=Законод!$F$26,Законод!$E$28,0)))),0)))</f>
        <v>0</v>
      </c>
      <c r="T1177" s="930"/>
      <c r="U1177" s="889" t="s">
        <v>346</v>
      </c>
      <c r="V1177" s="890"/>
      <c r="W1177" s="890"/>
      <c r="X1177" s="890"/>
      <c r="Y1177" s="891"/>
      <c r="Z1177" s="196">
        <f ca="1">IF($B$1171="Лікар загальної практики - сімейний лікар",IF(Z1175&lt;Законод!$C$22,0,(IF(AND(Z1175&gt;=Законод!$E$22,Z1175&lt;=Законод!$E$23),Z1175-Законод!$C$22,IF('01_Доходи'!Z1175&gt;=Законод!$F$22,Законод!$E$24,0)))),IF($B$1171="Лікар-педіатр",IF(Z1175&lt;Законод!$C$18,0,(IF(AND(Z1175&gt;=Законод!$E$18,Z1175&lt;=Законод!$E$19),Z1175-Законод!$C$18,IF('01_Доходи'!Z1175&gt;=Законод!$F$18,Законод!$E$20,0)))),IF($B$1171="Лікар-терапевт",IF(Z1175&lt;Законод!$C$26,0,(IF(AND(Z1175&gt;=Законод!$E$26,Z1175&lt;=Законод!$E$27),Z1175-Законод!$C$26,IF('01_Доходи'!Z1175&gt;=Законод!$F$26,Законод!$E$28,0)))),0)))</f>
        <v>0</v>
      </c>
      <c r="AA1177" s="930"/>
      <c r="AB1177" s="889" t="s">
        <v>346</v>
      </c>
      <c r="AC1177" s="890"/>
      <c r="AD1177" s="890"/>
      <c r="AE1177" s="890"/>
      <c r="AF1177" s="891"/>
      <c r="AG1177" s="196">
        <f ca="1">IF($B$1171="Лікар загальної практики - сімейний лікар",IF(AG1175&lt;Законод!$C$22,0,(IF(AND(AG1175&gt;=Законод!$E$22,AG1175&lt;=Законод!$E$23),AG1175-Законод!$C$22,IF('01_Доходи'!AG1175&gt;=Законод!$F$22,Законод!$E$24,0)))),IF($B$1171="Лікар-педіатр",IF(AG1175&lt;Законод!$C$18,0,(IF(AND(AG1175&gt;=Законод!$E$18,AG1175&lt;=Законод!$E$19),AG1175-Законод!$C$18,IF('01_Доходи'!AG1175&gt;=Законод!$F$18,Законод!$E$20,0)))),IF($B$1171="Лікар-терапевт",IF(AG1175&lt;Законод!$C$26,0,(IF(AND(AG1175&gt;=Законод!$E$26,AG1175&lt;=Законод!$E$27),AG1175-Законод!$C$26,IF('01_Доходи'!AG1175&gt;=Законод!$F$26,Законод!$E$28,0)))),0)))</f>
        <v>0</v>
      </c>
      <c r="AH1177" s="930"/>
      <c r="AI1177" s="201"/>
      <c r="AJ1177" s="933"/>
      <c r="AK1177" s="927"/>
      <c r="AL1177" s="927"/>
      <c r="AM1177" s="898" t="s">
        <v>375</v>
      </c>
      <c r="AN1177" s="210">
        <f ca="1">IF(B1171="Лікар загальної практики - сімейний лікар",L1177*Законод!$C$9/4*Законод!$E$16,IF(B1171="Лікар-педіатр",L1177*Законод!$C$9/4*Законод!$E$16,IF(B1171="Лікар-терапевт",L1177*Законод!$C$9/4*Законод!$E$16,0)))</f>
        <v>0</v>
      </c>
      <c r="AO1177" s="210">
        <f ca="1">IF(B1171="Лікар загальної практики - сімейний лікар",S1177*Законод!$C$9/4*Законод!$E$16,IF(B1171="Лікар-педіатр",S1177*Законод!$C$9/4*Законод!$E$16,IF(B1171="Лікар-терапевт",S1177*Законод!$C$9/4*Законод!$E$16,0)))</f>
        <v>0</v>
      </c>
      <c r="AP1177" s="210">
        <f ca="1">IF(B1171="Лікар загальної практики - сімейний лікар",Z1177*Законод!$C$9/4*Законод!$E$16,IF(B1171="Лікар-педіатр",Z1177*Законод!$C$9/4*Законод!$E$16,IF(B1171="Лікар-терапевт",Z1177*Законод!$C$9/4*Законод!$E$16,0)))</f>
        <v>0</v>
      </c>
      <c r="AQ1177" s="210">
        <f ca="1">IF(B1171="Лікар загальної практики - сімейний лікар",AG1177*Законод!$C$9/4*Законод!$E$16,IF(B1171="Лікар-педіатр",AG1177*Законод!$C$9/4*Законод!$E$16,IF(B1171="Лікар-терапевт",AG1177*Законод!$C$9/4*Законод!$E$16,0)))</f>
        <v>0</v>
      </c>
      <c r="AR1177" s="211">
        <f t="shared" si="117"/>
        <v>0</v>
      </c>
    </row>
    <row r="1178" spans="1:44" s="50" customFormat="1" ht="31.9" hidden="1" customHeight="1">
      <c r="A1178" s="197"/>
      <c r="B1178" s="893"/>
      <c r="C1178" s="896"/>
      <c r="D1178" s="912"/>
      <c r="E1178" s="909"/>
      <c r="F1178" s="238" t="str">
        <f ca="1">IF(B1171="Лікар-педіатр",Законод!$F$17,IF(B1171="Лікар загальної практики - сімейний лікар",Законод!$F$21,IF(B1171="Лікар-терапевт",Законод!$F$25,"х")))</f>
        <v>х</v>
      </c>
      <c r="G1178" s="889" t="s">
        <v>346</v>
      </c>
      <c r="H1178" s="890"/>
      <c r="I1178" s="890"/>
      <c r="J1178" s="890"/>
      <c r="K1178" s="891"/>
      <c r="L1178" s="196">
        <f ca="1">IF($B$1171="Лікар загальної практики - сімейний лікар",IF(L1175&lt;Законод!$C$22,0,(IF(AND(L1175&gt;=Законод!$F$22,L1175&lt;=Законод!$F$23),L1175-Законод!$E$23,IF('01_Доходи'!L1175&gt;=Законод!$G$22,Законод!$F$24,0)))),IF($B$1171="Лікар-педіатр",IF(L1175&lt;Законод!$C$18,0,(IF(AND(L1175&gt;=Законод!$F$18,L1175&lt;=Законод!$F$19),L1175-Законод!$E$19,IF('01_Доходи'!L1175&gt;=Законод!$G$18,Законод!$F$20,0)))),IF($B$1171="Лікар-терапевт",IF(L1175&lt;Законод!$C$26,0,(IF(AND(L1175&gt;=Законод!$F$26,L1175&lt;=Законод!$F$27),L1175-Законод!$E$27,IF('01_Доходи'!L1175&gt;=Законод!$G$26,Законод!$F$28,0)))),0)))</f>
        <v>0</v>
      </c>
      <c r="M1178" s="930"/>
      <c r="N1178" s="889" t="s">
        <v>346</v>
      </c>
      <c r="O1178" s="890"/>
      <c r="P1178" s="890"/>
      <c r="Q1178" s="890"/>
      <c r="R1178" s="891"/>
      <c r="S1178" s="196">
        <f ca="1">IF($B$1171="Лікар загальної практики - сімейний лікар",IF(S1175&lt;Законод!$C$22,0,(IF(AND(S1175&gt;=Законод!$F$22,S1175&lt;=Законод!$F$23),S1175-Законод!$E$23,IF('01_Доходи'!S1175&gt;=Законод!$G$22,Законод!$F$24,0)))),IF($B$1171="Лікар-педіатр",IF(S1175&lt;Законод!$C$18,0,(IF(AND(S1175&gt;=Законод!$F$18,S1175&lt;=Законод!$F$19),S1175-Законод!$E$19,IF('01_Доходи'!S1175&gt;=Законод!$G$18,Законод!$F$20,0)))),IF($B$1171="Лікар-терапевт",IF(S1175&lt;Законод!$C$26,0,(IF(AND(S1175&gt;=Законод!$F$26,S1175&lt;=Законод!$F$27),S1175-Законод!$E$27,IF('01_Доходи'!S1175&gt;=Законод!$G$26,Законод!$F$28,0)))),0)))</f>
        <v>0</v>
      </c>
      <c r="T1178" s="930"/>
      <c r="U1178" s="889" t="s">
        <v>346</v>
      </c>
      <c r="V1178" s="890"/>
      <c r="W1178" s="890"/>
      <c r="X1178" s="890"/>
      <c r="Y1178" s="891"/>
      <c r="Z1178" s="196">
        <f ca="1">IF($B$1171="Лікар загальної практики - сімейний лікар",IF(Z1175&lt;Законод!$C$22,0,(IF(AND(Z1175&gt;=Законод!$F$22,Z1175&lt;=Законод!$F$23),Z1175-Законод!$E$23,IF('01_Доходи'!Z1175&gt;=Законод!$G$22,Законод!$F$24,0)))),IF($B$1171="Лікар-педіатр",IF(Z1175&lt;Законод!$C$18,0,(IF(AND(Z1175&gt;=Законод!$F$18,Z1175&lt;=Законод!$F$19),Z1175-Законод!$E$19,IF('01_Доходи'!Z1175&gt;=Законод!$G$18,Законод!$F$20,0)))),IF($B$1171="Лікар-терапевт",IF(Z1175&lt;Законод!$C$26,0,(IF(AND(Z1175&gt;=Законод!$F$26,Z1175&lt;=Законод!$F$27),Z1175-Законод!$E$27,IF('01_Доходи'!Z1175&gt;=Законод!$G$26,Законод!$F$28,0)))),0)))</f>
        <v>0</v>
      </c>
      <c r="AA1178" s="930"/>
      <c r="AB1178" s="889" t="s">
        <v>346</v>
      </c>
      <c r="AC1178" s="890"/>
      <c r="AD1178" s="890"/>
      <c r="AE1178" s="890"/>
      <c r="AF1178" s="891"/>
      <c r="AG1178" s="196">
        <f ca="1">IF($B$1171="Лікар загальної практики - сімейний лікар",IF(AG1175&lt;Законод!$C$22,0,(IF(AND(AG1175&gt;=Законод!$F$22,AG1175&lt;=Законод!$F$23),AG1175-Законод!$E$23,IF('01_Доходи'!AG1175&gt;=Законод!$G$22,Законод!$F$24,0)))),IF($B$1171="Лікар-педіатр",IF(AG1175&lt;Законод!$C$18,0,(IF(AND(AG1175&gt;=Законод!$F$18,AG1175&lt;=Законод!$F$19),AG1175-Законод!$E$19,IF('01_Доходи'!AG1175&gt;=Законод!$G$18,Законод!$F$20,0)))),IF($B$1171="Лікар-терапевт",IF(AG1175&lt;Законод!$C$26,0,(IF(AND(AG1175&gt;=Законод!$F$26,AG1175&lt;=Законод!$F$27),AG1175-Законод!$E$27,IF('01_Доходи'!AG1175&gt;=Законод!$G$26,Законод!$F$28,0)))),0)))</f>
        <v>0</v>
      </c>
      <c r="AH1178" s="930"/>
      <c r="AI1178" s="201"/>
      <c r="AJ1178" s="933"/>
      <c r="AK1178" s="927"/>
      <c r="AL1178" s="927"/>
      <c r="AM1178" s="899"/>
      <c r="AN1178" s="210">
        <f ca="1">IF(B1171="Лікар загальної практики - сімейний лікар",L1178*Законод!$C$9/4*Законод!$F$16,IF(B1171="Лікар-педіатр",L1178*Законод!$C$9/4*Законод!$F$16,IF(B1171="Лікар-терапевт",L1178*Законод!$C$9/4*Законод!$F$16,0)))</f>
        <v>0</v>
      </c>
      <c r="AO1178" s="210">
        <f ca="1">IF(B1171="Лікар загальної практики - сімейний лікар",S1178*Законод!$C$9/4*Законод!$F$16,IF(B1171="Лікар-педіатр",S1178*Законод!$C$9/4*Законод!$F$16,IF(B1171="Лікар-терапевт",S1178*Законод!$C$9/4*Законод!$F$16,0)))</f>
        <v>0</v>
      </c>
      <c r="AP1178" s="210">
        <f ca="1">IF(B1171="Лікар загальної практики - сімейний лікар",Z1178*Законод!$C$9/4*Законод!$F$16,IF(B1171="Лікар-педіатр",Z1178*Законод!$C$9/4*Законод!$F$16,IF(B1171="Лікар-терапевт",Z1178*Законод!$C$9/4*Законод!$F$16,0)))</f>
        <v>0</v>
      </c>
      <c r="AQ1178" s="210">
        <f ca="1">IF(B1171="Лікар загальної практики - сімейний лікар",AG1178*Законод!$C$9/4*Законод!$F$16,IF(B1171="Лікар-педіатр",AG1178*Законод!$C$9/4*Законод!$F$16,IF(B1171="Лікар-терапевт",AG1178*Законод!$C$9/4*Законод!$F$16,0)))</f>
        <v>0</v>
      </c>
      <c r="AR1178" s="211">
        <f t="shared" si="117"/>
        <v>0</v>
      </c>
    </row>
    <row r="1179" spans="1:44" s="50" customFormat="1" ht="31.9" hidden="1" customHeight="1">
      <c r="A1179" s="197"/>
      <c r="B1179" s="893"/>
      <c r="C1179" s="896"/>
      <c r="D1179" s="912"/>
      <c r="E1179" s="909"/>
      <c r="F1179" s="238" t="str">
        <f ca="1">IF(B1171="Лікар-педіатр",Законод!$G$17,IF(B1171="Лікар загальної практики - сімейний лікар",Законод!$G$21,IF(B1171="Лікар-терапевт",Законод!$G$25,"х")))</f>
        <v>х</v>
      </c>
      <c r="G1179" s="889" t="s">
        <v>346</v>
      </c>
      <c r="H1179" s="890"/>
      <c r="I1179" s="890"/>
      <c r="J1179" s="890"/>
      <c r="K1179" s="891"/>
      <c r="L1179" s="196">
        <f ca="1">IF($B$1171="Лікар загальної практики - сімейний лікар",IF(L1175&lt;Законод!$C$22,0,(IF(AND(L1175&gt;=Законод!$G$22,L1175&lt;=Законод!$G$23),L1175-Законод!$F$23,IF('01_Доходи'!L1175&gt;=Законод!$H$22,Законод!$G$24,0)))),IF($B$1171="Лікар-педіатр",IF(L1175&lt;Законод!$C$18,0,(IF(AND(L1175&gt;=Законод!$G$18,L1175&lt;=Законод!$G$19),L1175-Законод!$F$19,IF('01_Доходи'!L1175&gt;=Законод!$H$18,Законод!$G$20,0)))),IF($B$1171="Лікар-терапевт",IF(L1175&lt;Законод!$C$26,0,(IF(AND(L1175&gt;=Законод!$G$26,L1175&lt;=Законод!$G$27),L1175-Законод!$F$27,IF('01_Доходи'!L1175&gt;=Законод!$H$26,Законод!$G$28,0)))),0)))</f>
        <v>0</v>
      </c>
      <c r="M1179" s="930"/>
      <c r="N1179" s="889" t="s">
        <v>346</v>
      </c>
      <c r="O1179" s="890"/>
      <c r="P1179" s="890"/>
      <c r="Q1179" s="890"/>
      <c r="R1179" s="891"/>
      <c r="S1179" s="196">
        <f ca="1">IF($B$1171="Лікар загальної практики - сімейний лікар",IF(S1175&lt;Законод!$C$22,0,(IF(AND(S1175&gt;=Законод!$G$22,S1175&lt;=Законод!$G$23),S1175-Законод!$F$23,IF('01_Доходи'!S1175&gt;=Законод!$H$22,Законод!$G$24,0)))),IF($B$1171="Лікар-педіатр",IF(S1175&lt;Законод!$C$18,0,(IF(AND(S1175&gt;=Законод!$G$18,S1175&lt;=Законод!$G$19),S1175-Законод!$F$19,IF('01_Доходи'!S1175&gt;=Законод!$H$18,Законод!$G$20,0)))),IF($B$1171="Лікар-терапевт",IF(S1175&lt;Законод!$C$26,0,(IF(AND(S1175&gt;=Законод!$G$26,S1175&lt;=Законод!$G$27),S1175-Законод!$F$27,IF('01_Доходи'!S1175&gt;=Законод!$H$26,Законод!$G$28,0)))),0)))</f>
        <v>0</v>
      </c>
      <c r="T1179" s="930"/>
      <c r="U1179" s="889" t="s">
        <v>346</v>
      </c>
      <c r="V1179" s="890"/>
      <c r="W1179" s="890"/>
      <c r="X1179" s="890"/>
      <c r="Y1179" s="891"/>
      <c r="Z1179" s="196">
        <f ca="1">IF($B$1171="Лікар загальної практики - сімейний лікар",IF(Z1175&lt;Законод!$C$22,0,(IF(AND(Z1175&gt;=Законод!$G$22,Z1175&lt;=Законод!$G$23),Z1175-Законод!$F$23,IF('01_Доходи'!Z1175&gt;=Законод!$H$22,Законод!$G$24,0)))),IF($B$1171="Лікар-педіатр",IF(Z1175&lt;Законод!$C$18,0,(IF(AND(Z1175&gt;=Законод!$G$18,Z1175&lt;=Законод!$G$19),Z1175-Законод!$F$19,IF('01_Доходи'!Z1175&gt;=Законод!$H$18,Законод!$G$20,0)))),IF($B$1171="Лікар-терапевт",IF(Z1175&lt;Законод!$C$26,0,(IF(AND(Z1175&gt;=Законод!$G$26,Z1175&lt;=Законод!$G$27),Z1175-Законод!$F$27,IF('01_Доходи'!Z1175&gt;=Законод!$H$26,Законод!$G$28,0)))),0)))</f>
        <v>0</v>
      </c>
      <c r="AA1179" s="930"/>
      <c r="AB1179" s="889" t="s">
        <v>346</v>
      </c>
      <c r="AC1179" s="890"/>
      <c r="AD1179" s="890"/>
      <c r="AE1179" s="890"/>
      <c r="AF1179" s="891"/>
      <c r="AG1179" s="196">
        <f ca="1">IF($B$1171="Лікар загальної практики - сімейний лікар",IF(AG1175&lt;Законод!$C$22,0,(IF(AND(AG1175&gt;=Законод!$G$22,AG1175&lt;=Законод!$G$23),AG1175-Законод!$F$23,IF('01_Доходи'!AG1175&gt;=Законод!$H$22,Законод!$G$24,0)))),IF($B$1171="Лікар-педіатр",IF(AG1175&lt;Законод!$C$18,0,(IF(AND(AG1175&gt;=Законод!$G$18,AG1175&lt;=Законод!$G$19),AG1175-Законод!$F$19,IF('01_Доходи'!AG1175&gt;=Законод!$H$18,Законод!$G$20,0)))),IF($B$1171="Лікар-терапевт",IF(AG1175&lt;Законод!$C$26,0,(IF(AND(AG1175&gt;=Законод!$G$26,AG1175&lt;=Законод!$G$27),AG1175-Законод!$F$27,IF('01_Доходи'!AG1175&gt;=Законод!$H$26,Законод!$G$28,0)))),0)))</f>
        <v>0</v>
      </c>
      <c r="AH1179" s="930"/>
      <c r="AI1179" s="201"/>
      <c r="AJ1179" s="933"/>
      <c r="AK1179" s="927"/>
      <c r="AL1179" s="927"/>
      <c r="AM1179" s="899"/>
      <c r="AN1179" s="210">
        <f ca="1">IF(B1171="Лікар загальної практики - сімейний лікар",L1179*Законод!$C$9/4*Законод!$G$16,IF(B1171="Лікар-педіатр",L1179*Законод!$C$9/4*Законод!$G$16,IF(B1171="Лікар-терапевт",L1179*Законод!$C$9/4*Законод!$G$16,0)))</f>
        <v>0</v>
      </c>
      <c r="AO1179" s="210">
        <f ca="1">IF(B1171="Лікар загальної практики - сімейний лікар",S1179*Законод!$C$9/4*Законод!$G$16,IF(B1171="Лікар-педіатр",S1179*Законод!$C$9/4*Законод!$G$16,IF(B1171="Лікар-терапевт",S1179*Законод!$C$9/4*Законод!$G$16,0)))</f>
        <v>0</v>
      </c>
      <c r="AP1179" s="210">
        <f ca="1">IF(B1171="Лікар загальної практики - сімейний лікар",Z1179*Законод!$C$9/4*Законод!$G$16,IF(B1171="Лікар-педіатр",Z1179*Законод!$C$9/4*Законод!$G$16,IF(B1171="Лікар-терапевт",Z1179*Законод!$C$9/4*Законод!$G$16,0)))</f>
        <v>0</v>
      </c>
      <c r="AQ1179" s="210">
        <f ca="1">IF(B1171="Лікар загальної практики - сімейний лікар",AG1179*Законод!$C$9/4*Законод!$G$16,IF(B1171="Лікар-педіатр",AG1179*Законод!$C$9/4*Законод!$G$16,IF(B1171="Лікар-терапевт",AG1179*Законод!$C$9/4*Законод!$G$16,0)))</f>
        <v>0</v>
      </c>
      <c r="AR1179" s="211">
        <f t="shared" si="117"/>
        <v>0</v>
      </c>
    </row>
    <row r="1180" spans="1:44" s="50" customFormat="1" ht="31.9" hidden="1" customHeight="1">
      <c r="A1180" s="197"/>
      <c r="B1180" s="893"/>
      <c r="C1180" s="896"/>
      <c r="D1180" s="912"/>
      <c r="E1180" s="909"/>
      <c r="F1180" s="238" t="str">
        <f ca="1">IF(B1171="Лікар-педіатр",Законод!$H$17,IF(B1171="Лікар загальної практики - сімейний лікар",Законод!$H$21,IF(B1171="Лікар-терапевт",Законод!$H$25,"х")))</f>
        <v>х</v>
      </c>
      <c r="G1180" s="889" t="s">
        <v>346</v>
      </c>
      <c r="H1180" s="890"/>
      <c r="I1180" s="890"/>
      <c r="J1180" s="890"/>
      <c r="K1180" s="891"/>
      <c r="L1180" s="196">
        <f ca="1">IF($B$1171="Лікар загальної практики - сімейний лікар",IF(L1175&lt;Законод!$C$22,0,(IF(AND(L1175&gt;=Законод!$H$22,L1175&lt;=Законод!$H$23),L1175-Законод!$G$23,IF('01_Доходи'!L1175&gt;=Законод!$I$22,Законод!$H$24,0)))),IF($B$1171="Лікар-педіатр",IF(L1175&lt;Законод!$C$18,0,(IF(AND(L1175&gt;=Законод!$H$18,L1175&lt;=Законод!$H$19),L1175-Законод!$G$19,IF('01_Доходи'!L1175&gt;=Законод!$I$18,Законод!$H$20,0)))),IF($B$1171="Лікар-терапевт",IF(L1175&lt;Законод!$C$26,0,(IF(AND(L1175&gt;=Законод!$H$26,L1175&lt;=Законод!$H$27),L1175-Законод!$G$27,IF(L1175&gt;=Законод!$I$26,Законод!$H$28,0)))),0)))</f>
        <v>0</v>
      </c>
      <c r="M1180" s="930"/>
      <c r="N1180" s="889" t="s">
        <v>346</v>
      </c>
      <c r="O1180" s="890"/>
      <c r="P1180" s="890"/>
      <c r="Q1180" s="890"/>
      <c r="R1180" s="891"/>
      <c r="S1180" s="196">
        <f ca="1">IF($B$1171="Лікар загальної практики - сімейний лікар",IF(S1175&lt;Законод!$C$22,0,(IF(AND(S1175&gt;=Законод!$H$22,S1175&lt;=Законод!$H$23),S1175-Законод!$G$23,IF('01_Доходи'!S1175&gt;=Законод!$I$22,Законод!$H$24,0)))),IF($B$1171="Лікар-педіатр",IF(S1175&lt;Законод!$C$18,0,(IF(AND(S1175&gt;=Законод!$H$18,S1175&lt;=Законод!$H$19),S1175-Законод!$G$19,IF('01_Доходи'!S1175&gt;=Законод!$I$18,Законод!$H$20,0)))),IF($B$1171="Лікар-терапевт",IF(S1175&lt;Законод!$C$26,0,(IF(AND(S1175&gt;=Законод!$H$26,S1175&lt;=Законод!$H$27),S1175-Законод!$G$27,IF(S1175&gt;=Законод!$I$26,Законод!$H$28,0)))),0)))</f>
        <v>0</v>
      </c>
      <c r="T1180" s="930"/>
      <c r="U1180" s="889" t="s">
        <v>346</v>
      </c>
      <c r="V1180" s="890"/>
      <c r="W1180" s="890"/>
      <c r="X1180" s="890"/>
      <c r="Y1180" s="891"/>
      <c r="Z1180" s="196">
        <f ca="1">IF($B$1171="Лікар загальної практики - сімейний лікар",IF(Z1175&lt;Законод!$C$22,0,(IF(AND(Z1175&gt;=Законод!$H$22,Z1175&lt;=Законод!$H$23),Z1175-Законод!$G$23,IF('01_Доходи'!Z1175&gt;=Законод!$I$22,Законод!$H$24,0)))),IF($B$1171="Лікар-педіатр",IF(Z1175&lt;Законод!$C$18,0,(IF(AND(Z1175&gt;=Законод!$H$18,Z1175&lt;=Законод!$H$19),Z1175-Законод!$G$19,IF('01_Доходи'!Z1175&gt;=Законод!$I$18,Законод!$H$20,0)))),IF($B$1171="Лікар-терапевт",IF(Z1175&lt;Законод!$C$26,0,(IF(AND(Z1175&gt;=Законод!$H$26,Z1175&lt;=Законод!$H$27),Z1175-Законод!$G$27,IF(Z1175&gt;=Законод!$I$26,Законод!$H$28,0)))),0)))</f>
        <v>0</v>
      </c>
      <c r="AA1180" s="930"/>
      <c r="AB1180" s="889" t="s">
        <v>346</v>
      </c>
      <c r="AC1180" s="890"/>
      <c r="AD1180" s="890"/>
      <c r="AE1180" s="890"/>
      <c r="AF1180" s="891"/>
      <c r="AG1180" s="196">
        <f ca="1">IF($B$1171="Лікар загальної практики - сімейний лікар",IF(AG1175&lt;Законод!$C$22,0,(IF(AND(AG1175&gt;=Законод!$H$22,AG1175&lt;=Законод!$H$23),AG1175-Законод!$G$23,IF('01_Доходи'!AG1175&gt;=Законод!$I$22,Законод!$H$24,0)))),IF($B$1171="Лікар-педіатр",IF(AG1175&lt;Законод!$C$18,0,(IF(AND(AG1175&gt;=Законод!$H$18,AG1175&lt;=Законод!$H$19),AG1175-Законод!$G$19,IF('01_Доходи'!AG1175&gt;=Законод!$I$18,Законод!$H$20,0)))),IF($B$1171="Лікар-терапевт",IF(AG1175&lt;Законод!$C$26,0,(IF(AND(AG1175&gt;=Законод!$H$26,AG1175&lt;=Законод!$H$27),AG1175-Законод!$G$27,IF(AG1175&gt;=Законод!$I$26,Законод!$H$28,0)))),0)))</f>
        <v>0</v>
      </c>
      <c r="AH1180" s="930"/>
      <c r="AI1180" s="201"/>
      <c r="AJ1180" s="933"/>
      <c r="AK1180" s="927"/>
      <c r="AL1180" s="927"/>
      <c r="AM1180" s="899"/>
      <c r="AN1180" s="210">
        <f ca="1">IF(B1171="Лікар загальної практики - сімейний лікар",L1180*Законод!$C$9/4*Законод!$H$16,IF(B1171="Лікар-педіатр",L1180*Законод!$C$9/4*Законод!$H$16,IF(B1171="Лікар-терапевт",L1180*Законод!$C$9/4*Законод!$H$16,0)))</f>
        <v>0</v>
      </c>
      <c r="AO1180" s="210">
        <f ca="1">IF(B1171="Лікар загальної практики - сімейний лікар",S1180*Законод!$C$9/4*Законод!$H$16,IF(B1171="Лікар-педіатр",S1180*Законод!$C$9/4*Законод!$H$16,IF(B1171="Лікар-терапевт",S1180*Законод!$C$9/4*Законод!$H$16,0)))</f>
        <v>0</v>
      </c>
      <c r="AP1180" s="210">
        <f ca="1">IF(B1171="Лікар загальної практики - сімейний лікар",Z1180*Законод!$C$9/4*Законод!$H$16,IF(B1171="Лікар-педіатр",Z1180*Законод!$C$9/4*Законод!$H$16,IF(B1171="Лікар-терапевт",Z1180*Законод!$C$9/4*Законод!$H$16,0)))</f>
        <v>0</v>
      </c>
      <c r="AQ1180" s="210">
        <f ca="1">IF(B1171="Лікар загальної практики - сімейний лікар",AG1180*Законод!$C$9/4*Законод!$H$16,IF(B1171="Лікар-педіатр",AG1180*Законод!$C$9/4*Законод!$H$16,IF(B1171="Лікар-терапевт",AG1180*Законод!$C$9/4*Законод!$H$16,0)))</f>
        <v>0</v>
      </c>
      <c r="AR1180" s="211">
        <f t="shared" si="117"/>
        <v>0</v>
      </c>
    </row>
    <row r="1181" spans="1:44" s="50" customFormat="1" ht="31.9" hidden="1" customHeight="1">
      <c r="A1181" s="197"/>
      <c r="B1181" s="893"/>
      <c r="C1181" s="896"/>
      <c r="D1181" s="912"/>
      <c r="E1181" s="909"/>
      <c r="F1181" s="238" t="str">
        <f ca="1">IF(B1171="Лікар-педіатр",Законод!$I$17,IF(B1171="Лікар загальної практики - сімейний лікар",Законод!$I$21,IF(B1171="Лікар-терапевт",Законод!$I$25,"х")))</f>
        <v>х</v>
      </c>
      <c r="G1181" s="889" t="s">
        <v>346</v>
      </c>
      <c r="H1181" s="890"/>
      <c r="I1181" s="890"/>
      <c r="J1181" s="890"/>
      <c r="K1181" s="891"/>
      <c r="L1181" s="196">
        <f ca="1">IF($B$1171="Лікар загальної практики - сімейний лікар",IF(L1175&lt;Законод!$C$22,0,(IF(AND(L1175&gt;=Законод!$I$22,L1175&lt;=Законод!$I$23),L1175-Законод!$H$23,IF('01_Доходи'!L1175&gt;=Законод!$I$22,Законод!$I$24,0)))),IF($B$1171="Лікар-педіатр",IF(L1175&lt;Законод!$C$18,0,(IF(AND(L1175&gt;=Законод!$I$18,L1175&lt;=Законод!$I$19),L1175-Законод!$H$19,IF('01_Доходи'!L1175&gt;=Законод!$I$18,Законод!$H$20,0)))),IF($B$1171="Лікар-терапевт",IF(L1175&lt;Законод!$C$26,0,(IF(AND(L1175&gt;=Законод!$I$26,L1175&lt;=Законод!$I$27),L1175-Законод!$H$27,IF('01_Доходи'!L1175&gt;=Законод!$I$26,Законод!$H$28,0)))),0)))</f>
        <v>0</v>
      </c>
      <c r="M1181" s="930"/>
      <c r="N1181" s="889" t="s">
        <v>346</v>
      </c>
      <c r="O1181" s="890"/>
      <c r="P1181" s="890"/>
      <c r="Q1181" s="890"/>
      <c r="R1181" s="891"/>
      <c r="S1181" s="196">
        <f ca="1">IF($B$1171="Лікар загальної практики - сімейний лікар",IF(S1175&lt;Законод!$C$22,0,(IF(AND(S1175&gt;=Законод!$I$22,S1175&lt;=Законод!$I$23),S1175-Законод!$H$23,IF('01_Доходи'!S1175&gt;=Законод!$I$22,Законод!$I$24,0)))),IF($B$1171="Лікар-педіатр",IF(S1175&lt;Законод!$C$18,0,(IF(AND(S1175&gt;=Законод!$I$18,S1175&lt;=Законод!$I$19),S1175-Законод!$H$19,IF('01_Доходи'!S1175&gt;=Законод!$I$18,Законод!$H$20,0)))),IF($B$1171="Лікар-терапевт",IF(S1175&lt;Законод!$C$26,0,(IF(AND(S1175&gt;=Законод!$I$26,S1175&lt;=Законод!$I$27),S1175-Законод!$H$27,IF('01_Доходи'!S1175&gt;=Законод!$I$26,Законод!$H$28,0)))),0)))</f>
        <v>0</v>
      </c>
      <c r="T1181" s="930"/>
      <c r="U1181" s="889" t="s">
        <v>346</v>
      </c>
      <c r="V1181" s="890"/>
      <c r="W1181" s="890"/>
      <c r="X1181" s="890"/>
      <c r="Y1181" s="891"/>
      <c r="Z1181" s="196">
        <f ca="1">IF($B$1171="Лікар загальної практики - сімейний лікар",IF(Z1175&lt;Законод!$C$22,0,(IF(AND(Z1175&gt;=Законод!$I$22,Z1175&lt;=Законод!$I$23),Z1175-Законод!$H$23,IF('01_Доходи'!Z1175&gt;=Законод!$I$22,Законод!$I$24,0)))),IF($B$1171="Лікар-педіатр",IF(Z1175&lt;Законод!$C$18,0,(IF(AND(Z1175&gt;=Законод!$I$18,Z1175&lt;=Законод!$I$19),Z1175-Законод!$H$19,IF('01_Доходи'!Z1175&gt;=Законод!$I$18,Законод!$H$20,0)))),IF($B$1171="Лікар-терапевт",IF(Z1175&lt;Законод!$C$26,0,(IF(AND(Z1175&gt;=Законод!$I$26,Z1175&lt;=Законод!$I$27),Z1175-Законод!$H$27,IF('01_Доходи'!Z1175&gt;=Законод!$I$26,Законод!$H$28,0)))),0)))</f>
        <v>0</v>
      </c>
      <c r="AA1181" s="930"/>
      <c r="AB1181" s="889" t="s">
        <v>346</v>
      </c>
      <c r="AC1181" s="890"/>
      <c r="AD1181" s="890"/>
      <c r="AE1181" s="890"/>
      <c r="AF1181" s="891"/>
      <c r="AG1181" s="196">
        <f ca="1">IF($B$1171="Лікар загальної практики - сімейний лікар",IF(AG1175&lt;Законод!$C$22,0,(IF(AND(AG1175&gt;=Законод!$I$22,AG1175&lt;=Законод!$I$23),AG1175-Законод!$H$23,IF('01_Доходи'!AG1175&gt;=Законод!$I$22,Законод!$I$24,0)))),IF($B$1171="Лікар-педіатр",IF(AG1175&lt;Законод!$C$18,0,(IF(AND(AG1175&gt;=Законод!$I$18,AG1175&lt;=Законод!$I$19),AG1175-Законод!$H$19,IF('01_Доходи'!AG1175&gt;=Законод!$I$18,Законод!$H$20,0)))),IF($B$1171="Лікар-терапевт",IF(AG1175&lt;Законод!$C$26,0,(IF(AND(AG1175&gt;=Законод!$I$26,AG1175&lt;=Законод!$I$27),AG1175-Законод!$H$27,IF('01_Доходи'!AG1175&gt;=Законод!$I$26,Законод!$H$28,0)))),0)))</f>
        <v>0</v>
      </c>
      <c r="AH1181" s="930"/>
      <c r="AI1181" s="201"/>
      <c r="AJ1181" s="933"/>
      <c r="AK1181" s="927"/>
      <c r="AL1181" s="927"/>
      <c r="AM1181" s="899"/>
      <c r="AN1181" s="210">
        <f ca="1">IF(B1171="Лікар загальної практики - сімейний лікар",L1181*Законод!$C$9/4*Законод!$I$16,IF(B1171="Лікар-педіатр",L1181*Законод!$C$9/4*Законод!$I$16,IF(B1171="Лікар-терапевт",L1181*Законод!$C$9/4*Законод!$I$16,0)))</f>
        <v>0</v>
      </c>
      <c r="AO1181" s="210">
        <f ca="1">IF(B1171="Лікар загальної практики - сімейний лікар",S1181*Законод!$C$9/4*Законод!$I$16,IF(B1171="Лікар-педіатр",S1181*Законод!$C$9/4*Законод!$I$16,IF(B1171="Лікар-терапевт",S1181*Законод!$C$9/4*Законод!$I$16,0)))</f>
        <v>0</v>
      </c>
      <c r="AP1181" s="210">
        <f ca="1">IF(B1171="Лікар загальної практики - сімейний лікар",Z1181*Законод!$C$9/4*Законод!$I$16,IF(B1171="Лікар-педіатр",Z1181*Законод!$C$9/4*Законод!$I$16,IF(B1171="Лікар-терапевт",Z1181*Законод!$C$9/4*Законод!$I$16,0)))</f>
        <v>0</v>
      </c>
      <c r="AQ1181" s="210">
        <f ca="1">IF(B1171="Лікар загальної практики - сімейний лікар",AG1181*Законод!$C$9/4*Законод!$I$16,IF(B1171="Лікар-педіатр",AG1181*Законод!$C$9/4*Законод!$I$16,IF(B1171="Лікар-терапевт",AG1181*Законод!$C$9/4*Законод!$I$16,0)))</f>
        <v>0</v>
      </c>
      <c r="AR1181" s="211">
        <f t="shared" si="117"/>
        <v>0</v>
      </c>
    </row>
    <row r="1182" spans="1:44" s="218" customFormat="1" ht="31.9" hidden="1" customHeight="1" thickBot="1">
      <c r="A1182" s="213"/>
      <c r="B1182" s="894"/>
      <c r="C1182" s="897"/>
      <c r="D1182" s="913"/>
      <c r="E1182" s="910"/>
      <c r="F1182" s="239" t="str">
        <f ca="1">IF(B1171="Лікар-педіатр",Законод!$J$17,IF(B1171="Лікар загальної практики - сімейний лікар",Законод!$J$21,IF(B1171="Лікар-терапевт",Законод!$J$25,"х")))</f>
        <v>х</v>
      </c>
      <c r="G1182" s="935" t="s">
        <v>346</v>
      </c>
      <c r="H1182" s="936"/>
      <c r="I1182" s="936"/>
      <c r="J1182" s="936"/>
      <c r="K1182" s="937"/>
      <c r="L1182" s="196">
        <f ca="1">IF($B$1171="Лікар загальної практики - сімейний лікар",IF(L1175&gt;=Законод!$J$22,'01_Доходи'!L1175-('01_Доходи'!L1176+'01_Доходи'!L1177+'01_Доходи'!L1178+'01_Доходи'!L1179+'01_Доходи'!L1180+'01_Доходи'!L1181),0),IF($B$1171="Лікар-педіатр",IF(L1175&gt;=Законод!$J$18,'01_Доходи'!L1175-('01_Доходи'!L1176+'01_Доходи'!L1177+'01_Доходи'!L1178+'01_Доходи'!L1179+'01_Доходи'!L1180+'01_Доходи'!L1181),0),IF($B$1171="Лікар-терапевт",IF('01_Доходи'!L1175&gt;=Законод!$J$26,L1175-Законод!$I$27,0),0)))</f>
        <v>0</v>
      </c>
      <c r="M1182" s="931"/>
      <c r="N1182" s="935" t="s">
        <v>346</v>
      </c>
      <c r="O1182" s="936"/>
      <c r="P1182" s="936"/>
      <c r="Q1182" s="936"/>
      <c r="R1182" s="937"/>
      <c r="S1182" s="196">
        <f ca="1">IF($B$1171="Лікар загальної практики - сімейний лікар",IF(S1175&gt;=Законод!$J$22,'01_Доходи'!S1175-('01_Доходи'!S1176+'01_Доходи'!S1177+'01_Доходи'!S1178+'01_Доходи'!S1179+'01_Доходи'!S1180+'01_Доходи'!S1181),0),IF($B$1171="Лікар-педіатр",IF(S1175&gt;=Законод!$J$18,'01_Доходи'!S1175-('01_Доходи'!S1176+'01_Доходи'!S1177+'01_Доходи'!S1178+'01_Доходи'!S1179+'01_Доходи'!S1180+'01_Доходи'!S1181),0),IF($B$1171="Лікар-терапевт",IF('01_Доходи'!S1175&gt;=Законод!$J$26,S1175-Законод!$I$27,0),0)))</f>
        <v>0</v>
      </c>
      <c r="T1182" s="931"/>
      <c r="U1182" s="935" t="s">
        <v>346</v>
      </c>
      <c r="V1182" s="936"/>
      <c r="W1182" s="936"/>
      <c r="X1182" s="936"/>
      <c r="Y1182" s="937"/>
      <c r="Z1182" s="196">
        <f ca="1">IF($B$1171="Лікар загальної практики - сімейний лікар",IF(Z1175&gt;=Законод!$J$22,'01_Доходи'!Z1175-('01_Доходи'!Z1176+'01_Доходи'!Z1177+'01_Доходи'!Z1178+'01_Доходи'!Z1179+'01_Доходи'!Z1180+'01_Доходи'!Z1181),0),IF($B$1171="Лікар-педіатр",IF(Z1175&gt;=Законод!$J$18,'01_Доходи'!Z1175-('01_Доходи'!Z1176+'01_Доходи'!Z1177+'01_Доходи'!Z1178+'01_Доходи'!Z1179+'01_Доходи'!Z1180+'01_Доходи'!Z1181),0),IF($B$1171="Лікар-терапевт",IF('01_Доходи'!Z1175&gt;=Законод!$J$26,Z1175-Законод!$I$27,0),0)))</f>
        <v>0</v>
      </c>
      <c r="AA1182" s="931"/>
      <c r="AB1182" s="935" t="s">
        <v>346</v>
      </c>
      <c r="AC1182" s="936"/>
      <c r="AD1182" s="936"/>
      <c r="AE1182" s="936"/>
      <c r="AF1182" s="937"/>
      <c r="AG1182" s="196">
        <f ca="1">IF($B$1171="Лікар загальної практики - сімейний лікар",IF(AG1175&gt;=Законод!$J$22,'01_Доходи'!AG1175-('01_Доходи'!AG1176+'01_Доходи'!AG1177+'01_Доходи'!AG1178+'01_Доходи'!AG1179+'01_Доходи'!AG1180+'01_Доходи'!AG1181),0),IF($B$1171="Лікар-педіатр",IF(AG1175&gt;=Законод!$J$18,'01_Доходи'!AG1175-('01_Доходи'!AG1176+'01_Доходи'!AG1177+'01_Доходи'!AG1178+'01_Доходи'!AG1179+'01_Доходи'!AG1180+'01_Доходи'!AG1181),0),IF($B$1171="Лікар-терапевт",IF('01_Доходи'!AG1175&gt;=Законод!$J$26,AG1175-Законод!$I$27,0),0)))</f>
        <v>0</v>
      </c>
      <c r="AH1182" s="931"/>
      <c r="AI1182" s="215"/>
      <c r="AJ1182" s="934"/>
      <c r="AK1182" s="928"/>
      <c r="AL1182" s="928"/>
      <c r="AM1182" s="900"/>
      <c r="AN1182" s="216">
        <f ca="1">IF(B1171="Лікар загальної практики - сімейний лікар",L1182*Законод!$C$9/4*Законод!$J$16,IF(B1171="Лікар-педіатр",L1182*Законод!$C$9/4*Законод!$J$16,IF(B1171="Лікар-терапевт",L1182*Законод!$C$9/4*Законод!$J$16,0)))</f>
        <v>0</v>
      </c>
      <c r="AO1182" s="216">
        <f ca="1">IF(B1171="Лікар загальної практики - сімейний лікар",S1182*Законод!$C$9/4*Законод!$J$16,IF(B1171="Лікар-педіатр",S1182*Законод!$C$9/4*Законод!$J$16,IF(B1171="Лікар-терапевт",S1182*Законод!$C$9/4*Законод!$J$16,0)))</f>
        <v>0</v>
      </c>
      <c r="AP1182" s="216">
        <f ca="1">IF(B1171="Лікар загальної практики - сімейний лікар",S1182*Законод!$C$9/4*Законод!$J$16,IF(B1171="Лікар-педіатр",S1182*Законод!$C$9/4*Законод!$J$16,IF(B1171="Лікар-терапевт",S1182*Законод!$C$9/4*Законод!$J$16,0)))</f>
        <v>0</v>
      </c>
      <c r="AQ1182" s="216">
        <f ca="1">IF(B1171="Лікар загальної практики - сімейний лікар",AG1182*Законод!$C$9/4*Законод!$J$16,IF(B1171="Лікар-педіатр",AG1182*Законод!$C$9/4*Законод!$J$16,IF(B1171="Лікар-терапевт",AG1182*Законод!$C$9/4*Законод!$J$16,0)))</f>
        <v>0</v>
      </c>
      <c r="AR1182" s="217">
        <f t="shared" si="117"/>
        <v>0</v>
      </c>
    </row>
    <row r="1183" spans="1:44" s="247" customFormat="1" ht="23.45" hidden="1" customHeight="1" thickBot="1">
      <c r="A1183" s="243"/>
      <c r="B1183" s="244"/>
      <c r="C1183" s="244"/>
      <c r="D1183" s="244"/>
      <c r="E1183" s="244"/>
      <c r="F1183" s="245"/>
      <c r="G1183" s="246"/>
      <c r="H1183" s="246"/>
      <c r="L1183" s="248"/>
      <c r="S1183" s="248"/>
      <c r="Z1183" s="248"/>
      <c r="AG1183" s="248"/>
      <c r="AM1183" s="249"/>
      <c r="AR1183" s="250"/>
    </row>
    <row r="1184" spans="1:44" s="191" customFormat="1" ht="24.6" hidden="1" customHeight="1">
      <c r="A1184" s="194">
        <f>A1171+1</f>
        <v>89</v>
      </c>
      <c r="B1184" s="892"/>
      <c r="C1184" s="895"/>
      <c r="D1184" s="911"/>
      <c r="E1184" s="908"/>
      <c r="F1184" s="234" t="s">
        <v>582</v>
      </c>
      <c r="G1184" s="196">
        <f>IF($B$1184="Лікар-педіатр",G1187*L1184,IF($B$1184="Лікар-терапевт","х",IF($B$1184="Лікар загальної практики - сімейний лікар",G1187*L1184,0)))</f>
        <v>0</v>
      </c>
      <c r="H1184" s="196">
        <f>IF($B$1184="Лікар-педіатр",H1187*L1184,IF($B$1184="Лікар-терапевт","х",IF($B$1184="Лікар загальної практики - сімейний лікар",H1187*L1184,0)))</f>
        <v>0</v>
      </c>
      <c r="I1184" s="196">
        <f>IF($B$1184="Лікар-педіатр","x",IF($B$1184="Лікар-терапевт",I1187*L1184,IF($B$1184="Лікар загальної практики - сімейний лікар",I1187*L1184,0)))</f>
        <v>0</v>
      </c>
      <c r="J1184" s="196">
        <f>IF($B$1184="Лікар-педіатр","x",IF($B$1184="Лікар-терапевт",J1187*L1184,IF($B$1184="Лікар загальної практики - сімейний лікар",J1187*L1184,0)))</f>
        <v>0</v>
      </c>
      <c r="K1184" s="196">
        <f>IF($B$1184="Лікар-педіатр","x",IF($B$1184="Лікар-терапевт",K1187*L1184,IF($B$1184="Лікар загальної практики - сімейний лікар",K1187*L1184,0)))</f>
        <v>0</v>
      </c>
      <c r="L1184" s="558"/>
      <c r="M1184" s="929"/>
      <c r="N1184" s="196">
        <f>IF($B$1171="Лікар-педіатр",N1187*S1184,IF($B$1171="Лікар-терапевт","х",IF($B$1171="Лікар загальної практики - сімейний лікар",N1187*S1184,0)))</f>
        <v>0</v>
      </c>
      <c r="O1184" s="196">
        <f>IF($B$1171="Лікар-педіатр",O1187*S1184,IF($B$1171="Лікар-терапевт","х",IF($B$1171="Лікар загальної практики - сімейний лікар",O1187*S1184,0)))</f>
        <v>0</v>
      </c>
      <c r="P1184" s="196">
        <f>IF($B$1171="Лікар-педіатр","x",IF($B$1171="Лікар-терапевт",P1187*S1184,IF($B$1171="Лікар загальної практики - сімейний лікар",P1187*S1184,0)))</f>
        <v>0</v>
      </c>
      <c r="Q1184" s="196">
        <f>IF($B$1171="Лікар-педіатр","x",IF($B$1171="Лікар-терапевт",Q1187*S1184,IF($B$1171="Лікар загальної практики - сімейний лікар",Q1187*S1184,0)))</f>
        <v>0</v>
      </c>
      <c r="R1184" s="196">
        <f>IF($B$1171="Лікар-педіатр","x",IF($B$1171="Лікар-терапевт",R1187*S1184,IF($B$1171="Лікар загальної практики - сімейний лікар",R1187*S1184,0)))</f>
        <v>0</v>
      </c>
      <c r="S1184" s="558"/>
      <c r="T1184" s="929"/>
      <c r="U1184" s="196">
        <f>IF($B$1171="Лікар-педіатр",U1187*Z1184,IF($B$1171="Лікар-терапевт","х",IF($B$1171="Лікар загальної практики - сімейний лікар",U1187*Z1184,0)))</f>
        <v>0</v>
      </c>
      <c r="V1184" s="196">
        <f>IF($B$1171="Лікар-педіатр",V1187*Z1184,IF($B$1171="Лікар-терапевт","х",IF($B$1171="Лікар загальної практики - сімейний лікар",V1187*Z1184,0)))</f>
        <v>0</v>
      </c>
      <c r="W1184" s="196">
        <f>IF($B$1171="Лікар-педіатр","x",IF($B$1171="Лікар-терапевт",W1187*Z1184,IF($B$1171="Лікар загальної практики - сімейний лікар",W1187*Z1184,0)))</f>
        <v>0</v>
      </c>
      <c r="X1184" s="196">
        <f>IF($B$1171="Лікар-педіатр","x",IF($B$1171="Лікар-терапевт",X1187*Z1184,IF($B$1171="Лікар загальної практики - сімейний лікар",X1187*Z1184,0)))</f>
        <v>0</v>
      </c>
      <c r="Y1184" s="196">
        <f>IF($B$1171="Лікар-педіатр","x",IF($B$1171="Лікар-терапевт",Y1187*Z1184,IF($B$1171="Лікар загальної практики - сімейний лікар",Y1187*Z1184,0)))</f>
        <v>0</v>
      </c>
      <c r="Z1184" s="558"/>
      <c r="AA1184" s="929"/>
      <c r="AB1184" s="196">
        <f>IF($B$1171="Лікар-педіатр",AB1187*AG1184,IF($B$1171="Лікар-терапевт","х",IF($B$1171="Лікар загальної практики - сімейний лікар",AB1187*AG1184,0)))</f>
        <v>0</v>
      </c>
      <c r="AC1184" s="196">
        <f>IF($B$1171="Лікар-педіатр",AC1187*AG1184,IF($B$1171="Лікар-терапевт","х",IF($B$1171="Лікар загальної практики - сімейний лікар",AC1187*AG1184,0)))</f>
        <v>0</v>
      </c>
      <c r="AD1184" s="196">
        <f>IF($B$1171="Лікар-педіатр","x",IF($B$1171="Лікар-терапевт",AD1187*AG1184,IF($B$1171="Лікар загальної практики - сімейний лікар",AD1187*AG1184,0)))</f>
        <v>0</v>
      </c>
      <c r="AE1184" s="196">
        <f>IF($B$1171="Лікар-педіатр","x",IF($B$1171="Лікар-терапевт",AE1187*AG1184,IF($B$1171="Лікар загальної практики - сімейний лікар",AE1187*AG1184,0)))</f>
        <v>0</v>
      </c>
      <c r="AF1184" s="196">
        <f>IF($B$1171="Лікар-педіатр","x",IF($B$1171="Лікар-терапевт",AF1187*AG1184,IF($B$1171="Лікар загальної практики - сімейний лікар",AF1187*AG1184,0)))</f>
        <v>0</v>
      </c>
      <c r="AG1184" s="558"/>
      <c r="AH1184" s="929"/>
      <c r="AI1184" s="541">
        <f>A1184</f>
        <v>89</v>
      </c>
      <c r="AJ1184" s="932">
        <f>B1184</f>
        <v>0</v>
      </c>
      <c r="AK1184" s="926">
        <f>C1184</f>
        <v>0</v>
      </c>
      <c r="AL1184" s="926">
        <f>D1184</f>
        <v>0</v>
      </c>
      <c r="AM1184" s="901" t="s">
        <v>785</v>
      </c>
      <c r="AN1184" s="923">
        <f>SUM(AN1189:AN1195)</f>
        <v>0</v>
      </c>
      <c r="AO1184" s="923">
        <f>SUM(AO1189:AO1195)</f>
        <v>0</v>
      </c>
      <c r="AP1184" s="923">
        <f>SUM(AP1189:AP1195)</f>
        <v>0</v>
      </c>
      <c r="AQ1184" s="923">
        <f>SUM(AQ1189:AQ1195)</f>
        <v>0</v>
      </c>
      <c r="AR1184" s="914">
        <f>SUM(AN1184:AQ1188)</f>
        <v>0</v>
      </c>
    </row>
    <row r="1185" spans="1:44" s="50" customFormat="1" ht="28.15" hidden="1" customHeight="1">
      <c r="A1185" s="197"/>
      <c r="B1185" s="893"/>
      <c r="C1185" s="896"/>
      <c r="D1185" s="912"/>
      <c r="E1185" s="909"/>
      <c r="F1185" s="234" t="s">
        <v>583</v>
      </c>
      <c r="G1185" s="196">
        <f>IF($B$1184="Лікар-педіатр",G1187*L1185,IF($B$1184="Лікар-терапевт","х",IF($B$1184="Лікар загальної практики - сімейний лікар",G1187*L1185,0)))</f>
        <v>0</v>
      </c>
      <c r="H1185" s="196">
        <f>IF($B$1184="Лікар-педіатр",H1187*L1185,IF($B$1184="Лікар-терапевт","х",IF($B$1184="Лікар загальної практики - сімейний лікар",H1187*L1185,0)))</f>
        <v>0</v>
      </c>
      <c r="I1185" s="196">
        <f>IF($B$1184="Лікар-педіатр","x",IF($B$1184="Лікар-терапевт",I1187*L1185,IF($B$1184="Лікар загальної практики - сімейний лікар",I1187*L1185,0)))</f>
        <v>0</v>
      </c>
      <c r="J1185" s="196">
        <f>IF($B$1184="Лікар-педіатр","x",IF($B$1184="Лікар-терапевт",J1187*L1185,IF($B$1184="Лікар загальної практики - сімейний лікар",J1187*L1185,0)))</f>
        <v>0</v>
      </c>
      <c r="K1185" s="196">
        <f>IF($B$1184="Лікар-педіатр","x",IF($B$1184="Лікар-терапевт",K1187*L1185,IF($B$1184="Лікар загальної практики - сімейний лікар",K1187*L1185,0)))</f>
        <v>0</v>
      </c>
      <c r="L1185" s="558"/>
      <c r="M1185" s="930"/>
      <c r="N1185" s="196">
        <f>IF($B$1171="Лікар-педіатр",N1187*S1185,IF($B$1171="Лікар-терапевт","х",IF($B$1171="Лікар загальної практики - сімейний лікар",N1187*S1185,0)))</f>
        <v>0</v>
      </c>
      <c r="O1185" s="196">
        <f>IF($B$1171="Лікар-педіатр",O1187*S1185,IF($B$1171="Лікар-терапевт","х",IF($B$1171="Лікар загальної практики - сімейний лікар",O1187*S1185,0)))</f>
        <v>0</v>
      </c>
      <c r="P1185" s="196">
        <f>IF($B$1171="Лікар-педіатр","x",IF($B$1171="Лікар-терапевт",P1187*S1185,IF($B$1171="Лікар загальної практики - сімейний лікар",P1187*S1185,0)))</f>
        <v>0</v>
      </c>
      <c r="Q1185" s="196">
        <f>IF($B$1171="Лікар-педіатр","x",IF($B$1171="Лікар-терапевт",Q1187*S1185,IF($B$1171="Лікар загальної практики - сімейний лікар",Q1187*S1185,0)))</f>
        <v>0</v>
      </c>
      <c r="R1185" s="196">
        <f>IF($B$1171="Лікар-педіатр","x",IF($B$1171="Лікар-терапевт",R1187*S1185,IF($B$1171="Лікар загальної практики - сімейний лікар",R1187*S1185,0)))</f>
        <v>0</v>
      </c>
      <c r="S1185" s="558"/>
      <c r="T1185" s="930"/>
      <c r="U1185" s="196">
        <f>IF($B$1171="Лікар-педіатр",U1187*Z1185,IF($B$1171="Лікар-терапевт","х",IF($B$1171="Лікар загальної практики - сімейний лікар",U1187*Z1185,0)))</f>
        <v>0</v>
      </c>
      <c r="V1185" s="196">
        <f>IF($B$1171="Лікар-педіатр",V1187*Z1185,IF($B$1171="Лікар-терапевт","х",IF($B$1171="Лікар загальної практики - сімейний лікар",V1187*Z1185,0)))</f>
        <v>0</v>
      </c>
      <c r="W1185" s="196">
        <f>IF($B$1171="Лікар-педіатр","x",IF($B$1171="Лікар-терапевт",W1187*Z1185,IF($B$1171="Лікар загальної практики - сімейний лікар",W1187*Z1185,0)))</f>
        <v>0</v>
      </c>
      <c r="X1185" s="196">
        <f>IF($B$1171="Лікар-педіатр","x",IF($B$1171="Лікар-терапевт",X1187*Z1185,IF($B$1171="Лікар загальної практики - сімейний лікар",X1187*Z1185,0)))</f>
        <v>0</v>
      </c>
      <c r="Y1185" s="196">
        <f>IF($B$1171="Лікар-педіатр","x",IF($B$1171="Лікар-терапевт",Y1187*Z1185,IF($B$1171="Лікар загальної практики - сімейний лікар",Y1187*Z1185,0)))</f>
        <v>0</v>
      </c>
      <c r="Z1185" s="558"/>
      <c r="AA1185" s="930"/>
      <c r="AB1185" s="196">
        <f>IF($B$1171="Лікар-педіатр",AB1187*AG1185,IF($B$1171="Лікар-терапевт","х",IF($B$1171="Лікар загальної практики - сімейний лікар",AB1187*AG1185,0)))</f>
        <v>0</v>
      </c>
      <c r="AC1185" s="196">
        <f>IF($B$1171="Лікар-педіатр",AC1187*AG1185,IF($B$1171="Лікар-терапевт","х",IF($B$1171="Лікар загальної практики - сімейний лікар",AC1187*AG1185,0)))</f>
        <v>0</v>
      </c>
      <c r="AD1185" s="196">
        <f>IF($B$1171="Лікар-педіатр","x",IF($B$1171="Лікар-терапевт",AD1187*AG1185,IF($B$1171="Лікар загальної практики - сімейний лікар",AD1187*AG1185,0)))</f>
        <v>0</v>
      </c>
      <c r="AE1185" s="196">
        <f>IF($B$1171="Лікар-педіатр","x",IF($B$1171="Лікар-терапевт",AE1187*AG1185,IF($B$1171="Лікар загальної практики - сімейний лікар",AE1187*AG1185,0)))</f>
        <v>0</v>
      </c>
      <c r="AF1185" s="196">
        <f>IF($B$1171="Лікар-педіатр","x",IF($B$1171="Лікар-терапевт",AF1187*AG1185,IF($B$1171="Лікар загальної практики - сімейний лікар",AF1187*AG1185,0)))</f>
        <v>0</v>
      </c>
      <c r="AG1185" s="558"/>
      <c r="AH1185" s="930"/>
      <c r="AI1185" s="198"/>
      <c r="AJ1185" s="933"/>
      <c r="AK1185" s="927"/>
      <c r="AL1185" s="927"/>
      <c r="AM1185" s="902"/>
      <c r="AN1185" s="924"/>
      <c r="AO1185" s="924"/>
      <c r="AP1185" s="924"/>
      <c r="AQ1185" s="924"/>
      <c r="AR1185" s="915"/>
    </row>
    <row r="1186" spans="1:44" s="90" customFormat="1" ht="31.15" hidden="1" customHeight="1">
      <c r="A1186" s="240"/>
      <c r="B1186" s="893"/>
      <c r="C1186" s="896"/>
      <c r="D1186" s="912"/>
      <c r="E1186" s="909"/>
      <c r="F1186" s="241" t="s">
        <v>584</v>
      </c>
      <c r="G1186" s="199">
        <f>IF(B1184="Лікар загальної практики - сімейний лікар"," ",IF(B1184="Лікар-педіатр"," ",IF(B1184="Лікар-терапевт","х",0)))</f>
        <v>0</v>
      </c>
      <c r="H1186" s="199">
        <f>IF(B1184="Лікар загальної практики - сімейний лікар"," ",IF(B1184="Лікар-педіатр"," ",IF(B1184="Лікар-терапевт","х",0)))</f>
        <v>0</v>
      </c>
      <c r="I1186" s="199">
        <f>IF(B1184="Лікар загальної практики - сімейний лікар"," ",IF(B1184="Лікар-педіатр","х",IF(B1184="Лікар-терапевт"," ",0)))</f>
        <v>0</v>
      </c>
      <c r="J1186" s="199">
        <f>IF(B1184="Лікар загальної практики - сімейний лікар"," ",IF(B1184="Лікар-педіатр","х",IF(B1184="Лікар-терапевт"," ",0)))</f>
        <v>0</v>
      </c>
      <c r="K1186" s="199">
        <f>IF(B1184="Лікар загальної практики - сімейний лікар"," ",IF(B1184="Лікар-педіатр","х",IF(B1184="Лікар-терапевт"," ",0)))</f>
        <v>0</v>
      </c>
      <c r="L1186" s="200">
        <f>SUM(G1186:K1186)</f>
        <v>0</v>
      </c>
      <c r="M1186" s="930"/>
      <c r="N1186" s="199">
        <f>IF(B1184="Лікар загальної практики - сімейний лікар"," ",IF(B1184="Лікар-педіатр"," ",IF(B1184="Лікар-терапевт","х",0)))</f>
        <v>0</v>
      </c>
      <c r="O1186" s="199">
        <f>IF(B1184="Лікар загальної практики - сімейний лікар"," ",IF(B1184="Лікар-педіатр"," ",IF(B1184="Лікар-терапевт","х",0)))</f>
        <v>0</v>
      </c>
      <c r="P1186" s="199">
        <f>IF(B1184="Лікар загальної практики - сімейний лікар"," ",IF(B1184="Лікар-педіатр","х",IF(B1184="Лікар-терапевт"," ",0)))</f>
        <v>0</v>
      </c>
      <c r="Q1186" s="199">
        <f>IF(B1184="Лікар загальної практики - сімейний лікар"," ",IF(B1184="Лікар-педіатр","х",IF(B1184="Лікар-терапевт"," ",0)))</f>
        <v>0</v>
      </c>
      <c r="R1186" s="199">
        <f>IF(B1184="Лікар загальної практики - сімейний лікар"," ",IF(B1184="Лікар-педіатр","х",IF(B1184="Лікар-терапевт"," ",0)))</f>
        <v>0</v>
      </c>
      <c r="S1186" s="200">
        <f>SUM(N1186:R1186)</f>
        <v>0</v>
      </c>
      <c r="T1186" s="930"/>
      <c r="U1186" s="199">
        <f>IF(B1184="Лікар загальної практики - сімейний лікар"," ",IF(B1184="Лікар-педіатр"," ",IF(B1184="Лікар-терапевт","х",0)))</f>
        <v>0</v>
      </c>
      <c r="V1186" s="199">
        <f>IF(B1184="Лікар загальної практики - сімейний лікар"," ",IF(B1184="Лікар-педіатр"," ",IF(B1184="Лікар-терапевт","х",0)))</f>
        <v>0</v>
      </c>
      <c r="W1186" s="199">
        <f>IF(B1184="Лікар загальної практики - сімейний лікар"," ",IF(B1184="Лікар-педіатр","х",IF(B1184="Лікар-терапевт"," ",0)))</f>
        <v>0</v>
      </c>
      <c r="X1186" s="199">
        <f>IF(B1184="Лікар загальної практики - сімейний лікар"," ",IF(B1184="Лікар-педіатр","х",IF(B1184="Лікар-терапевт"," ",0)))</f>
        <v>0</v>
      </c>
      <c r="Y1186" s="199">
        <f>IF(B1184="Лікар загальної практики - сімейний лікар"," ",IF(B1184="Лікар-педіатр","х",IF(B1184="Лікар-терапевт"," ",0)))</f>
        <v>0</v>
      </c>
      <c r="Z1186" s="200">
        <f>SUM(U1186:Y1186)</f>
        <v>0</v>
      </c>
      <c r="AA1186" s="930"/>
      <c r="AB1186" s="199">
        <f>IF(B1184="Лікар загальної практики - сімейний лікар"," ",IF(B1184="Лікар-педіатр"," ",IF(B1184="Лікар-терапевт","х",0)))</f>
        <v>0</v>
      </c>
      <c r="AC1186" s="199">
        <f>IF(B1184="Лікар загальної практики - сімейний лікар"," ",IF(B1184="Лікар-педіатр"," ",IF(B1184="Лікар-терапевт","х",0)))</f>
        <v>0</v>
      </c>
      <c r="AD1186" s="199">
        <f>IF(B1184="Лікар загальної практики - сімейний лікар"," ",IF(B1184="Лікар-педіатр","х",IF(B1184="Лікар-терапевт"," ",0)))</f>
        <v>0</v>
      </c>
      <c r="AE1186" s="199">
        <f>IF(B1184="Лікар загальної практики - сімейний лікар"," ",IF(B1184="Лікар-педіатр","х",IF(B1184="Лікар-терапевт"," ",0)))</f>
        <v>0</v>
      </c>
      <c r="AF1186" s="199">
        <f>IF(B1184="Лікар загальної практики - сімейний лікар"," ",IF(B1184="Лікар-педіатр","х",IF(B1184="Лікар-терапевт"," ",0)))</f>
        <v>0</v>
      </c>
      <c r="AG1186" s="200">
        <f>SUM(AB1186:AF1186)</f>
        <v>0</v>
      </c>
      <c r="AH1186" s="930"/>
      <c r="AI1186" s="242"/>
      <c r="AJ1186" s="933"/>
      <c r="AK1186" s="927"/>
      <c r="AL1186" s="927"/>
      <c r="AM1186" s="902"/>
      <c r="AN1186" s="924"/>
      <c r="AO1186" s="924"/>
      <c r="AP1186" s="924"/>
      <c r="AQ1186" s="924"/>
      <c r="AR1186" s="915"/>
    </row>
    <row r="1187" spans="1:44" s="50" customFormat="1" ht="31.9" hidden="1" customHeight="1" thickBot="1">
      <c r="A1187" s="197"/>
      <c r="B1187" s="893"/>
      <c r="C1187" s="896"/>
      <c r="D1187" s="912"/>
      <c r="E1187" s="909"/>
      <c r="F1187" s="236" t="s">
        <v>349</v>
      </c>
      <c r="G1187" s="203">
        <f>IF($B$1184="Лікар-педіатр",G1186/L1186,IF($B$1184="Лікар-терапевт","х",IF($B$1184="Лікар загальної практики - сімейний лікар",G1186/L1186,0)))</f>
        <v>0</v>
      </c>
      <c r="H1187" s="203">
        <f>IF($B$1184="Лікар-педіатр",H1186/L1186,IF($B$1184="Лікар-терапевт","х",IF($B$1184="Лікар загальної практики - сімейний лікар",H1186/L1186,0)))</f>
        <v>0</v>
      </c>
      <c r="I1187" s="203">
        <f>IF($B$1184="Лікар-педіатр","x",IF($B$1184="Лікар-терапевт",I1186/L1186,IF($B$1184="Лікар загальної практики - сімейний лікар",I1186/L1186,0)))</f>
        <v>0</v>
      </c>
      <c r="J1187" s="203">
        <f>IF($B$1184="Лікар-педіатр","x",IF($B$1184="Лікар-терапевт",J1186/L1186,IF($B$1184="Лікар загальної практики - сімейний лікар",J1186/L1186,0)))</f>
        <v>0</v>
      </c>
      <c r="K1187" s="203">
        <f>IF($B$1184="Лікар-педіатр","x",IF($B$1184="Лікар-терапевт",K1186/L1186,IF($B$1184="Лікар загальної практики - сімейний лікар",K1186/L1186,0)))</f>
        <v>0</v>
      </c>
      <c r="L1187" s="203">
        <f>SUM(G1187:K1187)</f>
        <v>0</v>
      </c>
      <c r="M1187" s="930"/>
      <c r="N1187" s="203">
        <f>IF($B$1184="Лікар-педіатр",N1186/S1186,IF($B$1184="Лікар-терапевт","х",IF($B$1184="Лікар загальної практики - сімейний лікар",N1186/S1186,0)))</f>
        <v>0</v>
      </c>
      <c r="O1187" s="203">
        <f>IF($B$1184="Лікар-педіатр",O1186/S1186,IF($B$1184="Лікар-терапевт","х",IF($B$1184="Лікар загальної практики - сімейний лікар",O1186/S1186,0)))</f>
        <v>0</v>
      </c>
      <c r="P1187" s="203">
        <f>IF($B$1184="Лікар-педіатр","x",IF($B$1184="Лікар-терапевт",P1186/S1186,IF($B$1184="Лікар загальної практики - сімейний лікар",P1186/S1186,0)))</f>
        <v>0</v>
      </c>
      <c r="Q1187" s="203">
        <f>IF($B$1184="Лікар-педіатр","x",IF($B$1184="Лікар-терапевт",Q1186/S1186,IF($B$1184="Лікар загальної практики - сімейний лікар",Q1186/S1186,0)))</f>
        <v>0</v>
      </c>
      <c r="R1187" s="203">
        <f>IF($B$1184="Лікар-педіатр","x",IF($B$1184="Лікар-терапевт",R1186/S1186,IF($B$1184="Лікар загальної практики - сімейний лікар",R1186/S1186,0)))</f>
        <v>0</v>
      </c>
      <c r="S1187" s="203">
        <f>SUM(N1187:R1187)</f>
        <v>0</v>
      </c>
      <c r="T1187" s="930"/>
      <c r="U1187" s="203">
        <f>IF($B$1184="Лікар-педіатр",U1186/Z1186,IF($B$1184="Лікар-терапевт","х",IF($B$1184="Лікар загальної практики - сімейний лікар",U1186/Z1186,0)))</f>
        <v>0</v>
      </c>
      <c r="V1187" s="203">
        <f>IF($B$1184="Лікар-педіатр",V1186/Z1186,IF($B$1184="Лікар-терапевт","х",IF($B$1184="Лікар загальної практики - сімейний лікар",V1186/Z1186,0)))</f>
        <v>0</v>
      </c>
      <c r="W1187" s="203">
        <f>IF($B$1184="Лікар-педіатр","x",IF($B$1184="Лікар-терапевт",W1186/Z1186,IF($B$1184="Лікар загальної практики - сімейний лікар",W1186/Z1186,0)))</f>
        <v>0</v>
      </c>
      <c r="X1187" s="203">
        <f>IF($B$1184="Лікар-педіатр","x",IF($B$1184="Лікар-терапевт",X1186/Z1186,IF($B$1184="Лікар загальної практики - сімейний лікар",X1186/Z1186,0)))</f>
        <v>0</v>
      </c>
      <c r="Y1187" s="203">
        <f>IF($B$1184="Лікар-педіатр","x",IF($B$1184="Лікар-терапевт",Y1186/Z1186,IF($B$1184="Лікар загальної практики - сімейний лікар",Y1186/Z1186,0)))</f>
        <v>0</v>
      </c>
      <c r="Z1187" s="203">
        <f>SUM(U1187:Y1187)</f>
        <v>0</v>
      </c>
      <c r="AA1187" s="930"/>
      <c r="AB1187" s="203">
        <f>IF($B$1184="Лікар-педіатр",AB1186/AG1186,IF($B$1184="Лікар-терапевт","х",IF($B$1184="Лікар загальної практики - сімейний лікар",AB1186/AG1186,0)))</f>
        <v>0</v>
      </c>
      <c r="AC1187" s="203">
        <f>IF($B$1184="Лікар-педіатр",AC1186/AG1186,IF($B$1184="Лікар-терапевт","х",IF($B$1184="Лікар загальної практики - сімейний лікар",AC1186/AG1186,0)))</f>
        <v>0</v>
      </c>
      <c r="AD1187" s="203">
        <f>IF($B$1184="Лікар-педіатр","x",IF($B$1184="Лікар-терапевт",AD1186/AG1186,IF($B$1184="Лікар загальної практики - сімейний лікар",AD1186/AG1186,0)))</f>
        <v>0</v>
      </c>
      <c r="AE1187" s="203">
        <f>IF($B$1184="Лікар-педіатр","x",IF($B$1184="Лікар-терапевт",AE1186/AG1186,IF($B$1184="Лікар загальної практики - сімейний лікар",AE1186/AG1186,0)))</f>
        <v>0</v>
      </c>
      <c r="AF1187" s="203">
        <f>IF($B$1184="Лікар-педіатр","x",IF($B$1184="Лікар-терапевт",AF1186/AG1186,IF($B$1184="Лікар загальної практики - сімейний лікар",AF1186/AG1186,0)))</f>
        <v>0</v>
      </c>
      <c r="AG1187" s="203">
        <f>SUM(AB1187:AF1187)</f>
        <v>0</v>
      </c>
      <c r="AH1187" s="930"/>
      <c r="AI1187" s="201"/>
      <c r="AJ1187" s="933"/>
      <c r="AK1187" s="927"/>
      <c r="AL1187" s="927"/>
      <c r="AM1187" s="902"/>
      <c r="AN1187" s="924"/>
      <c r="AO1187" s="924"/>
      <c r="AP1187" s="924"/>
      <c r="AQ1187" s="924"/>
      <c r="AR1187" s="915"/>
    </row>
    <row r="1188" spans="1:44" s="50" customFormat="1" ht="45" hidden="1" customHeight="1" thickBot="1">
      <c r="A1188" s="197"/>
      <c r="B1188" s="893"/>
      <c r="C1188" s="896"/>
      <c r="D1188" s="912"/>
      <c r="E1188" s="909"/>
      <c r="F1188" s="204" t="s">
        <v>585</v>
      </c>
      <c r="G1188" s="205">
        <f>IF($B$1184="Лікар загальної практики - сімейний лікар",AVERAGE(G1184:G1186),IF($B$1184="Лікар-педіатр",AVERAGE(G1184:G1186),IF($B$1184="Лікар-терапевт","х",0)))</f>
        <v>0</v>
      </c>
      <c r="H1188" s="205">
        <f>IF($B$1184="Лікар загальної практики - сімейний лікар",AVERAGE(H1184:H1186),IF($B$1184="Лікар-педіатр",AVERAGE(H1184:H1186),IF($B$1184="Лікар-терапевт","х",0)))</f>
        <v>0</v>
      </c>
      <c r="I1188" s="205">
        <f>IF($B$1184="Лікар загальної практики - сімейний лікар",AVERAGE(I1184:I1186),IF($B$1184="Лікар-педіатр","x",IF($B$1184="Лікар-терапевт",AVERAGE(I1184:I1186),0)))</f>
        <v>0</v>
      </c>
      <c r="J1188" s="205">
        <f>IF($B$1184="Лікар загальної практики - сімейний лікар",AVERAGE(J1184:J1186),IF($B$1184="Лікар-педіатр","x",IF($B$1184="Лікар-терапевт",AVERAGE(J1184:J1186),0)))</f>
        <v>0</v>
      </c>
      <c r="K1188" s="205">
        <f>IF($B$1184="Лікар загальної практики - сімейний лікар",AVERAGE(K1184:K1186),IF($B$1184="Лікар-педіатр","x",IF($B$1184="Лікар-терапевт",AVERAGE(K1184:K1186),0)))</f>
        <v>0</v>
      </c>
      <c r="L1188" s="206">
        <f>SUM(G1188:K1188)</f>
        <v>0</v>
      </c>
      <c r="M1188" s="930"/>
      <c r="N1188" s="205">
        <f>IF($B$1171="Лікар загальної практики - сімейний лікар",AVERAGE(N1184:N1186),IF($B$1171="Лікар-педіатр",AVERAGE(N1184:N1186),IF($B$1171="Лікар-терапевт","х",0)))</f>
        <v>0</v>
      </c>
      <c r="O1188" s="205">
        <f>IF($B$1171="Лікар загальної практики - сімейний лікар",AVERAGE(O1184:O1186),IF($B$1171="Лікар-педіатр",AVERAGE(O1184:O1186),IF($B$1171="Лікар-терапевт","х",0)))</f>
        <v>0</v>
      </c>
      <c r="P1188" s="205">
        <f>IF($B$1171="Лікар загальної практики - сімейний лікар",AVERAGE(P1184:P1186),IF($B$1171="Лікар-педіатр","x",IF($B$1171="Лікар-терапевт",AVERAGE(P1184:P1186),0)))</f>
        <v>0</v>
      </c>
      <c r="Q1188" s="205">
        <f>IF($B$1171="Лікар загальної практики - сімейний лікар",AVERAGE(Q1184:Q1186),IF($B$1171="Лікар-педіатр","x",IF($B$1171="Лікар-терапевт",AVERAGE(Q1184:Q1186),0)))</f>
        <v>0</v>
      </c>
      <c r="R1188" s="205">
        <f>IF($B$1171="Лікар загальної практики - сімейний лікар",AVERAGE(R1184:R1186),IF($B$1171="Лікар-педіатр","x",IF($B$1171="Лікар-терапевт",AVERAGE(R1184:R1186),0)))</f>
        <v>0</v>
      </c>
      <c r="S1188" s="206">
        <f>SUM(N1188:R1188)</f>
        <v>0</v>
      </c>
      <c r="T1188" s="930"/>
      <c r="U1188" s="205">
        <f>IF($B$1171="Лікар загальної практики - сімейний лікар",AVERAGE(U1184:U1186),IF($B$1171="Лікар-педіатр",AVERAGE(U1184:U1186),IF($B$1171="Лікар-терапевт","х",0)))</f>
        <v>0</v>
      </c>
      <c r="V1188" s="205">
        <f>IF($B$1171="Лікар загальної практики - сімейний лікар",AVERAGE(V1184:V1186),IF($B$1171="Лікар-педіатр",AVERAGE(V1184:V1186),IF($B$1171="Лікар-терапевт","х",0)))</f>
        <v>0</v>
      </c>
      <c r="W1188" s="205">
        <f>IF($B$1171="Лікар загальної практики - сімейний лікар",AVERAGE(W1184:W1186),IF($B$1171="Лікар-педіатр","x",IF($B$1171="Лікар-терапевт",AVERAGE(W1184:W1186),0)))</f>
        <v>0</v>
      </c>
      <c r="X1188" s="205">
        <f>IF($B$1171="Лікар загальної практики - сімейний лікар",AVERAGE(X1184:X1186),IF($B$1171="Лікар-педіатр","x",IF($B$1171="Лікар-терапевт",AVERAGE(X1184:X1186),0)))</f>
        <v>0</v>
      </c>
      <c r="Y1188" s="205">
        <f>IF($B$1171="Лікар загальної практики - сімейний лікар",AVERAGE(Y1184:Y1186),IF($B$1171="Лікар-педіатр","x",IF($B$1171="Лікар-терапевт",AVERAGE(Y1184:Y1186),0)))</f>
        <v>0</v>
      </c>
      <c r="Z1188" s="206">
        <f>SUM(U1188:Y1188)</f>
        <v>0</v>
      </c>
      <c r="AA1188" s="930"/>
      <c r="AB1188" s="205">
        <f>IF($B$1171="Лікар загальної практики - сімейний лікар",AVERAGE(AB1184:AB1186),IF($B$1171="Лікар-педіатр",AVERAGE(AB1184:AB1186),IF($B$1171="Лікар-терапевт","х",0)))</f>
        <v>0</v>
      </c>
      <c r="AC1188" s="205">
        <f>IF($B$1171="Лікар загальної практики - сімейний лікар",AVERAGE(AC1184:AC1186),IF($B$1171="Лікар-педіатр",AVERAGE(AC1184:AC1186),IF($B$1171="Лікар-терапевт","х",0)))</f>
        <v>0</v>
      </c>
      <c r="AD1188" s="205">
        <f>IF($B$1171="Лікар загальної практики - сімейний лікар",AVERAGE(AD1184:AD1186),IF($B$1171="Лікар-педіатр","x",IF($B$1171="Лікар-терапевт",AVERAGE(AD1184:AD1186),0)))</f>
        <v>0</v>
      </c>
      <c r="AE1188" s="205">
        <f>IF($B$1171="Лікар загальної практики - сімейний лікар",AVERAGE(AE1184:AE1186),IF($B$1171="Лікар-педіатр","x",IF($B$1171="Лікар-терапевт",AVERAGE(AE1184:AE1186),0)))</f>
        <v>0</v>
      </c>
      <c r="AF1188" s="205">
        <f>IF($B$1171="Лікар загальної практики - сімейний лікар",AVERAGE(AF1184:AF1186),IF($B$1171="Лікар-педіатр","x",IF($B$1171="Лікар-терапевт",AVERAGE(AF1184:AF1186),0)))</f>
        <v>0</v>
      </c>
      <c r="AG1188" s="206">
        <f>SUM(AB1188:AF1188)</f>
        <v>0</v>
      </c>
      <c r="AH1188" s="930"/>
      <c r="AI1188" s="201"/>
      <c r="AJ1188" s="933"/>
      <c r="AK1188" s="927"/>
      <c r="AL1188" s="927"/>
      <c r="AM1188" s="903"/>
      <c r="AN1188" s="925"/>
      <c r="AO1188" s="925"/>
      <c r="AP1188" s="925"/>
      <c r="AQ1188" s="925"/>
      <c r="AR1188" s="916"/>
    </row>
    <row r="1189" spans="1:44" s="50" customFormat="1" ht="40.5" hidden="1">
      <c r="A1189" s="197"/>
      <c r="B1189" s="893"/>
      <c r="C1189" s="896"/>
      <c r="D1189" s="912"/>
      <c r="E1189" s="909"/>
      <c r="F1189" s="237" t="str">
        <f ca="1">IF(B1184="Лікар-педіатр",Законод!$C$17,IF(B1184="Лікар загальної практики - сімейний лікар",Законод!$C$21,IF(B1184="Лікар-терапевт",Законод!$C$25,"х")))</f>
        <v>х</v>
      </c>
      <c r="G1189" s="208">
        <f ca="1">IF($B$1184="Лікар загальної практики - сімейний лікар",IF(L1188&lt;=Законод!$C$22,G1188,Законод!$C$22*'01_Доходи'!G1187),IF($B$1184="Лікар-педіатр",IF(L1188&lt;=Законод!$C$18,G1188,Законод!$C$18*'01_Доходи'!G1187),IF($B$1184="Лікар-терапевт","x",0)))</f>
        <v>0</v>
      </c>
      <c r="H1189" s="208">
        <f ca="1">IF($B$1184="Лікар загальної практики - сімейний лікар",IF(L1188&lt;=Законод!$C$22,H1188,Законод!$C$22*'01_Доходи'!H1187),IF($B$1184="Лікар-педіатр",IF(L1188&lt;=Законод!$C$18,H1188,Законод!$C$18*'01_Доходи'!H1187),IF($B$1184="Лікар-терапевт","x",0)))</f>
        <v>0</v>
      </c>
      <c r="I1189" s="208">
        <f ca="1">IF($B$1184="Лікар загальної практики - сімейний лікар",IF(L1188&lt;=Законод!$C$22,I1188,Законод!$C$22*'01_Доходи'!I1187),IF($B$1184="Лікар-педіатр","x",IF($B$1184="Лікар-терапевт",IF(L1188&lt;=Законод!$C$26,I1188,Законод!$C$26*'01_Доходи'!I1187),0)))</f>
        <v>0</v>
      </c>
      <c r="J1189" s="208">
        <f ca="1">IF($B$1184="Лікар загальної практики - сімейний лікар",IF(L1188&lt;=Законод!$C$22,J1188,Законод!$C$22*'01_Доходи'!J1187),IF($B$1184="Лікар-педіатр","x",IF($B$1184="Лікар-терапевт",IF(L1188&lt;=Законод!$C$26,J1188,Законод!$C$26*'01_Доходи'!J1187),0)))</f>
        <v>0</v>
      </c>
      <c r="K1189" s="208">
        <f ca="1">IF($B$1184="Лікар загальної практики - сімейний лікар",IF(L1188&lt;=Законод!$C$22,K1188,Законод!$C$22*'01_Доходи'!K1187),IF($B$1184="Лікар-педіатр","x",IF($B$1184="Лікар-терапевт",IF(L1188&lt;=Законод!$C$26,K1188,Законод!$C$26*'01_Доходи'!K1187),0)))</f>
        <v>0</v>
      </c>
      <c r="L1189" s="209">
        <f ca="1">SUM(G1189:K1189)</f>
        <v>0</v>
      </c>
      <c r="M1189" s="930"/>
      <c r="N1189" s="208">
        <f ca="1">IF($B$1171="Лікар загальної практики - сімейний лікар",IF(S1188&lt;=Законод!$C$22,N1188,Законод!$C$22*'01_Доходи'!N1187),IF($B$1171="Лікар-педіатр",IF(S1188&lt;=Законод!$C$18,N1188,Законод!$C$18*'01_Доходи'!N1187),IF($B$1171="Лікар-терапевт","x",0)))</f>
        <v>0</v>
      </c>
      <c r="O1189" s="208">
        <f ca="1">IF($B$1171="Лікар загальної практики - сімейний лікар",IF(S1188&lt;=Законод!$C$22,O1188,Законод!$C$22*'01_Доходи'!O1187),IF($B$1171="Лікар-педіатр",IF(S1188&lt;=Законод!$C$18,O1188,Законод!$C$18*'01_Доходи'!O1187),IF($B$1171="Лікар-терапевт","x",0)))</f>
        <v>0</v>
      </c>
      <c r="P1189" s="208">
        <f ca="1">IF($B$1171="Лікар загальної практики - сімейний лікар",IF(S1188&lt;=Законод!$C$22,P1188,Законод!$C$22*'01_Доходи'!P1187),IF($B$1171="Лікар-педіатр","x",IF($B$1171="Лікар-терапевт",IF(S1188&lt;=Законод!$C$26,P1188,Законод!$C$26*'01_Доходи'!P1187),0)))</f>
        <v>0</v>
      </c>
      <c r="Q1189" s="208">
        <f ca="1">IF($B$1171="Лікар загальної практики - сімейний лікар",IF(S1188&lt;=Законод!$C$22,Q1188,Законод!$C$22*'01_Доходи'!Q1187),IF($B$1171="Лікар-педіатр","x",IF($B$1171="Лікар-терапевт",IF(S1188&lt;=Законод!$C$26,Q1188,Законод!$C$26*'01_Доходи'!Q1187),0)))</f>
        <v>0</v>
      </c>
      <c r="R1189" s="208">
        <f ca="1">IF($B$1171="Лікар загальної практики - сімейний лікар",IF(S1188&lt;=Законод!$C$22,R1188,Законод!$C$22*'01_Доходи'!R1187),IF($B$1171="Лікар-педіатр","x",IF($B$1171="Лікар-терапевт",IF(S1188&lt;=Законод!$C$26,R1188,Законод!$C$26*'01_Доходи'!R1187),0)))</f>
        <v>0</v>
      </c>
      <c r="S1189" s="209">
        <f ca="1">SUM(N1189:R1189)</f>
        <v>0</v>
      </c>
      <c r="T1189" s="930"/>
      <c r="U1189" s="208">
        <f ca="1">IF($B$1171="Лікар загальної практики - сімейний лікар",IF(Z1188&lt;=Законод!$C$22,U1188,Законод!$C$22*'01_Доходи'!U1187),IF($B$1171="Лікар-педіатр",IF(Z1188&lt;=Законод!$C$18,U1188,Законод!$C$18*'01_Доходи'!U1187),IF($B$1171="Лікар-терапевт","x",0)))</f>
        <v>0</v>
      </c>
      <c r="V1189" s="208">
        <f ca="1">IF($B$1171="Лікар загальної практики - сімейний лікар",IF(Z1188&lt;=Законод!$C$22,V1188,Законод!$C$22*'01_Доходи'!V1187),IF($B$1171="Лікар-педіатр",IF(Z1188&lt;=Законод!$C$18,V1188,Законод!$C$18*'01_Доходи'!V1187),IF($B$1171="Лікар-терапевт","x",0)))</f>
        <v>0</v>
      </c>
      <c r="W1189" s="208">
        <f ca="1">IF($B$1171="Лікар загальної практики - сімейний лікар",IF(Z1188&lt;=Законод!$C$22,W1188,Законод!$C$22*'01_Доходи'!W1187),IF($B$1171="Лікар-педіатр","x",IF($B$1171="Лікар-терапевт",IF(Z1188&lt;=Законод!$C$26,W1188,Законод!$C$26*'01_Доходи'!W1187),0)))</f>
        <v>0</v>
      </c>
      <c r="X1189" s="208">
        <f ca="1">IF($B$1171="Лікар загальної практики - сімейний лікар",IF(Z1188&lt;=Законод!$C$22,X1188,Законод!$C$22*'01_Доходи'!X1187),IF($B$1171="Лікар-педіатр","x",IF($B$1171="Лікар-терапевт",IF(Z1188&lt;=Законод!$C$26,X1188,Законод!$C$26*'01_Доходи'!X1187),0)))</f>
        <v>0</v>
      </c>
      <c r="Y1189" s="208">
        <f ca="1">IF($B$1171="Лікар загальної практики - сімейний лікар",IF(Z1188&lt;=Законод!$C$22,Y1188,Законод!$C$22*'01_Доходи'!Y1187),IF($B$1171="Лікар-педіатр","x",IF($B$1171="Лікар-терапевт",IF(Z1188&lt;=Законод!$C$26,Y1188,Законод!$C$26*'01_Доходи'!Y1187),0)))</f>
        <v>0</v>
      </c>
      <c r="Z1189" s="209">
        <f ca="1">SUM(U1189:Y1189)</f>
        <v>0</v>
      </c>
      <c r="AA1189" s="930"/>
      <c r="AB1189" s="208">
        <f ca="1">IF($B$1171="Лікар загальної практики - сімейний лікар",IF(AG1188&lt;=Законод!$C$22,AB1188,Законод!$C$22*'01_Доходи'!AB1187),IF($B$1171="Лікар-педіатр",IF(AG1188&lt;=Законод!$C$18,AB1188,Законод!$C$18*'01_Доходи'!AB1187),IF($B$1171="Лікар-терапевт","x",0)))</f>
        <v>0</v>
      </c>
      <c r="AC1189" s="208">
        <f ca="1">IF($B$1171="Лікар загальної практики - сімейний лікар",IF(AG1188&lt;=Законод!$C$22,AC1188,Законод!$C$22*'01_Доходи'!AC1187),IF($B$1171="Лікар-педіатр",IF(AG1188&lt;=Законод!$C$18,AC1188,Законод!$C$18*'01_Доходи'!AC1187),IF($B$1171="Лікар-терапевт","x",0)))</f>
        <v>0</v>
      </c>
      <c r="AD1189" s="208">
        <f ca="1">IF($B$1171="Лікар загальної практики - сімейний лікар",IF(AG1188&lt;=Законод!$C$22,AD1188,Законод!$C$22*'01_Доходи'!AD1187),IF($B$1171="Лікар-педіатр","x",IF($B$1171="Лікар-терапевт",IF(AG1188&lt;=Законод!$C$26,AD1188,Законод!$C$26*'01_Доходи'!AD1187),0)))</f>
        <v>0</v>
      </c>
      <c r="AE1189" s="208">
        <f ca="1">IF($B$1171="Лікар загальної практики - сімейний лікар",IF(AG1188&lt;=Законод!$C$22,AE1188,Законод!$C$22*'01_Доходи'!AE1187),IF($B$1171="Лікар-педіатр","x",IF($B$1171="Лікар-терапевт",IF(AG1188&lt;=Законод!$C$26,AE1188,Законод!$C$26*'01_Доходи'!AE1187),0)))</f>
        <v>0</v>
      </c>
      <c r="AF1189" s="208">
        <f ca="1">IF($B$1171="Лікар загальної практики - сімейний лікар",IF(AG1188&lt;=Законод!$C$22,AF1188,Законод!$C$22*'01_Доходи'!AF1187),IF($B$1171="Лікар-педіатр","x",IF($B$1171="Лікар-терапевт",IF(AG1188&lt;=Законод!$C$26,AF1188,Законод!$C$26*'01_Доходи'!AF1187),0)))</f>
        <v>0</v>
      </c>
      <c r="AG1189" s="209">
        <f ca="1">SUM(AB1189:AF1189)</f>
        <v>0</v>
      </c>
      <c r="AH1189" s="930"/>
      <c r="AI1189" s="201"/>
      <c r="AJ1189" s="933"/>
      <c r="AK1189" s="927"/>
      <c r="AL1189" s="927"/>
      <c r="AM1189" s="348" t="s">
        <v>374</v>
      </c>
      <c r="AN1189" s="210">
        <f ca="1">IF(B1184="Лікар загальної практики - сімейний лікар",G1189*Законод!$C$11+'01_Доходи'!H1189*Законод!$D$11+'01_Доходи'!I1189*Законод!$E$11+'01_Доходи'!J1189*Законод!$F$11+'01_Доходи'!K1189*Законод!$G$11,IF(B1184="Лікар-педіатр",G1189*Законод!$C$11+'01_Доходи'!H1189*Законод!$D$11,IF(B1184="Лікар-терапевт",'01_Доходи'!I1189*Законод!$E$11+'01_Доходи'!J1189*Законод!$F$11+'01_Доходи'!K1189*Законод!$G$11,0)))</f>
        <v>0</v>
      </c>
      <c r="AO1189" s="210">
        <f ca="1">IF(B1184="Лікар загальної практики - сімейний лікар",N1189*Законод!$C$11+'01_Доходи'!O1189*Законод!$D$11+'01_Доходи'!P1189*Законод!$E$11+'01_Доходи'!Q1189*Законод!$F$11+'01_Доходи'!R1189*Законод!$G$11,IF(B1184="Лікар-педіатр",N1189*Законод!$C$11+'01_Доходи'!O1189*Законод!$D$11,IF(B1184="Лікар-терапевт",'01_Доходи'!P1189*Законод!$E$11+'01_Доходи'!Q1189*Законод!$F$11+'01_Доходи'!R1189*Законод!$G$11,0)))</f>
        <v>0</v>
      </c>
      <c r="AP1189" s="210">
        <f ca="1">IF(B1184="Лікар загальної практики - сімейний лікар",U1189*Законод!$C$11+'01_Доходи'!V1189*Законод!$D$11+'01_Доходи'!W1189*Законод!$E$11+'01_Доходи'!X1189*Законод!$F$11+'01_Доходи'!Y1189*Законод!$G$11,IF(B1184="Лікар-педіатр",U1189*Законод!$C$11+'01_Доходи'!V1189*Законод!$D$11,IF(B1184="Лікар-терапевт",'01_Доходи'!W1189*Законод!$E$11+'01_Доходи'!X1189*Законод!$F$11+'01_Доходи'!Y1189*Законод!$G$11,0)))</f>
        <v>0</v>
      </c>
      <c r="AQ1189" s="210">
        <f ca="1">IF(B1184="Лікар загальної практики - сімейний лікар",AB1189*Законод!$C$11+'01_Доходи'!AC1189*Законод!$D$11+'01_Доходи'!AD1189*Законод!$E$11+'01_Доходи'!AE1189*Законод!$F$11+'01_Доходи'!AF1189*Законод!$G$11,IF(B1184="Лікар-педіатр",AB1189*Законод!$C$11+'01_Доходи'!AC1189*Законод!$D$11,IF(B1184="Лікар-терапевт",'01_Доходи'!AD1189*Законод!$E$11+'01_Доходи'!AE1189*Законод!$F$11+'01_Доходи'!AF1189*Законод!$G$11,0)))</f>
        <v>0</v>
      </c>
      <c r="AR1189" s="211">
        <f t="shared" ref="AR1189:AR1195" si="118">SUM(AN1189:AQ1189)</f>
        <v>0</v>
      </c>
    </row>
    <row r="1190" spans="1:44" s="50" customFormat="1" ht="31.9" hidden="1" customHeight="1">
      <c r="A1190" s="197"/>
      <c r="B1190" s="893"/>
      <c r="C1190" s="896"/>
      <c r="D1190" s="912"/>
      <c r="E1190" s="909"/>
      <c r="F1190" s="238" t="str">
        <f ca="1">IF(B1184="Лікар-педіатр",Законод!$E$17,IF(B1184="Лікар загальної практики - сімейний лікар",Законод!$E$21,IF(B1184="Лікар-терапевт",Законод!$E$25,"х")))</f>
        <v>х</v>
      </c>
      <c r="G1190" s="889" t="s">
        <v>346</v>
      </c>
      <c r="H1190" s="890"/>
      <c r="I1190" s="890"/>
      <c r="J1190" s="890"/>
      <c r="K1190" s="891"/>
      <c r="L1190" s="196">
        <f ca="1">IF($B$1184="Лікар загальної практики - сімейний лікар",IF(L1188&lt;Законод!$C$22,0,(IF(AND(L1188&gt;=Законод!$E$22,L1188&lt;=Законод!$E$23),L1188-Законод!$C$22,IF('01_Доходи'!L1188&gt;=Законод!$F$22,Законод!$E$24,0)))),IF($B$1184="Лікар-педіатр",IF(L1188&lt;Законод!$C$18,0,(IF(AND(L1188&gt;=Законод!$E$18,L1188&lt;=Законод!$E$19),L1188-Законод!$C$18,IF('01_Доходи'!L1188&gt;=Законод!$F$18,Законод!$E$20,0)))),IF($B$1184="Лікар-терапевт",IF(L1188&lt;Законод!$C$26,0,(IF(AND(L1188&gt;=Законод!$E$26,L1188&lt;=Законод!$E$27),L1188-Законод!$C$26,IF('01_Доходи'!L1188&gt;=Законод!$F$26,Законод!$E$28,0)))),0)))</f>
        <v>0</v>
      </c>
      <c r="M1190" s="930"/>
      <c r="N1190" s="889" t="s">
        <v>346</v>
      </c>
      <c r="O1190" s="890"/>
      <c r="P1190" s="890"/>
      <c r="Q1190" s="890"/>
      <c r="R1190" s="891"/>
      <c r="S1190" s="196">
        <f ca="1">IF($B$1171="Лікар загальної практики - сімейний лікар",IF(S1188&lt;Законод!$C$22,0,(IF(AND(S1188&gt;=Законод!$E$22,S1188&lt;=Законод!$E$23),S1188-Законод!$C$22,IF('01_Доходи'!S1188&gt;=Законод!$F$22,Законод!$E$24,0)))),IF($B$1171="Лікар-педіатр",IF(S1188&lt;Законод!$C$18,0,(IF(AND(S1188&gt;=Законод!$E$18,S1188&lt;=Законод!$E$19),S1188-Законод!$C$18,IF('01_Доходи'!S1188&gt;=Законод!$F$18,Законод!$E$20,0)))),IF($B$1171="Лікар-терапевт",IF(S1188&lt;Законод!$C$26,0,(IF(AND(S1188&gt;=Законод!$E$26,S1188&lt;=Законод!$E$27),S1188-Законод!$C$26,IF('01_Доходи'!S1188&gt;=Законод!$F$26,Законод!$E$28,0)))),0)))</f>
        <v>0</v>
      </c>
      <c r="T1190" s="930"/>
      <c r="U1190" s="889" t="s">
        <v>346</v>
      </c>
      <c r="V1190" s="890"/>
      <c r="W1190" s="890"/>
      <c r="X1190" s="890"/>
      <c r="Y1190" s="891"/>
      <c r="Z1190" s="196">
        <f ca="1">IF($B$1171="Лікар загальної практики - сімейний лікар",IF(Z1188&lt;Законод!$C$22,0,(IF(AND(Z1188&gt;=Законод!$E$22,Z1188&lt;=Законод!$E$23),Z1188-Законод!$C$22,IF('01_Доходи'!Z1188&gt;=Законод!$F$22,Законод!$E$24,0)))),IF($B$1171="Лікар-педіатр",IF(Z1188&lt;Законод!$C$18,0,(IF(AND(Z1188&gt;=Законод!$E$18,Z1188&lt;=Законод!$E$19),Z1188-Законод!$C$18,IF('01_Доходи'!Z1188&gt;=Законод!$F$18,Законод!$E$20,0)))),IF($B$1171="Лікар-терапевт",IF(Z1188&lt;Законод!$C$26,0,(IF(AND(Z1188&gt;=Законод!$E$26,Z1188&lt;=Законод!$E$27),Z1188-Законод!$C$26,IF('01_Доходи'!Z1188&gt;=Законод!$F$26,Законод!$E$28,0)))),0)))</f>
        <v>0</v>
      </c>
      <c r="AA1190" s="930"/>
      <c r="AB1190" s="889" t="s">
        <v>346</v>
      </c>
      <c r="AC1190" s="890"/>
      <c r="AD1190" s="890"/>
      <c r="AE1190" s="890"/>
      <c r="AF1190" s="891"/>
      <c r="AG1190" s="196">
        <f ca="1">IF($B$1171="Лікар загальної практики - сімейний лікар",IF(AG1188&lt;Законод!$C$22,0,(IF(AND(AG1188&gt;=Законод!$E$22,AG1188&lt;=Законод!$E$23),AG1188-Законод!$C$22,IF('01_Доходи'!AG1188&gt;=Законод!$F$22,Законод!$E$24,0)))),IF($B$1171="Лікар-педіатр",IF(AG1188&lt;Законод!$C$18,0,(IF(AND(AG1188&gt;=Законод!$E$18,AG1188&lt;=Законод!$E$19),AG1188-Законод!$C$18,IF('01_Доходи'!AG1188&gt;=Законод!$F$18,Законод!$E$20,0)))),IF($B$1171="Лікар-терапевт",IF(AG1188&lt;Законод!$C$26,0,(IF(AND(AG1188&gt;=Законод!$E$26,AG1188&lt;=Законод!$E$27),AG1188-Законод!$C$26,IF('01_Доходи'!AG1188&gt;=Законод!$F$26,Законод!$E$28,0)))),0)))</f>
        <v>0</v>
      </c>
      <c r="AH1190" s="930"/>
      <c r="AI1190" s="201"/>
      <c r="AJ1190" s="933"/>
      <c r="AK1190" s="927"/>
      <c r="AL1190" s="927"/>
      <c r="AM1190" s="898" t="s">
        <v>375</v>
      </c>
      <c r="AN1190" s="210">
        <f ca="1">IF(B1184="Лікар загальної практики - сімейний лікар",L1190*Законод!$C$9/4*Законод!$E$16,IF(B1184="Лікар-педіатр",L1190*Законод!$C$9/4*Законод!$E$16,IF(B1184="Лікар-терапевт",L1190*Законод!$C$9/4*Законод!$E$16,0)))</f>
        <v>0</v>
      </c>
      <c r="AO1190" s="210">
        <f ca="1">IF(B1184="Лікар загальної практики - сімейний лікар",S1190*Законод!$C$9/4*Законод!$E$16,IF(B1184="Лікар-педіатр",S1190*Законод!$C$9/4*Законод!$E$16,IF(B1184="Лікар-терапевт",S1190*Законод!$C$9/4*Законод!$E$16,0)))</f>
        <v>0</v>
      </c>
      <c r="AP1190" s="210">
        <f ca="1">IF(B1184="Лікар загальної практики - сімейний лікар",Z1190*Законод!$C$9/4*Законод!$E$16,IF(B1184="Лікар-педіатр",Z1190*Законод!$C$9/4*Законод!$E$16,IF(B1184="Лікар-терапевт",Z1190*Законод!$C$9/4*Законод!$E$16,0)))</f>
        <v>0</v>
      </c>
      <c r="AQ1190" s="210">
        <f ca="1">IF(B1184="Лікар загальної практики - сімейний лікар",AG1190*Законод!$C$9/4*Законод!$E$16,IF(B1184="Лікар-педіатр",AG1190*Законод!$C$9/4*Законод!$E$16,IF(B1184="Лікар-терапевт",AG1190*Законод!$C$9/4*Законод!$E$16,0)))</f>
        <v>0</v>
      </c>
      <c r="AR1190" s="211">
        <f t="shared" si="118"/>
        <v>0</v>
      </c>
    </row>
    <row r="1191" spans="1:44" s="50" customFormat="1" ht="31.9" hidden="1" customHeight="1">
      <c r="A1191" s="197"/>
      <c r="B1191" s="893"/>
      <c r="C1191" s="896"/>
      <c r="D1191" s="912"/>
      <c r="E1191" s="909"/>
      <c r="F1191" s="238" t="str">
        <f ca="1">IF(B1184="Лікар-педіатр",Законод!$F$17,IF(B1184="Лікар загальної практики - сімейний лікар",Законод!$F$21,IF(B1184="Лікар-терапевт",Законод!$F$25,"х")))</f>
        <v>х</v>
      </c>
      <c r="G1191" s="889" t="s">
        <v>346</v>
      </c>
      <c r="H1191" s="890"/>
      <c r="I1191" s="890"/>
      <c r="J1191" s="890"/>
      <c r="K1191" s="891"/>
      <c r="L1191" s="196">
        <f ca="1">IF($B$1184="Лікар загальної практики - сімейний лікар",IF(L1188&lt;Законод!$C$22,0,(IF(AND(L1188&gt;=Законод!$F$22,L1188&lt;=Законод!$F$23),L1188-Законод!$E$23,IF('01_Доходи'!L1188&gt;=Законод!$G$22,Законод!$F$24,0)))),IF($B$1184="Лікар-педіатр",IF(L1188&lt;Законод!$C$18,0,(IF(AND(L1188&gt;=Законод!$F$18,L1188&lt;=Законод!$F$19),L1188-Законод!$E$19,IF('01_Доходи'!L1188&gt;=Законод!$G$18,Законод!$F$20,0)))),IF($B$1184="Лікар-терапевт",IF(L1188&lt;Законод!$C$26,0,(IF(AND(L1188&gt;=Законод!$F$26,L1188&lt;=Законод!$F$27),L1188-Законод!$E$27,IF('01_Доходи'!L1188&gt;=Законод!$G$26,Законод!$F$28,0)))),0)))</f>
        <v>0</v>
      </c>
      <c r="M1191" s="930"/>
      <c r="N1191" s="889" t="s">
        <v>346</v>
      </c>
      <c r="O1191" s="890"/>
      <c r="P1191" s="890"/>
      <c r="Q1191" s="890"/>
      <c r="R1191" s="891"/>
      <c r="S1191" s="196">
        <f ca="1">IF($B$1171="Лікар загальної практики - сімейний лікар",IF(S1188&lt;Законод!$C$22,0,(IF(AND(S1188&gt;=Законод!$F$22,S1188&lt;=Законод!$F$23),S1188-Законод!$E$23,IF('01_Доходи'!S1188&gt;=Законод!$G$22,Законод!$F$24,0)))),IF($B$1171="Лікар-педіатр",IF(S1188&lt;Законод!$C$18,0,(IF(AND(S1188&gt;=Законод!$F$18,S1188&lt;=Законод!$F$19),S1188-Законод!$E$19,IF('01_Доходи'!S1188&gt;=Законод!$G$18,Законод!$F$20,0)))),IF($B$1171="Лікар-терапевт",IF(S1188&lt;Законод!$C$26,0,(IF(AND(S1188&gt;=Законод!$F$26,S1188&lt;=Законод!$F$27),S1188-Законод!$E$27,IF('01_Доходи'!S1188&gt;=Законод!$G$26,Законод!$F$28,0)))),0)))</f>
        <v>0</v>
      </c>
      <c r="T1191" s="930"/>
      <c r="U1191" s="889" t="s">
        <v>346</v>
      </c>
      <c r="V1191" s="890"/>
      <c r="W1191" s="890"/>
      <c r="X1191" s="890"/>
      <c r="Y1191" s="891"/>
      <c r="Z1191" s="196">
        <f ca="1">IF($B$1171="Лікар загальної практики - сімейний лікар",IF(Z1188&lt;Законод!$C$22,0,(IF(AND(Z1188&gt;=Законод!$F$22,Z1188&lt;=Законод!$F$23),Z1188-Законод!$E$23,IF('01_Доходи'!Z1188&gt;=Законод!$G$22,Законод!$F$24,0)))),IF($B$1171="Лікар-педіатр",IF(Z1188&lt;Законод!$C$18,0,(IF(AND(Z1188&gt;=Законод!$F$18,Z1188&lt;=Законод!$F$19),Z1188-Законод!$E$19,IF('01_Доходи'!Z1188&gt;=Законод!$G$18,Законод!$F$20,0)))),IF($B$1171="Лікар-терапевт",IF(Z1188&lt;Законод!$C$26,0,(IF(AND(Z1188&gt;=Законод!$F$26,Z1188&lt;=Законод!$F$27),Z1188-Законод!$E$27,IF('01_Доходи'!Z1188&gt;=Законод!$G$26,Законод!$F$28,0)))),0)))</f>
        <v>0</v>
      </c>
      <c r="AA1191" s="930"/>
      <c r="AB1191" s="889" t="s">
        <v>346</v>
      </c>
      <c r="AC1191" s="890"/>
      <c r="AD1191" s="890"/>
      <c r="AE1191" s="890"/>
      <c r="AF1191" s="891"/>
      <c r="AG1191" s="196">
        <f ca="1">IF($B$1171="Лікар загальної практики - сімейний лікар",IF(AG1188&lt;Законод!$C$22,0,(IF(AND(AG1188&gt;=Законод!$F$22,AG1188&lt;=Законод!$F$23),AG1188-Законод!$E$23,IF('01_Доходи'!AG1188&gt;=Законод!$G$22,Законод!$F$24,0)))),IF($B$1171="Лікар-педіатр",IF(AG1188&lt;Законод!$C$18,0,(IF(AND(AG1188&gt;=Законод!$F$18,AG1188&lt;=Законод!$F$19),AG1188-Законод!$E$19,IF('01_Доходи'!AG1188&gt;=Законод!$G$18,Законод!$F$20,0)))),IF($B$1171="Лікар-терапевт",IF(AG1188&lt;Законод!$C$26,0,(IF(AND(AG1188&gt;=Законод!$F$26,AG1188&lt;=Законод!$F$27),AG1188-Законод!$E$27,IF('01_Доходи'!AG1188&gt;=Законод!$G$26,Законод!$F$28,0)))),0)))</f>
        <v>0</v>
      </c>
      <c r="AH1191" s="930"/>
      <c r="AI1191" s="201"/>
      <c r="AJ1191" s="933"/>
      <c r="AK1191" s="927"/>
      <c r="AL1191" s="927"/>
      <c r="AM1191" s="899"/>
      <c r="AN1191" s="210">
        <f ca="1">IF(B1184="Лікар загальної практики - сімейний лікар",L1191*Законод!$C$9/4*Законод!$F$16,IF(B1184="Лікар-педіатр",L1191*Законод!$C$9/4*Законод!$F$16,IF(B1184="Лікар-терапевт",L1191*Законод!$C$9/4*Законод!$F$16,0)))</f>
        <v>0</v>
      </c>
      <c r="AO1191" s="210">
        <f ca="1">IF(B1184="Лікар загальної практики - сімейний лікар",S1191*Законод!$C$9/4*Законод!$F$16,IF(B1184="Лікар-педіатр",S1191*Законод!$C$9/4*Законод!$F$16,IF(B1184="Лікар-терапевт",S1191*Законод!$C$9/4*Законод!$F$16,0)))</f>
        <v>0</v>
      </c>
      <c r="AP1191" s="210">
        <f ca="1">IF(B1184="Лікар загальної практики - сімейний лікар",Z1191*Законод!$C$9/4*Законод!$F$16,IF(B1184="Лікар-педіатр",Z1191*Законод!$C$9/4*Законод!$F$16,IF(B1184="Лікар-терапевт",Z1191*Законод!$C$9/4*Законод!$F$16,0)))</f>
        <v>0</v>
      </c>
      <c r="AQ1191" s="210">
        <f ca="1">IF(B1184="Лікар загальної практики - сімейний лікар",AG1191*Законод!$C$9/4*Законод!$F$16,IF(B1184="Лікар-педіатр",AG1191*Законод!$C$9/4*Законод!$F$16,IF(B1184="Лікар-терапевт",AG1191*Законод!$C$9/4*Законод!$F$16,0)))</f>
        <v>0</v>
      </c>
      <c r="AR1191" s="211">
        <f t="shared" si="118"/>
        <v>0</v>
      </c>
    </row>
    <row r="1192" spans="1:44" s="50" customFormat="1" ht="31.9" hidden="1" customHeight="1">
      <c r="A1192" s="197"/>
      <c r="B1192" s="893"/>
      <c r="C1192" s="896"/>
      <c r="D1192" s="912"/>
      <c r="E1192" s="909"/>
      <c r="F1192" s="238" t="str">
        <f ca="1">IF(B1184="Лікар-педіатр",Законод!$G$17,IF(B1184="Лікар загальної практики - сімейний лікар",Законод!$G$21,IF(B1184="Лікар-терапевт",Законод!$G$25,"х")))</f>
        <v>х</v>
      </c>
      <c r="G1192" s="889" t="s">
        <v>346</v>
      </c>
      <c r="H1192" s="890"/>
      <c r="I1192" s="890"/>
      <c r="J1192" s="890"/>
      <c r="K1192" s="891"/>
      <c r="L1192" s="196">
        <f ca="1">IF($B$1184="Лікар загальної практики - сімейний лікар",IF(L1188&lt;Законод!$C$22,0,(IF(AND(L1188&gt;=Законод!$G$22,L1188&lt;=Законод!$G$23),L1188-Законод!$F$23,IF('01_Доходи'!L1188&gt;=Законод!$H$22,Законод!$G$24,0)))),IF($B$1184="Лікар-педіатр",IF(L1188&lt;Законод!$C$18,0,(IF(AND(L1188&gt;=Законод!$G$18,L1188&lt;=Законод!$G$19),L1188-Законод!$F$19,IF('01_Доходи'!L1188&gt;=Законод!$H$18,Законод!$G$20,0)))),IF($B$1184="Лікар-терапевт",IF(L1188&lt;Законод!$C$26,0,(IF(AND(L1188&gt;=Законод!$G$26,L1188&lt;=Законод!$G$27),L1188-Законод!$F$27,IF('01_Доходи'!L1188&gt;=Законод!$H$26,Законод!$G$28,0)))),0)))</f>
        <v>0</v>
      </c>
      <c r="M1192" s="930"/>
      <c r="N1192" s="889" t="s">
        <v>346</v>
      </c>
      <c r="O1192" s="890"/>
      <c r="P1192" s="890"/>
      <c r="Q1192" s="890"/>
      <c r="R1192" s="891"/>
      <c r="S1192" s="196">
        <f ca="1">IF($B$1171="Лікар загальної практики - сімейний лікар",IF(S1188&lt;Законод!$C$22,0,(IF(AND(S1188&gt;=Законод!$G$22,S1188&lt;=Законод!$G$23),S1188-Законод!$F$23,IF('01_Доходи'!S1188&gt;=Законод!$H$22,Законод!$G$24,0)))),IF($B$1171="Лікар-педіатр",IF(S1188&lt;Законод!$C$18,0,(IF(AND(S1188&gt;=Законод!$G$18,S1188&lt;=Законод!$G$19),S1188-Законод!$F$19,IF('01_Доходи'!S1188&gt;=Законод!$H$18,Законод!$G$20,0)))),IF($B$1171="Лікар-терапевт",IF(S1188&lt;Законод!$C$26,0,(IF(AND(S1188&gt;=Законод!$G$26,S1188&lt;=Законод!$G$27),S1188-Законод!$F$27,IF('01_Доходи'!S1188&gt;=Законод!$H$26,Законод!$G$28,0)))),0)))</f>
        <v>0</v>
      </c>
      <c r="T1192" s="930"/>
      <c r="U1192" s="889" t="s">
        <v>346</v>
      </c>
      <c r="V1192" s="890"/>
      <c r="W1192" s="890"/>
      <c r="X1192" s="890"/>
      <c r="Y1192" s="891"/>
      <c r="Z1192" s="196">
        <f ca="1">IF($B$1171="Лікар загальної практики - сімейний лікар",IF(Z1188&lt;Законод!$C$22,0,(IF(AND(Z1188&gt;=Законод!$G$22,Z1188&lt;=Законод!$G$23),Z1188-Законод!$F$23,IF('01_Доходи'!Z1188&gt;=Законод!$H$22,Законод!$G$24,0)))),IF($B$1171="Лікар-педіатр",IF(Z1188&lt;Законод!$C$18,0,(IF(AND(Z1188&gt;=Законод!$G$18,Z1188&lt;=Законод!$G$19),Z1188-Законод!$F$19,IF('01_Доходи'!Z1188&gt;=Законод!$H$18,Законод!$G$20,0)))),IF($B$1171="Лікар-терапевт",IF(Z1188&lt;Законод!$C$26,0,(IF(AND(Z1188&gt;=Законод!$G$26,Z1188&lt;=Законод!$G$27),Z1188-Законод!$F$27,IF('01_Доходи'!Z1188&gt;=Законод!$H$26,Законод!$G$28,0)))),0)))</f>
        <v>0</v>
      </c>
      <c r="AA1192" s="930"/>
      <c r="AB1192" s="889" t="s">
        <v>346</v>
      </c>
      <c r="AC1192" s="890"/>
      <c r="AD1192" s="890"/>
      <c r="AE1192" s="890"/>
      <c r="AF1192" s="891"/>
      <c r="AG1192" s="196">
        <f ca="1">IF($B$1171="Лікар загальної практики - сімейний лікар",IF(AG1188&lt;Законод!$C$22,0,(IF(AND(AG1188&gt;=Законод!$G$22,AG1188&lt;=Законод!$G$23),AG1188-Законод!$F$23,IF('01_Доходи'!AG1188&gt;=Законод!$H$22,Законод!$G$24,0)))),IF($B$1171="Лікар-педіатр",IF(AG1188&lt;Законод!$C$18,0,(IF(AND(AG1188&gt;=Законод!$G$18,AG1188&lt;=Законод!$G$19),AG1188-Законод!$F$19,IF('01_Доходи'!AG1188&gt;=Законод!$H$18,Законод!$G$20,0)))),IF($B$1171="Лікар-терапевт",IF(AG1188&lt;Законод!$C$26,0,(IF(AND(AG1188&gt;=Законод!$G$26,AG1188&lt;=Законод!$G$27),AG1188-Законод!$F$27,IF('01_Доходи'!AG1188&gt;=Законод!$H$26,Законод!$G$28,0)))),0)))</f>
        <v>0</v>
      </c>
      <c r="AH1192" s="930"/>
      <c r="AI1192" s="201"/>
      <c r="AJ1192" s="933"/>
      <c r="AK1192" s="927"/>
      <c r="AL1192" s="927"/>
      <c r="AM1192" s="899"/>
      <c r="AN1192" s="210">
        <f ca="1">IF(B1184="Лікар загальної практики - сімейний лікар",L1192*Законод!$C$9/4*Законод!$G$16,IF(B1184="Лікар-педіатр",L1192*Законод!$C$9/4*Законод!$G$16,IF(B1184="Лікар-терапевт",L1192*Законод!$C$9/4*Законод!$G$16,0)))</f>
        <v>0</v>
      </c>
      <c r="AO1192" s="210">
        <f ca="1">IF(B1184="Лікар загальної практики - сімейний лікар",S1192*Законод!$C$9/4*Законод!$G$16,IF(B1184="Лікар-педіатр",S1192*Законод!$C$9/4*Законод!$G$16,IF(B1184="Лікар-терапевт",S1192*Законод!$C$9/4*Законод!$G$16,0)))</f>
        <v>0</v>
      </c>
      <c r="AP1192" s="210">
        <f ca="1">IF(B1184="Лікар загальної практики - сімейний лікар",Z1192*Законод!$C$9/4*Законод!$G$16,IF(B1184="Лікар-педіатр",Z1192*Законод!$C$9/4*Законод!$G$16,IF(B1184="Лікар-терапевт",Z1192*Законод!$C$9/4*Законод!$G$16,0)))</f>
        <v>0</v>
      </c>
      <c r="AQ1192" s="210">
        <f ca="1">IF(B1184="Лікар загальної практики - сімейний лікар",AG1192*Законод!$C$9/4*Законод!$G$16,IF(B1184="Лікар-педіатр",AG1192*Законод!$C$9/4*Законод!$G$16,IF(B1184="Лікар-терапевт",AG1192*Законод!$C$9/4*Законод!$G$16,0)))</f>
        <v>0</v>
      </c>
      <c r="AR1192" s="211">
        <f t="shared" si="118"/>
        <v>0</v>
      </c>
    </row>
    <row r="1193" spans="1:44" s="50" customFormat="1" ht="31.9" hidden="1" customHeight="1">
      <c r="A1193" s="197"/>
      <c r="B1193" s="893"/>
      <c r="C1193" s="896"/>
      <c r="D1193" s="912"/>
      <c r="E1193" s="909"/>
      <c r="F1193" s="238" t="str">
        <f ca="1">IF(B1184="Лікар-педіатр",Законод!$H$17,IF(B1184="Лікар загальної практики - сімейний лікар",Законод!$H$21,IF(B1184="Лікар-терапевт",Законод!$H$25,"х")))</f>
        <v>х</v>
      </c>
      <c r="G1193" s="889" t="s">
        <v>346</v>
      </c>
      <c r="H1193" s="890"/>
      <c r="I1193" s="890"/>
      <c r="J1193" s="890"/>
      <c r="K1193" s="891"/>
      <c r="L1193" s="196">
        <f ca="1">IF($B$1184="Лікар загальної практики - сімейний лікар",IF(L1188&lt;Законод!$C$22,0,(IF(AND(L1188&gt;=Законод!$H$22,L1188&lt;=Законод!$H$23),L1188-Законод!$G$23,IF('01_Доходи'!L1188&gt;=Законод!$I$22,Законод!$H$24,0)))),IF($B$1184="Лікар-педіатр",IF(L1188&lt;Законод!$C$18,0,(IF(AND(L1188&gt;=Законод!$H$18,L1188&lt;=Законод!$H$19),L1188-Законод!$G$19,IF('01_Доходи'!L1188&gt;=Законод!$I$18,Законод!$H$20,0)))),IF($B$1184="Лікар-терапевт",IF(L1188&lt;Законод!$C$26,0,(IF(AND(L1188&gt;=Законод!$H$26,L1188&lt;=Законод!$H$27),L1188-Законод!$G$27,IF(L1188&gt;=Законод!$I$26,Законод!$H$28,0)))),0)))</f>
        <v>0</v>
      </c>
      <c r="M1193" s="930"/>
      <c r="N1193" s="889" t="s">
        <v>346</v>
      </c>
      <c r="O1193" s="890"/>
      <c r="P1193" s="890"/>
      <c r="Q1193" s="890"/>
      <c r="R1193" s="891"/>
      <c r="S1193" s="196">
        <f ca="1">IF($B$1171="Лікар загальної практики - сімейний лікар",IF(S1188&lt;Законод!$C$22,0,(IF(AND(S1188&gt;=Законод!$H$22,S1188&lt;=Законод!$H$23),S1188-Законод!$G$23,IF('01_Доходи'!S1188&gt;=Законод!$I$22,Законод!$H$24,0)))),IF($B$1171="Лікар-педіатр",IF(S1188&lt;Законод!$C$18,0,(IF(AND(S1188&gt;=Законод!$H$18,S1188&lt;=Законод!$H$19),S1188-Законод!$G$19,IF('01_Доходи'!S1188&gt;=Законод!$I$18,Законод!$H$20,0)))),IF($B$1171="Лікар-терапевт",IF(S1188&lt;Законод!$C$26,0,(IF(AND(S1188&gt;=Законод!$H$26,S1188&lt;=Законод!$H$27),S1188-Законод!$G$27,IF(S1188&gt;=Законод!$I$26,Законод!$H$28,0)))),0)))</f>
        <v>0</v>
      </c>
      <c r="T1193" s="930"/>
      <c r="U1193" s="889" t="s">
        <v>346</v>
      </c>
      <c r="V1193" s="890"/>
      <c r="W1193" s="890"/>
      <c r="X1193" s="890"/>
      <c r="Y1193" s="891"/>
      <c r="Z1193" s="196">
        <f ca="1">IF($B$1171="Лікар загальної практики - сімейний лікар",IF(Z1188&lt;Законод!$C$22,0,(IF(AND(Z1188&gt;=Законод!$H$22,Z1188&lt;=Законод!$H$23),Z1188-Законод!$G$23,IF('01_Доходи'!Z1188&gt;=Законод!$I$22,Законод!$H$24,0)))),IF($B$1171="Лікар-педіатр",IF(Z1188&lt;Законод!$C$18,0,(IF(AND(Z1188&gt;=Законод!$H$18,Z1188&lt;=Законод!$H$19),Z1188-Законод!$G$19,IF('01_Доходи'!Z1188&gt;=Законод!$I$18,Законод!$H$20,0)))),IF($B$1171="Лікар-терапевт",IF(Z1188&lt;Законод!$C$26,0,(IF(AND(Z1188&gt;=Законод!$H$26,Z1188&lt;=Законод!$H$27),Z1188-Законод!$G$27,IF(Z1188&gt;=Законод!$I$26,Законод!$H$28,0)))),0)))</f>
        <v>0</v>
      </c>
      <c r="AA1193" s="930"/>
      <c r="AB1193" s="889" t="s">
        <v>346</v>
      </c>
      <c r="AC1193" s="890"/>
      <c r="AD1193" s="890"/>
      <c r="AE1193" s="890"/>
      <c r="AF1193" s="891"/>
      <c r="AG1193" s="196">
        <f ca="1">IF($B$1171="Лікар загальної практики - сімейний лікар",IF(AG1188&lt;Законод!$C$22,0,(IF(AND(AG1188&gt;=Законод!$H$22,AG1188&lt;=Законод!$H$23),AG1188-Законод!$G$23,IF('01_Доходи'!AG1188&gt;=Законод!$I$22,Законод!$H$24,0)))),IF($B$1171="Лікар-педіатр",IF(AG1188&lt;Законод!$C$18,0,(IF(AND(AG1188&gt;=Законод!$H$18,AG1188&lt;=Законод!$H$19),AG1188-Законод!$G$19,IF('01_Доходи'!AG1188&gt;=Законод!$I$18,Законод!$H$20,0)))),IF($B$1171="Лікар-терапевт",IF(AG1188&lt;Законод!$C$26,0,(IF(AND(AG1188&gt;=Законод!$H$26,AG1188&lt;=Законод!$H$27),AG1188-Законод!$G$27,IF(AG1188&gt;=Законод!$I$26,Законод!$H$28,0)))),0)))</f>
        <v>0</v>
      </c>
      <c r="AH1193" s="930"/>
      <c r="AI1193" s="201"/>
      <c r="AJ1193" s="933"/>
      <c r="AK1193" s="927"/>
      <c r="AL1193" s="927"/>
      <c r="AM1193" s="899"/>
      <c r="AN1193" s="210">
        <f ca="1">IF(B1184="Лікар загальної практики - сімейний лікар",L1193*Законод!$C$9/4*Законод!$H$16,IF(B1184="Лікар-педіатр",L1193*Законод!$C$9/4*Законод!$H$16,IF(B1184="Лікар-терапевт",L1193*Законод!$C$9/4*Законод!$H$16,0)))</f>
        <v>0</v>
      </c>
      <c r="AO1193" s="210">
        <f ca="1">IF(B1184="Лікар загальної практики - сімейний лікар",S1193*Законод!$C$9/4*Законод!$H$16,IF(B1184="Лікар-педіатр",S1193*Законод!$C$9/4*Законод!$H$16,IF(B1184="Лікар-терапевт",S1193*Законод!$C$9/4*Законод!$H$16,0)))</f>
        <v>0</v>
      </c>
      <c r="AP1193" s="210">
        <f ca="1">IF(B1184="Лікар загальної практики - сімейний лікар",Z1193*Законод!$C$9/4*Законод!$H$16,IF(B1184="Лікар-педіатр",Z1193*Законод!$C$9/4*Законод!$H$16,IF(B1184="Лікар-терапевт",Z1193*Законод!$C$9/4*Законод!$H$16,0)))</f>
        <v>0</v>
      </c>
      <c r="AQ1193" s="210">
        <f ca="1">IF(B1184="Лікар загальної практики - сімейний лікар",AG1193*Законод!$C$9/4*Законод!$H$16,IF(B1184="Лікар-педіатр",AG1193*Законод!$C$9/4*Законод!$H$16,IF(B1184="Лікар-терапевт",AG1193*Законод!$C$9/4*Законод!$H$16,0)))</f>
        <v>0</v>
      </c>
      <c r="AR1193" s="211">
        <f t="shared" si="118"/>
        <v>0</v>
      </c>
    </row>
    <row r="1194" spans="1:44" s="50" customFormat="1" ht="31.9" hidden="1" customHeight="1">
      <c r="A1194" s="197"/>
      <c r="B1194" s="893"/>
      <c r="C1194" s="896"/>
      <c r="D1194" s="912"/>
      <c r="E1194" s="909"/>
      <c r="F1194" s="238" t="str">
        <f ca="1">IF(B1184="Лікар-педіатр",Законод!$I$17,IF(B1184="Лікар загальної практики - сімейний лікар",Законод!$I$21,IF(B1184="Лікар-терапевт",Законод!$I$25,"х")))</f>
        <v>х</v>
      </c>
      <c r="G1194" s="889" t="s">
        <v>346</v>
      </c>
      <c r="H1194" s="890"/>
      <c r="I1194" s="890"/>
      <c r="J1194" s="890"/>
      <c r="K1194" s="891"/>
      <c r="L1194" s="196">
        <f ca="1">IF($B$1184="Лікар загальної практики - сімейний лікар",IF(L1188&lt;Законод!$C$22,0,(IF(AND(L1188&gt;=Законод!$I$22,L1188&lt;=Законод!$I$23),L1188-Законод!$H$23,IF('01_Доходи'!L1188&gt;=Законод!$I$22,Законод!$I$24,0)))),IF($B$1184="Лікар-педіатр",IF(L1188&lt;Законод!$C$18,0,(IF(AND(L1188&gt;=Законод!$I$18,L1188&lt;=Законод!$I$19),L1188-Законод!$H$19,IF('01_Доходи'!L1188&gt;=Законод!$I$18,Законод!$H$20,0)))),IF($B$1184="Лікар-терапевт",IF(L1188&lt;Законод!$C$26,0,(IF(AND(L1188&gt;=Законод!$I$26,L1188&lt;=Законод!$I$27),L1188-Законод!$H$27,IF('01_Доходи'!L1188&gt;=Законод!$I$26,Законод!$H$28,0)))),0)))</f>
        <v>0</v>
      </c>
      <c r="M1194" s="930"/>
      <c r="N1194" s="889" t="s">
        <v>346</v>
      </c>
      <c r="O1194" s="890"/>
      <c r="P1194" s="890"/>
      <c r="Q1194" s="890"/>
      <c r="R1194" s="891"/>
      <c r="S1194" s="196">
        <f ca="1">IF($B$1171="Лікар загальної практики - сімейний лікар",IF(S1188&lt;Законод!$C$22,0,(IF(AND(S1188&gt;=Законод!$I$22,S1188&lt;=Законод!$I$23),S1188-Законод!$H$23,IF('01_Доходи'!S1188&gt;=Законод!$I$22,Законод!$I$24,0)))),IF($B$1171="Лікар-педіатр",IF(S1188&lt;Законод!$C$18,0,(IF(AND(S1188&gt;=Законод!$I$18,S1188&lt;=Законод!$I$19),S1188-Законод!$H$19,IF('01_Доходи'!S1188&gt;=Законод!$I$18,Законод!$H$20,0)))),IF($B$1171="Лікар-терапевт",IF(S1188&lt;Законод!$C$26,0,(IF(AND(S1188&gt;=Законод!$I$26,S1188&lt;=Законод!$I$27),S1188-Законод!$H$27,IF('01_Доходи'!S1188&gt;=Законод!$I$26,Законод!$H$28,0)))),0)))</f>
        <v>0</v>
      </c>
      <c r="T1194" s="930"/>
      <c r="U1194" s="889" t="s">
        <v>346</v>
      </c>
      <c r="V1194" s="890"/>
      <c r="W1194" s="890"/>
      <c r="X1194" s="890"/>
      <c r="Y1194" s="891"/>
      <c r="Z1194" s="196">
        <f ca="1">IF($B$1171="Лікар загальної практики - сімейний лікар",IF(Z1188&lt;Законод!$C$22,0,(IF(AND(Z1188&gt;=Законод!$I$22,Z1188&lt;=Законод!$I$23),Z1188-Законод!$H$23,IF('01_Доходи'!Z1188&gt;=Законод!$I$22,Законод!$I$24,0)))),IF($B$1171="Лікар-педіатр",IF(Z1188&lt;Законод!$C$18,0,(IF(AND(Z1188&gt;=Законод!$I$18,Z1188&lt;=Законод!$I$19),Z1188-Законод!$H$19,IF('01_Доходи'!Z1188&gt;=Законод!$I$18,Законод!$H$20,0)))),IF($B$1171="Лікар-терапевт",IF(Z1188&lt;Законод!$C$26,0,(IF(AND(Z1188&gt;=Законод!$I$26,Z1188&lt;=Законод!$I$27),Z1188-Законод!$H$27,IF('01_Доходи'!Z1188&gt;=Законод!$I$26,Законод!$H$28,0)))),0)))</f>
        <v>0</v>
      </c>
      <c r="AA1194" s="930"/>
      <c r="AB1194" s="889" t="s">
        <v>346</v>
      </c>
      <c r="AC1194" s="890"/>
      <c r="AD1194" s="890"/>
      <c r="AE1194" s="890"/>
      <c r="AF1194" s="891"/>
      <c r="AG1194" s="196">
        <f ca="1">IF($B$1171="Лікар загальної практики - сімейний лікар",IF(AG1188&lt;Законод!$C$22,0,(IF(AND(AG1188&gt;=Законод!$I$22,AG1188&lt;=Законод!$I$23),AG1188-Законод!$H$23,IF('01_Доходи'!AG1188&gt;=Законод!$I$22,Законод!$I$24,0)))),IF($B$1171="Лікар-педіатр",IF(AG1188&lt;Законод!$C$18,0,(IF(AND(AG1188&gt;=Законод!$I$18,AG1188&lt;=Законод!$I$19),AG1188-Законод!$H$19,IF('01_Доходи'!AG1188&gt;=Законод!$I$18,Законод!$H$20,0)))),IF($B$1171="Лікар-терапевт",IF(AG1188&lt;Законод!$C$26,0,(IF(AND(AG1188&gt;=Законод!$I$26,AG1188&lt;=Законод!$I$27),AG1188-Законод!$H$27,IF('01_Доходи'!AG1188&gt;=Законод!$I$26,Законод!$H$28,0)))),0)))</f>
        <v>0</v>
      </c>
      <c r="AH1194" s="930"/>
      <c r="AI1194" s="201"/>
      <c r="AJ1194" s="933"/>
      <c r="AK1194" s="927"/>
      <c r="AL1194" s="927"/>
      <c r="AM1194" s="899"/>
      <c r="AN1194" s="210">
        <f ca="1">IF(B1184="Лікар загальної практики - сімейний лікар",L1194*Законод!$C$9/4*Законод!$I$16,IF(B1184="Лікар-педіатр",L1194*Законод!$C$9/4*Законод!$I$16,IF(B1184="Лікар-терапевт",L1194*Законод!$C$9/4*Законод!$I$16,0)))</f>
        <v>0</v>
      </c>
      <c r="AO1194" s="210">
        <f ca="1">IF(B1184="Лікар загальної практики - сімейний лікар",S1194*Законод!$C$9/4*Законод!$I$16,IF(B1184="Лікар-педіатр",S1194*Законод!$C$9/4*Законод!$I$16,IF(B1184="Лікар-терапевт",S1194*Законод!$C$9/4*Законод!$I$16,0)))</f>
        <v>0</v>
      </c>
      <c r="AP1194" s="210">
        <f ca="1">IF(B1184="Лікар загальної практики - сімейний лікар",Z1194*Законод!$C$9/4*Законод!$I$16,IF(B1184="Лікар-педіатр",Z1194*Законод!$C$9/4*Законод!$I$16,IF(B1184="Лікар-терапевт",Z1194*Законод!$C$9/4*Законод!$I$16,0)))</f>
        <v>0</v>
      </c>
      <c r="AQ1194" s="210">
        <f ca="1">IF(B1184="Лікар загальної практики - сімейний лікар",AG1194*Законод!$C$9/4*Законод!$I$16,IF(B1184="Лікар-педіатр",AG1194*Законод!$C$9/4*Законод!$I$16,IF(B1184="Лікар-терапевт",AG1194*Законод!$C$9/4*Законод!$I$16,0)))</f>
        <v>0</v>
      </c>
      <c r="AR1194" s="211">
        <f t="shared" si="118"/>
        <v>0</v>
      </c>
    </row>
    <row r="1195" spans="1:44" s="218" customFormat="1" ht="31.9" hidden="1" customHeight="1" thickBot="1">
      <c r="A1195" s="213"/>
      <c r="B1195" s="894"/>
      <c r="C1195" s="897"/>
      <c r="D1195" s="913"/>
      <c r="E1195" s="910"/>
      <c r="F1195" s="239" t="str">
        <f ca="1">IF(B1184="Лікар-педіатр",Законод!$J$17,IF(B1184="Лікар загальної практики - сімейний лікар",Законод!$J$21,IF(B1184="Лікар-терапевт",Законод!$J$25,"х")))</f>
        <v>х</v>
      </c>
      <c r="G1195" s="935" t="s">
        <v>346</v>
      </c>
      <c r="H1195" s="936"/>
      <c r="I1195" s="936"/>
      <c r="J1195" s="936"/>
      <c r="K1195" s="937"/>
      <c r="L1195" s="196">
        <f ca="1">IF($B$1184="Лікар загальної практики - сімейний лікар",IF(L1188&gt;=Законод!$J$22,'01_Доходи'!L1188-('01_Доходи'!L1189+'01_Доходи'!L1190+'01_Доходи'!L1191+'01_Доходи'!L1192+'01_Доходи'!L1193+'01_Доходи'!L1194),0),IF($B$1184="Лікар-педіатр",IF(L1188&gt;=Законод!$J$18,'01_Доходи'!L1188-('01_Доходи'!L1189+'01_Доходи'!L1190+'01_Доходи'!L1191+'01_Доходи'!L1192+'01_Доходи'!L1193+'01_Доходи'!L1194),0),IF($B$1184="Лікар-терапевт",IF('01_Доходи'!L1188&gt;=Законод!$J$26,L1188-Законод!$I$27,0),0)))</f>
        <v>0</v>
      </c>
      <c r="M1195" s="931"/>
      <c r="N1195" s="935" t="s">
        <v>346</v>
      </c>
      <c r="O1195" s="936"/>
      <c r="P1195" s="936"/>
      <c r="Q1195" s="936"/>
      <c r="R1195" s="937"/>
      <c r="S1195" s="196">
        <f ca="1">IF($B$1171="Лікар загальної практики - сімейний лікар",IF(S1188&gt;=Законод!$J$22,'01_Доходи'!S1188-('01_Доходи'!S1189+'01_Доходи'!S1190+'01_Доходи'!S1191+'01_Доходи'!S1192+'01_Доходи'!S1193+'01_Доходи'!S1194),0),IF($B$1171="Лікар-педіатр",IF(S1188&gt;=Законод!$J$18,'01_Доходи'!S1188-('01_Доходи'!S1189+'01_Доходи'!S1190+'01_Доходи'!S1191+'01_Доходи'!S1192+'01_Доходи'!S1193+'01_Доходи'!S1194),0),IF($B$1171="Лікар-терапевт",IF('01_Доходи'!S1188&gt;=Законод!$J$26,S1188-Законод!$I$27,0),0)))</f>
        <v>0</v>
      </c>
      <c r="T1195" s="931"/>
      <c r="U1195" s="935" t="s">
        <v>346</v>
      </c>
      <c r="V1195" s="936"/>
      <c r="W1195" s="936"/>
      <c r="X1195" s="936"/>
      <c r="Y1195" s="937"/>
      <c r="Z1195" s="196">
        <f ca="1">IF($B$1171="Лікар загальної практики - сімейний лікар",IF(Z1188&gt;=Законод!$J$22,'01_Доходи'!Z1188-('01_Доходи'!Z1189+'01_Доходи'!Z1190+'01_Доходи'!Z1191+'01_Доходи'!Z1192+'01_Доходи'!Z1193+'01_Доходи'!Z1194),0),IF($B$1171="Лікар-педіатр",IF(Z1188&gt;=Законод!$J$18,'01_Доходи'!Z1188-('01_Доходи'!Z1189+'01_Доходи'!Z1190+'01_Доходи'!Z1191+'01_Доходи'!Z1192+'01_Доходи'!Z1193+'01_Доходи'!Z1194),0),IF($B$1171="Лікар-терапевт",IF('01_Доходи'!Z1188&gt;=Законод!$J$26,Z1188-Законод!$I$27,0),0)))</f>
        <v>0</v>
      </c>
      <c r="AA1195" s="931"/>
      <c r="AB1195" s="935" t="s">
        <v>346</v>
      </c>
      <c r="AC1195" s="936"/>
      <c r="AD1195" s="936"/>
      <c r="AE1195" s="936"/>
      <c r="AF1195" s="937"/>
      <c r="AG1195" s="196">
        <f ca="1">IF($B$1171="Лікар загальної практики - сімейний лікар",IF(AG1188&gt;=Законод!$J$22,'01_Доходи'!AG1188-('01_Доходи'!AG1189+'01_Доходи'!AG1190+'01_Доходи'!AG1191+'01_Доходи'!AG1192+'01_Доходи'!AG1193+'01_Доходи'!AG1194),0),IF($B$1171="Лікар-педіатр",IF(AG1188&gt;=Законод!$J$18,'01_Доходи'!AG1188-('01_Доходи'!AG1189+'01_Доходи'!AG1190+'01_Доходи'!AG1191+'01_Доходи'!AG1192+'01_Доходи'!AG1193+'01_Доходи'!AG1194),0),IF($B$1171="Лікар-терапевт",IF('01_Доходи'!AG1188&gt;=Законод!$J$26,AG1188-Законод!$I$27,0),0)))</f>
        <v>0</v>
      </c>
      <c r="AH1195" s="931"/>
      <c r="AI1195" s="215"/>
      <c r="AJ1195" s="934"/>
      <c r="AK1195" s="928"/>
      <c r="AL1195" s="928"/>
      <c r="AM1195" s="900"/>
      <c r="AN1195" s="216">
        <f ca="1">IF(B1184="Лікар загальної практики - сімейний лікар",L1195*Законод!$C$9/4*Законод!$J$16,IF(B1184="Лікар-педіатр",L1195*Законод!$C$9/4*Законод!$J$16,IF(B1184="Лікар-терапевт",L1195*Законод!$C$9/4*Законод!$J$16,0)))</f>
        <v>0</v>
      </c>
      <c r="AO1195" s="216">
        <f ca="1">IF(B1184="Лікар загальної практики - сімейний лікар",S1195*Законод!$C$9/4*Законод!$J$16,IF(B1184="Лікар-педіатр",S1195*Законод!$C$9/4*Законод!$J$16,IF(B1184="Лікар-терапевт",S1195*Законод!$C$9/4*Законод!$J$16,0)))</f>
        <v>0</v>
      </c>
      <c r="AP1195" s="216">
        <f ca="1">IF(B1184="Лікар загальної практики - сімейний лікар",S1195*Законод!$C$9/4*Законод!$J$16,IF(B1184="Лікар-педіатр",S1195*Законод!$C$9/4*Законод!$J$16,IF(B1184="Лікар-терапевт",S1195*Законод!$C$9/4*Законод!$J$16,0)))</f>
        <v>0</v>
      </c>
      <c r="AQ1195" s="216">
        <f ca="1">IF(B1184="Лікар загальної практики - сімейний лікар",AG1195*Законод!$C$9/4*Законод!$J$16,IF(B1184="Лікар-педіатр",AG1195*Законод!$C$9/4*Законод!$J$16,IF(B1184="Лікар-терапевт",AG1195*Законод!$C$9/4*Законод!$J$16,0)))</f>
        <v>0</v>
      </c>
      <c r="AR1195" s="217">
        <f t="shared" si="118"/>
        <v>0</v>
      </c>
    </row>
    <row r="1196" spans="1:44" s="247" customFormat="1" ht="23.45" hidden="1" customHeight="1" thickBot="1">
      <c r="A1196" s="243"/>
      <c r="B1196" s="244"/>
      <c r="C1196" s="244"/>
      <c r="D1196" s="244"/>
      <c r="E1196" s="244"/>
      <c r="F1196" s="245"/>
      <c r="G1196" s="246"/>
      <c r="H1196" s="246"/>
      <c r="L1196" s="248"/>
      <c r="S1196" s="248"/>
      <c r="Z1196" s="248"/>
      <c r="AG1196" s="248"/>
      <c r="AM1196" s="249"/>
      <c r="AR1196" s="250"/>
    </row>
    <row r="1197" spans="1:44" s="191" customFormat="1" ht="24.6" hidden="1" customHeight="1">
      <c r="A1197" s="194">
        <f>A1184+1</f>
        <v>90</v>
      </c>
      <c r="B1197" s="892"/>
      <c r="C1197" s="895"/>
      <c r="D1197" s="911"/>
      <c r="E1197" s="908"/>
      <c r="F1197" s="234" t="s">
        <v>582</v>
      </c>
      <c r="G1197" s="196">
        <f>IF($B$1197="Лікар-педіатр",G1200*L1197,IF($B$1197="Лікар-терапевт","х",IF($B$1197="Лікар загальної практики - сімейний лікар",G1200*L1197,0)))</f>
        <v>0</v>
      </c>
      <c r="H1197" s="196">
        <f>IF($B$1197="Лікар-педіатр",H1200*L1197,IF($B$1197="Лікар-терапевт","х",IF($B$1197="Лікар загальної практики - сімейний лікар",H1200*L1197,0)))</f>
        <v>0</v>
      </c>
      <c r="I1197" s="196">
        <f>IF($B$1197="Лікар-педіатр","x",IF($B$1197="Лікар-терапевт",I1200*L1197,IF($B$1197="Лікар загальної практики - сімейний лікар",I1200*L1197,0)))</f>
        <v>0</v>
      </c>
      <c r="J1197" s="196">
        <f>IF($B$1197="Лікар-педіатр","x",IF($B$1197="Лікар-терапевт",J1200*L1197,IF($B$1197="Лікар загальної практики - сімейний лікар",J1200*L1197,0)))</f>
        <v>0</v>
      </c>
      <c r="K1197" s="196">
        <f>IF($B$1197="Лікар-педіатр","x",IF($B$1197="Лікар-терапевт",K1200*L1197,IF($B$1197="Лікар загальної практики - сімейний лікар",K1200*L1197,0)))</f>
        <v>0</v>
      </c>
      <c r="L1197" s="558"/>
      <c r="M1197" s="929"/>
      <c r="N1197" s="196">
        <f>IF($B$1197="Лікар-педіатр",N1200*S1197,IF($B$1197="Лікар-терапевт","х",IF($B$1197="Лікар загальної практики - сімейний лікар",N1200*S1197,0)))</f>
        <v>0</v>
      </c>
      <c r="O1197" s="196">
        <f>IF($B$1197="Лікар-педіатр",O1200*S1197,IF($B$1197="Лікар-терапевт","х",IF($B$1197="Лікар загальної практики - сімейний лікар",O1200*S1197,0)))</f>
        <v>0</v>
      </c>
      <c r="P1197" s="196">
        <f>IF($B$1197="Лікар-педіатр","x",IF($B$1197="Лікар-терапевт",P1200*S1197,IF($B$1197="Лікар загальної практики - сімейний лікар",P1200*S1197,0)))</f>
        <v>0</v>
      </c>
      <c r="Q1197" s="196">
        <f>IF($B$1197="Лікар-педіатр","x",IF($B$1197="Лікар-терапевт",Q1200*S1197,IF($B$1197="Лікар загальної практики - сімейний лікар",Q1200*S1197,0)))</f>
        <v>0</v>
      </c>
      <c r="R1197" s="196">
        <f>IF($B$1197="Лікар-педіатр","x",IF($B$1197="Лікар-терапевт",R1200*S1197,IF($B$1197="Лікар загальної практики - сімейний лікар",R1200*S1197,0)))</f>
        <v>0</v>
      </c>
      <c r="S1197" s="558"/>
      <c r="T1197" s="929"/>
      <c r="U1197" s="196">
        <f>IF($B$1197="Лікар-педіатр",U1200*Z1197,IF($B$1197="Лікар-терапевт","х",IF($B$1197="Лікар загальної практики - сімейний лікар",U1200*Z1197,0)))</f>
        <v>0</v>
      </c>
      <c r="V1197" s="196">
        <f>IF($B$1197="Лікар-педіатр",V1200*Z1197,IF($B$1197="Лікар-терапевт","х",IF($B$1197="Лікар загальної практики - сімейний лікар",V1200*Z1197,0)))</f>
        <v>0</v>
      </c>
      <c r="W1197" s="196">
        <f>IF($B$1197="Лікар-педіатр","x",IF($B$1197="Лікар-терапевт",W1200*Z1197,IF($B$1197="Лікар загальної практики - сімейний лікар",W1200*Z1197,0)))</f>
        <v>0</v>
      </c>
      <c r="X1197" s="196">
        <f>IF($B$1197="Лікар-педіатр","x",IF($B$1197="Лікар-терапевт",X1200*Z1197,IF($B$1197="Лікар загальної практики - сімейний лікар",X1200*Z1197,0)))</f>
        <v>0</v>
      </c>
      <c r="Y1197" s="196">
        <f>IF($B$1197="Лікар-педіатр","x",IF($B$1197="Лікар-терапевт",Y1200*Z1197,IF($B$1197="Лікар загальної практики - сімейний лікар",Y1200*Z1197,0)))</f>
        <v>0</v>
      </c>
      <c r="Z1197" s="558"/>
      <c r="AA1197" s="929"/>
      <c r="AB1197" s="196">
        <f>IF($B$1197="Лікар-педіатр",AB1200*AG1197,IF($B$1197="Лікар-терапевт","х",IF($B$1197="Лікар загальної практики - сімейний лікар",AB1200*AG1197,0)))</f>
        <v>0</v>
      </c>
      <c r="AC1197" s="196">
        <f>IF($B$1197="Лікар-педіатр",AC1200*AG1197,IF($B$1197="Лікар-терапевт","х",IF($B$1197="Лікар загальної практики - сімейний лікар",AC1200*AG1197,0)))</f>
        <v>0</v>
      </c>
      <c r="AD1197" s="196">
        <f>IF($B$1197="Лікар-педіатр","x",IF($B$1197="Лікар-терапевт",AD1200*AG1197,IF($B$1197="Лікар загальної практики - сімейний лікар",AD1200*AG1197,0)))</f>
        <v>0</v>
      </c>
      <c r="AE1197" s="196">
        <f>IF($B$1197="Лікар-педіатр","x",IF($B$1197="Лікар-терапевт",AE1200*AG1197,IF($B$1197="Лікар загальної практики - сімейний лікар",AE1200*AG1197,0)))</f>
        <v>0</v>
      </c>
      <c r="AF1197" s="196">
        <f>IF($B$1197="Лікар-педіатр","x",IF($B$1197="Лікар-терапевт",AF1200*AG1197,IF($B$1197="Лікар загальної практики - сімейний лікар",AF1200*AG1197,0)))</f>
        <v>0</v>
      </c>
      <c r="AG1197" s="558"/>
      <c r="AH1197" s="929"/>
      <c r="AI1197" s="541">
        <f>A1197</f>
        <v>90</v>
      </c>
      <c r="AJ1197" s="932">
        <f>B1197</f>
        <v>0</v>
      </c>
      <c r="AK1197" s="926">
        <f>C1197</f>
        <v>0</v>
      </c>
      <c r="AL1197" s="926">
        <f>D1197</f>
        <v>0</v>
      </c>
      <c r="AM1197" s="901" t="s">
        <v>785</v>
      </c>
      <c r="AN1197" s="923">
        <f>SUM(AN1202:AN1208)</f>
        <v>0</v>
      </c>
      <c r="AO1197" s="923">
        <f>SUM(AO1202:AO1208)</f>
        <v>0</v>
      </c>
      <c r="AP1197" s="923">
        <f>SUM(AP1202:AP1208)</f>
        <v>0</v>
      </c>
      <c r="AQ1197" s="923">
        <f>SUM(AQ1202:AQ1208)</f>
        <v>0</v>
      </c>
      <c r="AR1197" s="914">
        <f>SUM(AN1197:AQ1201)</f>
        <v>0</v>
      </c>
    </row>
    <row r="1198" spans="1:44" s="50" customFormat="1" ht="28.15" hidden="1" customHeight="1">
      <c r="A1198" s="197"/>
      <c r="B1198" s="893"/>
      <c r="C1198" s="896"/>
      <c r="D1198" s="912"/>
      <c r="E1198" s="909"/>
      <c r="F1198" s="234" t="s">
        <v>583</v>
      </c>
      <c r="G1198" s="196">
        <f>IF($B$1197="Лікар-педіатр",G1200*L1198,IF($B$1197="Лікар-терапевт","х",IF($B$1197="Лікар загальної практики - сімейний лікар",G1200*L1198,0)))</f>
        <v>0</v>
      </c>
      <c r="H1198" s="196">
        <f>IF($B$1197="Лікар-педіатр",H1200*L1198,IF($B$1197="Лікар-терапевт","х",IF($B$1197="Лікар загальної практики - сімейний лікар",H1200*L1198,0)))</f>
        <v>0</v>
      </c>
      <c r="I1198" s="196">
        <f>IF($B$1197="Лікар-педіатр","x",IF($B$1197="Лікар-терапевт",I1200*L1198,IF($B$1197="Лікар загальної практики - сімейний лікар",I1200*L1198,0)))</f>
        <v>0</v>
      </c>
      <c r="J1198" s="196">
        <f>IF($B$1197="Лікар-педіатр","x",IF($B$1197="Лікар-терапевт",J1200*L1198,IF($B$1197="Лікар загальної практики - сімейний лікар",J1200*L1198,0)))</f>
        <v>0</v>
      </c>
      <c r="K1198" s="196">
        <f>IF($B$1197="Лікар-педіатр","x",IF($B$1197="Лікар-терапевт",K1200*L1198,IF($B$1197="Лікар загальної практики - сімейний лікар",K1200*L1198,0)))</f>
        <v>0</v>
      </c>
      <c r="L1198" s="558"/>
      <c r="M1198" s="930"/>
      <c r="N1198" s="196">
        <f>IF($B$1197="Лікар-педіатр",N1200*S1198,IF($B$1197="Лікар-терапевт","х",IF($B$1197="Лікар загальної практики - сімейний лікар",N1200*S1198,0)))</f>
        <v>0</v>
      </c>
      <c r="O1198" s="196">
        <f>IF($B$1197="Лікар-педіатр",O1200*S1198,IF($B$1197="Лікар-терапевт","х",IF($B$1197="Лікар загальної практики - сімейний лікар",O1200*S1198,0)))</f>
        <v>0</v>
      </c>
      <c r="P1198" s="196">
        <f>IF($B$1197="Лікар-педіатр","x",IF($B$1197="Лікар-терапевт",P1200*S1198,IF($B$1197="Лікар загальної практики - сімейний лікар",P1200*S1198,0)))</f>
        <v>0</v>
      </c>
      <c r="Q1198" s="196">
        <f>IF($B$1197="Лікар-педіатр","x",IF($B$1197="Лікар-терапевт",Q1200*S1198,IF($B$1197="Лікар загальної практики - сімейний лікар",Q1200*S1198,0)))</f>
        <v>0</v>
      </c>
      <c r="R1198" s="196">
        <f>IF($B$1197="Лікар-педіатр","x",IF($B$1197="Лікар-терапевт",R1200*S1198,IF($B$1197="Лікар загальної практики - сімейний лікар",R1200*S1198,0)))</f>
        <v>0</v>
      </c>
      <c r="S1198" s="558"/>
      <c r="T1198" s="930"/>
      <c r="U1198" s="196">
        <f>IF($B$1197="Лікар-педіатр",U1200*Z1198,IF($B$1197="Лікар-терапевт","х",IF($B$1197="Лікар загальної практики - сімейний лікар",U1200*Z1198,0)))</f>
        <v>0</v>
      </c>
      <c r="V1198" s="196">
        <f>IF($B$1197="Лікар-педіатр",V1200*Z1198,IF($B$1197="Лікар-терапевт","х",IF($B$1197="Лікар загальної практики - сімейний лікар",V1200*Z1198,0)))</f>
        <v>0</v>
      </c>
      <c r="W1198" s="196">
        <f>IF($B$1197="Лікар-педіатр","x",IF($B$1197="Лікар-терапевт",W1200*Z1198,IF($B$1197="Лікар загальної практики - сімейний лікар",W1200*Z1198,0)))</f>
        <v>0</v>
      </c>
      <c r="X1198" s="196">
        <f>IF($B$1197="Лікар-педіатр","x",IF($B$1197="Лікар-терапевт",X1200*Z1198,IF($B$1197="Лікар загальної практики - сімейний лікар",X1200*Z1198,0)))</f>
        <v>0</v>
      </c>
      <c r="Y1198" s="196">
        <f>IF($B$1197="Лікар-педіатр","x",IF($B$1197="Лікар-терапевт",Y1200*Z1198,IF($B$1197="Лікар загальної практики - сімейний лікар",Y1200*Z1198,0)))</f>
        <v>0</v>
      </c>
      <c r="Z1198" s="558"/>
      <c r="AA1198" s="930"/>
      <c r="AB1198" s="196">
        <f>IF($B$1197="Лікар-педіатр",AB1200*AG1198,IF($B$1197="Лікар-терапевт","х",IF($B$1197="Лікар загальної практики - сімейний лікар",AB1200*AG1198,0)))</f>
        <v>0</v>
      </c>
      <c r="AC1198" s="196">
        <f>IF($B$1197="Лікар-педіатр",AC1200*AG1198,IF($B$1197="Лікар-терапевт","х",IF($B$1197="Лікар загальної практики - сімейний лікар",AC1200*AG1198,0)))</f>
        <v>0</v>
      </c>
      <c r="AD1198" s="196">
        <f>IF($B$1197="Лікар-педіатр","x",IF($B$1197="Лікар-терапевт",AD1200*AG1198,IF($B$1197="Лікар загальної практики - сімейний лікар",AD1200*AG1198,0)))</f>
        <v>0</v>
      </c>
      <c r="AE1198" s="196">
        <f>IF($B$1197="Лікар-педіатр","x",IF($B$1197="Лікар-терапевт",AE1200*AG1198,IF($B$1197="Лікар загальної практики - сімейний лікар",AE1200*AG1198,0)))</f>
        <v>0</v>
      </c>
      <c r="AF1198" s="196">
        <f>IF($B$1197="Лікар-педіатр","x",IF($B$1197="Лікар-терапевт",AF1200*AG1198,IF($B$1197="Лікар загальної практики - сімейний лікар",AF1200*AG1198,0)))</f>
        <v>0</v>
      </c>
      <c r="AG1198" s="558"/>
      <c r="AH1198" s="930"/>
      <c r="AI1198" s="198"/>
      <c r="AJ1198" s="933"/>
      <c r="AK1198" s="927"/>
      <c r="AL1198" s="927"/>
      <c r="AM1198" s="902"/>
      <c r="AN1198" s="924"/>
      <c r="AO1198" s="924"/>
      <c r="AP1198" s="924"/>
      <c r="AQ1198" s="924"/>
      <c r="AR1198" s="915"/>
    </row>
    <row r="1199" spans="1:44" s="90" customFormat="1" ht="31.15" hidden="1" customHeight="1">
      <c r="A1199" s="240"/>
      <c r="B1199" s="893"/>
      <c r="C1199" s="896"/>
      <c r="D1199" s="912"/>
      <c r="E1199" s="909"/>
      <c r="F1199" s="241" t="s">
        <v>584</v>
      </c>
      <c r="G1199" s="199">
        <f>IF(B1197="Лікар загальної практики - сімейний лікар"," ",IF(B1197="Лікар-педіатр"," ",IF(B1197="Лікар-терапевт","х",0)))</f>
        <v>0</v>
      </c>
      <c r="H1199" s="199">
        <f>IF(B1197="Лікар загальної практики - сімейний лікар"," ",IF(B1197="Лікар-педіатр"," ",IF(B1197="Лікар-терапевт","х",0)))</f>
        <v>0</v>
      </c>
      <c r="I1199" s="199">
        <f>IF(B1197="Лікар загальної практики - сімейний лікар"," ",IF(B1197="Лікар-педіатр","х",IF(B1197="Лікар-терапевт"," ",0)))</f>
        <v>0</v>
      </c>
      <c r="J1199" s="199">
        <f>IF(B1197="Лікар загальної практики - сімейний лікар"," ",IF(B1197="Лікар-педіатр","х",IF(B1197="Лікар-терапевт"," ",0)))</f>
        <v>0</v>
      </c>
      <c r="K1199" s="199">
        <f>IF(B1197="Лікар загальної практики - сімейний лікар"," ",IF(B1197="Лікар-педіатр","х",IF(B1197="Лікар-терапевт"," ",0)))</f>
        <v>0</v>
      </c>
      <c r="L1199" s="200">
        <f>SUM(G1199:K1199)</f>
        <v>0</v>
      </c>
      <c r="M1199" s="930"/>
      <c r="N1199" s="199">
        <f>IF(B1197="Лікар загальної практики - сімейний лікар"," ",IF(B1197="Лікар-педіатр"," ",IF(B1197="Лікар-терапевт","х",0)))</f>
        <v>0</v>
      </c>
      <c r="O1199" s="199">
        <f>IF(B1197="Лікар загальної практики - сімейний лікар"," ",IF(B1197="Лікар-педіатр"," ",IF(B1197="Лікар-терапевт","х",0)))</f>
        <v>0</v>
      </c>
      <c r="P1199" s="199">
        <f>IF(B1197="Лікар загальної практики - сімейний лікар"," ",IF(B1197="Лікар-педіатр","х",IF(B1197="Лікар-терапевт"," ",0)))</f>
        <v>0</v>
      </c>
      <c r="Q1199" s="199">
        <f>IF(B1197="Лікар загальної практики - сімейний лікар"," ",IF(B1197="Лікар-педіатр","х",IF(B1197="Лікар-терапевт"," ",0)))</f>
        <v>0</v>
      </c>
      <c r="R1199" s="199">
        <f>IF(B1197="Лікар загальної практики - сімейний лікар"," ",IF(B1197="Лікар-педіатр","х",IF(B1197="Лікар-терапевт"," ",0)))</f>
        <v>0</v>
      </c>
      <c r="S1199" s="200">
        <f>SUM(N1199:R1199)</f>
        <v>0</v>
      </c>
      <c r="T1199" s="930"/>
      <c r="U1199" s="199">
        <f>IF(B1197="Лікар загальної практики - сімейний лікар"," ",IF(B1197="Лікар-педіатр"," ",IF(B1197="Лікар-терапевт","х",0)))</f>
        <v>0</v>
      </c>
      <c r="V1199" s="199">
        <f>IF(B1197="Лікар загальної практики - сімейний лікар"," ",IF(B1197="Лікар-педіатр"," ",IF(B1197="Лікар-терапевт","х",0)))</f>
        <v>0</v>
      </c>
      <c r="W1199" s="199">
        <f>IF(B1197="Лікар загальної практики - сімейний лікар"," ",IF(B1197="Лікар-педіатр","х",IF(B1197="Лікар-терапевт"," ",0)))</f>
        <v>0</v>
      </c>
      <c r="X1199" s="199">
        <f>IF(B1197="Лікар загальної практики - сімейний лікар"," ",IF(B1197="Лікар-педіатр","х",IF(B1197="Лікар-терапевт"," ",0)))</f>
        <v>0</v>
      </c>
      <c r="Y1199" s="199">
        <f>IF(B1197="Лікар загальної практики - сімейний лікар"," ",IF(B1197="Лікар-педіатр","х",IF(B1197="Лікар-терапевт"," ",0)))</f>
        <v>0</v>
      </c>
      <c r="Z1199" s="200">
        <f>SUM(U1199:Y1199)</f>
        <v>0</v>
      </c>
      <c r="AA1199" s="930"/>
      <c r="AB1199" s="199">
        <f>IF(B1197="Лікар загальної практики - сімейний лікар"," ",IF(B1197="Лікар-педіатр"," ",IF(B1197="Лікар-терапевт","х",0)))</f>
        <v>0</v>
      </c>
      <c r="AC1199" s="199">
        <f>IF(B1197="Лікар загальної практики - сімейний лікар"," ",IF(B1197="Лікар-педіатр"," ",IF(B1197="Лікар-терапевт","х",0)))</f>
        <v>0</v>
      </c>
      <c r="AD1199" s="199">
        <f>IF(B1197="Лікар загальної практики - сімейний лікар"," ",IF(B1197="Лікар-педіатр","х",IF(B1197="Лікар-терапевт"," ",0)))</f>
        <v>0</v>
      </c>
      <c r="AE1199" s="199">
        <f>IF(B1197="Лікар загальної практики - сімейний лікар"," ",IF(B1197="Лікар-педіатр","х",IF(B1197="Лікар-терапевт"," ",0)))</f>
        <v>0</v>
      </c>
      <c r="AF1199" s="199">
        <f>IF(B1197="Лікар загальної практики - сімейний лікар"," ",IF(B1197="Лікар-педіатр","х",IF(B1197="Лікар-терапевт"," ",0)))</f>
        <v>0</v>
      </c>
      <c r="AG1199" s="200">
        <f>SUM(AB1199:AF1199)</f>
        <v>0</v>
      </c>
      <c r="AH1199" s="930"/>
      <c r="AI1199" s="242"/>
      <c r="AJ1199" s="933"/>
      <c r="AK1199" s="927"/>
      <c r="AL1199" s="927"/>
      <c r="AM1199" s="902"/>
      <c r="AN1199" s="924"/>
      <c r="AO1199" s="924"/>
      <c r="AP1199" s="924"/>
      <c r="AQ1199" s="924"/>
      <c r="AR1199" s="915"/>
    </row>
    <row r="1200" spans="1:44" s="50" customFormat="1" ht="31.9" hidden="1" customHeight="1" thickBot="1">
      <c r="A1200" s="197"/>
      <c r="B1200" s="893"/>
      <c r="C1200" s="896"/>
      <c r="D1200" s="912"/>
      <c r="E1200" s="909"/>
      <c r="F1200" s="236" t="s">
        <v>349</v>
      </c>
      <c r="G1200" s="203">
        <f>IF($B$1197="Лікар-педіатр",G1199/L1199,IF($B$1197="Лікар-терапевт","х",IF($B$1197="Лікар загальної практики - сімейний лікар",G1199/L1199,0)))</f>
        <v>0</v>
      </c>
      <c r="H1200" s="203">
        <f>IF($B$1197="Лікар-педіатр",H1199/L1199,IF($B$1197="Лікар-терапевт","х",IF($B$1197="Лікар загальної практики - сімейний лікар",H1199/L1199,0)))</f>
        <v>0</v>
      </c>
      <c r="I1200" s="203">
        <f>IF($B$1197="Лікар-педіатр","x",IF($B$1197="Лікар-терапевт",I1199/L1199,IF($B$1197="Лікар загальної практики - сімейний лікар",I1199/L1199,0)))</f>
        <v>0</v>
      </c>
      <c r="J1200" s="203">
        <f>IF($B$1197="Лікар-педіатр","x",IF($B$1197="Лікар-терапевт",J1199/L1199,IF($B$1197="Лікар загальної практики - сімейний лікар",J1199/L1199,0)))</f>
        <v>0</v>
      </c>
      <c r="K1200" s="203">
        <f>IF($B$1197="Лікар-педіатр","x",IF($B$1197="Лікар-терапевт",K1199/L1199,IF($B$1197="Лікар загальної практики - сімейний лікар",K1199/L1199,0)))</f>
        <v>0</v>
      </c>
      <c r="L1200" s="203">
        <f>SUM(G1200:K1200)</f>
        <v>0</v>
      </c>
      <c r="M1200" s="930"/>
      <c r="N1200" s="203">
        <f>IF($B$1197="Лікар-педіатр",N1199/S1199,IF($B$1197="Лікар-терапевт","х",IF($B$1197="Лікар загальної практики - сімейний лікар",N1199/S1199,0)))</f>
        <v>0</v>
      </c>
      <c r="O1200" s="203">
        <f>IF($B$1197="Лікар-педіатр",O1199/S1199,IF($B$1197="Лікар-терапевт","х",IF($B$1197="Лікар загальної практики - сімейний лікар",O1199/S1199,0)))</f>
        <v>0</v>
      </c>
      <c r="P1200" s="203">
        <f>IF($B$1197="Лікар-педіатр","x",IF($B$1197="Лікар-терапевт",P1199/S1199,IF($B$1197="Лікар загальної практики - сімейний лікар",P1199/S1199,0)))</f>
        <v>0</v>
      </c>
      <c r="Q1200" s="203">
        <f>IF($B$1197="Лікар-педіатр","x",IF($B$1197="Лікар-терапевт",Q1199/S1199,IF($B$1197="Лікар загальної практики - сімейний лікар",Q1199/S1199,0)))</f>
        <v>0</v>
      </c>
      <c r="R1200" s="203">
        <f>IF($B$1197="Лікар-педіатр","x",IF($B$1197="Лікар-терапевт",R1199/S1199,IF($B$1197="Лікар загальної практики - сімейний лікар",R1199/S1199,0)))</f>
        <v>0</v>
      </c>
      <c r="S1200" s="203">
        <f>SUM(N1200:R1200)</f>
        <v>0</v>
      </c>
      <c r="T1200" s="930"/>
      <c r="U1200" s="203">
        <f>IF($B$1197="Лікар-педіатр",U1199/Z1199,IF($B$1197="Лікар-терапевт","х",IF($B$1197="Лікар загальної практики - сімейний лікар",U1199/Z1199,0)))</f>
        <v>0</v>
      </c>
      <c r="V1200" s="203">
        <f>IF($B$1197="Лікар-педіатр",V1199/Z1199,IF($B$1197="Лікар-терапевт","х",IF($B$1197="Лікар загальної практики - сімейний лікар",V1199/Z1199,0)))</f>
        <v>0</v>
      </c>
      <c r="W1200" s="203">
        <f>IF($B$1197="Лікар-педіатр","x",IF($B$1197="Лікар-терапевт",W1199/Z1199,IF($B$1197="Лікар загальної практики - сімейний лікар",W1199/Z1199,0)))</f>
        <v>0</v>
      </c>
      <c r="X1200" s="203">
        <f>IF($B$1197="Лікар-педіатр","x",IF($B$1197="Лікар-терапевт",X1199/Z1199,IF($B$1197="Лікар загальної практики - сімейний лікар",X1199/Z1199,0)))</f>
        <v>0</v>
      </c>
      <c r="Y1200" s="203">
        <f>IF($B$1197="Лікар-педіатр","x",IF($B$1197="Лікар-терапевт",Y1199/Z1199,IF($B$1197="Лікар загальної практики - сімейний лікар",Y1199/Z1199,0)))</f>
        <v>0</v>
      </c>
      <c r="Z1200" s="203">
        <f>SUM(U1200:Y1200)</f>
        <v>0</v>
      </c>
      <c r="AA1200" s="930"/>
      <c r="AB1200" s="203">
        <f>IF($B$1197="Лікар-педіатр",AB1199/AG1199,IF($B$1197="Лікар-терапевт","х",IF($B$1197="Лікар загальної практики - сімейний лікар",AB1199/AG1199,0)))</f>
        <v>0</v>
      </c>
      <c r="AC1200" s="203">
        <f>IF($B$1197="Лікар-педіатр",AC1199/AG1199,IF($B$1197="Лікар-терапевт","х",IF($B$1197="Лікар загальної практики - сімейний лікар",AC1199/AG1199,0)))</f>
        <v>0</v>
      </c>
      <c r="AD1200" s="203">
        <f>IF($B$1197="Лікар-педіатр","x",IF($B$1197="Лікар-терапевт",AD1199/AG1199,IF($B$1197="Лікар загальної практики - сімейний лікар",AD1199/AG1199,0)))</f>
        <v>0</v>
      </c>
      <c r="AE1200" s="203">
        <f>IF($B$1197="Лікар-педіатр","x",IF($B$1197="Лікар-терапевт",AE1199/AG1199,IF($B$1197="Лікар загальної практики - сімейний лікар",AE1199/AG1199,0)))</f>
        <v>0</v>
      </c>
      <c r="AF1200" s="203">
        <f>IF($B$1197="Лікар-педіатр","x",IF($B$1197="Лікар-терапевт",AF1199/AG1199,IF($B$1197="Лікар загальної практики - сімейний лікар",AF1199/AG1199,0)))</f>
        <v>0</v>
      </c>
      <c r="AG1200" s="203">
        <f>SUM(AB1200:AF1200)</f>
        <v>0</v>
      </c>
      <c r="AH1200" s="930"/>
      <c r="AI1200" s="201"/>
      <c r="AJ1200" s="933"/>
      <c r="AK1200" s="927"/>
      <c r="AL1200" s="927"/>
      <c r="AM1200" s="902"/>
      <c r="AN1200" s="924"/>
      <c r="AO1200" s="924"/>
      <c r="AP1200" s="924"/>
      <c r="AQ1200" s="924"/>
      <c r="AR1200" s="915"/>
    </row>
    <row r="1201" spans="1:44" s="50" customFormat="1" ht="45" hidden="1" customHeight="1" thickBot="1">
      <c r="A1201" s="197"/>
      <c r="B1201" s="893"/>
      <c r="C1201" s="896"/>
      <c r="D1201" s="912"/>
      <c r="E1201" s="909"/>
      <c r="F1201" s="204" t="s">
        <v>585</v>
      </c>
      <c r="G1201" s="205">
        <f>IF($B$1197="Лікар загальної практики - сімейний лікар",AVERAGE(G1197:G1199),IF($B$1197="Лікар-педіатр",AVERAGE(G1197:G1199),IF($B$1197="Лікар-терапевт","х",0)))</f>
        <v>0</v>
      </c>
      <c r="H1201" s="205">
        <f>IF($B$1197="Лікар загальної практики - сімейний лікар",AVERAGE(H1197:H1199),IF($B$1197="Лікар-педіатр",AVERAGE(H1197:H1199),IF($B$1197="Лікар-терапевт","х",0)))</f>
        <v>0</v>
      </c>
      <c r="I1201" s="205">
        <f>IF($B$1197="Лікар загальної практики - сімейний лікар",AVERAGE(I1197:I1199),IF($B$1197="Лікар-педіатр","x",IF($B$1197="Лікар-терапевт",AVERAGE(I1197:I1199),0)))</f>
        <v>0</v>
      </c>
      <c r="J1201" s="205">
        <f>IF($B$1197="Лікар загальної практики - сімейний лікар",AVERAGE(J1197:J1199),IF($B$1197="Лікар-педіатр","x",IF($B$1197="Лікар-терапевт",AVERAGE(J1197:J1199),0)))</f>
        <v>0</v>
      </c>
      <c r="K1201" s="205">
        <f>IF($B$1197="Лікар загальної практики - сімейний лікар",AVERAGE(K1197:K1199),IF($B$1197="Лікар-педіатр","x",IF($B$1197="Лікар-терапевт",AVERAGE(K1197:K1199),0)))</f>
        <v>0</v>
      </c>
      <c r="L1201" s="206">
        <f>SUM(G1201:K1201)</f>
        <v>0</v>
      </c>
      <c r="M1201" s="930"/>
      <c r="N1201" s="205">
        <f>IF($B$1197="Лікар загальної практики - сімейний лікар",AVERAGE(N1197:N1199),IF($B$1197="Лікар-педіатр",AVERAGE(N1197:N1199),IF($B$1197="Лікар-терапевт","х",0)))</f>
        <v>0</v>
      </c>
      <c r="O1201" s="205">
        <f>IF($B$1197="Лікар загальної практики - сімейний лікар",AVERAGE(O1197:O1199),IF($B$1197="Лікар-педіатр",AVERAGE(O1197:O1199),IF($B$1197="Лікар-терапевт","х",0)))</f>
        <v>0</v>
      </c>
      <c r="P1201" s="205">
        <f>IF($B$1197="Лікар загальної практики - сімейний лікар",AVERAGE(P1197:P1199),IF($B$1197="Лікар-педіатр","x",IF($B$1197="Лікар-терапевт",AVERAGE(P1197:P1199),0)))</f>
        <v>0</v>
      </c>
      <c r="Q1201" s="205">
        <f>IF($B$1197="Лікар загальної практики - сімейний лікар",AVERAGE(Q1197:Q1199),IF($B$1197="Лікар-педіатр","x",IF($B$1197="Лікар-терапевт",AVERAGE(Q1197:Q1199),0)))</f>
        <v>0</v>
      </c>
      <c r="R1201" s="205">
        <f>IF($B$1197="Лікар загальної практики - сімейний лікар",AVERAGE(R1197:R1199),IF($B$1197="Лікар-педіатр","x",IF($B$1197="Лікар-терапевт",AVERAGE(R1197:R1199),0)))</f>
        <v>0</v>
      </c>
      <c r="S1201" s="206">
        <f>SUM(N1201:R1201)</f>
        <v>0</v>
      </c>
      <c r="T1201" s="930"/>
      <c r="U1201" s="205">
        <f>IF($B$1197="Лікар загальної практики - сімейний лікар",AVERAGE(U1197:U1199),IF($B$1197="Лікар-педіатр",AVERAGE(U1197:U1199),IF($B$1197="Лікар-терапевт","х",0)))</f>
        <v>0</v>
      </c>
      <c r="V1201" s="205">
        <f>IF($B$1197="Лікар загальної практики - сімейний лікар",AVERAGE(V1197:V1199),IF($B$1197="Лікар-педіатр",AVERAGE(V1197:V1199),IF($B$1197="Лікар-терапевт","х",0)))</f>
        <v>0</v>
      </c>
      <c r="W1201" s="205">
        <f>IF($B$1197="Лікар загальної практики - сімейний лікар",AVERAGE(W1197:W1199),IF($B$1197="Лікар-педіатр","x",IF($B$1197="Лікар-терапевт",AVERAGE(W1197:W1199),0)))</f>
        <v>0</v>
      </c>
      <c r="X1201" s="205">
        <f>IF($B$1197="Лікар загальної практики - сімейний лікар",AVERAGE(X1197:X1199),IF($B$1197="Лікар-педіатр","x",IF($B$1197="Лікар-терапевт",AVERAGE(X1197:X1199),0)))</f>
        <v>0</v>
      </c>
      <c r="Y1201" s="205">
        <f>IF($B$1197="Лікар загальної практики - сімейний лікар",AVERAGE(Y1197:Y1199),IF($B$1197="Лікар-педіатр","x",IF($B$1197="Лікар-терапевт",AVERAGE(Y1197:Y1199),0)))</f>
        <v>0</v>
      </c>
      <c r="Z1201" s="206">
        <f>SUM(U1201:Y1201)</f>
        <v>0</v>
      </c>
      <c r="AA1201" s="930"/>
      <c r="AB1201" s="205">
        <f>IF($B$1197="Лікар загальної практики - сімейний лікар",AVERAGE(AB1197:AB1199),IF($B$1197="Лікар-педіатр",AVERAGE(AB1197:AB1199),IF($B$1197="Лікар-терапевт","х",0)))</f>
        <v>0</v>
      </c>
      <c r="AC1201" s="205">
        <f>IF($B$1197="Лікар загальної практики - сімейний лікар",AVERAGE(AC1197:AC1199),IF($B$1197="Лікар-педіатр",AVERAGE(AC1197:AC1199),IF($B$1197="Лікар-терапевт","х",0)))</f>
        <v>0</v>
      </c>
      <c r="AD1201" s="205">
        <f>IF($B$1197="Лікар загальної практики - сімейний лікар",AVERAGE(AD1197:AD1199),IF($B$1197="Лікар-педіатр","x",IF($B$1197="Лікар-терапевт",AVERAGE(AD1197:AD1199),0)))</f>
        <v>0</v>
      </c>
      <c r="AE1201" s="205">
        <f>IF($B$1197="Лікар загальної практики - сімейний лікар",AVERAGE(AE1197:AE1199),IF($B$1197="Лікар-педіатр","x",IF($B$1197="Лікар-терапевт",AVERAGE(AE1197:AE1199),0)))</f>
        <v>0</v>
      </c>
      <c r="AF1201" s="205">
        <f>IF($B$1197="Лікар загальної практики - сімейний лікар",AVERAGE(AF1197:AF1199),IF($B$1197="Лікар-педіатр","x",IF($B$1197="Лікар-терапевт",AVERAGE(AF1197:AF1199),0)))</f>
        <v>0</v>
      </c>
      <c r="AG1201" s="206">
        <f>SUM(AB1201:AF1201)</f>
        <v>0</v>
      </c>
      <c r="AH1201" s="930"/>
      <c r="AI1201" s="201"/>
      <c r="AJ1201" s="933"/>
      <c r="AK1201" s="927"/>
      <c r="AL1201" s="927"/>
      <c r="AM1201" s="903"/>
      <c r="AN1201" s="925"/>
      <c r="AO1201" s="925"/>
      <c r="AP1201" s="925"/>
      <c r="AQ1201" s="925"/>
      <c r="AR1201" s="916"/>
    </row>
    <row r="1202" spans="1:44" s="50" customFormat="1" ht="49.9" hidden="1" customHeight="1">
      <c r="A1202" s="197"/>
      <c r="B1202" s="893"/>
      <c r="C1202" s="896"/>
      <c r="D1202" s="912"/>
      <c r="E1202" s="909"/>
      <c r="F1202" s="237" t="str">
        <f ca="1">IF(B1197="Лікар-педіатр",Законод!$C$17,IF(B1197="Лікар загальної практики - сімейний лікар",Законод!$C$21,IF(B1197="Лікар-терапевт",Законод!$C$25,"х")))</f>
        <v>х</v>
      </c>
      <c r="G1202" s="208">
        <f ca="1">IF($B$1197="Лікар загальної практики - сімейний лікар",IF(L1201&lt;=Законод!$C$22,G1201,Законод!$C$22*'01_Доходи'!G1200),IF($B$1197="Лікар-педіатр",IF(L1201&lt;=Законод!$C$18,G1201,Законод!$C$18*'01_Доходи'!G1200),IF($B$1197="Лікар-терапевт","x",0)))</f>
        <v>0</v>
      </c>
      <c r="H1202" s="208">
        <f ca="1">IF($B$1197="Лікар загальної практики - сімейний лікар",IF(L1201&lt;=Законод!$C$22,H1201,Законод!$C$22*'01_Доходи'!H1200),IF($B$1197="Лікар-педіатр",IF(L1201&lt;=Законод!$C$18,H1201,Законод!$C$18*'01_Доходи'!H1200),IF($B$1197="Лікар-терапевт","x",0)))</f>
        <v>0</v>
      </c>
      <c r="I1202" s="208">
        <f ca="1">IF($B$1197="Лікар загальної практики - сімейний лікар",IF(L1201&lt;=Законод!$C$22,I1201,Законод!$C$22*'01_Доходи'!I1200),IF($B$1197="Лікар-педіатр","x",IF($B$1197="Лікар-терапевт",IF(L1201&lt;=Законод!$C$26,I1201,Законод!$C$26*'01_Доходи'!I1200),0)))</f>
        <v>0</v>
      </c>
      <c r="J1202" s="208">
        <f ca="1">IF($B$1197="Лікар загальної практики - сімейний лікар",IF(L1201&lt;=Законод!$C$22,J1201,Законод!$C$22*'01_Доходи'!J1200),IF($B$1197="Лікар-педіатр","x",IF($B$1197="Лікар-терапевт",IF(L1201&lt;=Законод!$C$26,J1201,Законод!$C$26*'01_Доходи'!J1200),0)))</f>
        <v>0</v>
      </c>
      <c r="K1202" s="208">
        <f ca="1">IF($B$1197="Лікар загальної практики - сімейний лікар",IF(L1201&lt;=Законод!$C$22,K1201,Законод!$C$22*'01_Доходи'!K1200),IF($B$1197="Лікар-педіатр","x",IF($B$1197="Лікар-терапевт",IF(L1201&lt;=Законод!$C$26,K1201,Законод!$C$26*'01_Доходи'!K1200),0)))</f>
        <v>0</v>
      </c>
      <c r="L1202" s="209">
        <f ca="1">SUM(G1202:K1202)</f>
        <v>0</v>
      </c>
      <c r="M1202" s="930"/>
      <c r="N1202" s="208">
        <f ca="1">IF($B$1197="Лікар загальної практики - сімейний лікар",IF(S1201&lt;=Законод!$C$22,N1201,Законод!$C$22*'01_Доходи'!N1200),IF($B$1197="Лікар-педіатр",IF(S1201&lt;=Законод!$C$18,N1201,Законод!$C$18*'01_Доходи'!N1200),IF($B$1197="Лікар-терапевт","x",0)))</f>
        <v>0</v>
      </c>
      <c r="O1202" s="208">
        <f ca="1">IF($B$1197="Лікар загальної практики - сімейний лікар",IF(S1201&lt;=Законод!$C$22,O1201,Законод!$C$22*'01_Доходи'!O1200),IF($B$1197="Лікар-педіатр",IF(S1201&lt;=Законод!$C$18,O1201,Законод!$C$18*'01_Доходи'!O1200),IF($B$1197="Лікар-терапевт","x",0)))</f>
        <v>0</v>
      </c>
      <c r="P1202" s="208">
        <f ca="1">IF($B$1197="Лікар загальної практики - сімейний лікар",IF(S1201&lt;=Законод!$C$22,P1201,Законод!$C$22*'01_Доходи'!P1200),IF($B$1197="Лікар-педіатр","x",IF($B$1197="Лікар-терапевт",IF(S1201&lt;=Законод!$C$26,P1201,Законод!$C$26*'01_Доходи'!P1200),0)))</f>
        <v>0</v>
      </c>
      <c r="Q1202" s="208">
        <f ca="1">IF($B$1197="Лікар загальної практики - сімейний лікар",IF(S1201&lt;=Законод!$C$22,Q1201,Законод!$C$22*'01_Доходи'!Q1200),IF($B$1197="Лікар-педіатр","x",IF($B$1197="Лікар-терапевт",IF(S1201&lt;=Законод!$C$26,Q1201,Законод!$C$26*'01_Доходи'!Q1200),0)))</f>
        <v>0</v>
      </c>
      <c r="R1202" s="208">
        <f ca="1">IF($B$1197="Лікар загальної практики - сімейний лікар",IF(S1201&lt;=Законод!$C$22,R1201,Законод!$C$22*'01_Доходи'!R1200),IF($B$1197="Лікар-педіатр","x",IF($B$1197="Лікар-терапевт",IF(S1201&lt;=Законод!$C$26,R1201,Законод!$C$26*'01_Доходи'!R1200),0)))</f>
        <v>0</v>
      </c>
      <c r="S1202" s="209">
        <f ca="1">SUM(N1202:R1202)</f>
        <v>0</v>
      </c>
      <c r="T1202" s="930"/>
      <c r="U1202" s="208">
        <f ca="1">IF($B$1197="Лікар загальної практики - сімейний лікар",IF(Z1201&lt;=Законод!$C$22,U1201,Законод!$C$22*'01_Доходи'!U1200),IF($B$1197="Лікар-педіатр",IF(Z1201&lt;=Законод!$C$18,U1201,Законод!$C$18*'01_Доходи'!U1200),IF($B$1197="Лікар-терапевт","x",0)))</f>
        <v>0</v>
      </c>
      <c r="V1202" s="208">
        <f ca="1">IF($B$1197="Лікар загальної практики - сімейний лікар",IF(Z1201&lt;=Законод!$C$22,V1201,Законод!$C$22*'01_Доходи'!V1200),IF($B$1197="Лікар-педіатр",IF(Z1201&lt;=Законод!$C$18,V1201,Законод!$C$18*'01_Доходи'!V1200),IF($B$1197="Лікар-терапевт","x",0)))</f>
        <v>0</v>
      </c>
      <c r="W1202" s="208">
        <f ca="1">IF($B$1197="Лікар загальної практики - сімейний лікар",IF(Z1201&lt;=Законод!$C$22,W1201,Законод!$C$22*'01_Доходи'!W1200),IF($B$1197="Лікар-педіатр","x",IF($B$1197="Лікар-терапевт",IF(Z1201&lt;=Законод!$C$26,W1201,Законод!$C$26*'01_Доходи'!W1200),0)))</f>
        <v>0</v>
      </c>
      <c r="X1202" s="208">
        <f ca="1">IF($B$1197="Лікар загальної практики - сімейний лікар",IF(Z1201&lt;=Законод!$C$22,X1201,Законод!$C$22*'01_Доходи'!X1200),IF($B$1197="Лікар-педіатр","x",IF($B$1197="Лікар-терапевт",IF(Z1201&lt;=Законод!$C$26,X1201,Законод!$C$26*'01_Доходи'!X1200),0)))</f>
        <v>0</v>
      </c>
      <c r="Y1202" s="208">
        <f ca="1">IF($B$1197="Лікар загальної практики - сімейний лікар",IF(Z1201&lt;=Законод!$C$22,Y1201,Законод!$C$22*'01_Доходи'!Y1200),IF($B$1197="Лікар-педіатр","x",IF($B$1197="Лікар-терапевт",IF(Z1201&lt;=Законод!$C$26,Y1201,Законод!$C$26*'01_Доходи'!Y1200),0)))</f>
        <v>0</v>
      </c>
      <c r="Z1202" s="209">
        <f ca="1">SUM(U1202:Y1202)</f>
        <v>0</v>
      </c>
      <c r="AA1202" s="930"/>
      <c r="AB1202" s="208">
        <f ca="1">IF($B$1197="Лікар загальної практики - сімейний лікар",IF(AG1201&lt;=Законод!$C$22,AB1201,Законод!$C$22*'01_Доходи'!AB1200),IF($B$1197="Лікар-педіатр",IF(AG1201&lt;=Законод!$C$18,AB1201,Законод!$C$18*'01_Доходи'!AB1200),IF($B$1197="Лікар-терапевт","x",0)))</f>
        <v>0</v>
      </c>
      <c r="AC1202" s="208">
        <f ca="1">IF($B$1197="Лікар загальної практики - сімейний лікар",IF(AG1201&lt;=Законод!$C$22,AC1201,Законод!$C$22*'01_Доходи'!AC1200),IF($B$1197="Лікар-педіатр",IF(AG1201&lt;=Законод!$C$18,AC1201,Законод!$C$18*'01_Доходи'!AC1200),IF($B$1197="Лікар-терапевт","x",0)))</f>
        <v>0</v>
      </c>
      <c r="AD1202" s="208">
        <f ca="1">IF($B$1197="Лікар загальної практики - сімейний лікар",IF(AG1201&lt;=Законод!$C$22,AD1201,Законод!$C$22*'01_Доходи'!AD1200),IF($B$1197="Лікар-педіатр","x",IF($B$1197="Лікар-терапевт",IF(AG1201&lt;=Законод!$C$26,AD1201,Законод!$C$26*'01_Доходи'!AD1200),0)))</f>
        <v>0</v>
      </c>
      <c r="AE1202" s="208">
        <f ca="1">IF($B$1197="Лікар загальної практики - сімейний лікар",IF(AG1201&lt;=Законод!$C$22,AE1201,Законод!$C$22*'01_Доходи'!AE1200),IF($B$1197="Лікар-педіатр","x",IF($B$1197="Лікар-терапевт",IF(AG1201&lt;=Законод!$C$26,AE1201,Законод!$C$26*'01_Доходи'!AE1200),0)))</f>
        <v>0</v>
      </c>
      <c r="AF1202" s="208">
        <f ca="1">IF($B$1197="Лікар загальної практики - сімейний лікар",IF(AG1201&lt;=Законод!$C$22,AF1201,Законод!$C$22*'01_Доходи'!AF1200),IF($B$1197="Лікар-педіатр","x",IF($B$1197="Лікар-терапевт",IF(AG1201&lt;=Законод!$C$26,AF1201,Законод!$C$26*'01_Доходи'!AF1200),0)))</f>
        <v>0</v>
      </c>
      <c r="AG1202" s="209">
        <f ca="1">SUM(AB1202:AF1202)</f>
        <v>0</v>
      </c>
      <c r="AH1202" s="930"/>
      <c r="AI1202" s="201"/>
      <c r="AJ1202" s="933"/>
      <c r="AK1202" s="927"/>
      <c r="AL1202" s="927"/>
      <c r="AM1202" s="348" t="s">
        <v>374</v>
      </c>
      <c r="AN1202" s="210">
        <f ca="1">IF(B1197="Лікар загальної практики - сімейний лікар",G1202*Законод!$C$11+'01_Доходи'!H1202*Законод!$D$11+'01_Доходи'!I1202*Законод!$E$11+'01_Доходи'!J1202*Законод!$F$11+'01_Доходи'!K1202*Законод!$G$11,IF(B1197="Лікар-педіатр",G1202*Законод!$C$11+'01_Доходи'!H1202*Законод!$D$11,IF(B1197="Лікар-терапевт",'01_Доходи'!I1202*Законод!$E$11+'01_Доходи'!J1202*Законод!$F$11+'01_Доходи'!K1202*Законод!$G$11,0)))</f>
        <v>0</v>
      </c>
      <c r="AO1202" s="210">
        <f ca="1">IF(B1197="Лікар загальної практики - сімейний лікар",N1202*Законод!$C$11+'01_Доходи'!O1202*Законод!$D$11+'01_Доходи'!P1202*Законод!$E$11+'01_Доходи'!Q1202*Законод!$F$11+'01_Доходи'!R1202*Законод!$G$11,IF(B1197="Лікар-педіатр",N1202*Законод!$C$11+'01_Доходи'!O1202*Законод!$D$11,IF(B1197="Лікар-терапевт",'01_Доходи'!P1202*Законод!$E$11+'01_Доходи'!Q1202*Законод!$F$11+'01_Доходи'!R1202*Законод!$G$11,0)))</f>
        <v>0</v>
      </c>
      <c r="AP1202" s="210">
        <f ca="1">IF(B1197="Лікар загальної практики - сімейний лікар",U1202*Законод!$C$11+'01_Доходи'!V1202*Законод!$D$11+'01_Доходи'!W1202*Законод!$E$11+'01_Доходи'!X1202*Законод!$F$11+'01_Доходи'!Y1202*Законод!$G$11,IF(B1197="Лікар-педіатр",U1202*Законод!$C$11+'01_Доходи'!V1202*Законод!$D$11,IF(B1197="Лікар-терапевт",'01_Доходи'!W1202*Законод!$E$11+'01_Доходи'!X1202*Законод!$F$11+'01_Доходи'!Y1202*Законод!$G$11,0)))</f>
        <v>0</v>
      </c>
      <c r="AQ1202" s="210">
        <f ca="1">IF(B1197="Лікар загальної практики - сімейний лікар",AB1202*Законод!$C$11+'01_Доходи'!AC1202*Законод!$D$11+'01_Доходи'!AD1202*Законод!$E$11+'01_Доходи'!AE1202*Законод!$F$11+'01_Доходи'!AF1202*Законод!$G$11,IF(B1197="Лікар-педіатр",AB1202*Законод!$C$11+'01_Доходи'!AC1202*Законод!$D$11,IF(B1197="Лікар-терапевт",'01_Доходи'!AD1202*Законод!$E$11+'01_Доходи'!AE1202*Законод!$F$11+'01_Доходи'!AF1202*Законод!$G$11,0)))</f>
        <v>0</v>
      </c>
      <c r="AR1202" s="211">
        <f t="shared" ref="AR1202:AR1208" si="119">SUM(AN1202:AQ1202)</f>
        <v>0</v>
      </c>
    </row>
    <row r="1203" spans="1:44" s="50" customFormat="1" ht="31.9" hidden="1" customHeight="1">
      <c r="A1203" s="197"/>
      <c r="B1203" s="893"/>
      <c r="C1203" s="896"/>
      <c r="D1203" s="912"/>
      <c r="E1203" s="909"/>
      <c r="F1203" s="238" t="str">
        <f ca="1">IF(B1197="Лікар-педіатр",Законод!$E$17,IF(B1197="Лікар загальної практики - сімейний лікар",Законод!$E$21,IF(B1197="Лікар-терапевт",Законод!$E$25,"х")))</f>
        <v>х</v>
      </c>
      <c r="G1203" s="889" t="s">
        <v>346</v>
      </c>
      <c r="H1203" s="890"/>
      <c r="I1203" s="890"/>
      <c r="J1203" s="890"/>
      <c r="K1203" s="891"/>
      <c r="L1203" s="196">
        <f ca="1">IF($B$1197="Лікар загальної практики - сімейний лікар",IF(L1201&lt;Законод!$C$22,0,(IF(AND(L1201&gt;=Законод!$E$22,L1201&lt;=Законод!$E$23),L1201-Законод!$C$22,IF('01_Доходи'!L1201&gt;=Законод!$F$22,Законод!$E$24,0)))),IF($B$1197="Лікар-педіатр",IF(L1201&lt;Законод!$C$18,0,(IF(AND(L1201&gt;=Законод!$E$18,L1201&lt;=Законод!$E$19),L1201-Законод!$C$18,IF('01_Доходи'!L1201&gt;=Законод!$F$18,Законод!$E$20,0)))),IF($B$1197="Лікар-терапевт",IF(L1201&lt;Законод!$C$26,0,(IF(AND(L1201&gt;=Законод!$E$26,L1201&lt;=Законод!$E$27),L1201-Законод!$C$26,IF('01_Доходи'!L1201&gt;=Законод!$F$26,Законод!$E$28,0)))),0)))</f>
        <v>0</v>
      </c>
      <c r="M1203" s="930"/>
      <c r="N1203" s="889" t="s">
        <v>346</v>
      </c>
      <c r="O1203" s="890"/>
      <c r="P1203" s="890"/>
      <c r="Q1203" s="890"/>
      <c r="R1203" s="891"/>
      <c r="S1203" s="196">
        <f ca="1">IF($B$1197="Лікар загальної практики - сімейний лікар",IF(S1201&lt;Законод!$C$22,0,(IF(AND(S1201&gt;=Законод!$E$22,S1201&lt;=Законод!$E$23),S1201-Законод!$C$22,IF('01_Доходи'!S1201&gt;=Законод!$F$22,Законод!$E$24,0)))),IF($B$1197="Лікар-педіатр",IF(S1201&lt;Законод!$C$18,0,(IF(AND(S1201&gt;=Законод!$E$18,S1201&lt;=Законод!$E$19),S1201-Законод!$C$18,IF('01_Доходи'!S1201&gt;=Законод!$F$18,Законод!$E$20,0)))),IF($B$1197="Лікар-терапевт",IF(S1201&lt;Законод!$C$26,0,(IF(AND(S1201&gt;=Законод!$E$26,S1201&lt;=Законод!$E$27),S1201-Законод!$C$26,IF('01_Доходи'!S1201&gt;=Законод!$F$26,Законод!$E$28,0)))),0)))</f>
        <v>0</v>
      </c>
      <c r="T1203" s="930"/>
      <c r="U1203" s="889" t="s">
        <v>346</v>
      </c>
      <c r="V1203" s="890"/>
      <c r="W1203" s="890"/>
      <c r="X1203" s="890"/>
      <c r="Y1203" s="891"/>
      <c r="Z1203" s="196">
        <f ca="1">IF($B$1197="Лікар загальної практики - сімейний лікар",IF(Z1201&lt;Законод!$C$22,0,(IF(AND(Z1201&gt;=Законод!$E$22,Z1201&lt;=Законод!$E$23),Z1201-Законод!$C$22,IF('01_Доходи'!Z1201&gt;=Законод!$F$22,Законод!$E$24,0)))),IF($B$1197="Лікар-педіатр",IF(Z1201&lt;Законод!$C$18,0,(IF(AND(Z1201&gt;=Законод!$E$18,Z1201&lt;=Законод!$E$19),Z1201-Законод!$C$18,IF('01_Доходи'!Z1201&gt;=Законод!$F$18,Законод!$E$20,0)))),IF($B$1197="Лікар-терапевт",IF(Z1201&lt;Законод!$C$26,0,(IF(AND(Z1201&gt;=Законод!$E$26,Z1201&lt;=Законод!$E$27),Z1201-Законод!$C$26,IF('01_Доходи'!Z1201&gt;=Законод!$F$26,Законод!$E$28,0)))),0)))</f>
        <v>0</v>
      </c>
      <c r="AA1203" s="930"/>
      <c r="AB1203" s="889" t="s">
        <v>346</v>
      </c>
      <c r="AC1203" s="890"/>
      <c r="AD1203" s="890"/>
      <c r="AE1203" s="890"/>
      <c r="AF1203" s="891"/>
      <c r="AG1203" s="196">
        <f ca="1">IF($B$1197="Лікар загальної практики - сімейний лікар",IF(AG1201&lt;Законод!$C$22,0,(IF(AND(AG1201&gt;=Законод!$E$22,AG1201&lt;=Законод!$E$23),AG1201-Законод!$C$22,IF('01_Доходи'!AG1201&gt;=Законод!$F$22,Законод!$E$24,0)))),IF($B$1197="Лікар-педіатр",IF(AG1201&lt;Законод!$C$18,0,(IF(AND(AG1201&gt;=Законод!$E$18,AG1201&lt;=Законод!$E$19),AG1201-Законод!$C$18,IF('01_Доходи'!AG1201&gt;=Законод!$F$18,Законод!$E$20,0)))),IF($B$1197="Лікар-терапевт",IF(AG1201&lt;Законод!$C$26,0,(IF(AND(AG1201&gt;=Законод!$E$26,AG1201&lt;=Законод!$E$27),AG1201-Законод!$C$26,IF('01_Доходи'!AG1201&gt;=Законод!$F$26,Законод!$E$28,0)))),0)))</f>
        <v>0</v>
      </c>
      <c r="AH1203" s="930"/>
      <c r="AI1203" s="201"/>
      <c r="AJ1203" s="933"/>
      <c r="AK1203" s="927"/>
      <c r="AL1203" s="927"/>
      <c r="AM1203" s="898" t="s">
        <v>375</v>
      </c>
      <c r="AN1203" s="210">
        <f ca="1">IF(B1197="Лікар загальної практики - сімейний лікар",L1203*Законод!$C$9/4*Законод!$E$16,IF(B1197="Лікар-педіатр",L1203*Законод!$C$9/4*Законод!$E$16,IF(B1197="Лікар-терапевт",L1203*Законод!$C$9/4*Законод!$E$16,0)))</f>
        <v>0</v>
      </c>
      <c r="AO1203" s="210">
        <f ca="1">IF(B1197="Лікар загальної практики - сімейний лікар",S1203*Законод!$C$9/4*Законод!$E$16,IF(B1197="Лікар-педіатр",S1203*Законод!$C$9/4*Законод!$E$16,IF(B1197="Лікар-терапевт",S1203*Законод!$C$9/4*Законод!$E$16,0)))</f>
        <v>0</v>
      </c>
      <c r="AP1203" s="210">
        <f ca="1">IF(B1197="Лікар загальної практики - сімейний лікар",Z1203*Законод!$C$9/4*Законод!$E$16,IF(B1197="Лікар-педіатр",Z1203*Законод!$C$9/4*Законод!$E$16,IF(B1197="Лікар-терапевт",Z1203*Законод!$C$9/4*Законод!$E$16,0)))</f>
        <v>0</v>
      </c>
      <c r="AQ1203" s="210">
        <f ca="1">IF(B1197="Лікар загальної практики - сімейний лікар",AG1203*Законод!$C$9/4*Законод!$E$16,IF(B1197="Лікар-педіатр",AG1203*Законод!$C$9/4*Законод!$E$16,IF(B1197="Лікар-терапевт",AG1203*Законод!$C$9/4*Законод!$E$16,0)))</f>
        <v>0</v>
      </c>
      <c r="AR1203" s="211">
        <f t="shared" si="119"/>
        <v>0</v>
      </c>
    </row>
    <row r="1204" spans="1:44" s="50" customFormat="1" ht="31.9" hidden="1" customHeight="1">
      <c r="A1204" s="197"/>
      <c r="B1204" s="893"/>
      <c r="C1204" s="896"/>
      <c r="D1204" s="912"/>
      <c r="E1204" s="909"/>
      <c r="F1204" s="238" t="str">
        <f ca="1">IF(B1197="Лікар-педіатр",Законод!$F$17,IF(B1197="Лікар загальної практики - сімейний лікар",Законод!$F$21,IF(B1197="Лікар-терапевт",Законод!$F$25,"х")))</f>
        <v>х</v>
      </c>
      <c r="G1204" s="889" t="s">
        <v>346</v>
      </c>
      <c r="H1204" s="890"/>
      <c r="I1204" s="890"/>
      <c r="J1204" s="890"/>
      <c r="K1204" s="891"/>
      <c r="L1204" s="196">
        <f ca="1">IF($B$1197="Лікар загальної практики - сімейний лікар",IF(L1201&lt;Законод!$C$22,0,(IF(AND(L1201&gt;=Законод!$F$22,L1201&lt;=Законод!$F$23),L1201-Законод!$E$23,IF('01_Доходи'!L1201&gt;=Законод!$G$22,Законод!$F$24,0)))),IF($B$1197="Лікар-педіатр",IF(L1201&lt;Законод!$C$18,0,(IF(AND(L1201&gt;=Законод!$F$18,L1201&lt;=Законод!$F$19),L1201-Законод!$E$19,IF('01_Доходи'!L1201&gt;=Законод!$G$18,Законод!$F$20,0)))),IF($B$1197="Лікар-терапевт",IF(L1201&lt;Законод!$C$26,0,(IF(AND(L1201&gt;=Законод!$F$26,L1201&lt;=Законод!$F$27),L1201-Законод!$E$27,IF('01_Доходи'!L1201&gt;=Законод!$G$26,Законод!$F$28,0)))),0)))</f>
        <v>0</v>
      </c>
      <c r="M1204" s="930"/>
      <c r="N1204" s="889" t="s">
        <v>346</v>
      </c>
      <c r="O1204" s="890"/>
      <c r="P1204" s="890"/>
      <c r="Q1204" s="890"/>
      <c r="R1204" s="891"/>
      <c r="S1204" s="196">
        <f ca="1">IF($B$1197="Лікар загальної практики - сімейний лікар",IF(S1201&lt;Законод!$C$22,0,(IF(AND(S1201&gt;=Законод!$F$22,S1201&lt;=Законод!$F$23),S1201-Законод!$E$23,IF('01_Доходи'!S1201&gt;=Законод!$G$22,Законод!$F$24,0)))),IF($B$1197="Лікар-педіатр",IF(S1201&lt;Законод!$C$18,0,(IF(AND(S1201&gt;=Законод!$F$18,S1201&lt;=Законод!$F$19),S1201-Законод!$E$19,IF('01_Доходи'!S1201&gt;=Законод!$G$18,Законод!$F$20,0)))),IF($B$1197="Лікар-терапевт",IF(S1201&lt;Законод!$C$26,0,(IF(AND(S1201&gt;=Законод!$F$26,S1201&lt;=Законод!$F$27),S1201-Законод!$E$27,IF('01_Доходи'!S1201&gt;=Законод!$G$26,Законод!$F$28,0)))),0)))</f>
        <v>0</v>
      </c>
      <c r="T1204" s="930"/>
      <c r="U1204" s="889" t="s">
        <v>346</v>
      </c>
      <c r="V1204" s="890"/>
      <c r="W1204" s="890"/>
      <c r="X1204" s="890"/>
      <c r="Y1204" s="891"/>
      <c r="Z1204" s="196">
        <f ca="1">IF($B$1197="Лікар загальної практики - сімейний лікар",IF(Z1201&lt;Законод!$C$22,0,(IF(AND(Z1201&gt;=Законод!$F$22,Z1201&lt;=Законод!$F$23),Z1201-Законод!$E$23,IF('01_Доходи'!Z1201&gt;=Законод!$G$22,Законод!$F$24,0)))),IF($B$1197="Лікар-педіатр",IF(Z1201&lt;Законод!$C$18,0,(IF(AND(Z1201&gt;=Законод!$F$18,Z1201&lt;=Законод!$F$19),Z1201-Законод!$E$19,IF('01_Доходи'!Z1201&gt;=Законод!$G$18,Законод!$F$20,0)))),IF($B$1197="Лікар-терапевт",IF(Z1201&lt;Законод!$C$26,0,(IF(AND(Z1201&gt;=Законод!$F$26,Z1201&lt;=Законод!$F$27),Z1201-Законод!$E$27,IF('01_Доходи'!Z1201&gt;=Законод!$G$26,Законод!$F$28,0)))),0)))</f>
        <v>0</v>
      </c>
      <c r="AA1204" s="930"/>
      <c r="AB1204" s="889" t="s">
        <v>346</v>
      </c>
      <c r="AC1204" s="890"/>
      <c r="AD1204" s="890"/>
      <c r="AE1204" s="890"/>
      <c r="AF1204" s="891"/>
      <c r="AG1204" s="196">
        <f ca="1">IF($B$1197="Лікар загальної практики - сімейний лікар",IF(AG1201&lt;Законод!$C$22,0,(IF(AND(AG1201&gt;=Законод!$F$22,AG1201&lt;=Законод!$F$23),AG1201-Законод!$E$23,IF('01_Доходи'!AG1201&gt;=Законод!$G$22,Законод!$F$24,0)))),IF($B$1197="Лікар-педіатр",IF(AG1201&lt;Законод!$C$18,0,(IF(AND(AG1201&gt;=Законод!$F$18,AG1201&lt;=Законод!$F$19),AG1201-Законод!$E$19,IF('01_Доходи'!AG1201&gt;=Законод!$G$18,Законод!$F$20,0)))),IF($B$1197="Лікар-терапевт",IF(AG1201&lt;Законод!$C$26,0,(IF(AND(AG1201&gt;=Законод!$F$26,AG1201&lt;=Законод!$F$27),AG1201-Законод!$E$27,IF('01_Доходи'!AG1201&gt;=Законод!$G$26,Законод!$F$28,0)))),0)))</f>
        <v>0</v>
      </c>
      <c r="AH1204" s="930"/>
      <c r="AI1204" s="201"/>
      <c r="AJ1204" s="933"/>
      <c r="AK1204" s="927"/>
      <c r="AL1204" s="927"/>
      <c r="AM1204" s="899"/>
      <c r="AN1204" s="210">
        <f ca="1">IF(B1197="Лікар загальної практики - сімейний лікар",L1204*Законод!$C$9/4*Законод!$F$16,IF(B1197="Лікар-педіатр",L1204*Законод!$C$9/4*Законод!$F$16,IF(B1197="Лікар-терапевт",L1204*Законод!$C$9/4*Законод!$F$16,0)))</f>
        <v>0</v>
      </c>
      <c r="AO1204" s="210">
        <f ca="1">IF(B1197="Лікар загальної практики - сімейний лікар",S1204*Законод!$C$9/4*Законод!$F$16,IF(B1197="Лікар-педіатр",S1204*Законод!$C$9/4*Законод!$F$16,IF(B1197="Лікар-терапевт",S1204*Законод!$C$9/4*Законод!$F$16,0)))</f>
        <v>0</v>
      </c>
      <c r="AP1204" s="210">
        <f ca="1">IF(B1197="Лікар загальної практики - сімейний лікар",Z1204*Законод!$C$9/4*Законод!$F$16,IF(B1197="Лікар-педіатр",Z1204*Законод!$C$9/4*Законод!$F$16,IF(B1197="Лікар-терапевт",Z1204*Законод!$C$9/4*Законод!$F$16,0)))</f>
        <v>0</v>
      </c>
      <c r="AQ1204" s="210">
        <f ca="1">IF(B1197="Лікар загальної практики - сімейний лікар",AG1204*Законод!$C$9/4*Законод!$F$16,IF(B1197="Лікар-педіатр",AG1204*Законод!$C$9/4*Законод!$F$16,IF(B1197="Лікар-терапевт",AG1204*Законод!$C$9/4*Законод!$F$16,0)))</f>
        <v>0</v>
      </c>
      <c r="AR1204" s="211">
        <f t="shared" si="119"/>
        <v>0</v>
      </c>
    </row>
    <row r="1205" spans="1:44" s="50" customFormat="1" ht="31.9" hidden="1" customHeight="1">
      <c r="A1205" s="197"/>
      <c r="B1205" s="893"/>
      <c r="C1205" s="896"/>
      <c r="D1205" s="912"/>
      <c r="E1205" s="909"/>
      <c r="F1205" s="238" t="str">
        <f ca="1">IF(B1197="Лікар-педіатр",Законод!$G$17,IF(B1197="Лікар загальної практики - сімейний лікар",Законод!$G$21,IF(B1197="Лікар-терапевт",Законод!$G$25,"х")))</f>
        <v>х</v>
      </c>
      <c r="G1205" s="889" t="s">
        <v>346</v>
      </c>
      <c r="H1205" s="890"/>
      <c r="I1205" s="890"/>
      <c r="J1205" s="890"/>
      <c r="K1205" s="891"/>
      <c r="L1205" s="196">
        <f ca="1">IF($B$1197="Лікар загальної практики - сімейний лікар",IF(L1201&lt;Законод!$C$22,0,(IF(AND(L1201&gt;=Законод!$G$22,L1201&lt;=Законод!$G$23),L1201-Законод!$F$23,IF('01_Доходи'!L1201&gt;=Законод!$H$22,Законод!$G$24,0)))),IF($B$1197="Лікар-педіатр",IF(L1201&lt;Законод!$C$18,0,(IF(AND(L1201&gt;=Законод!$G$18,L1201&lt;=Законод!$G$19),L1201-Законод!$F$19,IF('01_Доходи'!L1201&gt;=Законод!$H$18,Законод!$G$20,0)))),IF($B$1197="Лікар-терапевт",IF(L1201&lt;Законод!$C$26,0,(IF(AND(L1201&gt;=Законод!$G$26,L1201&lt;=Законод!$G$27),L1201-Законод!$F$27,IF('01_Доходи'!L1201&gt;=Законод!$H$26,Законод!$G$28,0)))),0)))</f>
        <v>0</v>
      </c>
      <c r="M1205" s="930"/>
      <c r="N1205" s="889" t="s">
        <v>346</v>
      </c>
      <c r="O1205" s="890"/>
      <c r="P1205" s="890"/>
      <c r="Q1205" s="890"/>
      <c r="R1205" s="891"/>
      <c r="S1205" s="196">
        <f ca="1">IF($B$1197="Лікар загальної практики - сімейний лікар",IF(S1201&lt;Законод!$C$22,0,(IF(AND(S1201&gt;=Законод!$G$22,S1201&lt;=Законод!$G$23),S1201-Законод!$F$23,IF('01_Доходи'!S1201&gt;=Законод!$H$22,Законод!$G$24,0)))),IF($B$1197="Лікар-педіатр",IF(S1201&lt;Законод!$C$18,0,(IF(AND(S1201&gt;=Законод!$G$18,S1201&lt;=Законод!$G$19),S1201-Законод!$F$19,IF('01_Доходи'!S1201&gt;=Законод!$H$18,Законод!$G$20,0)))),IF($B$1197="Лікар-терапевт",IF(S1201&lt;Законод!$C$26,0,(IF(AND(S1201&gt;=Законод!$G$26,S1201&lt;=Законод!$G$27),S1201-Законод!$F$27,IF('01_Доходи'!S1201&gt;=Законод!$H$26,Законод!$G$28,0)))),0)))</f>
        <v>0</v>
      </c>
      <c r="T1205" s="930"/>
      <c r="U1205" s="889" t="s">
        <v>346</v>
      </c>
      <c r="V1205" s="890"/>
      <c r="W1205" s="890"/>
      <c r="X1205" s="890"/>
      <c r="Y1205" s="891"/>
      <c r="Z1205" s="196">
        <f ca="1">IF($B$1197="Лікар загальної практики - сімейний лікар",IF(Z1201&lt;Законод!$C$22,0,(IF(AND(Z1201&gt;=Законод!$G$22,Z1201&lt;=Законод!$G$23),Z1201-Законод!$F$23,IF('01_Доходи'!Z1201&gt;=Законод!$H$22,Законод!$G$24,0)))),IF($B$1197="Лікар-педіатр",IF(Z1201&lt;Законод!$C$18,0,(IF(AND(Z1201&gt;=Законод!$G$18,Z1201&lt;=Законод!$G$19),Z1201-Законод!$F$19,IF('01_Доходи'!Z1201&gt;=Законод!$H$18,Законод!$G$20,0)))),IF($B$1197="Лікар-терапевт",IF(Z1201&lt;Законод!$C$26,0,(IF(AND(Z1201&gt;=Законод!$G$26,Z1201&lt;=Законод!$G$27),Z1201-Законод!$F$27,IF('01_Доходи'!Z1201&gt;=Законод!$H$26,Законод!$G$28,0)))),0)))</f>
        <v>0</v>
      </c>
      <c r="AA1205" s="930"/>
      <c r="AB1205" s="889" t="s">
        <v>346</v>
      </c>
      <c r="AC1205" s="890"/>
      <c r="AD1205" s="890"/>
      <c r="AE1205" s="890"/>
      <c r="AF1205" s="891"/>
      <c r="AG1205" s="196">
        <f ca="1">IF($B$1197="Лікар загальної практики - сімейний лікар",IF(AG1201&lt;Законод!$C$22,0,(IF(AND(AG1201&gt;=Законод!$G$22,AG1201&lt;=Законод!$G$23),AG1201-Законод!$F$23,IF('01_Доходи'!AG1201&gt;=Законод!$H$22,Законод!$G$24,0)))),IF($B$1197="Лікар-педіатр",IF(AG1201&lt;Законод!$C$18,0,(IF(AND(AG1201&gt;=Законод!$G$18,AG1201&lt;=Законод!$G$19),AG1201-Законод!$F$19,IF('01_Доходи'!AG1201&gt;=Законод!$H$18,Законод!$G$20,0)))),IF($B$1197="Лікар-терапевт",IF(AG1201&lt;Законод!$C$26,0,(IF(AND(AG1201&gt;=Законод!$G$26,AG1201&lt;=Законод!$G$27),AG1201-Законод!$F$27,IF('01_Доходи'!AG1201&gt;=Законод!$H$26,Законод!$G$28,0)))),0)))</f>
        <v>0</v>
      </c>
      <c r="AH1205" s="930"/>
      <c r="AI1205" s="201"/>
      <c r="AJ1205" s="933"/>
      <c r="AK1205" s="927"/>
      <c r="AL1205" s="927"/>
      <c r="AM1205" s="899"/>
      <c r="AN1205" s="210">
        <f ca="1">IF(B1197="Лікар загальної практики - сімейний лікар",L1205*Законод!$C$9/4*Законод!$G$16,IF(B1197="Лікар-педіатр",L1205*Законод!$C$9/4*Законод!$G$16,IF(B1197="Лікар-терапевт",L1205*Законод!$C$9/4*Законод!$G$16,0)))</f>
        <v>0</v>
      </c>
      <c r="AO1205" s="210">
        <f ca="1">IF(B1197="Лікар загальної практики - сімейний лікар",S1205*Законод!$C$9/4*Законод!$G$16,IF(B1197="Лікар-педіатр",S1205*Законод!$C$9/4*Законод!$G$16,IF(B1197="Лікар-терапевт",S1205*Законод!$C$9/4*Законод!$G$16,0)))</f>
        <v>0</v>
      </c>
      <c r="AP1205" s="210">
        <f ca="1">IF(B1197="Лікар загальної практики - сімейний лікар",Z1205*Законод!$C$9/4*Законод!$G$16,IF(B1197="Лікар-педіатр",Z1205*Законод!$C$9/4*Законод!$G$16,IF(B1197="Лікар-терапевт",Z1205*Законод!$C$9/4*Законод!$G$16,0)))</f>
        <v>0</v>
      </c>
      <c r="AQ1205" s="210">
        <f ca="1">IF(B1197="Лікар загальної практики - сімейний лікар",AG1205*Законод!$C$9/4*Законод!$G$16,IF(B1197="Лікар-педіатр",AG1205*Законод!$C$9/4*Законод!$G$16,IF(B1197="Лікар-терапевт",AG1205*Законод!$C$9/4*Законод!$G$16,0)))</f>
        <v>0</v>
      </c>
      <c r="AR1205" s="211">
        <f t="shared" si="119"/>
        <v>0</v>
      </c>
    </row>
    <row r="1206" spans="1:44" s="50" customFormat="1" ht="31.9" hidden="1" customHeight="1">
      <c r="A1206" s="197"/>
      <c r="B1206" s="893"/>
      <c r="C1206" s="896"/>
      <c r="D1206" s="912"/>
      <c r="E1206" s="909"/>
      <c r="F1206" s="238" t="str">
        <f ca="1">IF(B1197="Лікар-педіатр",Законод!$H$17,IF(B1197="Лікар загальної практики - сімейний лікар",Законод!$H$21,IF(B1197="Лікар-терапевт",Законод!$H$25,"х")))</f>
        <v>х</v>
      </c>
      <c r="G1206" s="889" t="s">
        <v>346</v>
      </c>
      <c r="H1206" s="890"/>
      <c r="I1206" s="890"/>
      <c r="J1206" s="890"/>
      <c r="K1206" s="891"/>
      <c r="L1206" s="196">
        <f ca="1">IF($B$1197="Лікар загальної практики - сімейний лікар",IF(L1201&lt;Законод!$C$22,0,(IF(AND(L1201&gt;=Законод!$H$22,L1201&lt;=Законод!$H$23),L1201-Законод!$G$23,IF('01_Доходи'!L1201&gt;=Законод!$I$22,Законод!$H$24,0)))),IF($B$1197="Лікар-педіатр",IF(L1201&lt;Законод!$C$18,0,(IF(AND(L1201&gt;=Законод!$H$18,L1201&lt;=Законод!$H$19),L1201-Законод!$G$19,IF('01_Доходи'!L1201&gt;=Законод!$I$18,Законод!$H$20,0)))),IF($B$1197="Лікар-терапевт",IF(L1201&lt;Законод!$C$26,0,(IF(AND(L1201&gt;=Законод!$H$26,L1201&lt;=Законод!$H$27),L1201-Законод!$G$27,IF(L1201&gt;=Законод!$I$26,Законод!$H$28,0)))),0)))</f>
        <v>0</v>
      </c>
      <c r="M1206" s="930"/>
      <c r="N1206" s="889" t="s">
        <v>346</v>
      </c>
      <c r="O1206" s="890"/>
      <c r="P1206" s="890"/>
      <c r="Q1206" s="890"/>
      <c r="R1206" s="891"/>
      <c r="S1206" s="196">
        <f ca="1">IF($B$1197="Лікар загальної практики - сімейний лікар",IF(S1201&lt;Законод!$C$22,0,(IF(AND(S1201&gt;=Законод!$H$22,S1201&lt;=Законод!$H$23),S1201-Законод!$G$23,IF('01_Доходи'!S1201&gt;=Законод!$I$22,Законод!$H$24,0)))),IF($B$1197="Лікар-педіатр",IF(S1201&lt;Законод!$C$18,0,(IF(AND(S1201&gt;=Законод!$H$18,S1201&lt;=Законод!$H$19),S1201-Законод!$G$19,IF('01_Доходи'!S1201&gt;=Законод!$I$18,Законод!$H$20,0)))),IF($B$1197="Лікар-терапевт",IF(S1201&lt;Законод!$C$26,0,(IF(AND(S1201&gt;=Законод!$H$26,S1201&lt;=Законод!$H$27),S1201-Законод!$G$27,IF(S1201&gt;=Законод!$I$26,Законод!$H$28,0)))),0)))</f>
        <v>0</v>
      </c>
      <c r="T1206" s="930"/>
      <c r="U1206" s="889" t="s">
        <v>346</v>
      </c>
      <c r="V1206" s="890"/>
      <c r="W1206" s="890"/>
      <c r="X1206" s="890"/>
      <c r="Y1206" s="891"/>
      <c r="Z1206" s="196">
        <f ca="1">IF($B$1197="Лікар загальної практики - сімейний лікар",IF(Z1201&lt;Законод!$C$22,0,(IF(AND(Z1201&gt;=Законод!$H$22,Z1201&lt;=Законод!$H$23),Z1201-Законод!$G$23,IF('01_Доходи'!Z1201&gt;=Законод!$I$22,Законод!$H$24,0)))),IF($B$1197="Лікар-педіатр",IF(Z1201&lt;Законод!$C$18,0,(IF(AND(Z1201&gt;=Законод!$H$18,Z1201&lt;=Законод!$H$19),Z1201-Законод!$G$19,IF('01_Доходи'!Z1201&gt;=Законод!$I$18,Законод!$H$20,0)))),IF($B$1197="Лікар-терапевт",IF(Z1201&lt;Законод!$C$26,0,(IF(AND(Z1201&gt;=Законод!$H$26,Z1201&lt;=Законод!$H$27),Z1201-Законод!$G$27,IF(Z1201&gt;=Законод!$I$26,Законод!$H$28,0)))),0)))</f>
        <v>0</v>
      </c>
      <c r="AA1206" s="930"/>
      <c r="AB1206" s="889" t="s">
        <v>346</v>
      </c>
      <c r="AC1206" s="890"/>
      <c r="AD1206" s="890"/>
      <c r="AE1206" s="890"/>
      <c r="AF1206" s="891"/>
      <c r="AG1206" s="196">
        <f ca="1">IF($B$1197="Лікар загальної практики - сімейний лікар",IF(AG1201&lt;Законод!$C$22,0,(IF(AND(AG1201&gt;=Законод!$H$22,AG1201&lt;=Законод!$H$23),AG1201-Законод!$G$23,IF('01_Доходи'!AG1201&gt;=Законод!$I$22,Законод!$H$24,0)))),IF($B$1197="Лікар-педіатр",IF(AG1201&lt;Законод!$C$18,0,(IF(AND(AG1201&gt;=Законод!$H$18,AG1201&lt;=Законод!$H$19),AG1201-Законод!$G$19,IF('01_Доходи'!AG1201&gt;=Законод!$I$18,Законод!$H$20,0)))),IF($B$1197="Лікар-терапевт",IF(AG1201&lt;Законод!$C$26,0,(IF(AND(AG1201&gt;=Законод!$H$26,AG1201&lt;=Законод!$H$27),AG1201-Законод!$G$27,IF(AG1201&gt;=Законод!$I$26,Законод!$H$28,0)))),0)))</f>
        <v>0</v>
      </c>
      <c r="AH1206" s="930"/>
      <c r="AI1206" s="201"/>
      <c r="AJ1206" s="933"/>
      <c r="AK1206" s="927"/>
      <c r="AL1206" s="927"/>
      <c r="AM1206" s="899"/>
      <c r="AN1206" s="210">
        <f ca="1">IF(B1197="Лікар загальної практики - сімейний лікар",L1206*Законод!$C$9/4*Законод!$H$16,IF(B1197="Лікар-педіатр",L1206*Законод!$C$9/4*Законод!$H$16,IF(B1197="Лікар-терапевт",L1206*Законод!$C$9/4*Законод!$H$16,0)))</f>
        <v>0</v>
      </c>
      <c r="AO1206" s="210">
        <f ca="1">IF(B1197="Лікар загальної практики - сімейний лікар",S1206*Законод!$C$9/4*Законод!$H$16,IF(B1197="Лікар-педіатр",S1206*Законод!$C$9/4*Законод!$H$16,IF(B1197="Лікар-терапевт",S1206*Законод!$C$9/4*Законод!$H$16,0)))</f>
        <v>0</v>
      </c>
      <c r="AP1206" s="210">
        <f ca="1">IF(B1197="Лікар загальної практики - сімейний лікар",Z1206*Законод!$C$9/4*Законод!$H$16,IF(B1197="Лікар-педіатр",Z1206*Законод!$C$9/4*Законод!$H$16,IF(B1197="Лікар-терапевт",Z1206*Законод!$C$9/4*Законод!$H$16,0)))</f>
        <v>0</v>
      </c>
      <c r="AQ1206" s="210">
        <f ca="1">IF(B1197="Лікар загальної практики - сімейний лікар",AG1206*Законод!$C$9/4*Законод!$H$16,IF(B1197="Лікар-педіатр",AG1206*Законод!$C$9/4*Законод!$H$16,IF(B1197="Лікар-терапевт",AG1206*Законод!$C$9/4*Законод!$H$16,0)))</f>
        <v>0</v>
      </c>
      <c r="AR1206" s="211">
        <f t="shared" si="119"/>
        <v>0</v>
      </c>
    </row>
    <row r="1207" spans="1:44" s="50" customFormat="1" ht="31.9" hidden="1" customHeight="1">
      <c r="A1207" s="197"/>
      <c r="B1207" s="893"/>
      <c r="C1207" s="896"/>
      <c r="D1207" s="912"/>
      <c r="E1207" s="909"/>
      <c r="F1207" s="238" t="str">
        <f ca="1">IF(B1197="Лікар-педіатр",Законод!$I$17,IF(B1197="Лікар загальної практики - сімейний лікар",Законод!$I$21,IF(B1197="Лікар-терапевт",Законод!$I$25,"х")))</f>
        <v>х</v>
      </c>
      <c r="G1207" s="889" t="s">
        <v>346</v>
      </c>
      <c r="H1207" s="890"/>
      <c r="I1207" s="890"/>
      <c r="J1207" s="890"/>
      <c r="K1207" s="891"/>
      <c r="L1207" s="196">
        <f ca="1">IF($B$1197="Лікар загальної практики - сімейний лікар",IF(L1201&lt;Законод!$C$22,0,(IF(AND(L1201&gt;=Законод!$I$22,L1201&lt;=Законод!$I$23),L1201-Законод!$H$23,IF('01_Доходи'!L1201&gt;=Законод!$I$22,Законод!$I$24,0)))),IF($B$1197="Лікар-педіатр",IF(L1201&lt;Законод!$C$18,0,(IF(AND(L1201&gt;=Законод!$I$18,L1201&lt;=Законод!$I$19),L1201-Законод!$H$19,IF('01_Доходи'!L1201&gt;=Законод!$I$18,Законод!$H$20,0)))),IF($B$1197="Лікар-терапевт",IF(L1201&lt;Законод!$C$26,0,(IF(AND(L1201&gt;=Законод!$I$26,L1201&lt;=Законод!$I$27),L1201-Законод!$H$27,IF('01_Доходи'!L1201&gt;=Законод!$I$26,Законод!$H$28,0)))),0)))</f>
        <v>0</v>
      </c>
      <c r="M1207" s="930"/>
      <c r="N1207" s="889" t="s">
        <v>346</v>
      </c>
      <c r="O1207" s="890"/>
      <c r="P1207" s="890"/>
      <c r="Q1207" s="890"/>
      <c r="R1207" s="891"/>
      <c r="S1207" s="196">
        <f ca="1">IF($B$1197="Лікар загальної практики - сімейний лікар",IF(S1201&lt;Законод!$C$22,0,(IF(AND(S1201&gt;=Законод!$I$22,S1201&lt;=Законод!$I$23),S1201-Законод!$H$23,IF('01_Доходи'!S1201&gt;=Законод!$I$22,Законод!$I$24,0)))),IF($B$1197="Лікар-педіатр",IF(S1201&lt;Законод!$C$18,0,(IF(AND(S1201&gt;=Законод!$I$18,S1201&lt;=Законод!$I$19),S1201-Законод!$H$19,IF('01_Доходи'!S1201&gt;=Законод!$I$18,Законод!$H$20,0)))),IF($B$1197="Лікар-терапевт",IF(S1201&lt;Законод!$C$26,0,(IF(AND(S1201&gt;=Законод!$I$26,S1201&lt;=Законод!$I$27),S1201-Законод!$H$27,IF('01_Доходи'!S1201&gt;=Законод!$I$26,Законод!$H$28,0)))),0)))</f>
        <v>0</v>
      </c>
      <c r="T1207" s="930"/>
      <c r="U1207" s="889" t="s">
        <v>346</v>
      </c>
      <c r="V1207" s="890"/>
      <c r="W1207" s="890"/>
      <c r="X1207" s="890"/>
      <c r="Y1207" s="891"/>
      <c r="Z1207" s="196">
        <f ca="1">IF($B$1197="Лікар загальної практики - сімейний лікар",IF(Z1201&lt;Законод!$C$22,0,(IF(AND(Z1201&gt;=Законод!$I$22,Z1201&lt;=Законод!$I$23),Z1201-Законод!$H$23,IF('01_Доходи'!Z1201&gt;=Законод!$I$22,Законод!$I$24,0)))),IF($B$1197="Лікар-педіатр",IF(Z1201&lt;Законод!$C$18,0,(IF(AND(Z1201&gt;=Законод!$I$18,Z1201&lt;=Законод!$I$19),Z1201-Законод!$H$19,IF('01_Доходи'!Z1201&gt;=Законод!$I$18,Законод!$H$20,0)))),IF($B$1197="Лікар-терапевт",IF(Z1201&lt;Законод!$C$26,0,(IF(AND(Z1201&gt;=Законод!$I$26,Z1201&lt;=Законод!$I$27),Z1201-Законод!$H$27,IF('01_Доходи'!Z1201&gt;=Законод!$I$26,Законод!$H$28,0)))),0)))</f>
        <v>0</v>
      </c>
      <c r="AA1207" s="930"/>
      <c r="AB1207" s="889" t="s">
        <v>346</v>
      </c>
      <c r="AC1207" s="890"/>
      <c r="AD1207" s="890"/>
      <c r="AE1207" s="890"/>
      <c r="AF1207" s="891"/>
      <c r="AG1207" s="196">
        <f ca="1">IF($B$1197="Лікар загальної практики - сімейний лікар",IF(AG1201&lt;Законод!$C$22,0,(IF(AND(AG1201&gt;=Законод!$I$22,AG1201&lt;=Законод!$I$23),AG1201-Законод!$H$23,IF('01_Доходи'!AG1201&gt;=Законод!$I$22,Законод!$I$24,0)))),IF($B$1197="Лікар-педіатр",IF(AG1201&lt;Законод!$C$18,0,(IF(AND(AG1201&gt;=Законод!$I$18,AG1201&lt;=Законод!$I$19),AG1201-Законод!$H$19,IF('01_Доходи'!AG1201&gt;=Законод!$I$18,Законод!$H$20,0)))),IF($B$1197="Лікар-терапевт",IF(AG1201&lt;Законод!$C$26,0,(IF(AND(AG1201&gt;=Законод!$I$26,AG1201&lt;=Законод!$I$27),AG1201-Законод!$H$27,IF('01_Доходи'!AG1201&gt;=Законод!$I$26,Законод!$H$28,0)))),0)))</f>
        <v>0</v>
      </c>
      <c r="AH1207" s="930"/>
      <c r="AI1207" s="201"/>
      <c r="AJ1207" s="933"/>
      <c r="AK1207" s="927"/>
      <c r="AL1207" s="927"/>
      <c r="AM1207" s="899"/>
      <c r="AN1207" s="210">
        <f ca="1">IF(B1197="Лікар загальної практики - сімейний лікар",L1207*Законод!$C$9/4*Законод!$I$16,IF(B1197="Лікар-педіатр",L1207*Законод!$C$9/4*Законод!$I$16,IF(B1197="Лікар-терапевт",L1207*Законод!$C$9/4*Законод!$I$16,0)))</f>
        <v>0</v>
      </c>
      <c r="AO1207" s="210">
        <f ca="1">IF(B1197="Лікар загальної практики - сімейний лікар",S1207*Законод!$C$9/4*Законод!$I$16,IF(B1197="Лікар-педіатр",S1207*Законод!$C$9/4*Законод!$I$16,IF(B1197="Лікар-терапевт",S1207*Законод!$C$9/4*Законод!$I$16,0)))</f>
        <v>0</v>
      </c>
      <c r="AP1207" s="210">
        <f ca="1">IF(B1197="Лікар загальної практики - сімейний лікар",Z1207*Законод!$C$9/4*Законод!$I$16,IF(B1197="Лікар-педіатр",Z1207*Законод!$C$9/4*Законод!$I$16,IF(B1197="Лікар-терапевт",Z1207*Законод!$C$9/4*Законод!$I$16,0)))</f>
        <v>0</v>
      </c>
      <c r="AQ1207" s="210">
        <f ca="1">IF(B1197="Лікар загальної практики - сімейний лікар",AG1207*Законод!$C$9/4*Законод!$I$16,IF(B1197="Лікар-педіатр",AG1207*Законод!$C$9/4*Законод!$I$16,IF(B1197="Лікар-терапевт",AG1207*Законод!$C$9/4*Законод!$I$16,0)))</f>
        <v>0</v>
      </c>
      <c r="AR1207" s="211">
        <f t="shared" si="119"/>
        <v>0</v>
      </c>
    </row>
    <row r="1208" spans="1:44" s="218" customFormat="1" ht="31.9" hidden="1" customHeight="1" thickBot="1">
      <c r="A1208" s="213"/>
      <c r="B1208" s="894"/>
      <c r="C1208" s="897"/>
      <c r="D1208" s="913"/>
      <c r="E1208" s="910"/>
      <c r="F1208" s="239" t="str">
        <f ca="1">IF(B1197="Лікар-педіатр",Законод!$J$17,IF(B1197="Лікар загальної практики - сімейний лікар",Законод!$J$21,IF(B1197="Лікар-терапевт",Законод!$J$25,"х")))</f>
        <v>х</v>
      </c>
      <c r="G1208" s="935" t="s">
        <v>346</v>
      </c>
      <c r="H1208" s="936"/>
      <c r="I1208" s="936"/>
      <c r="J1208" s="936"/>
      <c r="K1208" s="937"/>
      <c r="L1208" s="196">
        <f ca="1">IF($B$1197="Лікар загальної практики - сімейний лікар",IF(L1201&gt;=Законод!$J$22,'01_Доходи'!L1201-('01_Доходи'!L1202+'01_Доходи'!L1203+'01_Доходи'!L1204+'01_Доходи'!L1205+'01_Доходи'!L1206+'01_Доходи'!L1207),0),IF($B$1197="Лікар-педіатр",IF(L1201&gt;=Законод!$J$18,'01_Доходи'!L1201-('01_Доходи'!L1202+'01_Доходи'!L1203+'01_Доходи'!L1204+'01_Доходи'!L1205+'01_Доходи'!L1206+'01_Доходи'!L1207),0),IF($B$1197="Лікар-терапевт",IF('01_Доходи'!L1201&gt;=Законод!$J$26,L1201-Законод!$I$27,0),0)))</f>
        <v>0</v>
      </c>
      <c r="M1208" s="931"/>
      <c r="N1208" s="935" t="s">
        <v>346</v>
      </c>
      <c r="O1208" s="936"/>
      <c r="P1208" s="936"/>
      <c r="Q1208" s="936"/>
      <c r="R1208" s="937"/>
      <c r="S1208" s="196">
        <f ca="1">IF($B$1197="Лікар загальної практики - сімейний лікар",IF(S1201&gt;=Законод!$J$22,'01_Доходи'!S1201-('01_Доходи'!S1202+'01_Доходи'!S1203+'01_Доходи'!S1204+'01_Доходи'!S1205+'01_Доходи'!S1206+'01_Доходи'!S1207),0),IF($B$1197="Лікар-педіатр",IF(S1201&gt;=Законод!$J$18,'01_Доходи'!S1201-('01_Доходи'!S1202+'01_Доходи'!S1203+'01_Доходи'!S1204+'01_Доходи'!S1205+'01_Доходи'!S1206+'01_Доходи'!S1207),0),IF($B$1197="Лікар-терапевт",IF('01_Доходи'!S1201&gt;=Законод!$J$26,S1201-Законод!$I$27,0),0)))</f>
        <v>0</v>
      </c>
      <c r="T1208" s="931"/>
      <c r="U1208" s="935" t="s">
        <v>346</v>
      </c>
      <c r="V1208" s="936"/>
      <c r="W1208" s="936"/>
      <c r="X1208" s="936"/>
      <c r="Y1208" s="937"/>
      <c r="Z1208" s="196">
        <f ca="1">IF($B$1197="Лікар загальної практики - сімейний лікар",IF(Z1201&gt;=Законод!$J$22,'01_Доходи'!Z1201-('01_Доходи'!Z1202+'01_Доходи'!Z1203+'01_Доходи'!Z1204+'01_Доходи'!Z1205+'01_Доходи'!Z1206+'01_Доходи'!Z1207),0),IF($B$1197="Лікар-педіатр",IF(Z1201&gt;=Законод!$J$18,'01_Доходи'!Z1201-('01_Доходи'!Z1202+'01_Доходи'!Z1203+'01_Доходи'!Z1204+'01_Доходи'!Z1205+'01_Доходи'!Z1206+'01_Доходи'!Z1207),0),IF($B$1197="Лікар-терапевт",IF('01_Доходи'!Z1201&gt;=Законод!$J$26,Z1201-Законод!$I$27,0),0)))</f>
        <v>0</v>
      </c>
      <c r="AA1208" s="931"/>
      <c r="AB1208" s="935" t="s">
        <v>346</v>
      </c>
      <c r="AC1208" s="936"/>
      <c r="AD1208" s="936"/>
      <c r="AE1208" s="936"/>
      <c r="AF1208" s="937"/>
      <c r="AG1208" s="196">
        <f ca="1">IF($B$1197="Лікар загальної практики - сімейний лікар",IF(AG1201&gt;=Законод!$J$22,'01_Доходи'!AG1201-('01_Доходи'!AG1202+'01_Доходи'!AG1203+'01_Доходи'!AG1204+'01_Доходи'!AG1205+'01_Доходи'!AG1206+'01_Доходи'!AG1207),0),IF($B$1197="Лікар-педіатр",IF(AG1201&gt;=Законод!$J$18,'01_Доходи'!AG1201-('01_Доходи'!AG1202+'01_Доходи'!AG1203+'01_Доходи'!AG1204+'01_Доходи'!AG1205+'01_Доходи'!AG1206+'01_Доходи'!AG1207),0),IF($B$1197="Лікар-терапевт",IF('01_Доходи'!AG1201&gt;=Законод!$J$26,AG1201-Законод!$I$27,0),0)))</f>
        <v>0</v>
      </c>
      <c r="AH1208" s="931"/>
      <c r="AI1208" s="215"/>
      <c r="AJ1208" s="934"/>
      <c r="AK1208" s="928"/>
      <c r="AL1208" s="928"/>
      <c r="AM1208" s="900"/>
      <c r="AN1208" s="216">
        <f ca="1">IF(B1197="Лікар загальної практики - сімейний лікар",L1208*Законод!$C$9/4*Законод!$J$16,IF(B1197="Лікар-педіатр",L1208*Законод!$C$9/4*Законод!$J$16,IF(B1197="Лікар-терапевт",L1208*Законод!$C$9/4*Законод!$J$16,0)))</f>
        <v>0</v>
      </c>
      <c r="AO1208" s="216">
        <f ca="1">IF(B1197="Лікар загальної практики - сімейний лікар",S1208*Законод!$C$9/4*Законод!$J$16,IF(B1197="Лікар-педіатр",S1208*Законод!$C$9/4*Законод!$J$16,IF(B1197="Лікар-терапевт",S1208*Законод!$C$9/4*Законод!$J$16,0)))</f>
        <v>0</v>
      </c>
      <c r="AP1208" s="216">
        <f ca="1">IF(B1197="Лікар загальної практики - сімейний лікар",S1208*Законод!$C$9/4*Законод!$J$16,IF(B1197="Лікар-педіатр",S1208*Законод!$C$9/4*Законод!$J$16,IF(B1197="Лікар-терапевт",S1208*Законод!$C$9/4*Законод!$J$16,0)))</f>
        <v>0</v>
      </c>
      <c r="AQ1208" s="216">
        <f ca="1">IF(B1197="Лікар загальної практики - сімейний лікар",AG1208*Законод!$C$9/4*Законод!$J$16,IF(B1197="Лікар-педіатр",AG1208*Законод!$C$9/4*Законод!$J$16,IF(B1197="Лікар-терапевт",AG1208*Законод!$C$9/4*Законод!$J$16,0)))</f>
        <v>0</v>
      </c>
      <c r="AR1208" s="217">
        <f t="shared" si="119"/>
        <v>0</v>
      </c>
    </row>
    <row r="1209" spans="1:44" s="247" customFormat="1" ht="23.45" hidden="1" customHeight="1" thickBot="1">
      <c r="A1209" s="243"/>
      <c r="B1209" s="244"/>
      <c r="C1209" s="244"/>
      <c r="D1209" s="244"/>
      <c r="E1209" s="244"/>
      <c r="F1209" s="245"/>
      <c r="G1209" s="246"/>
      <c r="H1209" s="246"/>
      <c r="L1209" s="248"/>
      <c r="S1209" s="248"/>
      <c r="Z1209" s="248"/>
      <c r="AG1209" s="248"/>
      <c r="AM1209" s="249"/>
      <c r="AR1209" s="250"/>
    </row>
    <row r="1210" spans="1:44" s="191" customFormat="1" ht="24.6" hidden="1" customHeight="1">
      <c r="A1210" s="194">
        <f>A1197+1</f>
        <v>91</v>
      </c>
      <c r="B1210" s="892"/>
      <c r="C1210" s="895"/>
      <c r="D1210" s="911"/>
      <c r="E1210" s="908"/>
      <c r="F1210" s="234" t="s">
        <v>582</v>
      </c>
      <c r="G1210" s="196">
        <f>IF($B$1210="Лікар-педіатр",G1213*L1210,IF($B$1210="Лікар-терапевт","х",IF($B$1210="Лікар загальної практики - сімейний лікар",G1213*L1210,0)))</f>
        <v>0</v>
      </c>
      <c r="H1210" s="196">
        <f>IF($B$1210="Лікар-педіатр",H1213*L1210,IF($B$1210="Лікар-терапевт","х",IF($B$1210="Лікар загальної практики - сімейний лікар",H1213*L1210,0)))</f>
        <v>0</v>
      </c>
      <c r="I1210" s="196">
        <f>IF($B$1210="Лікар-педіатр","x",IF($B$1210="Лікар-терапевт",I1213*L1210,IF($B$1210="Лікар загальної практики - сімейний лікар",I1213*L1210,0)))</f>
        <v>0</v>
      </c>
      <c r="J1210" s="196">
        <f>IF($B$1210="Лікар-педіатр","x",IF($B$1210="Лікар-терапевт",J1213*L1210,IF($B$1210="Лікар загальної практики - сімейний лікар",J1213*L1210,0)))</f>
        <v>0</v>
      </c>
      <c r="K1210" s="196">
        <f>IF($B$1210="Лікар-педіатр","x",IF($B$1210="Лікар-терапевт",K1213*L1210,IF($B$1210="Лікар загальної практики - сімейний лікар",K1213*L1210,0)))</f>
        <v>0</v>
      </c>
      <c r="L1210" s="558"/>
      <c r="M1210" s="929"/>
      <c r="N1210" s="196">
        <f>IF($B$1210="Лікар-педіатр",N1213*S1210,IF($B$1210="Лікар-терапевт","х",IF($B$1210="Лікар загальної практики - сімейний лікар",N1213*S1210,0)))</f>
        <v>0</v>
      </c>
      <c r="O1210" s="196">
        <f>IF($B$1210="Лікар-педіатр",O1213*S1210,IF($B$1210="Лікар-терапевт","х",IF($B$1210="Лікар загальної практики - сімейний лікар",O1213*S1210,0)))</f>
        <v>0</v>
      </c>
      <c r="P1210" s="196">
        <f>IF($B$1210="Лікар-педіатр","x",IF($B$1210="Лікар-терапевт",P1213*S1210,IF($B$1210="Лікар загальної практики - сімейний лікар",P1213*S1210,0)))</f>
        <v>0</v>
      </c>
      <c r="Q1210" s="196">
        <f>IF($B$1210="Лікар-педіатр","x",IF($B$1210="Лікар-терапевт",Q1213*S1210,IF($B$1210="Лікар загальної практики - сімейний лікар",Q1213*S1210,0)))</f>
        <v>0</v>
      </c>
      <c r="R1210" s="196">
        <f>IF($B$1210="Лікар-педіатр","x",IF($B$1210="Лікар-терапевт",R1213*S1210,IF($B$1210="Лікар загальної практики - сімейний лікар",R1213*S1210,0)))</f>
        <v>0</v>
      </c>
      <c r="S1210" s="558"/>
      <c r="T1210" s="929"/>
      <c r="U1210" s="196">
        <f>IF($B$1210="Лікар-педіатр",U1213*Z1210,IF($B$1210="Лікар-терапевт","х",IF($B$1210="Лікар загальної практики - сімейний лікар",U1213*Z1210,0)))</f>
        <v>0</v>
      </c>
      <c r="V1210" s="196">
        <f>IF($B$1210="Лікар-педіатр",V1213*Z1210,IF($B$1210="Лікар-терапевт","х",IF($B$1210="Лікар загальної практики - сімейний лікар",V1213*Z1210,0)))</f>
        <v>0</v>
      </c>
      <c r="W1210" s="196">
        <f>IF($B$1210="Лікар-педіатр","x",IF($B$1210="Лікар-терапевт",W1213*Z1210,IF($B$1210="Лікар загальної практики - сімейний лікар",W1213*Z1210,0)))</f>
        <v>0</v>
      </c>
      <c r="X1210" s="196">
        <f>IF($B$1210="Лікар-педіатр","x",IF($B$1210="Лікар-терапевт",X1213*Z1210,IF($B$1210="Лікар загальної практики - сімейний лікар",X1213*Z1210,0)))</f>
        <v>0</v>
      </c>
      <c r="Y1210" s="196">
        <f>IF($B$1210="Лікар-педіатр","x",IF($B$1210="Лікар-терапевт",Y1213*Z1210,IF($B$1210="Лікар загальної практики - сімейний лікар",Y1213*Z1210,0)))</f>
        <v>0</v>
      </c>
      <c r="Z1210" s="558"/>
      <c r="AA1210" s="929"/>
      <c r="AB1210" s="196">
        <f>IF($B$1210="Лікар-педіатр",AB1213*AG1210,IF($B$1210="Лікар-терапевт","х",IF($B$1210="Лікар загальної практики - сімейний лікар",AB1213*AG1210,0)))</f>
        <v>0</v>
      </c>
      <c r="AC1210" s="196">
        <f>IF($B$1210="Лікар-педіатр",AC1213*AG1210,IF($B$1210="Лікар-терапевт","х",IF($B$1210="Лікар загальної практики - сімейний лікар",AC1213*AG1210,0)))</f>
        <v>0</v>
      </c>
      <c r="AD1210" s="196">
        <f>IF($B$1210="Лікар-педіатр","x",IF($B$1210="Лікар-терапевт",AD1213*AG1210,IF($B$1210="Лікар загальної практики - сімейний лікар",AD1213*AG1210,0)))</f>
        <v>0</v>
      </c>
      <c r="AE1210" s="196">
        <f>IF($B$1210="Лікар-педіатр","x",IF($B$1210="Лікар-терапевт",AE1213*AG1210,IF($B$1210="Лікар загальної практики - сімейний лікар",AE1213*AG1210,0)))</f>
        <v>0</v>
      </c>
      <c r="AF1210" s="196">
        <f>IF($B$1210="Лікар-педіатр","x",IF($B$1210="Лікар-терапевт",AF1213*AG1210,IF($B$1210="Лікар загальної практики - сімейний лікар",AF1213*AG1210,0)))</f>
        <v>0</v>
      </c>
      <c r="AG1210" s="558"/>
      <c r="AH1210" s="929"/>
      <c r="AI1210" s="541">
        <f>A1210</f>
        <v>91</v>
      </c>
      <c r="AJ1210" s="932">
        <f>B1210</f>
        <v>0</v>
      </c>
      <c r="AK1210" s="926">
        <f>C1210</f>
        <v>0</v>
      </c>
      <c r="AL1210" s="926">
        <f>D1210</f>
        <v>0</v>
      </c>
      <c r="AM1210" s="901" t="s">
        <v>785</v>
      </c>
      <c r="AN1210" s="923">
        <f>SUM(AN1215:AN1221)</f>
        <v>0</v>
      </c>
      <c r="AO1210" s="923">
        <f>SUM(AO1215:AO1221)</f>
        <v>0</v>
      </c>
      <c r="AP1210" s="923">
        <f>SUM(AP1215:AP1221)</f>
        <v>0</v>
      </c>
      <c r="AQ1210" s="923">
        <f>SUM(AQ1215:AQ1221)</f>
        <v>0</v>
      </c>
      <c r="AR1210" s="914">
        <f>SUM(AN1210:AQ1214)</f>
        <v>0</v>
      </c>
    </row>
    <row r="1211" spans="1:44" s="50" customFormat="1" ht="28.15" hidden="1" customHeight="1">
      <c r="A1211" s="197"/>
      <c r="B1211" s="893"/>
      <c r="C1211" s="896"/>
      <c r="D1211" s="912"/>
      <c r="E1211" s="909"/>
      <c r="F1211" s="234" t="s">
        <v>583</v>
      </c>
      <c r="G1211" s="196">
        <f>IF($B$1210="Лікар-педіатр",G1213*L1211,IF($B$1210="Лікар-терапевт","х",IF($B$1210="Лікар загальної практики - сімейний лікар",G1213*L1211,0)))</f>
        <v>0</v>
      </c>
      <c r="H1211" s="196">
        <f>IF($B$1210="Лікар-педіатр",H1213*L1211,IF($B$1210="Лікар-терапевт","х",IF($B$1210="Лікар загальної практики - сімейний лікар",H1213*L1211,0)))</f>
        <v>0</v>
      </c>
      <c r="I1211" s="196">
        <f>IF($B$1210="Лікар-педіатр","x",IF($B$1210="Лікар-терапевт",I1213*L1211,IF($B$1210="Лікар загальної практики - сімейний лікар",I1213*L1211,0)))</f>
        <v>0</v>
      </c>
      <c r="J1211" s="196">
        <f>IF($B$1210="Лікар-педіатр","x",IF($B$1210="Лікар-терапевт",J1213*L1211,IF($B$1210="Лікар загальної практики - сімейний лікар",J1213*L1211,0)))</f>
        <v>0</v>
      </c>
      <c r="K1211" s="196">
        <f>IF($B$1210="Лікар-педіатр","x",IF($B$1210="Лікар-терапевт",K1213*L1211,IF($B$1210="Лікар загальної практики - сімейний лікар",K1213*L1211,0)))</f>
        <v>0</v>
      </c>
      <c r="L1211" s="558"/>
      <c r="M1211" s="930"/>
      <c r="N1211" s="196">
        <f>IF($B$1210="Лікар-педіатр",N1213*S1211,IF($B$1210="Лікар-терапевт","х",IF($B$1210="Лікар загальної практики - сімейний лікар",N1213*S1211,0)))</f>
        <v>0</v>
      </c>
      <c r="O1211" s="196">
        <f>IF($B$1210="Лікар-педіатр",O1213*S1211,IF($B$1210="Лікар-терапевт","х",IF($B$1210="Лікар загальної практики - сімейний лікар",O1213*S1211,0)))</f>
        <v>0</v>
      </c>
      <c r="P1211" s="196">
        <f>IF($B$1210="Лікар-педіатр","x",IF($B$1210="Лікар-терапевт",P1213*S1211,IF($B$1210="Лікар загальної практики - сімейний лікар",P1213*S1211,0)))</f>
        <v>0</v>
      </c>
      <c r="Q1211" s="196">
        <f>IF($B$1210="Лікар-педіатр","x",IF($B$1210="Лікар-терапевт",Q1213*S1211,IF($B$1210="Лікар загальної практики - сімейний лікар",Q1213*S1211,0)))</f>
        <v>0</v>
      </c>
      <c r="R1211" s="196">
        <f>IF($B$1210="Лікар-педіатр","x",IF($B$1210="Лікар-терапевт",R1213*S1211,IF($B$1210="Лікар загальної практики - сімейний лікар",R1213*S1211,0)))</f>
        <v>0</v>
      </c>
      <c r="S1211" s="558"/>
      <c r="T1211" s="930"/>
      <c r="U1211" s="196">
        <f>IF($B$1210="Лікар-педіатр",U1213*Z1211,IF($B$1210="Лікар-терапевт","х",IF($B$1210="Лікар загальної практики - сімейний лікар",U1213*Z1211,0)))</f>
        <v>0</v>
      </c>
      <c r="V1211" s="196">
        <f>IF($B$1210="Лікар-педіатр",V1213*Z1211,IF($B$1210="Лікар-терапевт","х",IF($B$1210="Лікар загальної практики - сімейний лікар",V1213*Z1211,0)))</f>
        <v>0</v>
      </c>
      <c r="W1211" s="196">
        <f>IF($B$1210="Лікар-педіатр","x",IF($B$1210="Лікар-терапевт",W1213*Z1211,IF($B$1210="Лікар загальної практики - сімейний лікар",W1213*Z1211,0)))</f>
        <v>0</v>
      </c>
      <c r="X1211" s="196">
        <f>IF($B$1210="Лікар-педіатр","x",IF($B$1210="Лікар-терапевт",X1213*Z1211,IF($B$1210="Лікар загальної практики - сімейний лікар",X1213*Z1211,0)))</f>
        <v>0</v>
      </c>
      <c r="Y1211" s="196">
        <f>IF($B$1210="Лікар-педіатр","x",IF($B$1210="Лікар-терапевт",Y1213*Z1211,IF($B$1210="Лікар загальної практики - сімейний лікар",Y1213*Z1211,0)))</f>
        <v>0</v>
      </c>
      <c r="Z1211" s="558"/>
      <c r="AA1211" s="930"/>
      <c r="AB1211" s="196">
        <f>IF($B$1210="Лікар-педіатр",AB1213*AG1211,IF($B$1210="Лікар-терапевт","х",IF($B$1210="Лікар загальної практики - сімейний лікар",AB1213*AG1211,0)))</f>
        <v>0</v>
      </c>
      <c r="AC1211" s="196">
        <f>IF($B$1210="Лікар-педіатр",AC1213*AG1211,IF($B$1210="Лікар-терапевт","х",IF($B$1210="Лікар загальної практики - сімейний лікар",AC1213*AG1211,0)))</f>
        <v>0</v>
      </c>
      <c r="AD1211" s="196">
        <f>IF($B$1210="Лікар-педіатр","x",IF($B$1210="Лікар-терапевт",AD1213*AG1211,IF($B$1210="Лікар загальної практики - сімейний лікар",AD1213*AG1211,0)))</f>
        <v>0</v>
      </c>
      <c r="AE1211" s="196">
        <f>IF($B$1210="Лікар-педіатр","x",IF($B$1210="Лікар-терапевт",AE1213*AG1211,IF($B$1210="Лікар загальної практики - сімейний лікар",AE1213*AG1211,0)))</f>
        <v>0</v>
      </c>
      <c r="AF1211" s="196">
        <f>IF($B$1210="Лікар-педіатр","x",IF($B$1210="Лікар-терапевт",AF1213*AG1211,IF($B$1210="Лікар загальної практики - сімейний лікар",AF1213*AG1211,0)))</f>
        <v>0</v>
      </c>
      <c r="AG1211" s="558"/>
      <c r="AH1211" s="930"/>
      <c r="AI1211" s="198"/>
      <c r="AJ1211" s="933"/>
      <c r="AK1211" s="927"/>
      <c r="AL1211" s="927"/>
      <c r="AM1211" s="902"/>
      <c r="AN1211" s="924"/>
      <c r="AO1211" s="924"/>
      <c r="AP1211" s="924"/>
      <c r="AQ1211" s="924"/>
      <c r="AR1211" s="915"/>
    </row>
    <row r="1212" spans="1:44" s="90" customFormat="1" ht="31.15" hidden="1" customHeight="1">
      <c r="A1212" s="240"/>
      <c r="B1212" s="893"/>
      <c r="C1212" s="896"/>
      <c r="D1212" s="912"/>
      <c r="E1212" s="909"/>
      <c r="F1212" s="241" t="s">
        <v>584</v>
      </c>
      <c r="G1212" s="199">
        <f>IF(B1210="Лікар загальної практики - сімейний лікар"," ",IF(B1210="Лікар-педіатр"," ",IF(B1210="Лікар-терапевт","х",0)))</f>
        <v>0</v>
      </c>
      <c r="H1212" s="199">
        <f>IF(B1210="Лікар загальної практики - сімейний лікар"," ",IF(B1210="Лікар-педіатр"," ",IF(B1210="Лікар-терапевт","х",0)))</f>
        <v>0</v>
      </c>
      <c r="I1212" s="199">
        <f>IF(B1210="Лікар загальної практики - сімейний лікар"," ",IF(B1210="Лікар-педіатр","х",IF(B1210="Лікар-терапевт"," ",0)))</f>
        <v>0</v>
      </c>
      <c r="J1212" s="199">
        <f>IF(B1210="Лікар загальної практики - сімейний лікар"," ",IF(B1210="Лікар-педіатр","х",IF(B1210="Лікар-терапевт"," ",0)))</f>
        <v>0</v>
      </c>
      <c r="K1212" s="199">
        <f>IF(B1210="Лікар загальної практики - сімейний лікар"," ",IF(B1210="Лікар-педіатр","х",IF(B1210="Лікар-терапевт"," ",0)))</f>
        <v>0</v>
      </c>
      <c r="L1212" s="200">
        <f>SUM(G1212:K1212)</f>
        <v>0</v>
      </c>
      <c r="M1212" s="930"/>
      <c r="N1212" s="199">
        <f>IF(B1210="Лікар загальної практики - сімейний лікар"," ",IF(B1210="Лікар-педіатр"," ",IF(B1210="Лікар-терапевт","х",0)))</f>
        <v>0</v>
      </c>
      <c r="O1212" s="199">
        <f>IF(B1210="Лікар загальної практики - сімейний лікар"," ",IF(B1210="Лікар-педіатр"," ",IF(B1210="Лікар-терапевт","х",0)))</f>
        <v>0</v>
      </c>
      <c r="P1212" s="199">
        <f>IF(B1210="Лікар загальної практики - сімейний лікар"," ",IF(B1210="Лікар-педіатр","х",IF(B1210="Лікар-терапевт"," ",0)))</f>
        <v>0</v>
      </c>
      <c r="Q1212" s="199">
        <f>IF(B1210="Лікар загальної практики - сімейний лікар"," ",IF(B1210="Лікар-педіатр","х",IF(B1210="Лікар-терапевт"," ",0)))</f>
        <v>0</v>
      </c>
      <c r="R1212" s="199">
        <f>IF(B1210="Лікар загальної практики - сімейний лікар"," ",IF(B1210="Лікар-педіатр","х",IF(B1210="Лікар-терапевт"," ",0)))</f>
        <v>0</v>
      </c>
      <c r="S1212" s="200">
        <f>SUM(N1212:R1212)</f>
        <v>0</v>
      </c>
      <c r="T1212" s="930"/>
      <c r="U1212" s="199">
        <f>IF(B1210="Лікар загальної практики - сімейний лікар"," ",IF(B1210="Лікар-педіатр"," ",IF(B1210="Лікар-терапевт","х",0)))</f>
        <v>0</v>
      </c>
      <c r="V1212" s="199">
        <f>IF(B1210="Лікар загальної практики - сімейний лікар"," ",IF(B1210="Лікар-педіатр"," ",IF(B1210="Лікар-терапевт","х",0)))</f>
        <v>0</v>
      </c>
      <c r="W1212" s="199">
        <f>IF(B1210="Лікар загальної практики - сімейний лікар"," ",IF(B1210="Лікар-педіатр","х",IF(B1210="Лікар-терапевт"," ",0)))</f>
        <v>0</v>
      </c>
      <c r="X1212" s="199">
        <f>IF(B1210="Лікар загальної практики - сімейний лікар"," ",IF(B1210="Лікар-педіатр","х",IF(B1210="Лікар-терапевт"," ",0)))</f>
        <v>0</v>
      </c>
      <c r="Y1212" s="199">
        <f>IF(B1210="Лікар загальної практики - сімейний лікар"," ",IF(B1210="Лікар-педіатр","х",IF(B1210="Лікар-терапевт"," ",0)))</f>
        <v>0</v>
      </c>
      <c r="Z1212" s="200">
        <f>SUM(U1212:Y1212)</f>
        <v>0</v>
      </c>
      <c r="AA1212" s="930"/>
      <c r="AB1212" s="199">
        <f>IF(B1210="Лікар загальної практики - сімейний лікар"," ",IF(B1210="Лікар-педіатр"," ",IF(B1210="Лікар-терапевт","х",0)))</f>
        <v>0</v>
      </c>
      <c r="AC1212" s="199">
        <f>IF(B1210="Лікар загальної практики - сімейний лікар"," ",IF(B1210="Лікар-педіатр"," ",IF(B1210="Лікар-терапевт","х",0)))</f>
        <v>0</v>
      </c>
      <c r="AD1212" s="199">
        <f>IF(B1210="Лікар загальної практики - сімейний лікар"," ",IF(B1210="Лікар-педіатр","х",IF(B1210="Лікар-терапевт"," ",0)))</f>
        <v>0</v>
      </c>
      <c r="AE1212" s="199">
        <f>IF(B1210="Лікар загальної практики - сімейний лікар"," ",IF(B1210="Лікар-педіатр","х",IF(B1210="Лікар-терапевт"," ",0)))</f>
        <v>0</v>
      </c>
      <c r="AF1212" s="199">
        <f>IF(B1210="Лікар загальної практики - сімейний лікар"," ",IF(B1210="Лікар-педіатр","х",IF(B1210="Лікар-терапевт"," ",0)))</f>
        <v>0</v>
      </c>
      <c r="AG1212" s="200">
        <f>SUM(AB1212:AF1212)</f>
        <v>0</v>
      </c>
      <c r="AH1212" s="930"/>
      <c r="AI1212" s="242"/>
      <c r="AJ1212" s="933"/>
      <c r="AK1212" s="927"/>
      <c r="AL1212" s="927"/>
      <c r="AM1212" s="902"/>
      <c r="AN1212" s="924"/>
      <c r="AO1212" s="924"/>
      <c r="AP1212" s="924"/>
      <c r="AQ1212" s="924"/>
      <c r="AR1212" s="915"/>
    </row>
    <row r="1213" spans="1:44" s="50" customFormat="1" ht="31.9" hidden="1" customHeight="1" thickBot="1">
      <c r="A1213" s="197"/>
      <c r="B1213" s="893"/>
      <c r="C1213" s="896"/>
      <c r="D1213" s="912"/>
      <c r="E1213" s="909"/>
      <c r="F1213" s="236" t="s">
        <v>349</v>
      </c>
      <c r="G1213" s="203">
        <f>IF($B$1210="Лікар-педіатр",G1212/L1212,IF($B$1210="Лікар-терапевт","х",IF($B$1210="Лікар загальної практики - сімейний лікар",G1212/L1212,0)))</f>
        <v>0</v>
      </c>
      <c r="H1213" s="203">
        <f>IF($B$1210="Лікар-педіатр",H1212/L1212,IF($B$1210="Лікар-терапевт","х",IF($B$1210="Лікар загальної практики - сімейний лікар",H1212/L1212,0)))</f>
        <v>0</v>
      </c>
      <c r="I1213" s="203">
        <f>IF($B$1210="Лікар-педіатр","x",IF($B$1210="Лікар-терапевт",I1212/L1212,IF($B$1210="Лікар загальної практики - сімейний лікар",I1212/L1212,0)))</f>
        <v>0</v>
      </c>
      <c r="J1213" s="203">
        <f>IF($B$1210="Лікар-педіатр","x",IF($B$1210="Лікар-терапевт",J1212/L1212,IF($B$1210="Лікар загальної практики - сімейний лікар",J1212/L1212,0)))</f>
        <v>0</v>
      </c>
      <c r="K1213" s="203">
        <f>IF($B$1210="Лікар-педіатр","x",IF($B$1210="Лікар-терапевт",K1212/L1212,IF($B$1210="Лікар загальної практики - сімейний лікар",K1212/L1212,0)))</f>
        <v>0</v>
      </c>
      <c r="L1213" s="203">
        <f>SUM(G1213:K1213)</f>
        <v>0</v>
      </c>
      <c r="M1213" s="930"/>
      <c r="N1213" s="203">
        <f>IF($B$1210="Лікар-педіатр",N1212/S1212,IF($B$1210="Лікар-терапевт","х",IF($B$1210="Лікар загальної практики - сімейний лікар",N1212/S1212,0)))</f>
        <v>0</v>
      </c>
      <c r="O1213" s="203">
        <f>IF($B$1210="Лікар-педіатр",O1212/S1212,IF($B$1210="Лікар-терапевт","х",IF($B$1210="Лікар загальної практики - сімейний лікар",O1212/S1212,0)))</f>
        <v>0</v>
      </c>
      <c r="P1213" s="203">
        <f>IF($B$1210="Лікар-педіатр","x",IF($B$1210="Лікар-терапевт",P1212/S1212,IF($B$1210="Лікар загальної практики - сімейний лікар",P1212/S1212,0)))</f>
        <v>0</v>
      </c>
      <c r="Q1213" s="203">
        <f>IF($B$1210="Лікар-педіатр","x",IF($B$1210="Лікар-терапевт",Q1212/S1212,IF($B$1210="Лікар загальної практики - сімейний лікар",Q1212/S1212,0)))</f>
        <v>0</v>
      </c>
      <c r="R1213" s="203">
        <f>IF($B$1210="Лікар-педіатр","x",IF($B$1210="Лікар-терапевт",R1212/S1212,IF($B$1210="Лікар загальної практики - сімейний лікар",R1212/S1212,0)))</f>
        <v>0</v>
      </c>
      <c r="S1213" s="203">
        <f>SUM(N1213:R1213)</f>
        <v>0</v>
      </c>
      <c r="T1213" s="930"/>
      <c r="U1213" s="203">
        <f>IF($B$1210="Лікар-педіатр",U1212/Z1212,IF($B$1210="Лікар-терапевт","х",IF($B$1210="Лікар загальної практики - сімейний лікар",U1212/Z1212,0)))</f>
        <v>0</v>
      </c>
      <c r="V1213" s="203">
        <f>IF($B$1210="Лікар-педіатр",V1212/Z1212,IF($B$1210="Лікар-терапевт","х",IF($B$1210="Лікар загальної практики - сімейний лікар",V1212/Z1212,0)))</f>
        <v>0</v>
      </c>
      <c r="W1213" s="203">
        <f>IF($B$1210="Лікар-педіатр","x",IF($B$1210="Лікар-терапевт",W1212/Z1212,IF($B$1210="Лікар загальної практики - сімейний лікар",W1212/Z1212,0)))</f>
        <v>0</v>
      </c>
      <c r="X1213" s="203">
        <f>IF($B$1210="Лікар-педіатр","x",IF($B$1210="Лікар-терапевт",X1212/Z1212,IF($B$1210="Лікар загальної практики - сімейний лікар",X1212/Z1212,0)))</f>
        <v>0</v>
      </c>
      <c r="Y1213" s="203">
        <f>IF($B$1210="Лікар-педіатр","x",IF($B$1210="Лікар-терапевт",Y1212/Z1212,IF($B$1210="Лікар загальної практики - сімейний лікар",Y1212/Z1212,0)))</f>
        <v>0</v>
      </c>
      <c r="Z1213" s="203">
        <f>SUM(U1213:Y1213)</f>
        <v>0</v>
      </c>
      <c r="AA1213" s="930"/>
      <c r="AB1213" s="203">
        <f>IF($B$1210="Лікар-педіатр",AB1212/AG1212,IF($B$1210="Лікар-терапевт","х",IF($B$1210="Лікар загальної практики - сімейний лікар",AB1212/AG1212,0)))</f>
        <v>0</v>
      </c>
      <c r="AC1213" s="203">
        <f>IF($B$1210="Лікар-педіатр",AC1212/AG1212,IF($B$1210="Лікар-терапевт","х",IF($B$1210="Лікар загальної практики - сімейний лікар",AC1212/AG1212,0)))</f>
        <v>0</v>
      </c>
      <c r="AD1213" s="203">
        <f>IF($B$1210="Лікар-педіатр","x",IF($B$1210="Лікар-терапевт",AD1212/AG1212,IF($B$1210="Лікар загальної практики - сімейний лікар",AD1212/AG1212,0)))</f>
        <v>0</v>
      </c>
      <c r="AE1213" s="203">
        <f>IF($B$1210="Лікар-педіатр","x",IF($B$1210="Лікар-терапевт",AE1212/AG1212,IF($B$1210="Лікар загальної практики - сімейний лікар",AE1212/AG1212,0)))</f>
        <v>0</v>
      </c>
      <c r="AF1213" s="203">
        <f>IF($B$1210="Лікар-педіатр","x",IF($B$1210="Лікар-терапевт",AF1212/AG1212,IF($B$1210="Лікар загальної практики - сімейний лікар",AF1212/AG1212,0)))</f>
        <v>0</v>
      </c>
      <c r="AG1213" s="203">
        <f>SUM(AB1213:AF1213)</f>
        <v>0</v>
      </c>
      <c r="AH1213" s="930"/>
      <c r="AI1213" s="201"/>
      <c r="AJ1213" s="933"/>
      <c r="AK1213" s="927"/>
      <c r="AL1213" s="927"/>
      <c r="AM1213" s="902"/>
      <c r="AN1213" s="924"/>
      <c r="AO1213" s="924"/>
      <c r="AP1213" s="924"/>
      <c r="AQ1213" s="924"/>
      <c r="AR1213" s="915"/>
    </row>
    <row r="1214" spans="1:44" s="50" customFormat="1" ht="45" hidden="1" customHeight="1" thickBot="1">
      <c r="A1214" s="197"/>
      <c r="B1214" s="893"/>
      <c r="C1214" s="896"/>
      <c r="D1214" s="912"/>
      <c r="E1214" s="909"/>
      <c r="F1214" s="204" t="s">
        <v>585</v>
      </c>
      <c r="G1214" s="205">
        <f>IF($B$1210="Лікар загальної практики - сімейний лікар",AVERAGE(G1210:G1212),IF($B$1210="Лікар-педіатр",AVERAGE(G1210:G1212),IF($B$1210="Лікар-терапевт","х",0)))</f>
        <v>0</v>
      </c>
      <c r="H1214" s="205">
        <f>IF($B$1210="Лікар загальної практики - сімейний лікар",AVERAGE(H1210:H1212),IF($B$1210="Лікар-педіатр",AVERAGE(H1210:H1212),IF($B$1210="Лікар-терапевт","х",0)))</f>
        <v>0</v>
      </c>
      <c r="I1214" s="205">
        <f>IF($B$1210="Лікар загальної практики - сімейний лікар",AVERAGE(I1210:I1212),IF($B$1210="Лікар-педіатр","x",IF($B$1210="Лікар-терапевт",AVERAGE(I1210:I1212),0)))</f>
        <v>0</v>
      </c>
      <c r="J1214" s="205">
        <f>IF($B$1210="Лікар загальної практики - сімейний лікар",AVERAGE(J1210:J1212),IF($B$1210="Лікар-педіатр","x",IF($B$1210="Лікар-терапевт",AVERAGE(J1210:J1212),0)))</f>
        <v>0</v>
      </c>
      <c r="K1214" s="205">
        <f>IF($B$1210="Лікар загальної практики - сімейний лікар",AVERAGE(K1210:K1212),IF($B$1210="Лікар-педіатр","x",IF($B$1210="Лікар-терапевт",AVERAGE(K1210:K1212),0)))</f>
        <v>0</v>
      </c>
      <c r="L1214" s="206">
        <f>SUM(G1214:K1214)</f>
        <v>0</v>
      </c>
      <c r="M1214" s="930"/>
      <c r="N1214" s="205">
        <f>IF($B$1210="Лікар загальної практики - сімейний лікар",AVERAGE(N1210:N1212),IF($B$1210="Лікар-педіатр",AVERAGE(N1210:N1212),IF($B$1210="Лікар-терапевт","х",0)))</f>
        <v>0</v>
      </c>
      <c r="O1214" s="205">
        <f>IF($B$1210="Лікар загальної практики - сімейний лікар",AVERAGE(O1210:O1212),IF($B$1210="Лікар-педіатр",AVERAGE(O1210:O1212),IF($B$1210="Лікар-терапевт","х",0)))</f>
        <v>0</v>
      </c>
      <c r="P1214" s="205">
        <f>IF($B$1210="Лікар загальної практики - сімейний лікар",AVERAGE(P1210:P1212),IF($B$1210="Лікар-педіатр","x",IF($B$1210="Лікар-терапевт",AVERAGE(P1210:P1212),0)))</f>
        <v>0</v>
      </c>
      <c r="Q1214" s="205">
        <f>IF($B$1210="Лікар загальної практики - сімейний лікар",AVERAGE(Q1210:Q1212),IF($B$1210="Лікар-педіатр","x",IF($B$1210="Лікар-терапевт",AVERAGE(Q1210:Q1212),0)))</f>
        <v>0</v>
      </c>
      <c r="R1214" s="205">
        <f>IF($B$1210="Лікар загальної практики - сімейний лікар",AVERAGE(R1210:R1212),IF($B$1210="Лікар-педіатр","x",IF($B$1210="Лікар-терапевт",AVERAGE(R1210:R1212),0)))</f>
        <v>0</v>
      </c>
      <c r="S1214" s="206">
        <f>SUM(N1214:R1214)</f>
        <v>0</v>
      </c>
      <c r="T1214" s="930"/>
      <c r="U1214" s="205">
        <f>IF($B$1210="Лікар загальної практики - сімейний лікар",AVERAGE(U1210:U1212),IF($B$1210="Лікар-педіатр",AVERAGE(U1210:U1212),IF($B$1210="Лікар-терапевт","х",0)))</f>
        <v>0</v>
      </c>
      <c r="V1214" s="205">
        <f>IF($B$1210="Лікар загальної практики - сімейний лікар",AVERAGE(V1210:V1212),IF($B$1210="Лікар-педіатр",AVERAGE(V1210:V1212),IF($B$1210="Лікар-терапевт","х",0)))</f>
        <v>0</v>
      </c>
      <c r="W1214" s="205">
        <f>IF($B$1210="Лікар загальної практики - сімейний лікар",AVERAGE(W1210:W1212),IF($B$1210="Лікар-педіатр","x",IF($B$1210="Лікар-терапевт",AVERAGE(W1210:W1212),0)))</f>
        <v>0</v>
      </c>
      <c r="X1214" s="205">
        <f>IF($B$1210="Лікар загальної практики - сімейний лікар",AVERAGE(X1210:X1212),IF($B$1210="Лікар-педіатр","x",IF($B$1210="Лікар-терапевт",AVERAGE(X1210:X1212),0)))</f>
        <v>0</v>
      </c>
      <c r="Y1214" s="205">
        <f>IF($B$1210="Лікар загальної практики - сімейний лікар",AVERAGE(Y1210:Y1212),IF($B$1210="Лікар-педіатр","x",IF($B$1210="Лікар-терапевт",AVERAGE(Y1210:Y1212),0)))</f>
        <v>0</v>
      </c>
      <c r="Z1214" s="206">
        <f>SUM(U1214:Y1214)</f>
        <v>0</v>
      </c>
      <c r="AA1214" s="930"/>
      <c r="AB1214" s="205">
        <f>IF($B$1210="Лікар загальної практики - сімейний лікар",AVERAGE(AB1210:AB1212),IF($B$1210="Лікар-педіатр",AVERAGE(AB1210:AB1212),IF($B$1210="Лікар-терапевт","х",0)))</f>
        <v>0</v>
      </c>
      <c r="AC1214" s="205">
        <f>IF($B$1210="Лікар загальної практики - сімейний лікар",AVERAGE(AC1210:AC1212),IF($B$1210="Лікар-педіатр",AVERAGE(AC1210:AC1212),IF($B$1210="Лікар-терапевт","х",0)))</f>
        <v>0</v>
      </c>
      <c r="AD1214" s="205">
        <f>IF($B$1210="Лікар загальної практики - сімейний лікар",AVERAGE(AD1210:AD1212),IF($B$1210="Лікар-педіатр","x",IF($B$1210="Лікар-терапевт",AVERAGE(AD1210:AD1212),0)))</f>
        <v>0</v>
      </c>
      <c r="AE1214" s="205">
        <f>IF($B$1210="Лікар загальної практики - сімейний лікар",AVERAGE(AE1210:AE1212),IF($B$1210="Лікар-педіатр","x",IF($B$1210="Лікар-терапевт",AVERAGE(AE1210:AE1212),0)))</f>
        <v>0</v>
      </c>
      <c r="AF1214" s="205">
        <f>IF($B$1210="Лікар загальної практики - сімейний лікар",AVERAGE(AF1210:AF1212),IF($B$1210="Лікар-педіатр","x",IF($B$1210="Лікар-терапевт",AVERAGE(AF1210:AF1212),0)))</f>
        <v>0</v>
      </c>
      <c r="AG1214" s="206">
        <f>SUM(AB1214:AF1214)</f>
        <v>0</v>
      </c>
      <c r="AH1214" s="930"/>
      <c r="AI1214" s="201"/>
      <c r="AJ1214" s="933"/>
      <c r="AK1214" s="927"/>
      <c r="AL1214" s="927"/>
      <c r="AM1214" s="903"/>
      <c r="AN1214" s="925"/>
      <c r="AO1214" s="925"/>
      <c r="AP1214" s="925"/>
      <c r="AQ1214" s="925"/>
      <c r="AR1214" s="916"/>
    </row>
    <row r="1215" spans="1:44" s="50" customFormat="1" ht="40.5" hidden="1">
      <c r="A1215" s="197"/>
      <c r="B1215" s="893"/>
      <c r="C1215" s="896"/>
      <c r="D1215" s="912"/>
      <c r="E1215" s="909"/>
      <c r="F1215" s="237" t="str">
        <f ca="1">IF(B1210="Лікар-педіатр",Законод!$C$17,IF(B1210="Лікар загальної практики - сімейний лікар",Законод!$C$21,IF(B1210="Лікар-терапевт",Законод!$C$25,"х")))</f>
        <v>х</v>
      </c>
      <c r="G1215" s="208">
        <f ca="1">IF($B$1210="Лікар загальної практики - сімейний лікар",IF(L1214&lt;=Законод!$C$22,G1214,Законод!$C$22*'01_Доходи'!G1213),IF($B$1210="Лікар-педіатр",IF(L1214&lt;=Законод!$C$18,G1214,Законод!$C$18*'01_Доходи'!G1213),IF($B$1210="Лікар-терапевт","x",0)))</f>
        <v>0</v>
      </c>
      <c r="H1215" s="208">
        <f ca="1">IF($B$1210="Лікар загальної практики - сімейний лікар",IF(L1214&lt;=Законод!$C$22,H1214,Законод!$C$22*'01_Доходи'!H1213),IF($B$1210="Лікар-педіатр",IF(L1214&lt;=Законод!$C$18,H1214,Законод!$C$18*'01_Доходи'!H1213),IF($B$1210="Лікар-терапевт","x",0)))</f>
        <v>0</v>
      </c>
      <c r="I1215" s="208">
        <f ca="1">IF($B$1210="Лікар загальної практики - сімейний лікар",IF(L1214&lt;=Законод!$C$22,I1214,Законод!$C$22*'01_Доходи'!I1213),IF($B$1210="Лікар-педіатр","x",IF($B$1210="Лікар-терапевт",IF(L1214&lt;=Законод!$C$26,I1214,Законод!$C$26*'01_Доходи'!I1213),0)))</f>
        <v>0</v>
      </c>
      <c r="J1215" s="208">
        <f ca="1">IF($B$1210="Лікар загальної практики - сімейний лікар",IF(L1214&lt;=Законод!$C$22,J1214,Законод!$C$22*'01_Доходи'!J1213),IF($B$1210="Лікар-педіатр","x",IF($B$1210="Лікар-терапевт",IF(L1214&lt;=Законод!$C$26,J1214,Законод!$C$26*'01_Доходи'!J1213),0)))</f>
        <v>0</v>
      </c>
      <c r="K1215" s="208">
        <f ca="1">IF($B$1210="Лікар загальної практики - сімейний лікар",IF(L1214&lt;=Законод!$C$22,K1214,Законод!$C$22*'01_Доходи'!K1213),IF($B$1210="Лікар-педіатр","x",IF($B$1210="Лікар-терапевт",IF(L1214&lt;=Законод!$C$26,K1214,Законод!$C$26*'01_Доходи'!K1213),0)))</f>
        <v>0</v>
      </c>
      <c r="L1215" s="209">
        <f ca="1">SUM(G1215:K1215)</f>
        <v>0</v>
      </c>
      <c r="M1215" s="930"/>
      <c r="N1215" s="208">
        <f ca="1">IF($B$1210="Лікар загальної практики - сімейний лікар",IF(S1214&lt;=Законод!$C$22,N1214,Законод!$C$22*'01_Доходи'!N1213),IF($B$1210="Лікар-педіатр",IF(S1214&lt;=Законод!$C$18,N1214,Законод!$C$18*'01_Доходи'!N1213),IF($B$1210="Лікар-терапевт","x",0)))</f>
        <v>0</v>
      </c>
      <c r="O1215" s="208">
        <f ca="1">IF($B$1210="Лікар загальної практики - сімейний лікар",IF(S1214&lt;=Законод!$C$22,O1214,Законод!$C$22*'01_Доходи'!O1213),IF($B$1210="Лікар-педіатр",IF(S1214&lt;=Законод!$C$18,O1214,Законод!$C$18*'01_Доходи'!O1213),IF($B$1210="Лікар-терапевт","x",0)))</f>
        <v>0</v>
      </c>
      <c r="P1215" s="208">
        <f ca="1">IF($B$1210="Лікар загальної практики - сімейний лікар",IF(S1214&lt;=Законод!$C$22,P1214,Законод!$C$22*'01_Доходи'!P1213),IF($B$1210="Лікар-педіатр","x",IF($B$1210="Лікар-терапевт",IF(S1214&lt;=Законод!$C$26,P1214,Законод!$C$26*'01_Доходи'!P1213),0)))</f>
        <v>0</v>
      </c>
      <c r="Q1215" s="208">
        <f ca="1">IF($B$1210="Лікар загальної практики - сімейний лікар",IF(S1214&lt;=Законод!$C$22,Q1214,Законод!$C$22*'01_Доходи'!Q1213),IF($B$1210="Лікар-педіатр","x",IF($B$1210="Лікар-терапевт",IF(S1214&lt;=Законод!$C$26,Q1214,Законод!$C$26*'01_Доходи'!Q1213),0)))</f>
        <v>0</v>
      </c>
      <c r="R1215" s="208">
        <f ca="1">IF($B$1210="Лікар загальної практики - сімейний лікар",IF(S1214&lt;=Законод!$C$22,R1214,Законод!$C$22*'01_Доходи'!R1213),IF($B$1210="Лікар-педіатр","x",IF($B$1210="Лікар-терапевт",IF(S1214&lt;=Законод!$C$26,R1214,Законод!$C$26*'01_Доходи'!R1213),0)))</f>
        <v>0</v>
      </c>
      <c r="S1215" s="209">
        <f ca="1">SUM(N1215:R1215)</f>
        <v>0</v>
      </c>
      <c r="T1215" s="930"/>
      <c r="U1215" s="208">
        <f ca="1">IF($B$1210="Лікар загальної практики - сімейний лікар",IF(Z1214&lt;=Законод!$C$22,U1214,Законод!$C$22*'01_Доходи'!U1213),IF($B$1210="Лікар-педіатр",IF(Z1214&lt;=Законод!$C$18,U1214,Законод!$C$18*'01_Доходи'!U1213),IF($B$1210="Лікар-терапевт","x",0)))</f>
        <v>0</v>
      </c>
      <c r="V1215" s="208">
        <f ca="1">IF($B$1210="Лікар загальної практики - сімейний лікар",IF(Z1214&lt;=Законод!$C$22,V1214,Законод!$C$22*'01_Доходи'!V1213),IF($B$1210="Лікар-педіатр",IF(Z1214&lt;=Законод!$C$18,V1214,Законод!$C$18*'01_Доходи'!V1213),IF($B$1210="Лікар-терапевт","x",0)))</f>
        <v>0</v>
      </c>
      <c r="W1215" s="208">
        <f ca="1">IF($B$1210="Лікар загальної практики - сімейний лікар",IF(Z1214&lt;=Законод!$C$22,W1214,Законод!$C$22*'01_Доходи'!W1213),IF($B$1210="Лікар-педіатр","x",IF($B$1210="Лікар-терапевт",IF(Z1214&lt;=Законод!$C$26,W1214,Законод!$C$26*'01_Доходи'!W1213),0)))</f>
        <v>0</v>
      </c>
      <c r="X1215" s="208">
        <f ca="1">IF($B$1210="Лікар загальної практики - сімейний лікар",IF(Z1214&lt;=Законод!$C$22,X1214,Законод!$C$22*'01_Доходи'!X1213),IF($B$1210="Лікар-педіатр","x",IF($B$1210="Лікар-терапевт",IF(Z1214&lt;=Законод!$C$26,X1214,Законод!$C$26*'01_Доходи'!X1213),0)))</f>
        <v>0</v>
      </c>
      <c r="Y1215" s="208">
        <f ca="1">IF($B$1210="Лікар загальної практики - сімейний лікар",IF(Z1214&lt;=Законод!$C$22,Y1214,Законод!$C$22*'01_Доходи'!Y1213),IF($B$1210="Лікар-педіатр","x",IF($B$1210="Лікар-терапевт",IF(Z1214&lt;=Законод!$C$26,Y1214,Законод!$C$26*'01_Доходи'!Y1213),0)))</f>
        <v>0</v>
      </c>
      <c r="Z1215" s="209">
        <f ca="1">SUM(U1215:Y1215)</f>
        <v>0</v>
      </c>
      <c r="AA1215" s="930"/>
      <c r="AB1215" s="208">
        <f ca="1">IF($B$1210="Лікар загальної практики - сімейний лікар",IF(AG1214&lt;=Законод!$C$22,AB1214,Законод!$C$22*'01_Доходи'!AB1213),IF($B$1210="Лікар-педіатр",IF(AG1214&lt;=Законод!$C$18,AB1214,Законод!$C$18*'01_Доходи'!AB1213),IF($B$1210="Лікар-терапевт","x",0)))</f>
        <v>0</v>
      </c>
      <c r="AC1215" s="208">
        <f ca="1">IF($B$1210="Лікар загальної практики - сімейний лікар",IF(AG1214&lt;=Законод!$C$22,AC1214,Законод!$C$22*'01_Доходи'!AC1213),IF($B$1210="Лікар-педіатр",IF(AG1214&lt;=Законод!$C$18,AC1214,Законод!$C$18*'01_Доходи'!AC1213),IF($B$1210="Лікар-терапевт","x",0)))</f>
        <v>0</v>
      </c>
      <c r="AD1215" s="208">
        <f ca="1">IF($B$1210="Лікар загальної практики - сімейний лікар",IF(AG1214&lt;=Законод!$C$22,AD1214,Законод!$C$22*'01_Доходи'!AD1213),IF($B$1210="Лікар-педіатр","x",IF($B$1210="Лікар-терапевт",IF(AG1214&lt;=Законод!$C$26,AD1214,Законод!$C$26*'01_Доходи'!AD1213),0)))</f>
        <v>0</v>
      </c>
      <c r="AE1215" s="208">
        <f ca="1">IF($B$1210="Лікар загальної практики - сімейний лікар",IF(AG1214&lt;=Законод!$C$22,AE1214,Законод!$C$22*'01_Доходи'!AE1213),IF($B$1210="Лікар-педіатр","x",IF($B$1210="Лікар-терапевт",IF(AG1214&lt;=Законод!$C$26,AE1214,Законод!$C$26*'01_Доходи'!AE1213),0)))</f>
        <v>0</v>
      </c>
      <c r="AF1215" s="208">
        <f ca="1">IF($B$1210="Лікар загальної практики - сімейний лікар",IF(AG1214&lt;=Законод!$C$22,AF1214,Законод!$C$22*'01_Доходи'!AF1213),IF($B$1210="Лікар-педіатр","x",IF($B$1210="Лікар-терапевт",IF(AG1214&lt;=Законод!$C$26,AF1214,Законод!$C$26*'01_Доходи'!AF1213),0)))</f>
        <v>0</v>
      </c>
      <c r="AG1215" s="209">
        <f ca="1">SUM(AB1215:AF1215)</f>
        <v>0</v>
      </c>
      <c r="AH1215" s="930"/>
      <c r="AI1215" s="201"/>
      <c r="AJ1215" s="933"/>
      <c r="AK1215" s="927"/>
      <c r="AL1215" s="927"/>
      <c r="AM1215" s="348" t="s">
        <v>374</v>
      </c>
      <c r="AN1215" s="210">
        <f ca="1">IF(B1210="Лікар загальної практики - сімейний лікар",G1215*Законод!$C$11+'01_Доходи'!H1215*Законод!$D$11+'01_Доходи'!I1215*Законод!$E$11+'01_Доходи'!J1215*Законод!$F$11+'01_Доходи'!K1215*Законод!$G$11,IF(B1210="Лікар-педіатр",G1215*Законод!$C$11+'01_Доходи'!H1215*Законод!$D$11,IF(B1210="Лікар-терапевт",'01_Доходи'!I1215*Законод!$E$11+'01_Доходи'!J1215*Законод!$F$11+'01_Доходи'!K1215*Законод!$G$11,0)))</f>
        <v>0</v>
      </c>
      <c r="AO1215" s="210">
        <f ca="1">IF(B1210="Лікар загальної практики - сімейний лікар",N1215*Законод!$C$11+'01_Доходи'!O1215*Законод!$D$11+'01_Доходи'!P1215*Законод!$E$11+'01_Доходи'!Q1215*Законод!$F$11+'01_Доходи'!R1215*Законод!$G$11,IF(B1210="Лікар-педіатр",N1215*Законод!$C$11+'01_Доходи'!O1215*Законод!$D$11,IF(B1210="Лікар-терапевт",'01_Доходи'!P1215*Законод!$E$11+'01_Доходи'!Q1215*Законод!$F$11+'01_Доходи'!R1215*Законод!$G$11,0)))</f>
        <v>0</v>
      </c>
      <c r="AP1215" s="210">
        <f ca="1">IF(B1210="Лікар загальної практики - сімейний лікар",U1215*Законод!$C$11+'01_Доходи'!V1215*Законод!$D$11+'01_Доходи'!W1215*Законод!$E$11+'01_Доходи'!X1215*Законод!$F$11+'01_Доходи'!Y1215*Законод!$G$11,IF(B1210="Лікар-педіатр",U1215*Законод!$C$11+'01_Доходи'!V1215*Законод!$D$11,IF(B1210="Лікар-терапевт",'01_Доходи'!W1215*Законод!$E$11+'01_Доходи'!X1215*Законод!$F$11+'01_Доходи'!Y1215*Законод!$G$11,0)))</f>
        <v>0</v>
      </c>
      <c r="AQ1215" s="210">
        <f ca="1">IF(B1210="Лікар загальної практики - сімейний лікар",AB1215*Законод!$C$11+'01_Доходи'!AC1215*Законод!$D$11+'01_Доходи'!AD1215*Законод!$E$11+'01_Доходи'!AE1215*Законод!$F$11+'01_Доходи'!AF1215*Законод!$G$11,IF(B1210="Лікар-педіатр",AB1215*Законод!$C$11+'01_Доходи'!AC1215*Законод!$D$11,IF(B1210="Лікар-терапевт",'01_Доходи'!AD1215*Законод!$E$11+'01_Доходи'!AE1215*Законод!$F$11+'01_Доходи'!AF1215*Законод!$G$11,0)))</f>
        <v>0</v>
      </c>
      <c r="AR1215" s="211">
        <f t="shared" ref="AR1215:AR1221" si="120">SUM(AN1215:AQ1215)</f>
        <v>0</v>
      </c>
    </row>
    <row r="1216" spans="1:44" s="50" customFormat="1" ht="31.9" hidden="1" customHeight="1">
      <c r="A1216" s="197"/>
      <c r="B1216" s="893"/>
      <c r="C1216" s="896"/>
      <c r="D1216" s="912"/>
      <c r="E1216" s="909"/>
      <c r="F1216" s="238" t="str">
        <f ca="1">IF(B1210="Лікар-педіатр",Законод!$E$17,IF(B1210="Лікар загальної практики - сімейний лікар",Законод!$E$21,IF(B1210="Лікар-терапевт",Законод!$E$25,"х")))</f>
        <v>х</v>
      </c>
      <c r="G1216" s="889" t="s">
        <v>346</v>
      </c>
      <c r="H1216" s="890"/>
      <c r="I1216" s="890"/>
      <c r="J1216" s="890"/>
      <c r="K1216" s="891"/>
      <c r="L1216" s="196">
        <f ca="1">IF($B$1210="Лікар загальної практики - сімейний лікар",IF(L1214&lt;Законод!$C$22,0,(IF(AND(L1214&gt;=Законод!$E$22,L1214&lt;=Законод!$E$23),L1214-Законод!$C$22,IF('01_Доходи'!L1214&gt;=Законод!$F$22,Законод!$E$24,0)))),IF($B$1210="Лікар-педіатр",IF(L1214&lt;Законод!$C$18,0,(IF(AND(L1214&gt;=Законод!$E$18,L1214&lt;=Законод!$E$19),L1214-Законод!$C$18,IF('01_Доходи'!L1214&gt;=Законод!$F$18,Законод!$E$20,0)))),IF($B$1210="Лікар-терапевт",IF(L1214&lt;Законод!$C$26,0,(IF(AND(L1214&gt;=Законод!$E$26,L1214&lt;=Законод!$E$27),L1214-Законод!$C$26,IF('01_Доходи'!L1214&gt;=Законод!$F$26,Законод!$E$28,0)))),0)))</f>
        <v>0</v>
      </c>
      <c r="M1216" s="930"/>
      <c r="N1216" s="889" t="s">
        <v>346</v>
      </c>
      <c r="O1216" s="890"/>
      <c r="P1216" s="890"/>
      <c r="Q1216" s="890"/>
      <c r="R1216" s="891"/>
      <c r="S1216" s="196">
        <f ca="1">IF($B$1210="Лікар загальної практики - сімейний лікар",IF(S1214&lt;Законод!$C$22,0,(IF(AND(S1214&gt;=Законод!$E$22,S1214&lt;=Законод!$E$23),S1214-Законод!$C$22,IF('01_Доходи'!S1214&gt;=Законод!$F$22,Законод!$E$24,0)))),IF($B$1210="Лікар-педіатр",IF(S1214&lt;Законод!$C$18,0,(IF(AND(S1214&gt;=Законод!$E$18,S1214&lt;=Законод!$E$19),S1214-Законод!$C$18,IF('01_Доходи'!S1214&gt;=Законод!$F$18,Законод!$E$20,0)))),IF($B$1210="Лікар-терапевт",IF(S1214&lt;Законод!$C$26,0,(IF(AND(S1214&gt;=Законод!$E$26,S1214&lt;=Законод!$E$27),S1214-Законод!$C$26,IF('01_Доходи'!S1214&gt;=Законод!$F$26,Законод!$E$28,0)))),0)))</f>
        <v>0</v>
      </c>
      <c r="T1216" s="930"/>
      <c r="U1216" s="889" t="s">
        <v>346</v>
      </c>
      <c r="V1216" s="890"/>
      <c r="W1216" s="890"/>
      <c r="X1216" s="890"/>
      <c r="Y1216" s="891"/>
      <c r="Z1216" s="196">
        <f ca="1">IF($B$1210="Лікар загальної практики - сімейний лікар",IF(Z1214&lt;Законод!$C$22,0,(IF(AND(Z1214&gt;=Законод!$E$22,Z1214&lt;=Законод!$E$23),Z1214-Законод!$C$22,IF('01_Доходи'!Z1214&gt;=Законод!$F$22,Законод!$E$24,0)))),IF($B$1210="Лікар-педіатр",IF(Z1214&lt;Законод!$C$18,0,(IF(AND(Z1214&gt;=Законод!$E$18,Z1214&lt;=Законод!$E$19),Z1214-Законод!$C$18,IF('01_Доходи'!Z1214&gt;=Законод!$F$18,Законод!$E$20,0)))),IF($B$1210="Лікар-терапевт",IF(Z1214&lt;Законод!$C$26,0,(IF(AND(Z1214&gt;=Законод!$E$26,Z1214&lt;=Законод!$E$27),Z1214-Законод!$C$26,IF('01_Доходи'!Z1214&gt;=Законод!$F$26,Законод!$E$28,0)))),0)))</f>
        <v>0</v>
      </c>
      <c r="AA1216" s="930"/>
      <c r="AB1216" s="889" t="s">
        <v>346</v>
      </c>
      <c r="AC1216" s="890"/>
      <c r="AD1216" s="890"/>
      <c r="AE1216" s="890"/>
      <c r="AF1216" s="891"/>
      <c r="AG1216" s="196">
        <f ca="1">IF($B$1210="Лікар загальної практики - сімейний лікар",IF(AG1214&lt;Законод!$C$22,0,(IF(AND(AG1214&gt;=Законод!$E$22,AG1214&lt;=Законод!$E$23),AG1214-Законод!$C$22,IF('01_Доходи'!AG1214&gt;=Законод!$F$22,Законод!$E$24,0)))),IF($B$1210="Лікар-педіатр",IF(AG1214&lt;Законод!$C$18,0,(IF(AND(AG1214&gt;=Законод!$E$18,AG1214&lt;=Законод!$E$19),AG1214-Законод!$C$18,IF('01_Доходи'!AG1214&gt;=Законод!$F$18,Законод!$E$20,0)))),IF($B$1210="Лікар-терапевт",IF(AG1214&lt;Законод!$C$26,0,(IF(AND(AG1214&gt;=Законод!$E$26,AG1214&lt;=Законод!$E$27),AG1214-Законод!$C$26,IF('01_Доходи'!AG1214&gt;=Законод!$F$26,Законод!$E$28,0)))),0)))</f>
        <v>0</v>
      </c>
      <c r="AH1216" s="930"/>
      <c r="AI1216" s="201"/>
      <c r="AJ1216" s="933"/>
      <c r="AK1216" s="927"/>
      <c r="AL1216" s="927"/>
      <c r="AM1216" s="898" t="s">
        <v>375</v>
      </c>
      <c r="AN1216" s="210">
        <f ca="1">IF(B1210="Лікар загальної практики - сімейний лікар",L1216*Законод!$C$9/4*Законод!$E$16,IF(B1210="Лікар-педіатр",L1216*Законод!$C$9/4*Законод!$E$16,IF(B1210="Лікар-терапевт",L1216*Законод!$C$9/4*Законод!$E$16,0)))</f>
        <v>0</v>
      </c>
      <c r="AO1216" s="210">
        <f ca="1">IF(B1210="Лікар загальної практики - сімейний лікар",S1216*Законод!$C$9/4*Законод!$E$16,IF(B1210="Лікар-педіатр",S1216*Законод!$C$9/4*Законод!$E$16,IF(B1210="Лікар-терапевт",S1216*Законод!$C$9/4*Законод!$E$16,0)))</f>
        <v>0</v>
      </c>
      <c r="AP1216" s="210">
        <f ca="1">IF(B1210="Лікар загальної практики - сімейний лікар",Z1216*Законод!$C$9/4*Законод!$E$16,IF(B1210="Лікар-педіатр",Z1216*Законод!$C$9/4*Законод!$E$16,IF(B1210="Лікар-терапевт",Z1216*Законод!$C$9/4*Законод!$E$16,0)))</f>
        <v>0</v>
      </c>
      <c r="AQ1216" s="210">
        <f ca="1">IF(B1210="Лікар загальної практики - сімейний лікар",AG1216*Законод!$C$9/4*Законод!$E$16,IF(B1210="Лікар-педіатр",AG1216*Законод!$C$9/4*Законод!$E$16,IF(B1210="Лікар-терапевт",AG1216*Законод!$C$9/4*Законод!$E$16,0)))</f>
        <v>0</v>
      </c>
      <c r="AR1216" s="211">
        <f t="shared" si="120"/>
        <v>0</v>
      </c>
    </row>
    <row r="1217" spans="1:44" s="50" customFormat="1" ht="31.9" hidden="1" customHeight="1">
      <c r="A1217" s="197"/>
      <c r="B1217" s="893"/>
      <c r="C1217" s="896"/>
      <c r="D1217" s="912"/>
      <c r="E1217" s="909"/>
      <c r="F1217" s="238" t="str">
        <f ca="1">IF(B1210="Лікар-педіатр",Законод!$F$17,IF(B1210="Лікар загальної практики - сімейний лікар",Законод!$F$21,IF(B1210="Лікар-терапевт",Законод!$F$25,"х")))</f>
        <v>х</v>
      </c>
      <c r="G1217" s="889" t="s">
        <v>346</v>
      </c>
      <c r="H1217" s="890"/>
      <c r="I1217" s="890"/>
      <c r="J1217" s="890"/>
      <c r="K1217" s="891"/>
      <c r="L1217" s="196">
        <f ca="1">IF($B$1210="Лікар загальної практики - сімейний лікар",IF(L1214&lt;Законод!$C$22,0,(IF(AND(L1214&gt;=Законод!$F$22,L1214&lt;=Законод!$F$23),L1214-Законод!$E$23,IF('01_Доходи'!L1214&gt;=Законод!$G$22,Законод!$F$24,0)))),IF($B$1210="Лікар-педіатр",IF(L1214&lt;Законод!$C$18,0,(IF(AND(L1214&gt;=Законод!$F$18,L1214&lt;=Законод!$F$19),L1214-Законод!$E$19,IF('01_Доходи'!L1214&gt;=Законод!$G$18,Законод!$F$20,0)))),IF($B$1210="Лікар-терапевт",IF(L1214&lt;Законод!$C$26,0,(IF(AND(L1214&gt;=Законод!$F$26,L1214&lt;=Законод!$F$27),L1214-Законод!$E$27,IF('01_Доходи'!L1214&gt;=Законод!$G$26,Законод!$F$28,0)))),0)))</f>
        <v>0</v>
      </c>
      <c r="M1217" s="930"/>
      <c r="N1217" s="889" t="s">
        <v>346</v>
      </c>
      <c r="O1217" s="890"/>
      <c r="P1217" s="890"/>
      <c r="Q1217" s="890"/>
      <c r="R1217" s="891"/>
      <c r="S1217" s="196">
        <f ca="1">IF($B$1210="Лікар загальної практики - сімейний лікар",IF(S1214&lt;Законод!$C$22,0,(IF(AND(S1214&gt;=Законод!$F$22,S1214&lt;=Законод!$F$23),S1214-Законод!$E$23,IF('01_Доходи'!S1214&gt;=Законод!$G$22,Законод!$F$24,0)))),IF($B$1210="Лікар-педіатр",IF(S1214&lt;Законод!$C$18,0,(IF(AND(S1214&gt;=Законод!$F$18,S1214&lt;=Законод!$F$19),S1214-Законод!$E$19,IF('01_Доходи'!S1214&gt;=Законод!$G$18,Законод!$F$20,0)))),IF($B$1210="Лікар-терапевт",IF(S1214&lt;Законод!$C$26,0,(IF(AND(S1214&gt;=Законод!$F$26,S1214&lt;=Законод!$F$27),S1214-Законод!$E$27,IF('01_Доходи'!S1214&gt;=Законод!$G$26,Законод!$F$28,0)))),0)))</f>
        <v>0</v>
      </c>
      <c r="T1217" s="930"/>
      <c r="U1217" s="889" t="s">
        <v>346</v>
      </c>
      <c r="V1217" s="890"/>
      <c r="W1217" s="890"/>
      <c r="X1217" s="890"/>
      <c r="Y1217" s="891"/>
      <c r="Z1217" s="196">
        <f ca="1">IF($B$1210="Лікар загальної практики - сімейний лікар",IF(Z1214&lt;Законод!$C$22,0,(IF(AND(Z1214&gt;=Законод!$F$22,Z1214&lt;=Законод!$F$23),Z1214-Законод!$E$23,IF('01_Доходи'!Z1214&gt;=Законод!$G$22,Законод!$F$24,0)))),IF($B$1210="Лікар-педіатр",IF(Z1214&lt;Законод!$C$18,0,(IF(AND(Z1214&gt;=Законод!$F$18,Z1214&lt;=Законод!$F$19),Z1214-Законод!$E$19,IF('01_Доходи'!Z1214&gt;=Законод!$G$18,Законод!$F$20,0)))),IF($B$1210="Лікар-терапевт",IF(Z1214&lt;Законод!$C$26,0,(IF(AND(Z1214&gt;=Законод!$F$26,Z1214&lt;=Законод!$F$27),Z1214-Законод!$E$27,IF('01_Доходи'!Z1214&gt;=Законод!$G$26,Законод!$F$28,0)))),0)))</f>
        <v>0</v>
      </c>
      <c r="AA1217" s="930"/>
      <c r="AB1217" s="889" t="s">
        <v>346</v>
      </c>
      <c r="AC1217" s="890"/>
      <c r="AD1217" s="890"/>
      <c r="AE1217" s="890"/>
      <c r="AF1217" s="891"/>
      <c r="AG1217" s="196">
        <f ca="1">IF($B$1210="Лікар загальної практики - сімейний лікар",IF(AG1214&lt;Законод!$C$22,0,(IF(AND(AG1214&gt;=Законод!$F$22,AG1214&lt;=Законод!$F$23),AG1214-Законод!$E$23,IF('01_Доходи'!AG1214&gt;=Законод!$G$22,Законод!$F$24,0)))),IF($B$1210="Лікар-педіатр",IF(AG1214&lt;Законод!$C$18,0,(IF(AND(AG1214&gt;=Законод!$F$18,AG1214&lt;=Законод!$F$19),AG1214-Законод!$E$19,IF('01_Доходи'!AG1214&gt;=Законод!$G$18,Законод!$F$20,0)))),IF($B$1210="Лікар-терапевт",IF(AG1214&lt;Законод!$C$26,0,(IF(AND(AG1214&gt;=Законод!$F$26,AG1214&lt;=Законод!$F$27),AG1214-Законод!$E$27,IF('01_Доходи'!AG1214&gt;=Законод!$G$26,Законод!$F$28,0)))),0)))</f>
        <v>0</v>
      </c>
      <c r="AH1217" s="930"/>
      <c r="AI1217" s="201"/>
      <c r="AJ1217" s="933"/>
      <c r="AK1217" s="927"/>
      <c r="AL1217" s="927"/>
      <c r="AM1217" s="899"/>
      <c r="AN1217" s="210">
        <f ca="1">IF(B1210="Лікар загальної практики - сімейний лікар",L1217*Законод!$C$9/4*Законод!$F$16,IF(B1210="Лікар-педіатр",L1217*Законод!$C$9/4*Законод!$F$16,IF(B1210="Лікар-терапевт",L1217*Законод!$C$9/4*Законод!$F$16,0)))</f>
        <v>0</v>
      </c>
      <c r="AO1217" s="210">
        <f ca="1">IF(B1210="Лікар загальної практики - сімейний лікар",S1217*Законод!$C$9/4*Законод!$F$16,IF(B1210="Лікар-педіатр",S1217*Законод!$C$9/4*Законод!$F$16,IF(B1210="Лікар-терапевт",S1217*Законод!$C$9/4*Законод!$F$16,0)))</f>
        <v>0</v>
      </c>
      <c r="AP1217" s="210">
        <f ca="1">IF(B1210="Лікар загальної практики - сімейний лікар",Z1217*Законод!$C$9/4*Законод!$F$16,IF(B1210="Лікар-педіатр",Z1217*Законод!$C$9/4*Законод!$F$16,IF(B1210="Лікар-терапевт",Z1217*Законод!$C$9/4*Законод!$F$16,0)))</f>
        <v>0</v>
      </c>
      <c r="AQ1217" s="210">
        <f ca="1">IF(B1210="Лікар загальної практики - сімейний лікар",AG1217*Законод!$C$9/4*Законод!$F$16,IF(B1210="Лікар-педіатр",AG1217*Законод!$C$9/4*Законод!$F$16,IF(B1210="Лікар-терапевт",AG1217*Законод!$C$9/4*Законод!$F$16,0)))</f>
        <v>0</v>
      </c>
      <c r="AR1217" s="211">
        <f t="shared" si="120"/>
        <v>0</v>
      </c>
    </row>
    <row r="1218" spans="1:44" s="50" customFormat="1" ht="31.9" hidden="1" customHeight="1">
      <c r="A1218" s="197"/>
      <c r="B1218" s="893"/>
      <c r="C1218" s="896"/>
      <c r="D1218" s="912"/>
      <c r="E1218" s="909"/>
      <c r="F1218" s="238" t="str">
        <f ca="1">IF(B1210="Лікар-педіатр",Законод!$G$17,IF(B1210="Лікар загальної практики - сімейний лікар",Законод!$G$21,IF(B1210="Лікар-терапевт",Законод!$G$25,"х")))</f>
        <v>х</v>
      </c>
      <c r="G1218" s="889" t="s">
        <v>346</v>
      </c>
      <c r="H1218" s="890"/>
      <c r="I1218" s="890"/>
      <c r="J1218" s="890"/>
      <c r="K1218" s="891"/>
      <c r="L1218" s="196">
        <f ca="1">IF($B$1210="Лікар загальної практики - сімейний лікар",IF(L1214&lt;Законод!$C$22,0,(IF(AND(L1214&gt;=Законод!$G$22,L1214&lt;=Законод!$G$23),L1214-Законод!$F$23,IF('01_Доходи'!L1214&gt;=Законод!$H$22,Законод!$G$24,0)))),IF($B$1210="Лікар-педіатр",IF(L1214&lt;Законод!$C$18,0,(IF(AND(L1214&gt;=Законод!$G$18,L1214&lt;=Законод!$G$19),L1214-Законод!$F$19,IF('01_Доходи'!L1214&gt;=Законод!$H$18,Законод!$G$20,0)))),IF($B$1210="Лікар-терапевт",IF(L1214&lt;Законод!$C$26,0,(IF(AND(L1214&gt;=Законод!$G$26,L1214&lt;=Законод!$G$27),L1214-Законод!$F$27,IF('01_Доходи'!L1214&gt;=Законод!$H$26,Законод!$G$28,0)))),0)))</f>
        <v>0</v>
      </c>
      <c r="M1218" s="930"/>
      <c r="N1218" s="889" t="s">
        <v>346</v>
      </c>
      <c r="O1218" s="890"/>
      <c r="P1218" s="890"/>
      <c r="Q1218" s="890"/>
      <c r="R1218" s="891"/>
      <c r="S1218" s="196">
        <f ca="1">IF($B$1210="Лікар загальної практики - сімейний лікар",IF(S1214&lt;Законод!$C$22,0,(IF(AND(S1214&gt;=Законод!$G$22,S1214&lt;=Законод!$G$23),S1214-Законод!$F$23,IF('01_Доходи'!S1214&gt;=Законод!$H$22,Законод!$G$24,0)))),IF($B$1210="Лікар-педіатр",IF(S1214&lt;Законод!$C$18,0,(IF(AND(S1214&gt;=Законод!$G$18,S1214&lt;=Законод!$G$19),S1214-Законод!$F$19,IF('01_Доходи'!S1214&gt;=Законод!$H$18,Законод!$G$20,0)))),IF($B$1210="Лікар-терапевт",IF(S1214&lt;Законод!$C$26,0,(IF(AND(S1214&gt;=Законод!$G$26,S1214&lt;=Законод!$G$27),S1214-Законод!$F$27,IF('01_Доходи'!S1214&gt;=Законод!$H$26,Законод!$G$28,0)))),0)))</f>
        <v>0</v>
      </c>
      <c r="T1218" s="930"/>
      <c r="U1218" s="889" t="s">
        <v>346</v>
      </c>
      <c r="V1218" s="890"/>
      <c r="W1218" s="890"/>
      <c r="X1218" s="890"/>
      <c r="Y1218" s="891"/>
      <c r="Z1218" s="196">
        <f ca="1">IF($B$1210="Лікар загальної практики - сімейний лікар",IF(Z1214&lt;Законод!$C$22,0,(IF(AND(Z1214&gt;=Законод!$G$22,Z1214&lt;=Законод!$G$23),Z1214-Законод!$F$23,IF('01_Доходи'!Z1214&gt;=Законод!$H$22,Законод!$G$24,0)))),IF($B$1210="Лікар-педіатр",IF(Z1214&lt;Законод!$C$18,0,(IF(AND(Z1214&gt;=Законод!$G$18,Z1214&lt;=Законод!$G$19),Z1214-Законод!$F$19,IF('01_Доходи'!Z1214&gt;=Законод!$H$18,Законод!$G$20,0)))),IF($B$1210="Лікар-терапевт",IF(Z1214&lt;Законод!$C$26,0,(IF(AND(Z1214&gt;=Законод!$G$26,Z1214&lt;=Законод!$G$27),Z1214-Законод!$F$27,IF('01_Доходи'!Z1214&gt;=Законод!$H$26,Законод!$G$28,0)))),0)))</f>
        <v>0</v>
      </c>
      <c r="AA1218" s="930"/>
      <c r="AB1218" s="889" t="s">
        <v>346</v>
      </c>
      <c r="AC1218" s="890"/>
      <c r="AD1218" s="890"/>
      <c r="AE1218" s="890"/>
      <c r="AF1218" s="891"/>
      <c r="AG1218" s="196">
        <f ca="1">IF($B$1210="Лікар загальної практики - сімейний лікар",IF(AG1214&lt;Законод!$C$22,0,(IF(AND(AG1214&gt;=Законод!$G$22,AG1214&lt;=Законод!$G$23),AG1214-Законод!$F$23,IF('01_Доходи'!AG1214&gt;=Законод!$H$22,Законод!$G$24,0)))),IF($B$1210="Лікар-педіатр",IF(AG1214&lt;Законод!$C$18,0,(IF(AND(AG1214&gt;=Законод!$G$18,AG1214&lt;=Законод!$G$19),AG1214-Законод!$F$19,IF('01_Доходи'!AG1214&gt;=Законод!$H$18,Законод!$G$20,0)))),IF($B$1210="Лікар-терапевт",IF(AG1214&lt;Законод!$C$26,0,(IF(AND(AG1214&gt;=Законод!$G$26,AG1214&lt;=Законод!$G$27),AG1214-Законод!$F$27,IF('01_Доходи'!AG1214&gt;=Законод!$H$26,Законод!$G$28,0)))),0)))</f>
        <v>0</v>
      </c>
      <c r="AH1218" s="930"/>
      <c r="AI1218" s="201"/>
      <c r="AJ1218" s="933"/>
      <c r="AK1218" s="927"/>
      <c r="AL1218" s="927"/>
      <c r="AM1218" s="899"/>
      <c r="AN1218" s="210">
        <f ca="1">IF(B1210="Лікар загальної практики - сімейний лікар",L1218*Законод!$C$9/4*Законод!$G$16,IF(B1210="Лікар-педіатр",L1218*Законод!$C$9/4*Законод!$G$16,IF(B1210="Лікар-терапевт",L1218*Законод!$C$9/4*Законод!$G$16,0)))</f>
        <v>0</v>
      </c>
      <c r="AO1218" s="210">
        <f ca="1">IF(B1210="Лікар загальної практики - сімейний лікар",S1218*Законод!$C$9/4*Законод!$G$16,IF(B1210="Лікар-педіатр",S1218*Законод!$C$9/4*Законод!$G$16,IF(B1210="Лікар-терапевт",S1218*Законод!$C$9/4*Законод!$G$16,0)))</f>
        <v>0</v>
      </c>
      <c r="AP1218" s="210">
        <f ca="1">IF(B1210="Лікар загальної практики - сімейний лікар",Z1218*Законод!$C$9/4*Законод!$G$16,IF(B1210="Лікар-педіатр",Z1218*Законод!$C$9/4*Законод!$G$16,IF(B1210="Лікар-терапевт",Z1218*Законод!$C$9/4*Законод!$G$16,0)))</f>
        <v>0</v>
      </c>
      <c r="AQ1218" s="210">
        <f ca="1">IF(B1210="Лікар загальної практики - сімейний лікар",AG1218*Законод!$C$9/4*Законод!$G$16,IF(B1210="Лікар-педіатр",AG1218*Законод!$C$9/4*Законод!$G$16,IF(B1210="Лікар-терапевт",AG1218*Законод!$C$9/4*Законод!$G$16,0)))</f>
        <v>0</v>
      </c>
      <c r="AR1218" s="211">
        <f t="shared" si="120"/>
        <v>0</v>
      </c>
    </row>
    <row r="1219" spans="1:44" s="50" customFormat="1" ht="31.9" hidden="1" customHeight="1">
      <c r="A1219" s="197"/>
      <c r="B1219" s="893"/>
      <c r="C1219" s="896"/>
      <c r="D1219" s="912"/>
      <c r="E1219" s="909"/>
      <c r="F1219" s="238" t="str">
        <f ca="1">IF(B1210="Лікар-педіатр",Законод!$H$17,IF(B1210="Лікар загальної практики - сімейний лікар",Законод!$H$21,IF(B1210="Лікар-терапевт",Законод!$H$25,"х")))</f>
        <v>х</v>
      </c>
      <c r="G1219" s="889" t="s">
        <v>346</v>
      </c>
      <c r="H1219" s="890"/>
      <c r="I1219" s="890"/>
      <c r="J1219" s="890"/>
      <c r="K1219" s="891"/>
      <c r="L1219" s="196">
        <f ca="1">IF($B$1210="Лікар загальної практики - сімейний лікар",IF(L1214&lt;Законод!$C$22,0,(IF(AND(L1214&gt;=Законод!$H$22,L1214&lt;=Законод!$H$23),L1214-Законод!$G$23,IF('01_Доходи'!L1214&gt;=Законод!$I$22,Законод!$H$24,0)))),IF($B$1210="Лікар-педіатр",IF(L1214&lt;Законод!$C$18,0,(IF(AND(L1214&gt;=Законод!$H$18,L1214&lt;=Законод!$H$19),L1214-Законод!$G$19,IF('01_Доходи'!L1214&gt;=Законод!$I$18,Законод!$H$20,0)))),IF($B$1210="Лікар-терапевт",IF(L1214&lt;Законод!$C$26,0,(IF(AND(L1214&gt;=Законод!$H$26,L1214&lt;=Законод!$H$27),L1214-Законод!$G$27,IF(L1214&gt;=Законод!$I$26,Законод!$H$28,0)))),0)))</f>
        <v>0</v>
      </c>
      <c r="M1219" s="930"/>
      <c r="N1219" s="889" t="s">
        <v>346</v>
      </c>
      <c r="O1219" s="890"/>
      <c r="P1219" s="890"/>
      <c r="Q1219" s="890"/>
      <c r="R1219" s="891"/>
      <c r="S1219" s="196">
        <f ca="1">IF($B$1210="Лікар загальної практики - сімейний лікар",IF(S1214&lt;Законод!$C$22,0,(IF(AND(S1214&gt;=Законод!$H$22,S1214&lt;=Законод!$H$23),S1214-Законод!$G$23,IF('01_Доходи'!S1214&gt;=Законод!$I$22,Законод!$H$24,0)))),IF($B$1210="Лікар-педіатр",IF(S1214&lt;Законод!$C$18,0,(IF(AND(S1214&gt;=Законод!$H$18,S1214&lt;=Законод!$H$19),S1214-Законод!$G$19,IF('01_Доходи'!S1214&gt;=Законод!$I$18,Законод!$H$20,0)))),IF($B$1210="Лікар-терапевт",IF(S1214&lt;Законод!$C$26,0,(IF(AND(S1214&gt;=Законод!$H$26,S1214&lt;=Законод!$H$27),S1214-Законод!$G$27,IF(S1214&gt;=Законод!$I$26,Законод!$H$28,0)))),0)))</f>
        <v>0</v>
      </c>
      <c r="T1219" s="930"/>
      <c r="U1219" s="889" t="s">
        <v>346</v>
      </c>
      <c r="V1219" s="890"/>
      <c r="W1219" s="890"/>
      <c r="X1219" s="890"/>
      <c r="Y1219" s="891"/>
      <c r="Z1219" s="196">
        <f ca="1">IF($B$1210="Лікар загальної практики - сімейний лікар",IF(Z1214&lt;Законод!$C$22,0,(IF(AND(Z1214&gt;=Законод!$H$22,Z1214&lt;=Законод!$H$23),Z1214-Законод!$G$23,IF('01_Доходи'!Z1214&gt;=Законод!$I$22,Законод!$H$24,0)))),IF($B$1210="Лікар-педіатр",IF(Z1214&lt;Законод!$C$18,0,(IF(AND(Z1214&gt;=Законод!$H$18,Z1214&lt;=Законод!$H$19),Z1214-Законод!$G$19,IF('01_Доходи'!Z1214&gt;=Законод!$I$18,Законод!$H$20,0)))),IF($B$1210="Лікар-терапевт",IF(Z1214&lt;Законод!$C$26,0,(IF(AND(Z1214&gt;=Законод!$H$26,Z1214&lt;=Законод!$H$27),Z1214-Законод!$G$27,IF(Z1214&gt;=Законод!$I$26,Законод!$H$28,0)))),0)))</f>
        <v>0</v>
      </c>
      <c r="AA1219" s="930"/>
      <c r="AB1219" s="889" t="s">
        <v>346</v>
      </c>
      <c r="AC1219" s="890"/>
      <c r="AD1219" s="890"/>
      <c r="AE1219" s="890"/>
      <c r="AF1219" s="891"/>
      <c r="AG1219" s="196">
        <f ca="1">IF($B$1210="Лікар загальної практики - сімейний лікар",IF(AG1214&lt;Законод!$C$22,0,(IF(AND(AG1214&gt;=Законод!$H$22,AG1214&lt;=Законод!$H$23),AG1214-Законод!$G$23,IF('01_Доходи'!AG1214&gt;=Законод!$I$22,Законод!$H$24,0)))),IF($B$1210="Лікар-педіатр",IF(AG1214&lt;Законод!$C$18,0,(IF(AND(AG1214&gt;=Законод!$H$18,AG1214&lt;=Законод!$H$19),AG1214-Законод!$G$19,IF('01_Доходи'!AG1214&gt;=Законод!$I$18,Законод!$H$20,0)))),IF($B$1210="Лікар-терапевт",IF(AG1214&lt;Законод!$C$26,0,(IF(AND(AG1214&gt;=Законод!$H$26,AG1214&lt;=Законод!$H$27),AG1214-Законод!$G$27,IF(AG1214&gt;=Законод!$I$26,Законод!$H$28,0)))),0)))</f>
        <v>0</v>
      </c>
      <c r="AH1219" s="930"/>
      <c r="AI1219" s="201"/>
      <c r="AJ1219" s="933"/>
      <c r="AK1219" s="927"/>
      <c r="AL1219" s="927"/>
      <c r="AM1219" s="899"/>
      <c r="AN1219" s="210">
        <f ca="1">IF(B1210="Лікар загальної практики - сімейний лікар",L1219*Законод!$C$9/4*Законод!$H$16,IF(B1210="Лікар-педіатр",L1219*Законод!$C$9/4*Законод!$H$16,IF(B1210="Лікар-терапевт",L1219*Законод!$C$9/4*Законод!$H$16,0)))</f>
        <v>0</v>
      </c>
      <c r="AO1219" s="210">
        <f ca="1">IF(B1210="Лікар загальної практики - сімейний лікар",S1219*Законод!$C$9/4*Законод!$H$16,IF(B1210="Лікар-педіатр",S1219*Законод!$C$9/4*Законод!$H$16,IF(B1210="Лікар-терапевт",S1219*Законод!$C$9/4*Законод!$H$16,0)))</f>
        <v>0</v>
      </c>
      <c r="AP1219" s="210">
        <f ca="1">IF(B1210="Лікар загальної практики - сімейний лікар",Z1219*Законод!$C$9/4*Законод!$H$16,IF(B1210="Лікар-педіатр",Z1219*Законод!$C$9/4*Законод!$H$16,IF(B1210="Лікар-терапевт",Z1219*Законод!$C$9/4*Законод!$H$16,0)))</f>
        <v>0</v>
      </c>
      <c r="AQ1219" s="210">
        <f ca="1">IF(B1210="Лікар загальної практики - сімейний лікар",AG1219*Законод!$C$9/4*Законод!$H$16,IF(B1210="Лікар-педіатр",AG1219*Законод!$C$9/4*Законод!$H$16,IF(B1210="Лікар-терапевт",AG1219*Законод!$C$9/4*Законод!$H$16,0)))</f>
        <v>0</v>
      </c>
      <c r="AR1219" s="211">
        <f t="shared" si="120"/>
        <v>0</v>
      </c>
    </row>
    <row r="1220" spans="1:44" s="50" customFormat="1" ht="31.9" hidden="1" customHeight="1">
      <c r="A1220" s="197"/>
      <c r="B1220" s="893"/>
      <c r="C1220" s="896"/>
      <c r="D1220" s="912"/>
      <c r="E1220" s="909"/>
      <c r="F1220" s="238" t="str">
        <f ca="1">IF(B1210="Лікар-педіатр",Законод!$I$17,IF(B1210="Лікар загальної практики - сімейний лікар",Законод!$I$21,IF(B1210="Лікар-терапевт",Законод!$I$25,"х")))</f>
        <v>х</v>
      </c>
      <c r="G1220" s="889" t="s">
        <v>346</v>
      </c>
      <c r="H1220" s="890"/>
      <c r="I1220" s="890"/>
      <c r="J1220" s="890"/>
      <c r="K1220" s="891"/>
      <c r="L1220" s="196">
        <f ca="1">IF($B$1210="Лікар загальної практики - сімейний лікар",IF(L1214&lt;Законод!$C$22,0,(IF(AND(L1214&gt;=Законод!$I$22,L1214&lt;=Законод!$I$23),L1214-Законод!$H$23,IF('01_Доходи'!L1214&gt;=Законод!$I$22,Законод!$I$24,0)))),IF($B$1210="Лікар-педіатр",IF(L1214&lt;Законод!$C$18,0,(IF(AND(L1214&gt;=Законод!$I$18,L1214&lt;=Законод!$I$19),L1214-Законод!$H$19,IF('01_Доходи'!L1214&gt;=Законод!$I$18,Законод!$H$20,0)))),IF($B$1210="Лікар-терапевт",IF(L1214&lt;Законод!$C$26,0,(IF(AND(L1214&gt;=Законод!$I$26,L1214&lt;=Законод!$I$27),L1214-Законод!$H$27,IF('01_Доходи'!L1214&gt;=Законод!$I$26,Законод!$H$28,0)))),0)))</f>
        <v>0</v>
      </c>
      <c r="M1220" s="930"/>
      <c r="N1220" s="889" t="s">
        <v>346</v>
      </c>
      <c r="O1220" s="890"/>
      <c r="P1220" s="890"/>
      <c r="Q1220" s="890"/>
      <c r="R1220" s="891"/>
      <c r="S1220" s="196">
        <f ca="1">IF($B$1210="Лікар загальної практики - сімейний лікар",IF(S1214&lt;Законод!$C$22,0,(IF(AND(S1214&gt;=Законод!$I$22,S1214&lt;=Законод!$I$23),S1214-Законод!$H$23,IF('01_Доходи'!S1214&gt;=Законод!$I$22,Законод!$I$24,0)))),IF($B$1210="Лікар-педіатр",IF(S1214&lt;Законод!$C$18,0,(IF(AND(S1214&gt;=Законод!$I$18,S1214&lt;=Законод!$I$19),S1214-Законод!$H$19,IF('01_Доходи'!S1214&gt;=Законод!$I$18,Законод!$H$20,0)))),IF($B$1210="Лікар-терапевт",IF(S1214&lt;Законод!$C$26,0,(IF(AND(S1214&gt;=Законод!$I$26,S1214&lt;=Законод!$I$27),S1214-Законод!$H$27,IF('01_Доходи'!S1214&gt;=Законод!$I$26,Законод!$H$28,0)))),0)))</f>
        <v>0</v>
      </c>
      <c r="T1220" s="930"/>
      <c r="U1220" s="889" t="s">
        <v>346</v>
      </c>
      <c r="V1220" s="890"/>
      <c r="W1220" s="890"/>
      <c r="X1220" s="890"/>
      <c r="Y1220" s="891"/>
      <c r="Z1220" s="196">
        <f ca="1">IF($B$1210="Лікар загальної практики - сімейний лікар",IF(Z1214&lt;Законод!$C$22,0,(IF(AND(Z1214&gt;=Законод!$I$22,Z1214&lt;=Законод!$I$23),Z1214-Законод!$H$23,IF('01_Доходи'!Z1214&gt;=Законод!$I$22,Законод!$I$24,0)))),IF($B$1210="Лікар-педіатр",IF(Z1214&lt;Законод!$C$18,0,(IF(AND(Z1214&gt;=Законод!$I$18,Z1214&lt;=Законод!$I$19),Z1214-Законод!$H$19,IF('01_Доходи'!Z1214&gt;=Законод!$I$18,Законод!$H$20,0)))),IF($B$1210="Лікар-терапевт",IF(Z1214&lt;Законод!$C$26,0,(IF(AND(Z1214&gt;=Законод!$I$26,Z1214&lt;=Законод!$I$27),Z1214-Законод!$H$27,IF('01_Доходи'!Z1214&gt;=Законод!$I$26,Законод!$H$28,0)))),0)))</f>
        <v>0</v>
      </c>
      <c r="AA1220" s="930"/>
      <c r="AB1220" s="889" t="s">
        <v>346</v>
      </c>
      <c r="AC1220" s="890"/>
      <c r="AD1220" s="890"/>
      <c r="AE1220" s="890"/>
      <c r="AF1220" s="891"/>
      <c r="AG1220" s="196">
        <f ca="1">IF($B$1210="Лікар загальної практики - сімейний лікар",IF(AG1214&lt;Законод!$C$22,0,(IF(AND(AG1214&gt;=Законод!$I$22,AG1214&lt;=Законод!$I$23),AG1214-Законод!$H$23,IF('01_Доходи'!AG1214&gt;=Законод!$I$22,Законод!$I$24,0)))),IF($B$1210="Лікар-педіатр",IF(AG1214&lt;Законод!$C$18,0,(IF(AND(AG1214&gt;=Законод!$I$18,AG1214&lt;=Законод!$I$19),AG1214-Законод!$H$19,IF('01_Доходи'!AG1214&gt;=Законод!$I$18,Законод!$H$20,0)))),IF($B$1210="Лікар-терапевт",IF(AG1214&lt;Законод!$C$26,0,(IF(AND(AG1214&gt;=Законод!$I$26,AG1214&lt;=Законод!$I$27),AG1214-Законод!$H$27,IF('01_Доходи'!AG1214&gt;=Законод!$I$26,Законод!$H$28,0)))),0)))</f>
        <v>0</v>
      </c>
      <c r="AH1220" s="930"/>
      <c r="AI1220" s="201"/>
      <c r="AJ1220" s="933"/>
      <c r="AK1220" s="927"/>
      <c r="AL1220" s="927"/>
      <c r="AM1220" s="899"/>
      <c r="AN1220" s="210">
        <f ca="1">IF(B1210="Лікар загальної практики - сімейний лікар",L1220*Законод!$C$9/4*Законод!$I$16,IF(B1210="Лікар-педіатр",L1220*Законод!$C$9/4*Законод!$I$16,IF(B1210="Лікар-терапевт",L1220*Законод!$C$9/4*Законод!$I$16,0)))</f>
        <v>0</v>
      </c>
      <c r="AO1220" s="210">
        <f ca="1">IF(B1210="Лікар загальної практики - сімейний лікар",S1220*Законод!$C$9/4*Законод!$I$16,IF(B1210="Лікар-педіатр",S1220*Законод!$C$9/4*Законод!$I$16,IF(B1210="Лікар-терапевт",S1220*Законод!$C$9/4*Законод!$I$16,0)))</f>
        <v>0</v>
      </c>
      <c r="AP1220" s="210">
        <f ca="1">IF(B1210="Лікар загальної практики - сімейний лікар",Z1220*Законод!$C$9/4*Законод!$I$16,IF(B1210="Лікар-педіатр",Z1220*Законод!$C$9/4*Законод!$I$16,IF(B1210="Лікар-терапевт",Z1220*Законод!$C$9/4*Законод!$I$16,0)))</f>
        <v>0</v>
      </c>
      <c r="AQ1220" s="210">
        <f ca="1">IF(B1210="Лікар загальної практики - сімейний лікар",AG1220*Законод!$C$9/4*Законод!$I$16,IF(B1210="Лікар-педіатр",AG1220*Законод!$C$9/4*Законод!$I$16,IF(B1210="Лікар-терапевт",AG1220*Законод!$C$9/4*Законод!$I$16,0)))</f>
        <v>0</v>
      </c>
      <c r="AR1220" s="211">
        <f t="shared" si="120"/>
        <v>0</v>
      </c>
    </row>
    <row r="1221" spans="1:44" s="218" customFormat="1" ht="31.9" hidden="1" customHeight="1" thickBot="1">
      <c r="A1221" s="213"/>
      <c r="B1221" s="894"/>
      <c r="C1221" s="897"/>
      <c r="D1221" s="913"/>
      <c r="E1221" s="910"/>
      <c r="F1221" s="239" t="str">
        <f ca="1">IF(B1210="Лікар-педіатр",Законод!$J$17,IF(B1210="Лікар загальної практики - сімейний лікар",Законод!$J$21,IF(B1210="Лікар-терапевт",Законод!$J$25,"х")))</f>
        <v>х</v>
      </c>
      <c r="G1221" s="935" t="s">
        <v>346</v>
      </c>
      <c r="H1221" s="936"/>
      <c r="I1221" s="936"/>
      <c r="J1221" s="936"/>
      <c r="K1221" s="937"/>
      <c r="L1221" s="196">
        <f ca="1">IF($B$1210="Лікар загальної практики - сімейний лікар",IF(L1214&gt;=Законод!$J$22,'01_Доходи'!L1214-('01_Доходи'!L1215+'01_Доходи'!L1216+'01_Доходи'!L1217+'01_Доходи'!L1218+'01_Доходи'!L1219+'01_Доходи'!L1220),0),IF($B$1210="Лікар-педіатр",IF(L1214&gt;=Законод!$J$18,'01_Доходи'!L1214-('01_Доходи'!L1215+'01_Доходи'!L1216+'01_Доходи'!L1217+'01_Доходи'!L1218+'01_Доходи'!L1219+'01_Доходи'!L1220),0),IF($B$1210="Лікар-терапевт",IF('01_Доходи'!L1214&gt;=Законод!$J$26,L1214-Законод!$I$27,0),0)))</f>
        <v>0</v>
      </c>
      <c r="M1221" s="931"/>
      <c r="N1221" s="935" t="s">
        <v>346</v>
      </c>
      <c r="O1221" s="936"/>
      <c r="P1221" s="936"/>
      <c r="Q1221" s="936"/>
      <c r="R1221" s="937"/>
      <c r="S1221" s="196">
        <f ca="1">IF($B$1210="Лікар загальної практики - сімейний лікар",IF(S1214&gt;=Законод!$J$22,'01_Доходи'!S1214-('01_Доходи'!S1215+'01_Доходи'!S1216+'01_Доходи'!S1217+'01_Доходи'!S1218+'01_Доходи'!S1219+'01_Доходи'!S1220),0),IF($B$1210="Лікар-педіатр",IF(S1214&gt;=Законод!$J$18,'01_Доходи'!S1214-('01_Доходи'!S1215+'01_Доходи'!S1216+'01_Доходи'!S1217+'01_Доходи'!S1218+'01_Доходи'!S1219+'01_Доходи'!S1220),0),IF($B$1210="Лікар-терапевт",IF('01_Доходи'!S1214&gt;=Законод!$J$26,S1214-Законод!$I$27,0),0)))</f>
        <v>0</v>
      </c>
      <c r="T1221" s="931"/>
      <c r="U1221" s="935" t="s">
        <v>346</v>
      </c>
      <c r="V1221" s="936"/>
      <c r="W1221" s="936"/>
      <c r="X1221" s="936"/>
      <c r="Y1221" s="937"/>
      <c r="Z1221" s="196">
        <f ca="1">IF($B$1210="Лікар загальної практики - сімейний лікар",IF(Z1214&gt;=Законод!$J$22,'01_Доходи'!Z1214-('01_Доходи'!Z1215+'01_Доходи'!Z1216+'01_Доходи'!Z1217+'01_Доходи'!Z1218+'01_Доходи'!Z1219+'01_Доходи'!Z1220),0),IF($B$1210="Лікар-педіатр",IF(Z1214&gt;=Законод!$J$18,'01_Доходи'!Z1214-('01_Доходи'!Z1215+'01_Доходи'!Z1216+'01_Доходи'!Z1217+'01_Доходи'!Z1218+'01_Доходи'!Z1219+'01_Доходи'!Z1220),0),IF($B$1210="Лікар-терапевт",IF('01_Доходи'!Z1214&gt;=Законод!$J$26,Z1214-Законод!$I$27,0),0)))</f>
        <v>0</v>
      </c>
      <c r="AA1221" s="931"/>
      <c r="AB1221" s="935" t="s">
        <v>346</v>
      </c>
      <c r="AC1221" s="936"/>
      <c r="AD1221" s="936"/>
      <c r="AE1221" s="936"/>
      <c r="AF1221" s="937"/>
      <c r="AG1221" s="196">
        <f ca="1">IF($B$1210="Лікар загальної практики - сімейний лікар",IF(AG1214&gt;=Законод!$J$22,'01_Доходи'!AG1214-('01_Доходи'!AG1215+'01_Доходи'!AG1216+'01_Доходи'!AG1217+'01_Доходи'!AG1218+'01_Доходи'!AG1219+'01_Доходи'!AG1220),0),IF($B$1210="Лікар-педіатр",IF(AG1214&gt;=Законод!$J$18,'01_Доходи'!AG1214-('01_Доходи'!AG1215+'01_Доходи'!AG1216+'01_Доходи'!AG1217+'01_Доходи'!AG1218+'01_Доходи'!AG1219+'01_Доходи'!AG1220),0),IF($B$1210="Лікар-терапевт",IF('01_Доходи'!AG1214&gt;=Законод!$J$26,AG1214-Законод!$I$27,0),0)))</f>
        <v>0</v>
      </c>
      <c r="AH1221" s="931"/>
      <c r="AI1221" s="215"/>
      <c r="AJ1221" s="934"/>
      <c r="AK1221" s="928"/>
      <c r="AL1221" s="928"/>
      <c r="AM1221" s="900"/>
      <c r="AN1221" s="216">
        <f ca="1">IF(B1210="Лікар загальної практики - сімейний лікар",L1221*Законод!$C$9/4*Законод!$J$16,IF(B1210="Лікар-педіатр",L1221*Законод!$C$9/4*Законод!$J$16,IF(B1210="Лікар-терапевт",L1221*Законод!$C$9/4*Законод!$J$16,0)))</f>
        <v>0</v>
      </c>
      <c r="AO1221" s="216">
        <f ca="1">IF(B1210="Лікар загальної практики - сімейний лікар",S1221*Законод!$C$9/4*Законод!$J$16,IF(B1210="Лікар-педіатр",S1221*Законод!$C$9/4*Законод!$J$16,IF(B1210="Лікар-терапевт",S1221*Законод!$C$9/4*Законод!$J$16,0)))</f>
        <v>0</v>
      </c>
      <c r="AP1221" s="216">
        <f ca="1">IF(B1210="Лікар загальної практики - сімейний лікар",S1221*Законод!$C$9/4*Законод!$J$16,IF(B1210="Лікар-педіатр",S1221*Законод!$C$9/4*Законод!$J$16,IF(B1210="Лікар-терапевт",S1221*Законод!$C$9/4*Законод!$J$16,0)))</f>
        <v>0</v>
      </c>
      <c r="AQ1221" s="216">
        <f ca="1">IF(B1210="Лікар загальної практики - сімейний лікар",AG1221*Законод!$C$9/4*Законод!$J$16,IF(B1210="Лікар-педіатр",AG1221*Законод!$C$9/4*Законод!$J$16,IF(B1210="Лікар-терапевт",AG1221*Законод!$C$9/4*Законод!$J$16,0)))</f>
        <v>0</v>
      </c>
      <c r="AR1221" s="217">
        <f t="shared" si="120"/>
        <v>0</v>
      </c>
    </row>
    <row r="1222" spans="1:44" s="247" customFormat="1" ht="23.45" hidden="1" customHeight="1" thickBot="1">
      <c r="A1222" s="243"/>
      <c r="B1222" s="244"/>
      <c r="C1222" s="244"/>
      <c r="D1222" s="244"/>
      <c r="E1222" s="244"/>
      <c r="F1222" s="245"/>
      <c r="G1222" s="246"/>
      <c r="H1222" s="246"/>
      <c r="L1222" s="248"/>
      <c r="S1222" s="248"/>
      <c r="Z1222" s="248"/>
      <c r="AG1222" s="248"/>
      <c r="AM1222" s="249"/>
      <c r="AR1222" s="250"/>
    </row>
    <row r="1223" spans="1:44" s="191" customFormat="1" ht="24.6" hidden="1" customHeight="1">
      <c r="A1223" s="194">
        <f>A1210+1</f>
        <v>92</v>
      </c>
      <c r="B1223" s="892"/>
      <c r="C1223" s="895"/>
      <c r="D1223" s="911"/>
      <c r="E1223" s="908"/>
      <c r="F1223" s="234" t="s">
        <v>582</v>
      </c>
      <c r="G1223" s="196">
        <f>IF($B$1223="Лікар-педіатр",G1226*L1223,IF($B$1223="Лікар-терапевт","х",IF($B$1223="Лікар загальної практики - сімейний лікар",G1226*L1223,0)))</f>
        <v>0</v>
      </c>
      <c r="H1223" s="196">
        <f>IF($B$1223="Лікар-педіатр",H1226*L1223,IF($B$1223="Лікар-терапевт","х",IF($B$1223="Лікар загальної практики - сімейний лікар",H1226*L1223,0)))</f>
        <v>0</v>
      </c>
      <c r="I1223" s="196">
        <f>IF($B$1223="Лікар-педіатр","x",IF($B$1223="Лікар-терапевт",I1226*L1223,IF($B$1223="Лікар загальної практики - сімейний лікар",I1226*L1223,0)))</f>
        <v>0</v>
      </c>
      <c r="J1223" s="196">
        <f>IF($B$1223="Лікар-педіатр","x",IF($B$1223="Лікар-терапевт",J1226*L1223,IF($B$1223="Лікар загальної практики - сімейний лікар",J1226*L1223,0)))</f>
        <v>0</v>
      </c>
      <c r="K1223" s="196">
        <f>IF($B$1223="Лікар-педіатр","x",IF($B$1223="Лікар-терапевт",K1226*L1223,IF($B$1223="Лікар загальної практики - сімейний лікар",K1226*L1223,0)))</f>
        <v>0</v>
      </c>
      <c r="L1223" s="558"/>
      <c r="M1223" s="929"/>
      <c r="N1223" s="196">
        <f>IF($B$1223="Лікар-педіатр",N1226*S1223,IF($B$1223="Лікар-терапевт","х",IF($B$1223="Лікар загальної практики - сімейний лікар",N1226*S1223,0)))</f>
        <v>0</v>
      </c>
      <c r="O1223" s="196">
        <f>IF($B$1223="Лікар-педіатр",O1226*S1223,IF($B$1223="Лікар-терапевт","х",IF($B$1223="Лікар загальної практики - сімейний лікар",O1226*S1223,0)))</f>
        <v>0</v>
      </c>
      <c r="P1223" s="196">
        <f>IF($B$1223="Лікар-педіатр","x",IF($B$1223="Лікар-терапевт",P1226*S1223,IF($B$1223="Лікар загальної практики - сімейний лікар",P1226*S1223,0)))</f>
        <v>0</v>
      </c>
      <c r="Q1223" s="196">
        <f>IF($B$1223="Лікар-педіатр","x",IF($B$1223="Лікар-терапевт",Q1226*S1223,IF($B$1223="Лікар загальної практики - сімейний лікар",Q1226*S1223,0)))</f>
        <v>0</v>
      </c>
      <c r="R1223" s="196">
        <f>IF($B$1223="Лікар-педіатр","x",IF($B$1223="Лікар-терапевт",R1226*S1223,IF($B$1223="Лікар загальної практики - сімейний лікар",R1226*S1223,0)))</f>
        <v>0</v>
      </c>
      <c r="S1223" s="558"/>
      <c r="T1223" s="929"/>
      <c r="U1223" s="196">
        <f>IF($B$1223="Лікар-педіатр",U1226*Z1223,IF($B$1223="Лікар-терапевт","х",IF($B$1223="Лікар загальної практики - сімейний лікар",U1226*Z1223,0)))</f>
        <v>0</v>
      </c>
      <c r="V1223" s="196">
        <f>IF($B$1223="Лікар-педіатр",V1226*Z1223,IF($B$1223="Лікар-терапевт","х",IF($B$1223="Лікар загальної практики - сімейний лікар",V1226*Z1223,0)))</f>
        <v>0</v>
      </c>
      <c r="W1223" s="196">
        <f>IF($B$1223="Лікар-педіатр","x",IF($B$1223="Лікар-терапевт",W1226*Z1223,IF($B$1223="Лікар загальної практики - сімейний лікар",W1226*Z1223,0)))</f>
        <v>0</v>
      </c>
      <c r="X1223" s="196">
        <f>IF($B$1223="Лікар-педіатр","x",IF($B$1223="Лікар-терапевт",X1226*Z1223,IF($B$1223="Лікар загальної практики - сімейний лікар",X1226*Z1223,0)))</f>
        <v>0</v>
      </c>
      <c r="Y1223" s="196">
        <f>IF($B$1223="Лікар-педіатр","x",IF($B$1223="Лікар-терапевт",Y1226*Z1223,IF($B$1223="Лікар загальної практики - сімейний лікар",Y1226*Z1223,0)))</f>
        <v>0</v>
      </c>
      <c r="Z1223" s="558"/>
      <c r="AA1223" s="929"/>
      <c r="AB1223" s="196">
        <f>IF($B$1223="Лікар-педіатр",AB1226*AG1223,IF($B$1223="Лікар-терапевт","х",IF($B$1223="Лікар загальної практики - сімейний лікар",AB1226*AG1223,0)))</f>
        <v>0</v>
      </c>
      <c r="AC1223" s="196">
        <f>IF($B$1223="Лікар-педіатр",AC1226*AG1223,IF($B$1223="Лікар-терапевт","х",IF($B$1223="Лікар загальної практики - сімейний лікар",AC1226*AG1223,0)))</f>
        <v>0</v>
      </c>
      <c r="AD1223" s="196">
        <f>IF($B$1223="Лікар-педіатр","x",IF($B$1223="Лікар-терапевт",AD1226*AG1223,IF($B$1223="Лікар загальної практики - сімейний лікар",AD1226*AG1223,0)))</f>
        <v>0</v>
      </c>
      <c r="AE1223" s="196">
        <f>IF($B$1223="Лікар-педіатр","x",IF($B$1223="Лікар-терапевт",AE1226*AG1223,IF($B$1223="Лікар загальної практики - сімейний лікар",AE1226*AG1223,0)))</f>
        <v>0</v>
      </c>
      <c r="AF1223" s="196">
        <f>IF($B$1223="Лікар-педіатр","x",IF($B$1223="Лікар-терапевт",AF1226*AG1223,IF($B$1223="Лікар загальної практики - сімейний лікар",AF1226*AG1223,0)))</f>
        <v>0</v>
      </c>
      <c r="AG1223" s="558"/>
      <c r="AH1223" s="929"/>
      <c r="AI1223" s="541">
        <f>A1223</f>
        <v>92</v>
      </c>
      <c r="AJ1223" s="932">
        <f>B1223</f>
        <v>0</v>
      </c>
      <c r="AK1223" s="926">
        <f>C1223</f>
        <v>0</v>
      </c>
      <c r="AL1223" s="926">
        <f>D1223</f>
        <v>0</v>
      </c>
      <c r="AM1223" s="901" t="s">
        <v>785</v>
      </c>
      <c r="AN1223" s="923">
        <f>SUM(AN1228:AN1234)</f>
        <v>0</v>
      </c>
      <c r="AO1223" s="923">
        <f>SUM(AO1228:AO1234)</f>
        <v>0</v>
      </c>
      <c r="AP1223" s="923">
        <f>SUM(AP1228:AP1234)</f>
        <v>0</v>
      </c>
      <c r="AQ1223" s="923">
        <f>SUM(AQ1228:AQ1234)</f>
        <v>0</v>
      </c>
      <c r="AR1223" s="914">
        <f>SUM(AN1223:AQ1227)</f>
        <v>0</v>
      </c>
    </row>
    <row r="1224" spans="1:44" s="50" customFormat="1" ht="28.15" hidden="1" customHeight="1">
      <c r="A1224" s="197"/>
      <c r="B1224" s="893"/>
      <c r="C1224" s="896"/>
      <c r="D1224" s="912"/>
      <c r="E1224" s="909"/>
      <c r="F1224" s="234" t="s">
        <v>583</v>
      </c>
      <c r="G1224" s="196">
        <f>IF($B$1223="Лікар-педіатр",G1226*L1224,IF($B$1223="Лікар-терапевт","х",IF($B$1223="Лікар загальної практики - сімейний лікар",G1226*L1224,0)))</f>
        <v>0</v>
      </c>
      <c r="H1224" s="196">
        <f>IF($B$1223="Лікар-педіатр",H1226*L1224,IF($B$1223="Лікар-терапевт","х",IF($B$1223="Лікар загальної практики - сімейний лікар",H1226*L1224,0)))</f>
        <v>0</v>
      </c>
      <c r="I1224" s="196">
        <f>IF($B$1223="Лікар-педіатр","x",IF($B$1223="Лікар-терапевт",I1226*L1224,IF($B$1223="Лікар загальної практики - сімейний лікар",I1226*L1224,0)))</f>
        <v>0</v>
      </c>
      <c r="J1224" s="196">
        <f>IF($B$1223="Лікар-педіатр","x",IF($B$1223="Лікар-терапевт",J1226*L1224,IF($B$1223="Лікар загальної практики - сімейний лікар",J1226*L1224,0)))</f>
        <v>0</v>
      </c>
      <c r="K1224" s="196">
        <f>IF($B$1223="Лікар-педіатр","x",IF($B$1223="Лікар-терапевт",K1226*L1224,IF($B$1223="Лікар загальної практики - сімейний лікар",K1226*L1224,0)))</f>
        <v>0</v>
      </c>
      <c r="L1224" s="558"/>
      <c r="M1224" s="930"/>
      <c r="N1224" s="196">
        <f>IF($B$1223="Лікар-педіатр",N1226*S1224,IF($B$1223="Лікар-терапевт","х",IF($B$1223="Лікар загальної практики - сімейний лікар",N1226*S1224,0)))</f>
        <v>0</v>
      </c>
      <c r="O1224" s="196">
        <f>IF($B$1223="Лікар-педіатр",O1226*S1224,IF($B$1223="Лікар-терапевт","х",IF($B$1223="Лікар загальної практики - сімейний лікар",O1226*S1224,0)))</f>
        <v>0</v>
      </c>
      <c r="P1224" s="196">
        <f>IF($B$1223="Лікар-педіатр","x",IF($B$1223="Лікар-терапевт",P1226*S1224,IF($B$1223="Лікар загальної практики - сімейний лікар",P1226*S1224,0)))</f>
        <v>0</v>
      </c>
      <c r="Q1224" s="196">
        <f>IF($B$1223="Лікар-педіатр","x",IF($B$1223="Лікар-терапевт",Q1226*S1224,IF($B$1223="Лікар загальної практики - сімейний лікар",Q1226*S1224,0)))</f>
        <v>0</v>
      </c>
      <c r="R1224" s="196">
        <f>IF($B$1223="Лікар-педіатр","x",IF($B$1223="Лікар-терапевт",R1226*S1224,IF($B$1223="Лікар загальної практики - сімейний лікар",R1226*S1224,0)))</f>
        <v>0</v>
      </c>
      <c r="S1224" s="558"/>
      <c r="T1224" s="930"/>
      <c r="U1224" s="196">
        <f>IF($B$1223="Лікар-педіатр",U1226*Z1224,IF($B$1223="Лікар-терапевт","х",IF($B$1223="Лікар загальної практики - сімейний лікар",U1226*Z1224,0)))</f>
        <v>0</v>
      </c>
      <c r="V1224" s="196">
        <f>IF($B$1223="Лікар-педіатр",V1226*Z1224,IF($B$1223="Лікар-терапевт","х",IF($B$1223="Лікар загальної практики - сімейний лікар",V1226*Z1224,0)))</f>
        <v>0</v>
      </c>
      <c r="W1224" s="196">
        <f>IF($B$1223="Лікар-педіатр","x",IF($B$1223="Лікар-терапевт",W1226*Z1224,IF($B$1223="Лікар загальної практики - сімейний лікар",W1226*Z1224,0)))</f>
        <v>0</v>
      </c>
      <c r="X1224" s="196">
        <f>IF($B$1223="Лікар-педіатр","x",IF($B$1223="Лікар-терапевт",X1226*Z1224,IF($B$1223="Лікар загальної практики - сімейний лікар",X1226*Z1224,0)))</f>
        <v>0</v>
      </c>
      <c r="Y1224" s="196">
        <f>IF($B$1223="Лікар-педіатр","x",IF($B$1223="Лікар-терапевт",Y1226*Z1224,IF($B$1223="Лікар загальної практики - сімейний лікар",Y1226*Z1224,0)))</f>
        <v>0</v>
      </c>
      <c r="Z1224" s="558"/>
      <c r="AA1224" s="930"/>
      <c r="AB1224" s="196">
        <f>IF($B$1223="Лікар-педіатр",AB1226*AG1224,IF($B$1223="Лікар-терапевт","х",IF($B$1223="Лікар загальної практики - сімейний лікар",AB1226*AG1224,0)))</f>
        <v>0</v>
      </c>
      <c r="AC1224" s="196">
        <f>IF($B$1223="Лікар-педіатр",AC1226*AG1224,IF($B$1223="Лікар-терапевт","х",IF($B$1223="Лікар загальної практики - сімейний лікар",AC1226*AG1224,0)))</f>
        <v>0</v>
      </c>
      <c r="AD1224" s="196">
        <f>IF($B$1223="Лікар-педіатр","x",IF($B$1223="Лікар-терапевт",AD1226*AG1224,IF($B$1223="Лікар загальної практики - сімейний лікар",AD1226*AG1224,0)))</f>
        <v>0</v>
      </c>
      <c r="AE1224" s="196">
        <f>IF($B$1223="Лікар-педіатр","x",IF($B$1223="Лікар-терапевт",AE1226*AG1224,IF($B$1223="Лікар загальної практики - сімейний лікар",AE1226*AG1224,0)))</f>
        <v>0</v>
      </c>
      <c r="AF1224" s="196">
        <f>IF($B$1223="Лікар-педіатр","x",IF($B$1223="Лікар-терапевт",AF1226*AG1224,IF($B$1223="Лікар загальної практики - сімейний лікар",AF1226*AG1224,0)))</f>
        <v>0</v>
      </c>
      <c r="AG1224" s="558"/>
      <c r="AH1224" s="930"/>
      <c r="AI1224" s="198"/>
      <c r="AJ1224" s="933"/>
      <c r="AK1224" s="927"/>
      <c r="AL1224" s="927"/>
      <c r="AM1224" s="902"/>
      <c r="AN1224" s="924"/>
      <c r="AO1224" s="924"/>
      <c r="AP1224" s="924"/>
      <c r="AQ1224" s="924"/>
      <c r="AR1224" s="915"/>
    </row>
    <row r="1225" spans="1:44" s="90" customFormat="1" ht="31.15" hidden="1" customHeight="1">
      <c r="A1225" s="240"/>
      <c r="B1225" s="893"/>
      <c r="C1225" s="896"/>
      <c r="D1225" s="912"/>
      <c r="E1225" s="909"/>
      <c r="F1225" s="241" t="s">
        <v>584</v>
      </c>
      <c r="G1225" s="199">
        <f>IF(B1223="Лікар загальної практики - сімейний лікар"," ",IF(B1223="Лікар-педіатр"," ",IF(B1223="Лікар-терапевт","х",0)))</f>
        <v>0</v>
      </c>
      <c r="H1225" s="199">
        <f>IF(B1223="Лікар загальної практики - сімейний лікар"," ",IF(B1223="Лікар-педіатр"," ",IF(B1223="Лікар-терапевт","х",0)))</f>
        <v>0</v>
      </c>
      <c r="I1225" s="199">
        <f>IF(B1223="Лікар загальної практики - сімейний лікар"," ",IF(B1223="Лікар-педіатр","х",IF(B1223="Лікар-терапевт"," ",0)))</f>
        <v>0</v>
      </c>
      <c r="J1225" s="199">
        <f>IF(B1223="Лікар загальної практики - сімейний лікар"," ",IF(B1223="Лікар-педіатр","х",IF(B1223="Лікар-терапевт"," ",0)))</f>
        <v>0</v>
      </c>
      <c r="K1225" s="199">
        <f>IF(B1223="Лікар загальної практики - сімейний лікар"," ",IF(B1223="Лікар-педіатр","х",IF(B1223="Лікар-терапевт"," ",0)))</f>
        <v>0</v>
      </c>
      <c r="L1225" s="200">
        <f>SUM(G1225:K1225)</f>
        <v>0</v>
      </c>
      <c r="M1225" s="930"/>
      <c r="N1225" s="199">
        <f>IF(B1223="Лікар загальної практики - сімейний лікар"," ",IF(B1223="Лікар-педіатр"," ",IF(B1223="Лікар-терапевт","х",0)))</f>
        <v>0</v>
      </c>
      <c r="O1225" s="199">
        <f>IF(B1223="Лікар загальної практики - сімейний лікар"," ",IF(B1223="Лікар-педіатр"," ",IF(B1223="Лікар-терапевт","х",0)))</f>
        <v>0</v>
      </c>
      <c r="P1225" s="199">
        <f>IF(B1223="Лікар загальної практики - сімейний лікар"," ",IF(B1223="Лікар-педіатр","х",IF(B1223="Лікар-терапевт"," ",0)))</f>
        <v>0</v>
      </c>
      <c r="Q1225" s="199">
        <f>IF(B1223="Лікар загальної практики - сімейний лікар"," ",IF(B1223="Лікар-педіатр","х",IF(B1223="Лікар-терапевт"," ",0)))</f>
        <v>0</v>
      </c>
      <c r="R1225" s="199">
        <f>IF(B1223="Лікар загальної практики - сімейний лікар"," ",IF(B1223="Лікар-педіатр","х",IF(B1223="Лікар-терапевт"," ",0)))</f>
        <v>0</v>
      </c>
      <c r="S1225" s="200">
        <f>SUM(N1225:R1225)</f>
        <v>0</v>
      </c>
      <c r="T1225" s="930"/>
      <c r="U1225" s="199">
        <f>IF(B1223="Лікар загальної практики - сімейний лікар"," ",IF(B1223="Лікар-педіатр"," ",IF(B1223="Лікар-терапевт","х",0)))</f>
        <v>0</v>
      </c>
      <c r="V1225" s="199">
        <f>IF(B1223="Лікар загальної практики - сімейний лікар"," ",IF(B1223="Лікар-педіатр"," ",IF(B1223="Лікар-терапевт","х",0)))</f>
        <v>0</v>
      </c>
      <c r="W1225" s="199">
        <f>IF(B1223="Лікар загальної практики - сімейний лікар"," ",IF(B1223="Лікар-педіатр","х",IF(B1223="Лікар-терапевт"," ",0)))</f>
        <v>0</v>
      </c>
      <c r="X1225" s="199">
        <f>IF(B1223="Лікар загальної практики - сімейний лікар"," ",IF(B1223="Лікар-педіатр","х",IF(B1223="Лікар-терапевт"," ",0)))</f>
        <v>0</v>
      </c>
      <c r="Y1225" s="199">
        <f>IF(B1223="Лікар загальної практики - сімейний лікар"," ",IF(B1223="Лікар-педіатр","х",IF(B1223="Лікар-терапевт"," ",0)))</f>
        <v>0</v>
      </c>
      <c r="Z1225" s="200">
        <f>SUM(U1225:Y1225)</f>
        <v>0</v>
      </c>
      <c r="AA1225" s="930"/>
      <c r="AB1225" s="199">
        <f>IF(B1223="Лікар загальної практики - сімейний лікар"," ",IF(B1223="Лікар-педіатр"," ",IF(B1223="Лікар-терапевт","х",0)))</f>
        <v>0</v>
      </c>
      <c r="AC1225" s="199">
        <f>IF(B1223="Лікар загальної практики - сімейний лікар"," ",IF(B1223="Лікар-педіатр"," ",IF(B1223="Лікар-терапевт","х",0)))</f>
        <v>0</v>
      </c>
      <c r="AD1225" s="199">
        <f>IF(B1223="Лікар загальної практики - сімейний лікар"," ",IF(B1223="Лікар-педіатр","х",IF(B1223="Лікар-терапевт"," ",0)))</f>
        <v>0</v>
      </c>
      <c r="AE1225" s="199">
        <f>IF(B1223="Лікар загальної практики - сімейний лікар"," ",IF(B1223="Лікар-педіатр","х",IF(B1223="Лікар-терапевт"," ",0)))</f>
        <v>0</v>
      </c>
      <c r="AF1225" s="199">
        <f>IF(B1223="Лікар загальної практики - сімейний лікар"," ",IF(B1223="Лікар-педіатр","х",IF(B1223="Лікар-терапевт"," ",0)))</f>
        <v>0</v>
      </c>
      <c r="AG1225" s="200">
        <f>SUM(AB1225:AF1225)</f>
        <v>0</v>
      </c>
      <c r="AH1225" s="930"/>
      <c r="AI1225" s="242"/>
      <c r="AJ1225" s="933"/>
      <c r="AK1225" s="927"/>
      <c r="AL1225" s="927"/>
      <c r="AM1225" s="902"/>
      <c r="AN1225" s="924"/>
      <c r="AO1225" s="924"/>
      <c r="AP1225" s="924"/>
      <c r="AQ1225" s="924"/>
      <c r="AR1225" s="915"/>
    </row>
    <row r="1226" spans="1:44" s="50" customFormat="1" ht="31.9" hidden="1" customHeight="1" thickBot="1">
      <c r="A1226" s="197"/>
      <c r="B1226" s="893"/>
      <c r="C1226" s="896"/>
      <c r="D1226" s="912"/>
      <c r="E1226" s="909"/>
      <c r="F1226" s="236" t="s">
        <v>349</v>
      </c>
      <c r="G1226" s="203">
        <f>IF($B$1223="Лікар-педіатр",G1225/L1225,IF($B$1223="Лікар-терапевт","х",IF($B$1223="Лікар загальної практики - сімейний лікар",G1225/L1225,0)))</f>
        <v>0</v>
      </c>
      <c r="H1226" s="203">
        <f>IF($B$1223="Лікар-педіатр",H1225/L1225,IF($B$1223="Лікар-терапевт","х",IF($B$1223="Лікар загальної практики - сімейний лікар",H1225/L1225,0)))</f>
        <v>0</v>
      </c>
      <c r="I1226" s="203">
        <f>IF($B$1223="Лікар-педіатр","x",IF($B$1223="Лікар-терапевт",I1225/L1225,IF($B$1223="Лікар загальної практики - сімейний лікар",I1225/L1225,0)))</f>
        <v>0</v>
      </c>
      <c r="J1226" s="203">
        <f>IF($B$1223="Лікар-педіатр","x",IF($B$1223="Лікар-терапевт",J1225/L1225,IF($B$1223="Лікар загальної практики - сімейний лікар",J1225/L1225,0)))</f>
        <v>0</v>
      </c>
      <c r="K1226" s="203">
        <f>IF($B$1223="Лікар-педіатр","x",IF($B$1223="Лікар-терапевт",K1225/L1225,IF($B$1223="Лікар загальної практики - сімейний лікар",K1225/L1225,0)))</f>
        <v>0</v>
      </c>
      <c r="L1226" s="203">
        <f>SUM(G1226:K1226)</f>
        <v>0</v>
      </c>
      <c r="M1226" s="930"/>
      <c r="N1226" s="203">
        <f>IF($B$1223="Лікар-педіатр",N1225/S1225,IF($B$1223="Лікар-терапевт","х",IF($B$1223="Лікар загальної практики - сімейний лікар",N1225/S1225,0)))</f>
        <v>0</v>
      </c>
      <c r="O1226" s="203">
        <f>IF($B$1223="Лікар-педіатр",O1225/S1225,IF($B$1223="Лікар-терапевт","х",IF($B$1223="Лікар загальної практики - сімейний лікар",O1225/S1225,0)))</f>
        <v>0</v>
      </c>
      <c r="P1226" s="203">
        <f>IF($B$1223="Лікар-педіатр","x",IF($B$1223="Лікар-терапевт",P1225/S1225,IF($B$1223="Лікар загальної практики - сімейний лікар",P1225/S1225,0)))</f>
        <v>0</v>
      </c>
      <c r="Q1226" s="203">
        <f>IF($B$1223="Лікар-педіатр","x",IF($B$1223="Лікар-терапевт",Q1225/S1225,IF($B$1223="Лікар загальної практики - сімейний лікар",Q1225/S1225,0)))</f>
        <v>0</v>
      </c>
      <c r="R1226" s="203">
        <f>IF($B$1223="Лікар-педіатр","x",IF($B$1223="Лікар-терапевт",R1225/S1225,IF($B$1223="Лікар загальної практики - сімейний лікар",R1225/S1225,0)))</f>
        <v>0</v>
      </c>
      <c r="S1226" s="203">
        <f>SUM(N1226:R1226)</f>
        <v>0</v>
      </c>
      <c r="T1226" s="930"/>
      <c r="U1226" s="203">
        <f>IF($B$1223="Лікар-педіатр",U1225/Z1225,IF($B$1223="Лікар-терапевт","х",IF($B$1223="Лікар загальної практики - сімейний лікар",U1225/Z1225,0)))</f>
        <v>0</v>
      </c>
      <c r="V1226" s="203">
        <f>IF($B$1223="Лікар-педіатр",V1225/Z1225,IF($B$1223="Лікар-терапевт","х",IF($B$1223="Лікар загальної практики - сімейний лікар",V1225/Z1225,0)))</f>
        <v>0</v>
      </c>
      <c r="W1226" s="203">
        <f>IF($B$1223="Лікар-педіатр","x",IF($B$1223="Лікар-терапевт",W1225/Z1225,IF($B$1223="Лікар загальної практики - сімейний лікар",W1225/Z1225,0)))</f>
        <v>0</v>
      </c>
      <c r="X1226" s="203">
        <f>IF($B$1223="Лікар-педіатр","x",IF($B$1223="Лікар-терапевт",X1225/Z1225,IF($B$1223="Лікар загальної практики - сімейний лікар",X1225/Z1225,0)))</f>
        <v>0</v>
      </c>
      <c r="Y1226" s="203">
        <f>IF($B$1223="Лікар-педіатр","x",IF($B$1223="Лікар-терапевт",Y1225/Z1225,IF($B$1223="Лікар загальної практики - сімейний лікар",Y1225/Z1225,0)))</f>
        <v>0</v>
      </c>
      <c r="Z1226" s="203">
        <f>SUM(U1226:Y1226)</f>
        <v>0</v>
      </c>
      <c r="AA1226" s="930"/>
      <c r="AB1226" s="203">
        <f>IF($B$1223="Лікар-педіатр",AB1225/AG1225,IF($B$1223="Лікар-терапевт","х",IF($B$1223="Лікар загальної практики - сімейний лікар",AB1225/AG1225,0)))</f>
        <v>0</v>
      </c>
      <c r="AC1226" s="203">
        <f>IF($B$1223="Лікар-педіатр",AC1225/AG1225,IF($B$1223="Лікар-терапевт","х",IF($B$1223="Лікар загальної практики - сімейний лікар",AC1225/AG1225,0)))</f>
        <v>0</v>
      </c>
      <c r="AD1226" s="203">
        <f>IF($B$1223="Лікар-педіатр","x",IF($B$1223="Лікар-терапевт",AD1225/AG1225,IF($B$1223="Лікар загальної практики - сімейний лікар",AD1225/AG1225,0)))</f>
        <v>0</v>
      </c>
      <c r="AE1226" s="203">
        <f>IF($B$1223="Лікар-педіатр","x",IF($B$1223="Лікар-терапевт",AE1225/AG1225,IF($B$1223="Лікар загальної практики - сімейний лікар",AE1225/AG1225,0)))</f>
        <v>0</v>
      </c>
      <c r="AF1226" s="203">
        <f>IF($B$1223="Лікар-педіатр","x",IF($B$1223="Лікар-терапевт",AF1225/AG1225,IF($B$1223="Лікар загальної практики - сімейний лікар",AF1225/AG1225,0)))</f>
        <v>0</v>
      </c>
      <c r="AG1226" s="203">
        <f>SUM(AB1226:AF1226)</f>
        <v>0</v>
      </c>
      <c r="AH1226" s="930"/>
      <c r="AI1226" s="201"/>
      <c r="AJ1226" s="933"/>
      <c r="AK1226" s="927"/>
      <c r="AL1226" s="927"/>
      <c r="AM1226" s="902"/>
      <c r="AN1226" s="924"/>
      <c r="AO1226" s="924"/>
      <c r="AP1226" s="924"/>
      <c r="AQ1226" s="924"/>
      <c r="AR1226" s="915"/>
    </row>
    <row r="1227" spans="1:44" s="50" customFormat="1" ht="45" hidden="1" customHeight="1" thickBot="1">
      <c r="A1227" s="197"/>
      <c r="B1227" s="893"/>
      <c r="C1227" s="896"/>
      <c r="D1227" s="912"/>
      <c r="E1227" s="909"/>
      <c r="F1227" s="204" t="s">
        <v>585</v>
      </c>
      <c r="G1227" s="205">
        <f>IF($B$1223="Лікар загальної практики - сімейний лікар",AVERAGE(G1223:G1225),IF($B$1223="Лікар-педіатр",AVERAGE(G1223:G1225),IF($B$1223="Лікар-терапевт","х",0)))</f>
        <v>0</v>
      </c>
      <c r="H1227" s="205">
        <f>IF($B$1223="Лікар загальної практики - сімейний лікар",AVERAGE(H1223:H1225),IF($B$1223="Лікар-педіатр",AVERAGE(H1223:H1225),IF($B$1223="Лікар-терапевт","х",0)))</f>
        <v>0</v>
      </c>
      <c r="I1227" s="205">
        <f>IF($B$1223="Лікар загальної практики - сімейний лікар",AVERAGE(I1223:I1225),IF($B$1223="Лікар-педіатр","x",IF($B$1223="Лікар-терапевт",AVERAGE(I1223:I1225),0)))</f>
        <v>0</v>
      </c>
      <c r="J1227" s="205">
        <f>IF($B$1223="Лікар загальної практики - сімейний лікар",AVERAGE(J1223:J1225),IF($B$1223="Лікар-педіатр","x",IF($B$1223="Лікар-терапевт",AVERAGE(J1223:J1225),0)))</f>
        <v>0</v>
      </c>
      <c r="K1227" s="205">
        <f>IF($B$1223="Лікар загальної практики - сімейний лікар",AVERAGE(K1223:K1225),IF($B$1223="Лікар-педіатр","x",IF($B$1223="Лікар-терапевт",AVERAGE(K1223:K1225),0)))</f>
        <v>0</v>
      </c>
      <c r="L1227" s="206">
        <f>SUM(G1227:K1227)</f>
        <v>0</v>
      </c>
      <c r="M1227" s="930"/>
      <c r="N1227" s="205">
        <f>IF($B$1223="Лікар загальної практики - сімейний лікар",AVERAGE(N1223:N1225),IF($B$1223="Лікар-педіатр",AVERAGE(N1223:N1225),IF($B$1223="Лікар-терапевт","х",0)))</f>
        <v>0</v>
      </c>
      <c r="O1227" s="205">
        <f>IF($B$1223="Лікар загальної практики - сімейний лікар",AVERAGE(O1223:O1225),IF($B$1223="Лікар-педіатр",AVERAGE(O1223:O1225),IF($B$1223="Лікар-терапевт","х",0)))</f>
        <v>0</v>
      </c>
      <c r="P1227" s="205">
        <f>IF($B$1223="Лікар загальної практики - сімейний лікар",AVERAGE(P1223:P1225),IF($B$1223="Лікар-педіатр","x",IF($B$1223="Лікар-терапевт",AVERAGE(P1223:P1225),0)))</f>
        <v>0</v>
      </c>
      <c r="Q1227" s="205">
        <f>IF($B$1223="Лікар загальної практики - сімейний лікар",AVERAGE(Q1223:Q1225),IF($B$1223="Лікар-педіатр","x",IF($B$1223="Лікар-терапевт",AVERAGE(Q1223:Q1225),0)))</f>
        <v>0</v>
      </c>
      <c r="R1227" s="205">
        <f>IF($B$1223="Лікар загальної практики - сімейний лікар",AVERAGE(R1223:R1225),IF($B$1223="Лікар-педіатр","x",IF($B$1223="Лікар-терапевт",AVERAGE(R1223:R1225),0)))</f>
        <v>0</v>
      </c>
      <c r="S1227" s="206">
        <f>SUM(N1227:R1227)</f>
        <v>0</v>
      </c>
      <c r="T1227" s="930"/>
      <c r="U1227" s="205">
        <f>IF($B$1223="Лікар загальної практики - сімейний лікар",AVERAGE(U1223:U1225),IF($B$1223="Лікар-педіатр",AVERAGE(U1223:U1225),IF($B$1223="Лікар-терапевт","х",0)))</f>
        <v>0</v>
      </c>
      <c r="V1227" s="205">
        <f>IF($B$1223="Лікар загальної практики - сімейний лікар",AVERAGE(V1223:V1225),IF($B$1223="Лікар-педіатр",AVERAGE(V1223:V1225),IF($B$1223="Лікар-терапевт","х",0)))</f>
        <v>0</v>
      </c>
      <c r="W1227" s="205">
        <f>IF($B$1223="Лікар загальної практики - сімейний лікар",AVERAGE(W1223:W1225),IF($B$1223="Лікар-педіатр","x",IF($B$1223="Лікар-терапевт",AVERAGE(W1223:W1225),0)))</f>
        <v>0</v>
      </c>
      <c r="X1227" s="205">
        <f>IF($B$1223="Лікар загальної практики - сімейний лікар",AVERAGE(X1223:X1225),IF($B$1223="Лікар-педіатр","x",IF($B$1223="Лікар-терапевт",AVERAGE(X1223:X1225),0)))</f>
        <v>0</v>
      </c>
      <c r="Y1227" s="205">
        <f>IF($B$1223="Лікар загальної практики - сімейний лікар",AVERAGE(Y1223:Y1225),IF($B$1223="Лікар-педіатр","x",IF($B$1223="Лікар-терапевт",AVERAGE(Y1223:Y1225),0)))</f>
        <v>0</v>
      </c>
      <c r="Z1227" s="206">
        <f>SUM(U1227:Y1227)</f>
        <v>0</v>
      </c>
      <c r="AA1227" s="930"/>
      <c r="AB1227" s="205">
        <f>IF($B$1223="Лікар загальної практики - сімейний лікар",AVERAGE(AB1223:AB1225),IF($B$1223="Лікар-педіатр",AVERAGE(AB1223:AB1225),IF($B$1223="Лікар-терапевт","х",0)))</f>
        <v>0</v>
      </c>
      <c r="AC1227" s="205">
        <f>IF($B$1223="Лікар загальної практики - сімейний лікар",AVERAGE(AC1223:AC1225),IF($B$1223="Лікар-педіатр",AVERAGE(AC1223:AC1225),IF($B$1223="Лікар-терапевт","х",0)))</f>
        <v>0</v>
      </c>
      <c r="AD1227" s="205">
        <f>IF($B$1223="Лікар загальної практики - сімейний лікар",AVERAGE(AD1223:AD1225),IF($B$1223="Лікар-педіатр","x",IF($B$1223="Лікар-терапевт",AVERAGE(AD1223:AD1225),0)))</f>
        <v>0</v>
      </c>
      <c r="AE1227" s="205">
        <f>IF($B$1223="Лікар загальної практики - сімейний лікар",AVERAGE(AE1223:AE1225),IF($B$1223="Лікар-педіатр","x",IF($B$1223="Лікар-терапевт",AVERAGE(AE1223:AE1225),0)))</f>
        <v>0</v>
      </c>
      <c r="AF1227" s="205">
        <f>IF($B$1223="Лікар загальної практики - сімейний лікар",AVERAGE(AF1223:AF1225),IF($B$1223="Лікар-педіатр","x",IF($B$1223="Лікар-терапевт",AVERAGE(AF1223:AF1225),0)))</f>
        <v>0</v>
      </c>
      <c r="AG1227" s="206">
        <f>SUM(AB1227:AF1227)</f>
        <v>0</v>
      </c>
      <c r="AH1227" s="930"/>
      <c r="AI1227" s="201"/>
      <c r="AJ1227" s="933"/>
      <c r="AK1227" s="927"/>
      <c r="AL1227" s="927"/>
      <c r="AM1227" s="903"/>
      <c r="AN1227" s="925"/>
      <c r="AO1227" s="925"/>
      <c r="AP1227" s="925"/>
      <c r="AQ1227" s="925"/>
      <c r="AR1227" s="916"/>
    </row>
    <row r="1228" spans="1:44" s="50" customFormat="1" ht="40.5" hidden="1">
      <c r="A1228" s="197"/>
      <c r="B1228" s="893"/>
      <c r="C1228" s="896"/>
      <c r="D1228" s="912"/>
      <c r="E1228" s="909"/>
      <c r="F1228" s="237" t="str">
        <f ca="1">IF(B1223="Лікар-педіатр",Законод!$C$17,IF(B1223="Лікар загальної практики - сімейний лікар",Законод!$C$21,IF(B1223="Лікар-терапевт",Законод!$C$25,"х")))</f>
        <v>х</v>
      </c>
      <c r="G1228" s="208">
        <f ca="1">IF($B$1223="Лікар загальної практики - сімейний лікар",IF(L1227&lt;=Законод!$C$22,G1227,Законод!$C$22*'01_Доходи'!G1226),IF($B$1223="Лікар-педіатр",IF(L1227&lt;=Законод!$C$18,G1227,Законод!$C$18*'01_Доходи'!G1226),IF($B$1223="Лікар-терапевт","x",0)))</f>
        <v>0</v>
      </c>
      <c r="H1228" s="208">
        <f ca="1">IF($B$1223="Лікар загальної практики - сімейний лікар",IF(L1227&lt;=Законод!$C$22,H1227,Законод!$C$22*'01_Доходи'!H1226),IF($B$1223="Лікар-педіатр",IF(L1227&lt;=Законод!$C$18,H1227,Законод!$C$18*'01_Доходи'!H1226),IF($B$1223="Лікар-терапевт","x",0)))</f>
        <v>0</v>
      </c>
      <c r="I1228" s="208">
        <f ca="1">IF($B$1223="Лікар загальної практики - сімейний лікар",IF(L1227&lt;=Законод!$C$22,I1227,Законод!$C$22*'01_Доходи'!I1226),IF($B$1223="Лікар-педіатр","x",IF($B$1223="Лікар-терапевт",IF(L1227&lt;=Законод!$C$26,I1227,Законод!$C$26*'01_Доходи'!I1226),0)))</f>
        <v>0</v>
      </c>
      <c r="J1228" s="208">
        <f ca="1">IF($B$1223="Лікар загальної практики - сімейний лікар",IF(L1227&lt;=Законод!$C$22,J1227,Законод!$C$22*'01_Доходи'!J1226),IF($B$1223="Лікар-педіатр","x",IF($B$1223="Лікар-терапевт",IF(L1227&lt;=Законод!$C$26,J1227,Законод!$C$26*'01_Доходи'!J1226),0)))</f>
        <v>0</v>
      </c>
      <c r="K1228" s="208">
        <f ca="1">IF($B$1223="Лікар загальної практики - сімейний лікар",IF(L1227&lt;=Законод!$C$22,K1227,Законод!$C$22*'01_Доходи'!K1226),IF($B$1223="Лікар-педіатр","x",IF($B$1223="Лікар-терапевт",IF(L1227&lt;=Законод!$C$26,K1227,Законод!$C$26*'01_Доходи'!K1226),0)))</f>
        <v>0</v>
      </c>
      <c r="L1228" s="209">
        <f ca="1">SUM(G1228:K1228)</f>
        <v>0</v>
      </c>
      <c r="M1228" s="930"/>
      <c r="N1228" s="208">
        <f ca="1">IF($B$1223="Лікар загальної практики - сімейний лікар",IF(S1227&lt;=Законод!$C$22,N1227,Законод!$C$22*'01_Доходи'!N1226),IF($B$1223="Лікар-педіатр",IF(S1227&lt;=Законод!$C$18,N1227,Законод!$C$18*'01_Доходи'!N1226),IF($B$1223="Лікар-терапевт","x",0)))</f>
        <v>0</v>
      </c>
      <c r="O1228" s="208">
        <f ca="1">IF($B$1223="Лікар загальної практики - сімейний лікар",IF(S1227&lt;=Законод!$C$22,O1227,Законод!$C$22*'01_Доходи'!O1226),IF($B$1223="Лікар-педіатр",IF(S1227&lt;=Законод!$C$18,O1227,Законод!$C$18*'01_Доходи'!O1226),IF($B$1223="Лікар-терапевт","x",0)))</f>
        <v>0</v>
      </c>
      <c r="P1228" s="208">
        <f ca="1">IF($B$1223="Лікар загальної практики - сімейний лікар",IF(S1227&lt;=Законод!$C$22,P1227,Законод!$C$22*'01_Доходи'!P1226),IF($B$1223="Лікар-педіатр","x",IF($B$1223="Лікар-терапевт",IF(S1227&lt;=Законод!$C$26,P1227,Законод!$C$26*'01_Доходи'!P1226),0)))</f>
        <v>0</v>
      </c>
      <c r="Q1228" s="208">
        <f ca="1">IF($B$1223="Лікар загальної практики - сімейний лікар",IF(S1227&lt;=Законод!$C$22,Q1227,Законод!$C$22*'01_Доходи'!Q1226),IF($B$1223="Лікар-педіатр","x",IF($B$1223="Лікар-терапевт",IF(S1227&lt;=Законод!$C$26,Q1227,Законод!$C$26*'01_Доходи'!Q1226),0)))</f>
        <v>0</v>
      </c>
      <c r="R1228" s="208">
        <f ca="1">IF($B$1223="Лікар загальної практики - сімейний лікар",IF(S1227&lt;=Законод!$C$22,R1227,Законод!$C$22*'01_Доходи'!R1226),IF($B$1223="Лікар-педіатр","x",IF($B$1223="Лікар-терапевт",IF(S1227&lt;=Законод!$C$26,R1227,Законод!$C$26*'01_Доходи'!R1226),0)))</f>
        <v>0</v>
      </c>
      <c r="S1228" s="209">
        <f ca="1">SUM(N1228:R1228)</f>
        <v>0</v>
      </c>
      <c r="T1228" s="930"/>
      <c r="U1228" s="208">
        <f ca="1">IF($B$1223="Лікар загальної практики - сімейний лікар",IF(Z1227&lt;=Законод!$C$22,U1227,Законод!$C$22*'01_Доходи'!U1226),IF($B$1223="Лікар-педіатр",IF(Z1227&lt;=Законод!$C$18,U1227,Законод!$C$18*'01_Доходи'!U1226),IF($B$1223="Лікар-терапевт","x",0)))</f>
        <v>0</v>
      </c>
      <c r="V1228" s="208">
        <f ca="1">IF($B$1223="Лікар загальної практики - сімейний лікар",IF(Z1227&lt;=Законод!$C$22,V1227,Законод!$C$22*'01_Доходи'!V1226),IF($B$1223="Лікар-педіатр",IF(Z1227&lt;=Законод!$C$18,V1227,Законод!$C$18*'01_Доходи'!V1226),IF($B$1223="Лікар-терапевт","x",0)))</f>
        <v>0</v>
      </c>
      <c r="W1228" s="208">
        <f ca="1">IF($B$1223="Лікар загальної практики - сімейний лікар",IF(Z1227&lt;=Законод!$C$22,W1227,Законод!$C$22*'01_Доходи'!W1226),IF($B$1223="Лікар-педіатр","x",IF($B$1223="Лікар-терапевт",IF(Z1227&lt;=Законод!$C$26,W1227,Законод!$C$26*'01_Доходи'!W1226),0)))</f>
        <v>0</v>
      </c>
      <c r="X1228" s="208">
        <f ca="1">IF($B$1223="Лікар загальної практики - сімейний лікар",IF(Z1227&lt;=Законод!$C$22,X1227,Законод!$C$22*'01_Доходи'!X1226),IF($B$1223="Лікар-педіатр","x",IF($B$1223="Лікар-терапевт",IF(Z1227&lt;=Законод!$C$26,X1227,Законод!$C$26*'01_Доходи'!X1226),0)))</f>
        <v>0</v>
      </c>
      <c r="Y1228" s="208">
        <f ca="1">IF($B$1223="Лікар загальної практики - сімейний лікар",IF(Z1227&lt;=Законод!$C$22,Y1227,Законод!$C$22*'01_Доходи'!Y1226),IF($B$1223="Лікар-педіатр","x",IF($B$1223="Лікар-терапевт",IF(Z1227&lt;=Законод!$C$26,Y1227,Законод!$C$26*'01_Доходи'!Y1226),0)))</f>
        <v>0</v>
      </c>
      <c r="Z1228" s="209">
        <f ca="1">SUM(U1228:Y1228)</f>
        <v>0</v>
      </c>
      <c r="AA1228" s="930"/>
      <c r="AB1228" s="208">
        <f ca="1">IF($B$1223="Лікар загальної практики - сімейний лікар",IF(AG1227&lt;=Законод!$C$22,AB1227,Законод!$C$22*'01_Доходи'!AB1226),IF($B$1223="Лікар-педіатр",IF(AG1227&lt;=Законод!$C$18,AB1227,Законод!$C$18*'01_Доходи'!AB1226),IF($B$1223="Лікар-терапевт","x",0)))</f>
        <v>0</v>
      </c>
      <c r="AC1228" s="208">
        <f ca="1">IF($B$1223="Лікар загальної практики - сімейний лікар",IF(AG1227&lt;=Законод!$C$22,AC1227,Законод!$C$22*'01_Доходи'!AC1226),IF($B$1223="Лікар-педіатр",IF(AG1227&lt;=Законод!$C$18,AC1227,Законод!$C$18*'01_Доходи'!AC1226),IF($B$1223="Лікар-терапевт","x",0)))</f>
        <v>0</v>
      </c>
      <c r="AD1228" s="208">
        <f ca="1">IF($B$1223="Лікар загальної практики - сімейний лікар",IF(AG1227&lt;=Законод!$C$22,AD1227,Законод!$C$22*'01_Доходи'!AD1226),IF($B$1223="Лікар-педіатр","x",IF($B$1223="Лікар-терапевт",IF(AG1227&lt;=Законод!$C$26,AD1227,Законод!$C$26*'01_Доходи'!AD1226),0)))</f>
        <v>0</v>
      </c>
      <c r="AE1228" s="208">
        <f ca="1">IF($B$1223="Лікар загальної практики - сімейний лікар",IF(AG1227&lt;=Законод!$C$22,AE1227,Законод!$C$22*'01_Доходи'!AE1226),IF($B$1223="Лікар-педіатр","x",IF($B$1223="Лікар-терапевт",IF(AG1227&lt;=Законод!$C$26,AE1227,Законод!$C$26*'01_Доходи'!AE1226),0)))</f>
        <v>0</v>
      </c>
      <c r="AF1228" s="208">
        <f ca="1">IF($B$1223="Лікар загальної практики - сімейний лікар",IF(AG1227&lt;=Законод!$C$22,AF1227,Законод!$C$22*'01_Доходи'!AF1226),IF($B$1223="Лікар-педіатр","x",IF($B$1223="Лікар-терапевт",IF(AG1227&lt;=Законод!$C$26,AF1227,Законод!$C$26*'01_Доходи'!AF1226),0)))</f>
        <v>0</v>
      </c>
      <c r="AG1228" s="209">
        <f ca="1">SUM(AB1228:AF1228)</f>
        <v>0</v>
      </c>
      <c r="AH1228" s="930"/>
      <c r="AI1228" s="201"/>
      <c r="AJ1228" s="933"/>
      <c r="AK1228" s="927"/>
      <c r="AL1228" s="927"/>
      <c r="AM1228" s="348" t="s">
        <v>374</v>
      </c>
      <c r="AN1228" s="210">
        <f ca="1">IF(B1223="Лікар загальної практики - сімейний лікар",G1228*Законод!$C$11+'01_Доходи'!H1228*Законод!$D$11+'01_Доходи'!I1228*Законод!$E$11+'01_Доходи'!J1228*Законод!$F$11+'01_Доходи'!K1228*Законод!$G$11,IF(B1223="Лікар-педіатр",G1228*Законод!$C$11+'01_Доходи'!H1228*Законод!$D$11,IF(B1223="Лікар-терапевт",'01_Доходи'!I1228*Законод!$E$11+'01_Доходи'!J1228*Законод!$F$11+'01_Доходи'!K1228*Законод!$G$11,0)))</f>
        <v>0</v>
      </c>
      <c r="AO1228" s="210">
        <f ca="1">IF(B1223="Лікар загальної практики - сімейний лікар",N1228*Законод!$C$11+'01_Доходи'!O1228*Законод!$D$11+'01_Доходи'!P1228*Законод!$E$11+'01_Доходи'!Q1228*Законод!$F$11+'01_Доходи'!R1228*Законод!$G$11,IF(B1223="Лікар-педіатр",N1228*Законод!$C$11+'01_Доходи'!O1228*Законод!$D$11,IF(B1223="Лікар-терапевт",'01_Доходи'!P1228*Законод!$E$11+'01_Доходи'!Q1228*Законод!$F$11+'01_Доходи'!R1228*Законод!$G$11,0)))</f>
        <v>0</v>
      </c>
      <c r="AP1228" s="210">
        <f ca="1">IF(B1223="Лікар загальної практики - сімейний лікар",U1228*Законод!$C$11+'01_Доходи'!V1228*Законод!$D$11+'01_Доходи'!W1228*Законод!$E$11+'01_Доходи'!X1228*Законод!$F$11+'01_Доходи'!Y1228*Законод!$G$11,IF(B1223="Лікар-педіатр",U1228*Законод!$C$11+'01_Доходи'!V1228*Законод!$D$11,IF(B1223="Лікар-терапевт",'01_Доходи'!W1228*Законод!$E$11+'01_Доходи'!X1228*Законод!$F$11+'01_Доходи'!Y1228*Законод!$G$11,0)))</f>
        <v>0</v>
      </c>
      <c r="AQ1228" s="210">
        <f ca="1">IF(B1223="Лікар загальної практики - сімейний лікар",AB1228*Законод!$C$11+'01_Доходи'!AC1228*Законод!$D$11+'01_Доходи'!AD1228*Законод!$E$11+'01_Доходи'!AE1228*Законод!$F$11+'01_Доходи'!AF1228*Законод!$G$11,IF(B1223="Лікар-педіатр",AB1228*Законод!$C$11+'01_Доходи'!AC1228*Законод!$D$11,IF(B1223="Лікар-терапевт",'01_Доходи'!AD1228*Законод!$E$11+'01_Доходи'!AE1228*Законод!$F$11+'01_Доходи'!AF1228*Законод!$G$11,0)))</f>
        <v>0</v>
      </c>
      <c r="AR1228" s="211">
        <f t="shared" ref="AR1228:AR1234" si="121">SUM(AN1228:AQ1228)</f>
        <v>0</v>
      </c>
    </row>
    <row r="1229" spans="1:44" s="50" customFormat="1" ht="31.9" hidden="1" customHeight="1">
      <c r="A1229" s="197"/>
      <c r="B1229" s="893"/>
      <c r="C1229" s="896"/>
      <c r="D1229" s="912"/>
      <c r="E1229" s="909"/>
      <c r="F1229" s="238" t="str">
        <f ca="1">IF(B1223="Лікар-педіатр",Законод!$E$17,IF(B1223="Лікар загальної практики - сімейний лікар",Законод!$E$21,IF(B1223="Лікар-терапевт",Законод!$E$25,"х")))</f>
        <v>х</v>
      </c>
      <c r="G1229" s="889" t="s">
        <v>346</v>
      </c>
      <c r="H1229" s="890"/>
      <c r="I1229" s="890"/>
      <c r="J1229" s="890"/>
      <c r="K1229" s="891"/>
      <c r="L1229" s="196">
        <f ca="1">IF($B$1223="Лікар загальної практики - сімейний лікар",IF(L1227&lt;Законод!$C$22,0,(IF(AND(L1227&gt;=Законод!$E$22,L1227&lt;=Законод!$E$23),L1227-Законод!$C$22,IF('01_Доходи'!L1227&gt;=Законод!$F$22,Законод!$E$24,0)))),IF($B$1223="Лікар-педіатр",IF(L1227&lt;Законод!$C$18,0,(IF(AND(L1227&gt;=Законод!$E$18,L1227&lt;=Законод!$E$19),L1227-Законод!$C$18,IF('01_Доходи'!L1227&gt;=Законод!$F$18,Законод!$E$20,0)))),IF($B$1223="Лікар-терапевт",IF(L1227&lt;Законод!$C$26,0,(IF(AND(L1227&gt;=Законод!$E$26,L1227&lt;=Законод!$E$27),L1227-Законод!$C$26,IF('01_Доходи'!L1227&gt;=Законод!$F$26,Законод!$E$28,0)))),0)))</f>
        <v>0</v>
      </c>
      <c r="M1229" s="930"/>
      <c r="N1229" s="889" t="s">
        <v>346</v>
      </c>
      <c r="O1229" s="890"/>
      <c r="P1229" s="890"/>
      <c r="Q1229" s="890"/>
      <c r="R1229" s="891"/>
      <c r="S1229" s="196">
        <f ca="1">IF($B$1223="Лікар загальної практики - сімейний лікар",IF(S1227&lt;Законод!$C$22,0,(IF(AND(S1227&gt;=Законод!$E$22,S1227&lt;=Законод!$E$23),S1227-Законод!$C$22,IF('01_Доходи'!S1227&gt;=Законод!$F$22,Законод!$E$24,0)))),IF($B$1223="Лікар-педіатр",IF(S1227&lt;Законод!$C$18,0,(IF(AND(S1227&gt;=Законод!$E$18,S1227&lt;=Законод!$E$19),S1227-Законод!$C$18,IF('01_Доходи'!S1227&gt;=Законод!$F$18,Законод!$E$20,0)))),IF($B$1223="Лікар-терапевт",IF(S1227&lt;Законод!$C$26,0,(IF(AND(S1227&gt;=Законод!$E$26,S1227&lt;=Законод!$E$27),S1227-Законод!$C$26,IF('01_Доходи'!S1227&gt;=Законод!$F$26,Законод!$E$28,0)))),0)))</f>
        <v>0</v>
      </c>
      <c r="T1229" s="930"/>
      <c r="U1229" s="889" t="s">
        <v>346</v>
      </c>
      <c r="V1229" s="890"/>
      <c r="W1229" s="890"/>
      <c r="X1229" s="890"/>
      <c r="Y1229" s="891"/>
      <c r="Z1229" s="196">
        <f ca="1">IF($B$1223="Лікар загальної практики - сімейний лікар",IF(Z1227&lt;Законод!$C$22,0,(IF(AND(Z1227&gt;=Законод!$E$22,Z1227&lt;=Законод!$E$23),Z1227-Законод!$C$22,IF('01_Доходи'!Z1227&gt;=Законод!$F$22,Законод!$E$24,0)))),IF($B$1223="Лікар-педіатр",IF(Z1227&lt;Законод!$C$18,0,(IF(AND(Z1227&gt;=Законод!$E$18,Z1227&lt;=Законод!$E$19),Z1227-Законод!$C$18,IF('01_Доходи'!Z1227&gt;=Законод!$F$18,Законод!$E$20,0)))),IF($B$1223="Лікар-терапевт",IF(Z1227&lt;Законод!$C$26,0,(IF(AND(Z1227&gt;=Законод!$E$26,Z1227&lt;=Законод!$E$27),Z1227-Законод!$C$26,IF('01_Доходи'!Z1227&gt;=Законод!$F$26,Законод!$E$28,0)))),0)))</f>
        <v>0</v>
      </c>
      <c r="AA1229" s="930"/>
      <c r="AB1229" s="889" t="s">
        <v>346</v>
      </c>
      <c r="AC1229" s="890"/>
      <c r="AD1229" s="890"/>
      <c r="AE1229" s="890"/>
      <c r="AF1229" s="891"/>
      <c r="AG1229" s="196">
        <f ca="1">IF($B$1223="Лікар загальної практики - сімейний лікар",IF(AG1227&lt;Законод!$C$22,0,(IF(AND(AG1227&gt;=Законод!$E$22,AG1227&lt;=Законод!$E$23),AG1227-Законод!$C$22,IF('01_Доходи'!AG1227&gt;=Законод!$F$22,Законод!$E$24,0)))),IF($B$1223="Лікар-педіатр",IF(AG1227&lt;Законод!$C$18,0,(IF(AND(AG1227&gt;=Законод!$E$18,AG1227&lt;=Законод!$E$19),AG1227-Законод!$C$18,IF('01_Доходи'!AG1227&gt;=Законод!$F$18,Законод!$E$20,0)))),IF($B$1223="Лікар-терапевт",IF(AG1227&lt;Законод!$C$26,0,(IF(AND(AG1227&gt;=Законод!$E$26,AG1227&lt;=Законод!$E$27),AG1227-Законод!$C$26,IF('01_Доходи'!AG1227&gt;=Законод!$F$26,Законод!$E$28,0)))),0)))</f>
        <v>0</v>
      </c>
      <c r="AH1229" s="930"/>
      <c r="AI1229" s="201"/>
      <c r="AJ1229" s="933"/>
      <c r="AK1229" s="927"/>
      <c r="AL1229" s="927"/>
      <c r="AM1229" s="898" t="s">
        <v>375</v>
      </c>
      <c r="AN1229" s="210">
        <f ca="1">IF(B1223="Лікар загальної практики - сімейний лікар",L1229*Законод!$C$9/4*Законод!$E$16,IF(B1223="Лікар-педіатр",L1229*Законод!$C$9/4*Законод!$E$16,IF(B1223="Лікар-терапевт",L1229*Законод!$C$9/4*Законод!$E$16,0)))</f>
        <v>0</v>
      </c>
      <c r="AO1229" s="210">
        <f ca="1">IF(B1223="Лікар загальної практики - сімейний лікар",S1229*Законод!$C$9/4*Законод!$E$16,IF(B1223="Лікар-педіатр",S1229*Законод!$C$9/4*Законод!$E$16,IF(B1223="Лікар-терапевт",S1229*Законод!$C$9/4*Законод!$E$16,0)))</f>
        <v>0</v>
      </c>
      <c r="AP1229" s="210">
        <f ca="1">IF(B1223="Лікар загальної практики - сімейний лікар",Z1229*Законод!$C$9/4*Законод!$E$16,IF(B1223="Лікар-педіатр",Z1229*Законод!$C$9/4*Законод!$E$16,IF(B1223="Лікар-терапевт",Z1229*Законод!$C$9/4*Законод!$E$16,0)))</f>
        <v>0</v>
      </c>
      <c r="AQ1229" s="210">
        <f ca="1">IF(B1223="Лікар загальної практики - сімейний лікар",AG1229*Законод!$C$9/4*Законод!$E$16,IF(B1223="Лікар-педіатр",AG1229*Законод!$C$9/4*Законод!$E$16,IF(B1223="Лікар-терапевт",AG1229*Законод!$C$9/4*Законод!$E$16,0)))</f>
        <v>0</v>
      </c>
      <c r="AR1229" s="211">
        <f t="shared" si="121"/>
        <v>0</v>
      </c>
    </row>
    <row r="1230" spans="1:44" s="50" customFormat="1" ht="31.9" hidden="1" customHeight="1">
      <c r="A1230" s="197"/>
      <c r="B1230" s="893"/>
      <c r="C1230" s="896"/>
      <c r="D1230" s="912"/>
      <c r="E1230" s="909"/>
      <c r="F1230" s="238" t="str">
        <f ca="1">IF(B1223="Лікар-педіатр",Законод!$F$17,IF(B1223="Лікар загальної практики - сімейний лікар",Законод!$F$21,IF(B1223="Лікар-терапевт",Законод!$F$25,"х")))</f>
        <v>х</v>
      </c>
      <c r="G1230" s="889" t="s">
        <v>346</v>
      </c>
      <c r="H1230" s="890"/>
      <c r="I1230" s="890"/>
      <c r="J1230" s="890"/>
      <c r="K1230" s="891"/>
      <c r="L1230" s="196">
        <f ca="1">IF($B$1223="Лікар загальної практики - сімейний лікар",IF(L1227&lt;Законод!$C$22,0,(IF(AND(L1227&gt;=Законод!$F$22,L1227&lt;=Законод!$F$23),L1227-Законод!$E$23,IF('01_Доходи'!L1227&gt;=Законод!$G$22,Законод!$F$24,0)))),IF($B$1223="Лікар-педіатр",IF(L1227&lt;Законод!$C$18,0,(IF(AND(L1227&gt;=Законод!$F$18,L1227&lt;=Законод!$F$19),L1227-Законод!$E$19,IF('01_Доходи'!L1227&gt;=Законод!$G$18,Законод!$F$20,0)))),IF($B$1223="Лікар-терапевт",IF(L1227&lt;Законод!$C$26,0,(IF(AND(L1227&gt;=Законод!$F$26,L1227&lt;=Законод!$F$27),L1227-Законод!$E$27,IF('01_Доходи'!L1227&gt;=Законод!$G$26,Законод!$F$28,0)))),0)))</f>
        <v>0</v>
      </c>
      <c r="M1230" s="930"/>
      <c r="N1230" s="889" t="s">
        <v>346</v>
      </c>
      <c r="O1230" s="890"/>
      <c r="P1230" s="890"/>
      <c r="Q1230" s="890"/>
      <c r="R1230" s="891"/>
      <c r="S1230" s="196">
        <f ca="1">IF($B$1223="Лікар загальної практики - сімейний лікар",IF(S1227&lt;Законод!$C$22,0,(IF(AND(S1227&gt;=Законод!$F$22,S1227&lt;=Законод!$F$23),S1227-Законод!$E$23,IF('01_Доходи'!S1227&gt;=Законод!$G$22,Законод!$F$24,0)))),IF($B$1223="Лікар-педіатр",IF(S1227&lt;Законод!$C$18,0,(IF(AND(S1227&gt;=Законод!$F$18,S1227&lt;=Законод!$F$19),S1227-Законод!$E$19,IF('01_Доходи'!S1227&gt;=Законод!$G$18,Законод!$F$20,0)))),IF($B$1223="Лікар-терапевт",IF(S1227&lt;Законод!$C$26,0,(IF(AND(S1227&gt;=Законод!$F$26,S1227&lt;=Законод!$F$27),S1227-Законод!$E$27,IF('01_Доходи'!S1227&gt;=Законод!$G$26,Законод!$F$28,0)))),0)))</f>
        <v>0</v>
      </c>
      <c r="T1230" s="930"/>
      <c r="U1230" s="889" t="s">
        <v>346</v>
      </c>
      <c r="V1230" s="890"/>
      <c r="W1230" s="890"/>
      <c r="X1230" s="890"/>
      <c r="Y1230" s="891"/>
      <c r="Z1230" s="196">
        <f ca="1">IF($B$1223="Лікар загальної практики - сімейний лікар",IF(Z1227&lt;Законод!$C$22,0,(IF(AND(Z1227&gt;=Законод!$F$22,Z1227&lt;=Законод!$F$23),Z1227-Законод!$E$23,IF('01_Доходи'!Z1227&gt;=Законод!$G$22,Законод!$F$24,0)))),IF($B$1223="Лікар-педіатр",IF(Z1227&lt;Законод!$C$18,0,(IF(AND(Z1227&gt;=Законод!$F$18,Z1227&lt;=Законод!$F$19),Z1227-Законод!$E$19,IF('01_Доходи'!Z1227&gt;=Законод!$G$18,Законод!$F$20,0)))),IF($B$1223="Лікар-терапевт",IF(Z1227&lt;Законод!$C$26,0,(IF(AND(Z1227&gt;=Законод!$F$26,Z1227&lt;=Законод!$F$27),Z1227-Законод!$E$27,IF('01_Доходи'!Z1227&gt;=Законод!$G$26,Законод!$F$28,0)))),0)))</f>
        <v>0</v>
      </c>
      <c r="AA1230" s="930"/>
      <c r="AB1230" s="889" t="s">
        <v>346</v>
      </c>
      <c r="AC1230" s="890"/>
      <c r="AD1230" s="890"/>
      <c r="AE1230" s="890"/>
      <c r="AF1230" s="891"/>
      <c r="AG1230" s="196">
        <f ca="1">IF($B$1223="Лікар загальної практики - сімейний лікар",IF(AG1227&lt;Законод!$C$22,0,(IF(AND(AG1227&gt;=Законод!$F$22,AG1227&lt;=Законод!$F$23),AG1227-Законод!$E$23,IF('01_Доходи'!AG1227&gt;=Законод!$G$22,Законод!$F$24,0)))),IF($B$1223="Лікар-педіатр",IF(AG1227&lt;Законод!$C$18,0,(IF(AND(AG1227&gt;=Законод!$F$18,AG1227&lt;=Законод!$F$19),AG1227-Законод!$E$19,IF('01_Доходи'!AG1227&gt;=Законод!$G$18,Законод!$F$20,0)))),IF($B$1223="Лікар-терапевт",IF(AG1227&lt;Законод!$C$26,0,(IF(AND(AG1227&gt;=Законод!$F$26,AG1227&lt;=Законод!$F$27),AG1227-Законод!$E$27,IF('01_Доходи'!AG1227&gt;=Законод!$G$26,Законод!$F$28,0)))),0)))</f>
        <v>0</v>
      </c>
      <c r="AH1230" s="930"/>
      <c r="AI1230" s="201"/>
      <c r="AJ1230" s="933"/>
      <c r="AK1230" s="927"/>
      <c r="AL1230" s="927"/>
      <c r="AM1230" s="899"/>
      <c r="AN1230" s="210">
        <f ca="1">IF(B1223="Лікар загальної практики - сімейний лікар",L1230*Законод!$C$9/4*Законод!$F$16,IF(B1223="Лікар-педіатр",L1230*Законод!$C$9/4*Законод!$F$16,IF(B1223="Лікар-терапевт",L1230*Законод!$C$9/4*Законод!$F$16,0)))</f>
        <v>0</v>
      </c>
      <c r="AO1230" s="210">
        <f ca="1">IF(B1223="Лікар загальної практики - сімейний лікар",S1230*Законод!$C$9/4*Законод!$F$16,IF(B1223="Лікар-педіатр",S1230*Законод!$C$9/4*Законод!$F$16,IF(B1223="Лікар-терапевт",S1230*Законод!$C$9/4*Законод!$F$16,0)))</f>
        <v>0</v>
      </c>
      <c r="AP1230" s="210">
        <f ca="1">IF(B1223="Лікар загальної практики - сімейний лікар",Z1230*Законод!$C$9/4*Законод!$F$16,IF(B1223="Лікар-педіатр",Z1230*Законод!$C$9/4*Законод!$F$16,IF(B1223="Лікар-терапевт",Z1230*Законод!$C$9/4*Законод!$F$16,0)))</f>
        <v>0</v>
      </c>
      <c r="AQ1230" s="210">
        <f ca="1">IF(B1223="Лікар загальної практики - сімейний лікар",AG1230*Законод!$C$9/4*Законод!$F$16,IF(B1223="Лікар-педіатр",AG1230*Законод!$C$9/4*Законод!$F$16,IF(B1223="Лікар-терапевт",AG1230*Законод!$C$9/4*Законод!$F$16,0)))</f>
        <v>0</v>
      </c>
      <c r="AR1230" s="211">
        <f t="shared" si="121"/>
        <v>0</v>
      </c>
    </row>
    <row r="1231" spans="1:44" s="50" customFormat="1" ht="31.9" hidden="1" customHeight="1">
      <c r="A1231" s="197"/>
      <c r="B1231" s="893"/>
      <c r="C1231" s="896"/>
      <c r="D1231" s="912"/>
      <c r="E1231" s="909"/>
      <c r="F1231" s="238" t="str">
        <f ca="1">IF(B1223="Лікар-педіатр",Законод!$G$17,IF(B1223="Лікар загальної практики - сімейний лікар",Законод!$G$21,IF(B1223="Лікар-терапевт",Законод!$G$25,"х")))</f>
        <v>х</v>
      </c>
      <c r="G1231" s="889" t="s">
        <v>346</v>
      </c>
      <c r="H1231" s="890"/>
      <c r="I1231" s="890"/>
      <c r="J1231" s="890"/>
      <c r="K1231" s="891"/>
      <c r="L1231" s="196">
        <f ca="1">IF($B$1223="Лікар загальної практики - сімейний лікар",IF(L1227&lt;Законод!$C$22,0,(IF(AND(L1227&gt;=Законод!$G$22,L1227&lt;=Законод!$G$23),L1227-Законод!$F$23,IF('01_Доходи'!L1227&gt;=Законод!$H$22,Законод!$G$24,0)))),IF($B$1223="Лікар-педіатр",IF(L1227&lt;Законод!$C$18,0,(IF(AND(L1227&gt;=Законод!$G$18,L1227&lt;=Законод!$G$19),L1227-Законод!$F$19,IF('01_Доходи'!L1227&gt;=Законод!$H$18,Законод!$G$20,0)))),IF($B$1223="Лікар-терапевт",IF(L1227&lt;Законод!$C$26,0,(IF(AND(L1227&gt;=Законод!$G$26,L1227&lt;=Законод!$G$27),L1227-Законод!$F$27,IF('01_Доходи'!L1227&gt;=Законод!$H$26,Законод!$G$28,0)))),0)))</f>
        <v>0</v>
      </c>
      <c r="M1231" s="930"/>
      <c r="N1231" s="889" t="s">
        <v>346</v>
      </c>
      <c r="O1231" s="890"/>
      <c r="P1231" s="890"/>
      <c r="Q1231" s="890"/>
      <c r="R1231" s="891"/>
      <c r="S1231" s="196">
        <f ca="1">IF($B$1223="Лікар загальної практики - сімейний лікар",IF(S1227&lt;Законод!$C$22,0,(IF(AND(S1227&gt;=Законод!$G$22,S1227&lt;=Законод!$G$23),S1227-Законод!$F$23,IF('01_Доходи'!S1227&gt;=Законод!$H$22,Законод!$G$24,0)))),IF($B$1223="Лікар-педіатр",IF(S1227&lt;Законод!$C$18,0,(IF(AND(S1227&gt;=Законод!$G$18,S1227&lt;=Законод!$G$19),S1227-Законод!$F$19,IF('01_Доходи'!S1227&gt;=Законод!$H$18,Законод!$G$20,0)))),IF($B$1223="Лікар-терапевт",IF(S1227&lt;Законод!$C$26,0,(IF(AND(S1227&gt;=Законод!$G$26,S1227&lt;=Законод!$G$27),S1227-Законод!$F$27,IF('01_Доходи'!S1227&gt;=Законод!$H$26,Законод!$G$28,0)))),0)))</f>
        <v>0</v>
      </c>
      <c r="T1231" s="930"/>
      <c r="U1231" s="889" t="s">
        <v>346</v>
      </c>
      <c r="V1231" s="890"/>
      <c r="W1231" s="890"/>
      <c r="X1231" s="890"/>
      <c r="Y1231" s="891"/>
      <c r="Z1231" s="196">
        <f ca="1">IF($B$1223="Лікар загальної практики - сімейний лікар",IF(Z1227&lt;Законод!$C$22,0,(IF(AND(Z1227&gt;=Законод!$G$22,Z1227&lt;=Законод!$G$23),Z1227-Законод!$F$23,IF('01_Доходи'!Z1227&gt;=Законод!$H$22,Законод!$G$24,0)))),IF($B$1223="Лікар-педіатр",IF(Z1227&lt;Законод!$C$18,0,(IF(AND(Z1227&gt;=Законод!$G$18,Z1227&lt;=Законод!$G$19),Z1227-Законод!$F$19,IF('01_Доходи'!Z1227&gt;=Законод!$H$18,Законод!$G$20,0)))),IF($B$1223="Лікар-терапевт",IF(Z1227&lt;Законод!$C$26,0,(IF(AND(Z1227&gt;=Законод!$G$26,Z1227&lt;=Законод!$G$27),Z1227-Законод!$F$27,IF('01_Доходи'!Z1227&gt;=Законод!$H$26,Законод!$G$28,0)))),0)))</f>
        <v>0</v>
      </c>
      <c r="AA1231" s="930"/>
      <c r="AB1231" s="889" t="s">
        <v>346</v>
      </c>
      <c r="AC1231" s="890"/>
      <c r="AD1231" s="890"/>
      <c r="AE1231" s="890"/>
      <c r="AF1231" s="891"/>
      <c r="AG1231" s="196">
        <f ca="1">IF($B$1223="Лікар загальної практики - сімейний лікар",IF(AG1227&lt;Законод!$C$22,0,(IF(AND(AG1227&gt;=Законод!$G$22,AG1227&lt;=Законод!$G$23),AG1227-Законод!$F$23,IF('01_Доходи'!AG1227&gt;=Законод!$H$22,Законод!$G$24,0)))),IF($B$1223="Лікар-педіатр",IF(AG1227&lt;Законод!$C$18,0,(IF(AND(AG1227&gt;=Законод!$G$18,AG1227&lt;=Законод!$G$19),AG1227-Законод!$F$19,IF('01_Доходи'!AG1227&gt;=Законод!$H$18,Законод!$G$20,0)))),IF($B$1223="Лікар-терапевт",IF(AG1227&lt;Законод!$C$26,0,(IF(AND(AG1227&gt;=Законод!$G$26,AG1227&lt;=Законод!$G$27),AG1227-Законод!$F$27,IF('01_Доходи'!AG1227&gt;=Законод!$H$26,Законод!$G$28,0)))),0)))</f>
        <v>0</v>
      </c>
      <c r="AH1231" s="930"/>
      <c r="AI1231" s="201"/>
      <c r="AJ1231" s="933"/>
      <c r="AK1231" s="927"/>
      <c r="AL1231" s="927"/>
      <c r="AM1231" s="899"/>
      <c r="AN1231" s="210">
        <f ca="1">IF(B1223="Лікар загальної практики - сімейний лікар",L1231*Законод!$C$9/4*Законод!$G$16,IF(B1223="Лікар-педіатр",L1231*Законод!$C$9/4*Законод!$G$16,IF(B1223="Лікар-терапевт",L1231*Законод!$C$9/4*Законод!$G$16,0)))</f>
        <v>0</v>
      </c>
      <c r="AO1231" s="210">
        <f ca="1">IF(B1223="Лікар загальної практики - сімейний лікар",S1231*Законод!$C$9/4*Законод!$G$16,IF(B1223="Лікар-педіатр",S1231*Законод!$C$9/4*Законод!$G$16,IF(B1223="Лікар-терапевт",S1231*Законод!$C$9/4*Законод!$G$16,0)))</f>
        <v>0</v>
      </c>
      <c r="AP1231" s="210">
        <f ca="1">IF(B1223="Лікар загальної практики - сімейний лікар",Z1231*Законод!$C$9/4*Законод!$G$16,IF(B1223="Лікар-педіатр",Z1231*Законод!$C$9/4*Законод!$G$16,IF(B1223="Лікар-терапевт",Z1231*Законод!$C$9/4*Законод!$G$16,0)))</f>
        <v>0</v>
      </c>
      <c r="AQ1231" s="210">
        <f ca="1">IF(B1223="Лікар загальної практики - сімейний лікар",AG1231*Законод!$C$9/4*Законод!$G$16,IF(B1223="Лікар-педіатр",AG1231*Законод!$C$9/4*Законод!$G$16,IF(B1223="Лікар-терапевт",AG1231*Законод!$C$9/4*Законод!$G$16,0)))</f>
        <v>0</v>
      </c>
      <c r="AR1231" s="211">
        <f t="shared" si="121"/>
        <v>0</v>
      </c>
    </row>
    <row r="1232" spans="1:44" s="50" customFormat="1" ht="31.9" hidden="1" customHeight="1">
      <c r="A1232" s="197"/>
      <c r="B1232" s="893"/>
      <c r="C1232" s="896"/>
      <c r="D1232" s="912"/>
      <c r="E1232" s="909"/>
      <c r="F1232" s="238" t="str">
        <f ca="1">IF(B1223="Лікар-педіатр",Законод!$H$17,IF(B1223="Лікар загальної практики - сімейний лікар",Законод!$H$21,IF(B1223="Лікар-терапевт",Законод!$H$25,"х")))</f>
        <v>х</v>
      </c>
      <c r="G1232" s="889" t="s">
        <v>346</v>
      </c>
      <c r="H1232" s="890"/>
      <c r="I1232" s="890"/>
      <c r="J1232" s="890"/>
      <c r="K1232" s="891"/>
      <c r="L1232" s="196">
        <f ca="1">IF($B$1223="Лікар загальної практики - сімейний лікар",IF(L1227&lt;Законод!$C$22,0,(IF(AND(L1227&gt;=Законод!$H$22,L1227&lt;=Законод!$H$23),L1227-Законод!$G$23,IF('01_Доходи'!L1227&gt;=Законод!$I$22,Законод!$H$24,0)))),IF($B$1223="Лікар-педіатр",IF(L1227&lt;Законод!$C$18,0,(IF(AND(L1227&gt;=Законод!$H$18,L1227&lt;=Законод!$H$19),L1227-Законод!$G$19,IF('01_Доходи'!L1227&gt;=Законод!$I$18,Законод!$H$20,0)))),IF($B$1223="Лікар-терапевт",IF(L1227&lt;Законод!$C$26,0,(IF(AND(L1227&gt;=Законод!$H$26,L1227&lt;=Законод!$H$27),L1227-Законод!$G$27,IF(L1227&gt;=Законод!$I$26,Законод!$H$28,0)))),0)))</f>
        <v>0</v>
      </c>
      <c r="M1232" s="930"/>
      <c r="N1232" s="889" t="s">
        <v>346</v>
      </c>
      <c r="O1232" s="890"/>
      <c r="P1232" s="890"/>
      <c r="Q1232" s="890"/>
      <c r="R1232" s="891"/>
      <c r="S1232" s="196">
        <f ca="1">IF($B$1223="Лікар загальної практики - сімейний лікар",IF(S1227&lt;Законод!$C$22,0,(IF(AND(S1227&gt;=Законод!$H$22,S1227&lt;=Законод!$H$23),S1227-Законод!$G$23,IF('01_Доходи'!S1227&gt;=Законод!$I$22,Законод!$H$24,0)))),IF($B$1223="Лікар-педіатр",IF(S1227&lt;Законод!$C$18,0,(IF(AND(S1227&gt;=Законод!$H$18,S1227&lt;=Законод!$H$19),S1227-Законод!$G$19,IF('01_Доходи'!S1227&gt;=Законод!$I$18,Законод!$H$20,0)))),IF($B$1223="Лікар-терапевт",IF(S1227&lt;Законод!$C$26,0,(IF(AND(S1227&gt;=Законод!$H$26,S1227&lt;=Законод!$H$27),S1227-Законод!$G$27,IF(S1227&gt;=Законод!$I$26,Законод!$H$28,0)))),0)))</f>
        <v>0</v>
      </c>
      <c r="T1232" s="930"/>
      <c r="U1232" s="889" t="s">
        <v>346</v>
      </c>
      <c r="V1232" s="890"/>
      <c r="W1232" s="890"/>
      <c r="X1232" s="890"/>
      <c r="Y1232" s="891"/>
      <c r="Z1232" s="196">
        <f ca="1">IF($B$1223="Лікар загальної практики - сімейний лікар",IF(Z1227&lt;Законод!$C$22,0,(IF(AND(Z1227&gt;=Законод!$H$22,Z1227&lt;=Законод!$H$23),Z1227-Законод!$G$23,IF('01_Доходи'!Z1227&gt;=Законод!$I$22,Законод!$H$24,0)))),IF($B$1223="Лікар-педіатр",IF(Z1227&lt;Законод!$C$18,0,(IF(AND(Z1227&gt;=Законод!$H$18,Z1227&lt;=Законод!$H$19),Z1227-Законод!$G$19,IF('01_Доходи'!Z1227&gt;=Законод!$I$18,Законод!$H$20,0)))),IF($B$1223="Лікар-терапевт",IF(Z1227&lt;Законод!$C$26,0,(IF(AND(Z1227&gt;=Законод!$H$26,Z1227&lt;=Законод!$H$27),Z1227-Законод!$G$27,IF(Z1227&gt;=Законод!$I$26,Законод!$H$28,0)))),0)))</f>
        <v>0</v>
      </c>
      <c r="AA1232" s="930"/>
      <c r="AB1232" s="889" t="s">
        <v>346</v>
      </c>
      <c r="AC1232" s="890"/>
      <c r="AD1232" s="890"/>
      <c r="AE1232" s="890"/>
      <c r="AF1232" s="891"/>
      <c r="AG1232" s="196">
        <f ca="1">IF($B$1223="Лікар загальної практики - сімейний лікар",IF(AG1227&lt;Законод!$C$22,0,(IF(AND(AG1227&gt;=Законод!$H$22,AG1227&lt;=Законод!$H$23),AG1227-Законод!$G$23,IF('01_Доходи'!AG1227&gt;=Законод!$I$22,Законод!$H$24,0)))),IF($B$1223="Лікар-педіатр",IF(AG1227&lt;Законод!$C$18,0,(IF(AND(AG1227&gt;=Законод!$H$18,AG1227&lt;=Законод!$H$19),AG1227-Законод!$G$19,IF('01_Доходи'!AG1227&gt;=Законод!$I$18,Законод!$H$20,0)))),IF($B$1223="Лікар-терапевт",IF(AG1227&lt;Законод!$C$26,0,(IF(AND(AG1227&gt;=Законод!$H$26,AG1227&lt;=Законод!$H$27),AG1227-Законод!$G$27,IF(AG1227&gt;=Законод!$I$26,Законод!$H$28,0)))),0)))</f>
        <v>0</v>
      </c>
      <c r="AH1232" s="930"/>
      <c r="AI1232" s="201"/>
      <c r="AJ1232" s="933"/>
      <c r="AK1232" s="927"/>
      <c r="AL1232" s="927"/>
      <c r="AM1232" s="899"/>
      <c r="AN1232" s="210">
        <f ca="1">IF(B1223="Лікар загальної практики - сімейний лікар",L1232*Законод!$C$9/4*Законод!$H$16,IF(B1223="Лікар-педіатр",L1232*Законод!$C$9/4*Законод!$H$16,IF(B1223="Лікар-терапевт",L1232*Законод!$C$9/4*Законод!$H$16,0)))</f>
        <v>0</v>
      </c>
      <c r="AO1232" s="210">
        <f ca="1">IF(B1223="Лікар загальної практики - сімейний лікар",S1232*Законод!$C$9/4*Законод!$H$16,IF(B1223="Лікар-педіатр",S1232*Законод!$C$9/4*Законод!$H$16,IF(B1223="Лікар-терапевт",S1232*Законод!$C$9/4*Законод!$H$16,0)))</f>
        <v>0</v>
      </c>
      <c r="AP1232" s="210">
        <f ca="1">IF(B1223="Лікар загальної практики - сімейний лікар",Z1232*Законод!$C$9/4*Законод!$H$16,IF(B1223="Лікар-педіатр",Z1232*Законод!$C$9/4*Законод!$H$16,IF(B1223="Лікар-терапевт",Z1232*Законод!$C$9/4*Законод!$H$16,0)))</f>
        <v>0</v>
      </c>
      <c r="AQ1232" s="210">
        <f ca="1">IF(B1223="Лікар загальної практики - сімейний лікар",AG1232*Законод!$C$9/4*Законод!$H$16,IF(B1223="Лікар-педіатр",AG1232*Законод!$C$9/4*Законод!$H$16,IF(B1223="Лікар-терапевт",AG1232*Законод!$C$9/4*Законод!$H$16,0)))</f>
        <v>0</v>
      </c>
      <c r="AR1232" s="211">
        <f t="shared" si="121"/>
        <v>0</v>
      </c>
    </row>
    <row r="1233" spans="1:44" s="50" customFormat="1" ht="31.9" hidden="1" customHeight="1">
      <c r="A1233" s="197"/>
      <c r="B1233" s="893"/>
      <c r="C1233" s="896"/>
      <c r="D1233" s="912"/>
      <c r="E1233" s="909"/>
      <c r="F1233" s="238" t="str">
        <f ca="1">IF(B1223="Лікар-педіатр",Законод!$I$17,IF(B1223="Лікар загальної практики - сімейний лікар",Законод!$I$21,IF(B1223="Лікар-терапевт",Законод!$I$25,"х")))</f>
        <v>х</v>
      </c>
      <c r="G1233" s="889" t="s">
        <v>346</v>
      </c>
      <c r="H1233" s="890"/>
      <c r="I1233" s="890"/>
      <c r="J1233" s="890"/>
      <c r="K1233" s="891"/>
      <c r="L1233" s="196">
        <f ca="1">IF($B$1223="Лікар загальної практики - сімейний лікар",IF(L1227&lt;Законод!$C$22,0,(IF(AND(L1227&gt;=Законод!$I$22,L1227&lt;=Законод!$I$23),L1227-Законод!$H$23,IF('01_Доходи'!L1227&gt;=Законод!$I$22,Законод!$I$24,0)))),IF($B$1223="Лікар-педіатр",IF(L1227&lt;Законод!$C$18,0,(IF(AND(L1227&gt;=Законод!$I$18,L1227&lt;=Законод!$I$19),L1227-Законод!$H$19,IF('01_Доходи'!L1227&gt;=Законод!$I$18,Законод!$H$20,0)))),IF($B$1223="Лікар-терапевт",IF(L1227&lt;Законод!$C$26,0,(IF(AND(L1227&gt;=Законод!$I$26,L1227&lt;=Законод!$I$27),L1227-Законод!$H$27,IF('01_Доходи'!L1227&gt;=Законод!$I$26,Законод!$H$28,0)))),0)))</f>
        <v>0</v>
      </c>
      <c r="M1233" s="930"/>
      <c r="N1233" s="889" t="s">
        <v>346</v>
      </c>
      <c r="O1233" s="890"/>
      <c r="P1233" s="890"/>
      <c r="Q1233" s="890"/>
      <c r="R1233" s="891"/>
      <c r="S1233" s="196">
        <f ca="1">IF($B$1223="Лікар загальної практики - сімейний лікар",IF(S1227&lt;Законод!$C$22,0,(IF(AND(S1227&gt;=Законод!$I$22,S1227&lt;=Законод!$I$23),S1227-Законод!$H$23,IF('01_Доходи'!S1227&gt;=Законод!$I$22,Законод!$I$24,0)))),IF($B$1223="Лікар-педіатр",IF(S1227&lt;Законод!$C$18,0,(IF(AND(S1227&gt;=Законод!$I$18,S1227&lt;=Законод!$I$19),S1227-Законод!$H$19,IF('01_Доходи'!S1227&gt;=Законод!$I$18,Законод!$H$20,0)))),IF($B$1223="Лікар-терапевт",IF(S1227&lt;Законод!$C$26,0,(IF(AND(S1227&gt;=Законод!$I$26,S1227&lt;=Законод!$I$27),S1227-Законод!$H$27,IF('01_Доходи'!S1227&gt;=Законод!$I$26,Законод!$H$28,0)))),0)))</f>
        <v>0</v>
      </c>
      <c r="T1233" s="930"/>
      <c r="U1233" s="889" t="s">
        <v>346</v>
      </c>
      <c r="V1233" s="890"/>
      <c r="W1233" s="890"/>
      <c r="X1233" s="890"/>
      <c r="Y1233" s="891"/>
      <c r="Z1233" s="196">
        <f ca="1">IF($B$1223="Лікар загальної практики - сімейний лікар",IF(Z1227&lt;Законод!$C$22,0,(IF(AND(Z1227&gt;=Законод!$I$22,Z1227&lt;=Законод!$I$23),Z1227-Законод!$H$23,IF('01_Доходи'!Z1227&gt;=Законод!$I$22,Законод!$I$24,0)))),IF($B$1223="Лікар-педіатр",IF(Z1227&lt;Законод!$C$18,0,(IF(AND(Z1227&gt;=Законод!$I$18,Z1227&lt;=Законод!$I$19),Z1227-Законод!$H$19,IF('01_Доходи'!Z1227&gt;=Законод!$I$18,Законод!$H$20,0)))),IF($B$1223="Лікар-терапевт",IF(Z1227&lt;Законод!$C$26,0,(IF(AND(Z1227&gt;=Законод!$I$26,Z1227&lt;=Законод!$I$27),Z1227-Законод!$H$27,IF('01_Доходи'!Z1227&gt;=Законод!$I$26,Законод!$H$28,0)))),0)))</f>
        <v>0</v>
      </c>
      <c r="AA1233" s="930"/>
      <c r="AB1233" s="889" t="s">
        <v>346</v>
      </c>
      <c r="AC1233" s="890"/>
      <c r="AD1233" s="890"/>
      <c r="AE1233" s="890"/>
      <c r="AF1233" s="891"/>
      <c r="AG1233" s="196">
        <f ca="1">IF($B$1223="Лікар загальної практики - сімейний лікар",IF(AG1227&lt;Законод!$C$22,0,(IF(AND(AG1227&gt;=Законод!$I$22,AG1227&lt;=Законод!$I$23),AG1227-Законод!$H$23,IF('01_Доходи'!AG1227&gt;=Законод!$I$22,Законод!$I$24,0)))),IF($B$1223="Лікар-педіатр",IF(AG1227&lt;Законод!$C$18,0,(IF(AND(AG1227&gt;=Законод!$I$18,AG1227&lt;=Законод!$I$19),AG1227-Законод!$H$19,IF('01_Доходи'!AG1227&gt;=Законод!$I$18,Законод!$H$20,0)))),IF($B$1223="Лікар-терапевт",IF(AG1227&lt;Законод!$C$26,0,(IF(AND(AG1227&gt;=Законод!$I$26,AG1227&lt;=Законод!$I$27),AG1227-Законод!$H$27,IF('01_Доходи'!AG1227&gt;=Законод!$I$26,Законод!$H$28,0)))),0)))</f>
        <v>0</v>
      </c>
      <c r="AH1233" s="930"/>
      <c r="AI1233" s="201"/>
      <c r="AJ1233" s="933"/>
      <c r="AK1233" s="927"/>
      <c r="AL1233" s="927"/>
      <c r="AM1233" s="899"/>
      <c r="AN1233" s="210">
        <f ca="1">IF(B1223="Лікар загальної практики - сімейний лікар",L1233*Законод!$C$9/4*Законод!$I$16,IF(B1223="Лікар-педіатр",L1233*Законод!$C$9/4*Законод!$I$16,IF(B1223="Лікар-терапевт",L1233*Законод!$C$9/4*Законод!$I$16,0)))</f>
        <v>0</v>
      </c>
      <c r="AO1233" s="210">
        <f ca="1">IF(B1223="Лікар загальної практики - сімейний лікар",S1233*Законод!$C$9/4*Законод!$I$16,IF(B1223="Лікар-педіатр",S1233*Законод!$C$9/4*Законод!$I$16,IF(B1223="Лікар-терапевт",S1233*Законод!$C$9/4*Законод!$I$16,0)))</f>
        <v>0</v>
      </c>
      <c r="AP1233" s="210">
        <f ca="1">IF(B1223="Лікар загальної практики - сімейний лікар",Z1233*Законод!$C$9/4*Законод!$I$16,IF(B1223="Лікар-педіатр",Z1233*Законод!$C$9/4*Законод!$I$16,IF(B1223="Лікар-терапевт",Z1233*Законод!$C$9/4*Законод!$I$16,0)))</f>
        <v>0</v>
      </c>
      <c r="AQ1233" s="210">
        <f ca="1">IF(B1223="Лікар загальної практики - сімейний лікар",AG1233*Законод!$C$9/4*Законод!$I$16,IF(B1223="Лікар-педіатр",AG1233*Законод!$C$9/4*Законод!$I$16,IF(B1223="Лікар-терапевт",AG1233*Законод!$C$9/4*Законод!$I$16,0)))</f>
        <v>0</v>
      </c>
      <c r="AR1233" s="211">
        <f t="shared" si="121"/>
        <v>0</v>
      </c>
    </row>
    <row r="1234" spans="1:44" s="218" customFormat="1" ht="31.9" hidden="1" customHeight="1" thickBot="1">
      <c r="A1234" s="213"/>
      <c r="B1234" s="894"/>
      <c r="C1234" s="897"/>
      <c r="D1234" s="913"/>
      <c r="E1234" s="910"/>
      <c r="F1234" s="239" t="str">
        <f ca="1">IF(B1223="Лікар-педіатр",Законод!$J$17,IF(B1223="Лікар загальної практики - сімейний лікар",Законод!$J$21,IF(B1223="Лікар-терапевт",Законод!$J$25,"х")))</f>
        <v>х</v>
      </c>
      <c r="G1234" s="935" t="s">
        <v>346</v>
      </c>
      <c r="H1234" s="936"/>
      <c r="I1234" s="936"/>
      <c r="J1234" s="936"/>
      <c r="K1234" s="937"/>
      <c r="L1234" s="196">
        <f ca="1">IF($B$1223="Лікар загальної практики - сімейний лікар",IF(L1227&gt;=Законод!$J$22,'01_Доходи'!L1227-('01_Доходи'!L1228+'01_Доходи'!L1229+'01_Доходи'!L1230+'01_Доходи'!L1231+'01_Доходи'!L1232+'01_Доходи'!L1233),0),IF($B$1223="Лікар-педіатр",IF(L1227&gt;=Законод!$J$18,'01_Доходи'!L1227-('01_Доходи'!L1228+'01_Доходи'!L1229+'01_Доходи'!L1230+'01_Доходи'!L1231+'01_Доходи'!L1232+'01_Доходи'!L1233),0),IF($B$1223="Лікар-терапевт",IF('01_Доходи'!L1227&gt;=Законод!$J$26,L1227-Законод!$I$27,0),0)))</f>
        <v>0</v>
      </c>
      <c r="M1234" s="931"/>
      <c r="N1234" s="935" t="s">
        <v>346</v>
      </c>
      <c r="O1234" s="936"/>
      <c r="P1234" s="936"/>
      <c r="Q1234" s="936"/>
      <c r="R1234" s="937"/>
      <c r="S1234" s="196">
        <f ca="1">IF($B$1223="Лікар загальної практики - сімейний лікар",IF(S1227&gt;=Законод!$J$22,'01_Доходи'!S1227-('01_Доходи'!S1228+'01_Доходи'!S1229+'01_Доходи'!S1230+'01_Доходи'!S1231+'01_Доходи'!S1232+'01_Доходи'!S1233),0),IF($B$1223="Лікар-педіатр",IF(S1227&gt;=Законод!$J$18,'01_Доходи'!S1227-('01_Доходи'!S1228+'01_Доходи'!S1229+'01_Доходи'!S1230+'01_Доходи'!S1231+'01_Доходи'!S1232+'01_Доходи'!S1233),0),IF($B$1223="Лікар-терапевт",IF('01_Доходи'!S1227&gt;=Законод!$J$26,S1227-Законод!$I$27,0),0)))</f>
        <v>0</v>
      </c>
      <c r="T1234" s="931"/>
      <c r="U1234" s="935" t="s">
        <v>346</v>
      </c>
      <c r="V1234" s="936"/>
      <c r="W1234" s="936"/>
      <c r="X1234" s="936"/>
      <c r="Y1234" s="937"/>
      <c r="Z1234" s="196">
        <f ca="1">IF($B$1223="Лікар загальної практики - сімейний лікар",IF(Z1227&gt;=Законод!$J$22,'01_Доходи'!Z1227-('01_Доходи'!Z1228+'01_Доходи'!Z1229+'01_Доходи'!Z1230+'01_Доходи'!Z1231+'01_Доходи'!Z1232+'01_Доходи'!Z1233),0),IF($B$1223="Лікар-педіатр",IF(Z1227&gt;=Законод!$J$18,'01_Доходи'!Z1227-('01_Доходи'!Z1228+'01_Доходи'!Z1229+'01_Доходи'!Z1230+'01_Доходи'!Z1231+'01_Доходи'!Z1232+'01_Доходи'!Z1233),0),IF($B$1223="Лікар-терапевт",IF('01_Доходи'!Z1227&gt;=Законод!$J$26,Z1227-Законод!$I$27,0),0)))</f>
        <v>0</v>
      </c>
      <c r="AA1234" s="931"/>
      <c r="AB1234" s="935" t="s">
        <v>346</v>
      </c>
      <c r="AC1234" s="936"/>
      <c r="AD1234" s="936"/>
      <c r="AE1234" s="936"/>
      <c r="AF1234" s="937"/>
      <c r="AG1234" s="196">
        <f ca="1">IF($B$1223="Лікар загальної практики - сімейний лікар",IF(AG1227&gt;=Законод!$J$22,'01_Доходи'!AG1227-('01_Доходи'!AG1228+'01_Доходи'!AG1229+'01_Доходи'!AG1230+'01_Доходи'!AG1231+'01_Доходи'!AG1232+'01_Доходи'!AG1233),0),IF($B$1223="Лікар-педіатр",IF(AG1227&gt;=Законод!$J$18,'01_Доходи'!AG1227-('01_Доходи'!AG1228+'01_Доходи'!AG1229+'01_Доходи'!AG1230+'01_Доходи'!AG1231+'01_Доходи'!AG1232+'01_Доходи'!AG1233),0),IF($B$1223="Лікар-терапевт",IF('01_Доходи'!AG1227&gt;=Законод!$J$26,AG1227-Законод!$I$27,0),0)))</f>
        <v>0</v>
      </c>
      <c r="AH1234" s="931"/>
      <c r="AI1234" s="215"/>
      <c r="AJ1234" s="934"/>
      <c r="AK1234" s="928"/>
      <c r="AL1234" s="928"/>
      <c r="AM1234" s="900"/>
      <c r="AN1234" s="216">
        <f ca="1">IF(B1223="Лікар загальної практики - сімейний лікар",L1234*Законод!$C$9/4*Законод!$J$16,IF(B1223="Лікар-педіатр",L1234*Законод!$C$9/4*Законод!$J$16,IF(B1223="Лікар-терапевт",L1234*Законод!$C$9/4*Законод!$J$16,0)))</f>
        <v>0</v>
      </c>
      <c r="AO1234" s="216">
        <f ca="1">IF(B1223="Лікар загальної практики - сімейний лікар",S1234*Законод!$C$9/4*Законод!$J$16,IF(B1223="Лікар-педіатр",S1234*Законод!$C$9/4*Законод!$J$16,IF(B1223="Лікар-терапевт",S1234*Законод!$C$9/4*Законод!$J$16,0)))</f>
        <v>0</v>
      </c>
      <c r="AP1234" s="216">
        <f ca="1">IF(B1223="Лікар загальної практики - сімейний лікар",S1234*Законод!$C$9/4*Законод!$J$16,IF(B1223="Лікар-педіатр",S1234*Законод!$C$9/4*Законод!$J$16,IF(B1223="Лікар-терапевт",S1234*Законод!$C$9/4*Законод!$J$16,0)))</f>
        <v>0</v>
      </c>
      <c r="AQ1234" s="216">
        <f ca="1">IF(B1223="Лікар загальної практики - сімейний лікар",AG1234*Законод!$C$9/4*Законод!$J$16,IF(B1223="Лікар-педіатр",AG1234*Законод!$C$9/4*Законод!$J$16,IF(B1223="Лікар-терапевт",AG1234*Законод!$C$9/4*Законод!$J$16,0)))</f>
        <v>0</v>
      </c>
      <c r="AR1234" s="217">
        <f t="shared" si="121"/>
        <v>0</v>
      </c>
    </row>
    <row r="1235" spans="1:44" s="247" customFormat="1" ht="23.45" hidden="1" customHeight="1" thickBot="1">
      <c r="A1235" s="243"/>
      <c r="B1235" s="244"/>
      <c r="C1235" s="244"/>
      <c r="D1235" s="244"/>
      <c r="E1235" s="244"/>
      <c r="F1235" s="245"/>
      <c r="G1235" s="246"/>
      <c r="H1235" s="246"/>
      <c r="L1235" s="248"/>
      <c r="S1235" s="248"/>
      <c r="Z1235" s="248"/>
      <c r="AG1235" s="248"/>
      <c r="AM1235" s="249"/>
      <c r="AR1235" s="250"/>
    </row>
    <row r="1236" spans="1:44" s="191" customFormat="1" ht="24.6" hidden="1" customHeight="1">
      <c r="A1236" s="194">
        <f>A1223+1</f>
        <v>93</v>
      </c>
      <c r="B1236" s="892"/>
      <c r="C1236" s="895"/>
      <c r="D1236" s="911"/>
      <c r="E1236" s="908"/>
      <c r="F1236" s="234" t="s">
        <v>582</v>
      </c>
      <c r="G1236" s="196">
        <f>IF($B$1236="Лікар-педіатр",G1239*L1236,IF($B$1236="Лікар-терапевт","х",IF($B$1236="Лікар загальної практики - сімейний лікар",G1239*L1236,0)))</f>
        <v>0</v>
      </c>
      <c r="H1236" s="196">
        <f>IF($B$1236="Лікар-педіатр",H1239*L1236,IF($B$1236="Лікар-терапевт","х",IF($B$1236="Лікар загальної практики - сімейний лікар",H1239*L1236,0)))</f>
        <v>0</v>
      </c>
      <c r="I1236" s="196">
        <f>IF($B$1236="Лікар-педіатр","x",IF($B$1236="Лікар-терапевт",I1239*L1236,IF($B$1236="Лікар загальної практики - сімейний лікар",I1239*L1236,0)))</f>
        <v>0</v>
      </c>
      <c r="J1236" s="196">
        <f>IF($B$1236="Лікар-педіатр","x",IF($B$1236="Лікар-терапевт",J1239*L1236,IF($B$1236="Лікар загальної практики - сімейний лікар",J1239*L1236,0)))</f>
        <v>0</v>
      </c>
      <c r="K1236" s="196">
        <f>IF($B$1236="Лікар-педіатр","x",IF($B$1236="Лікар-терапевт",K1239*L1236,IF($B$1236="Лікар загальної практики - сімейний лікар",K1239*L1236,0)))</f>
        <v>0</v>
      </c>
      <c r="L1236" s="558"/>
      <c r="M1236" s="929"/>
      <c r="N1236" s="196">
        <f>IF($B$1236="Лікар-педіатр",N1239*S1236,IF($B$1236="Лікар-терапевт","х",IF($B$1236="Лікар загальної практики - сімейний лікар",N1239*S1236,0)))</f>
        <v>0</v>
      </c>
      <c r="O1236" s="196">
        <f>IF($B$1236="Лікар-педіатр",O1239*S1236,IF($B$1236="Лікар-терапевт","х",IF($B$1236="Лікар загальної практики - сімейний лікар",O1239*S1236,0)))</f>
        <v>0</v>
      </c>
      <c r="P1236" s="196">
        <f>IF($B$1236="Лікар-педіатр","x",IF($B$1236="Лікар-терапевт",P1239*S1236,IF($B$1236="Лікар загальної практики - сімейний лікар",P1239*S1236,0)))</f>
        <v>0</v>
      </c>
      <c r="Q1236" s="196">
        <f>IF($B$1236="Лікар-педіатр","x",IF($B$1236="Лікар-терапевт",Q1239*S1236,IF($B$1236="Лікар загальної практики - сімейний лікар",Q1239*S1236,0)))</f>
        <v>0</v>
      </c>
      <c r="R1236" s="196">
        <f>IF($B$1236="Лікар-педіатр","x",IF($B$1236="Лікар-терапевт",R1239*S1236,IF($B$1236="Лікар загальної практики - сімейний лікар",R1239*S1236,0)))</f>
        <v>0</v>
      </c>
      <c r="S1236" s="558"/>
      <c r="T1236" s="929"/>
      <c r="U1236" s="196">
        <f>IF($B$1236="Лікар-педіатр",U1239*Z1236,IF($B$1236="Лікар-терапевт","х",IF($B$1236="Лікар загальної практики - сімейний лікар",U1239*Z1236,0)))</f>
        <v>0</v>
      </c>
      <c r="V1236" s="196">
        <f>IF($B$1236="Лікар-педіатр",V1239*Z1236,IF($B$1236="Лікар-терапевт","х",IF($B$1236="Лікар загальної практики - сімейний лікар",V1239*Z1236,0)))</f>
        <v>0</v>
      </c>
      <c r="W1236" s="196">
        <f>IF($B$1236="Лікар-педіатр","x",IF($B$1236="Лікар-терапевт",W1239*Z1236,IF($B$1236="Лікар загальної практики - сімейний лікар",W1239*Z1236,0)))</f>
        <v>0</v>
      </c>
      <c r="X1236" s="196">
        <f>IF($B$1236="Лікар-педіатр","x",IF($B$1236="Лікар-терапевт",X1239*Z1236,IF($B$1236="Лікар загальної практики - сімейний лікар",X1239*Z1236,0)))</f>
        <v>0</v>
      </c>
      <c r="Y1236" s="196">
        <f>IF($B$1236="Лікар-педіатр","x",IF($B$1236="Лікар-терапевт",Y1239*Z1236,IF($B$1236="Лікар загальної практики - сімейний лікар",Y1239*Z1236,0)))</f>
        <v>0</v>
      </c>
      <c r="Z1236" s="558"/>
      <c r="AA1236" s="929"/>
      <c r="AB1236" s="196">
        <f>IF($B$1236="Лікар-педіатр",AB1239*AG1236,IF($B$1236="Лікар-терапевт","х",IF($B$1236="Лікар загальної практики - сімейний лікар",AB1239*AG1236,0)))</f>
        <v>0</v>
      </c>
      <c r="AC1236" s="196">
        <f>IF($B$1236="Лікар-педіатр",AC1239*AG1236,IF($B$1236="Лікар-терапевт","х",IF($B$1236="Лікар загальної практики - сімейний лікар",AC1239*AG1236,0)))</f>
        <v>0</v>
      </c>
      <c r="AD1236" s="196">
        <f>IF($B$1236="Лікар-педіатр","x",IF($B$1236="Лікар-терапевт",AD1239*AG1236,IF($B$1236="Лікар загальної практики - сімейний лікар",AD1239*AG1236,0)))</f>
        <v>0</v>
      </c>
      <c r="AE1236" s="196">
        <f>IF($B$1236="Лікар-педіатр","x",IF($B$1236="Лікар-терапевт",AE1239*AG1236,IF($B$1236="Лікар загальної практики - сімейний лікар",AE1239*AG1236,0)))</f>
        <v>0</v>
      </c>
      <c r="AF1236" s="196">
        <f>IF($B$1236="Лікар-педіатр","x",IF($B$1236="Лікар-терапевт",AF1239*AG1236,IF($B$1236="Лікар загальної практики - сімейний лікар",AF1239*AG1236,0)))</f>
        <v>0</v>
      </c>
      <c r="AG1236" s="558"/>
      <c r="AH1236" s="929"/>
      <c r="AI1236" s="541">
        <f>A1236</f>
        <v>93</v>
      </c>
      <c r="AJ1236" s="932">
        <f>B1236</f>
        <v>0</v>
      </c>
      <c r="AK1236" s="926">
        <f>C1236</f>
        <v>0</v>
      </c>
      <c r="AL1236" s="926">
        <f>D1236</f>
        <v>0</v>
      </c>
      <c r="AM1236" s="901" t="s">
        <v>785</v>
      </c>
      <c r="AN1236" s="923">
        <f>SUM(AN1241:AN1247)</f>
        <v>0</v>
      </c>
      <c r="AO1236" s="923">
        <f>SUM(AO1241:AO1247)</f>
        <v>0</v>
      </c>
      <c r="AP1236" s="923">
        <f>SUM(AP1241:AP1247)</f>
        <v>0</v>
      </c>
      <c r="AQ1236" s="923">
        <f>SUM(AQ1241:AQ1247)</f>
        <v>0</v>
      </c>
      <c r="AR1236" s="914">
        <f>SUM(AN1236:AQ1240)</f>
        <v>0</v>
      </c>
    </row>
    <row r="1237" spans="1:44" s="50" customFormat="1" ht="28.15" hidden="1" customHeight="1">
      <c r="A1237" s="197"/>
      <c r="B1237" s="893"/>
      <c r="C1237" s="896"/>
      <c r="D1237" s="912"/>
      <c r="E1237" s="909"/>
      <c r="F1237" s="234" t="s">
        <v>583</v>
      </c>
      <c r="G1237" s="196">
        <f>IF($B$1236="Лікар-педіатр",G1239*L1237,IF($B$1236="Лікар-терапевт","х",IF($B$1236="Лікар загальної практики - сімейний лікар",G1239*L1237,0)))</f>
        <v>0</v>
      </c>
      <c r="H1237" s="196">
        <f>IF($B$1236="Лікар-педіатр",H1239*L1237,IF($B$1236="Лікар-терапевт","х",IF($B$1236="Лікар загальної практики - сімейний лікар",H1239*L1237,0)))</f>
        <v>0</v>
      </c>
      <c r="I1237" s="196">
        <f>IF($B$1236="Лікар-педіатр","x",IF($B$1236="Лікар-терапевт",I1239*L1237,IF($B$1236="Лікар загальної практики - сімейний лікар",I1239*L1237,0)))</f>
        <v>0</v>
      </c>
      <c r="J1237" s="196">
        <f>IF($B$1236="Лікар-педіатр","x",IF($B$1236="Лікар-терапевт",J1239*L1237,IF($B$1236="Лікар загальної практики - сімейний лікар",J1239*L1237,0)))</f>
        <v>0</v>
      </c>
      <c r="K1237" s="196">
        <f>IF($B$1236="Лікар-педіатр","x",IF($B$1236="Лікар-терапевт",K1239*L1237,IF($B$1236="Лікар загальної практики - сімейний лікар",K1239*L1237,0)))</f>
        <v>0</v>
      </c>
      <c r="L1237" s="558"/>
      <c r="M1237" s="930"/>
      <c r="N1237" s="196">
        <f>IF($B$1236="Лікар-педіатр",N1239*S1237,IF($B$1236="Лікар-терапевт","х",IF($B$1236="Лікар загальної практики - сімейний лікар",N1239*S1237,0)))</f>
        <v>0</v>
      </c>
      <c r="O1237" s="196">
        <f>IF($B$1236="Лікар-педіатр",O1239*S1237,IF($B$1236="Лікар-терапевт","х",IF($B$1236="Лікар загальної практики - сімейний лікар",O1239*S1237,0)))</f>
        <v>0</v>
      </c>
      <c r="P1237" s="196">
        <f>IF($B$1236="Лікар-педіатр","x",IF($B$1236="Лікар-терапевт",P1239*S1237,IF($B$1236="Лікар загальної практики - сімейний лікар",P1239*S1237,0)))</f>
        <v>0</v>
      </c>
      <c r="Q1237" s="196">
        <f>IF($B$1236="Лікар-педіатр","x",IF($B$1236="Лікар-терапевт",Q1239*S1237,IF($B$1236="Лікар загальної практики - сімейний лікар",Q1239*S1237,0)))</f>
        <v>0</v>
      </c>
      <c r="R1237" s="196">
        <f>IF($B$1236="Лікар-педіатр","x",IF($B$1236="Лікар-терапевт",R1239*S1237,IF($B$1236="Лікар загальної практики - сімейний лікар",R1239*S1237,0)))</f>
        <v>0</v>
      </c>
      <c r="S1237" s="558"/>
      <c r="T1237" s="930"/>
      <c r="U1237" s="196">
        <f>IF($B$1236="Лікар-педіатр",U1239*Z1237,IF($B$1236="Лікар-терапевт","х",IF($B$1236="Лікар загальної практики - сімейний лікар",U1239*Z1237,0)))</f>
        <v>0</v>
      </c>
      <c r="V1237" s="196">
        <f>IF($B$1236="Лікар-педіатр",V1239*Z1237,IF($B$1236="Лікар-терапевт","х",IF($B$1236="Лікар загальної практики - сімейний лікар",V1239*Z1237,0)))</f>
        <v>0</v>
      </c>
      <c r="W1237" s="196">
        <f>IF($B$1236="Лікар-педіатр","x",IF($B$1236="Лікар-терапевт",W1239*Z1237,IF($B$1236="Лікар загальної практики - сімейний лікар",W1239*Z1237,0)))</f>
        <v>0</v>
      </c>
      <c r="X1237" s="196">
        <f>IF($B$1236="Лікар-педіатр","x",IF($B$1236="Лікар-терапевт",X1239*Z1237,IF($B$1236="Лікар загальної практики - сімейний лікар",X1239*Z1237,0)))</f>
        <v>0</v>
      </c>
      <c r="Y1237" s="196">
        <f>IF($B$1236="Лікар-педіатр","x",IF($B$1236="Лікар-терапевт",Y1239*Z1237,IF($B$1236="Лікар загальної практики - сімейний лікар",Y1239*Z1237,0)))</f>
        <v>0</v>
      </c>
      <c r="Z1237" s="558"/>
      <c r="AA1237" s="930"/>
      <c r="AB1237" s="196">
        <f>IF($B$1236="Лікар-педіатр",AB1239*AG1237,IF($B$1236="Лікар-терапевт","х",IF($B$1236="Лікар загальної практики - сімейний лікар",AB1239*AG1237,0)))</f>
        <v>0</v>
      </c>
      <c r="AC1237" s="196">
        <f>IF($B$1236="Лікар-педіатр",AC1239*AG1237,IF($B$1236="Лікар-терапевт","х",IF($B$1236="Лікар загальної практики - сімейний лікар",AC1239*AG1237,0)))</f>
        <v>0</v>
      </c>
      <c r="AD1237" s="196">
        <f>IF($B$1236="Лікар-педіатр","x",IF($B$1236="Лікар-терапевт",AD1239*AG1237,IF($B$1236="Лікар загальної практики - сімейний лікар",AD1239*AG1237,0)))</f>
        <v>0</v>
      </c>
      <c r="AE1237" s="196">
        <f>IF($B$1236="Лікар-педіатр","x",IF($B$1236="Лікар-терапевт",AE1239*AG1237,IF($B$1236="Лікар загальної практики - сімейний лікар",AE1239*AG1237,0)))</f>
        <v>0</v>
      </c>
      <c r="AF1237" s="196">
        <f>IF($B$1236="Лікар-педіатр","x",IF($B$1236="Лікар-терапевт",AF1239*AG1237,IF($B$1236="Лікар загальної практики - сімейний лікар",AF1239*AG1237,0)))</f>
        <v>0</v>
      </c>
      <c r="AG1237" s="558"/>
      <c r="AH1237" s="930"/>
      <c r="AI1237" s="198"/>
      <c r="AJ1237" s="933"/>
      <c r="AK1237" s="927"/>
      <c r="AL1237" s="927"/>
      <c r="AM1237" s="902"/>
      <c r="AN1237" s="924"/>
      <c r="AO1237" s="924"/>
      <c r="AP1237" s="924"/>
      <c r="AQ1237" s="924"/>
      <c r="AR1237" s="915"/>
    </row>
    <row r="1238" spans="1:44" s="90" customFormat="1" ht="31.15" hidden="1" customHeight="1">
      <c r="A1238" s="240"/>
      <c r="B1238" s="893"/>
      <c r="C1238" s="896"/>
      <c r="D1238" s="912"/>
      <c r="E1238" s="909"/>
      <c r="F1238" s="241" t="s">
        <v>584</v>
      </c>
      <c r="G1238" s="199">
        <f>IF(B1236="Лікар загальної практики - сімейний лікар"," ",IF(B1236="Лікар-педіатр"," ",IF(B1236="Лікар-терапевт","х",0)))</f>
        <v>0</v>
      </c>
      <c r="H1238" s="199">
        <f>IF(B1236="Лікар загальної практики - сімейний лікар"," ",IF(B1236="Лікар-педіатр"," ",IF(B1236="Лікар-терапевт","х",0)))</f>
        <v>0</v>
      </c>
      <c r="I1238" s="199">
        <f>IF(B1236="Лікар загальної практики - сімейний лікар"," ",IF(B1236="Лікар-педіатр","х",IF(B1236="Лікар-терапевт"," ",0)))</f>
        <v>0</v>
      </c>
      <c r="J1238" s="199">
        <f>IF(B1236="Лікар загальної практики - сімейний лікар"," ",IF(B1236="Лікар-педіатр","х",IF(B1236="Лікар-терапевт"," ",0)))</f>
        <v>0</v>
      </c>
      <c r="K1238" s="199">
        <f>IF(B1236="Лікар загальної практики - сімейний лікар"," ",IF(B1236="Лікар-педіатр","х",IF(B1236="Лікар-терапевт"," ",0)))</f>
        <v>0</v>
      </c>
      <c r="L1238" s="200">
        <f>SUM(G1238:K1238)</f>
        <v>0</v>
      </c>
      <c r="M1238" s="930"/>
      <c r="N1238" s="199">
        <f>IF(B1236="Лікар загальної практики - сімейний лікар"," ",IF(B1236="Лікар-педіатр"," ",IF(B1236="Лікар-терапевт","х",0)))</f>
        <v>0</v>
      </c>
      <c r="O1238" s="199">
        <f>IF(B1236="Лікар загальної практики - сімейний лікар"," ",IF(B1236="Лікар-педіатр"," ",IF(B1236="Лікар-терапевт","х",0)))</f>
        <v>0</v>
      </c>
      <c r="P1238" s="199">
        <f>IF(B1236="Лікар загальної практики - сімейний лікар"," ",IF(B1236="Лікар-педіатр","х",IF(B1236="Лікар-терапевт"," ",0)))</f>
        <v>0</v>
      </c>
      <c r="Q1238" s="199">
        <f>IF(B1236="Лікар загальної практики - сімейний лікар"," ",IF(B1236="Лікар-педіатр","х",IF(B1236="Лікар-терапевт"," ",0)))</f>
        <v>0</v>
      </c>
      <c r="R1238" s="199">
        <f>IF(B1236="Лікар загальної практики - сімейний лікар"," ",IF(B1236="Лікар-педіатр","х",IF(B1236="Лікар-терапевт"," ",0)))</f>
        <v>0</v>
      </c>
      <c r="S1238" s="200">
        <f>SUM(N1238:R1238)</f>
        <v>0</v>
      </c>
      <c r="T1238" s="930"/>
      <c r="U1238" s="199">
        <f>IF(B1236="Лікар загальної практики - сімейний лікар"," ",IF(B1236="Лікар-педіатр"," ",IF(B1236="Лікар-терапевт","х",0)))</f>
        <v>0</v>
      </c>
      <c r="V1238" s="199">
        <f>IF(B1236="Лікар загальної практики - сімейний лікар"," ",IF(B1236="Лікар-педіатр"," ",IF(B1236="Лікар-терапевт","х",0)))</f>
        <v>0</v>
      </c>
      <c r="W1238" s="199">
        <f>IF(B1236="Лікар загальної практики - сімейний лікар"," ",IF(B1236="Лікар-педіатр","х",IF(B1236="Лікар-терапевт"," ",0)))</f>
        <v>0</v>
      </c>
      <c r="X1238" s="199">
        <f>IF(B1236="Лікар загальної практики - сімейний лікар"," ",IF(B1236="Лікар-педіатр","х",IF(B1236="Лікар-терапевт"," ",0)))</f>
        <v>0</v>
      </c>
      <c r="Y1238" s="199">
        <f>IF(B1236="Лікар загальної практики - сімейний лікар"," ",IF(B1236="Лікар-педіатр","х",IF(B1236="Лікар-терапевт"," ",0)))</f>
        <v>0</v>
      </c>
      <c r="Z1238" s="200">
        <f>SUM(U1238:Y1238)</f>
        <v>0</v>
      </c>
      <c r="AA1238" s="930"/>
      <c r="AB1238" s="199">
        <f>IF(B1236="Лікар загальної практики - сімейний лікар"," ",IF(B1236="Лікар-педіатр"," ",IF(B1236="Лікар-терапевт","х",0)))</f>
        <v>0</v>
      </c>
      <c r="AC1238" s="199">
        <f>IF(B1236="Лікар загальної практики - сімейний лікар"," ",IF(B1236="Лікар-педіатр"," ",IF(B1236="Лікар-терапевт","х",0)))</f>
        <v>0</v>
      </c>
      <c r="AD1238" s="199">
        <f>IF(B1236="Лікар загальної практики - сімейний лікар"," ",IF(B1236="Лікар-педіатр","х",IF(B1236="Лікар-терапевт"," ",0)))</f>
        <v>0</v>
      </c>
      <c r="AE1238" s="199">
        <f>IF(B1236="Лікар загальної практики - сімейний лікар"," ",IF(B1236="Лікар-педіатр","х",IF(B1236="Лікар-терапевт"," ",0)))</f>
        <v>0</v>
      </c>
      <c r="AF1238" s="199">
        <f>IF(B1236="Лікар загальної практики - сімейний лікар"," ",IF(B1236="Лікар-педіатр","х",IF(B1236="Лікар-терапевт"," ",0)))</f>
        <v>0</v>
      </c>
      <c r="AG1238" s="200">
        <f>SUM(AB1238:AF1238)</f>
        <v>0</v>
      </c>
      <c r="AH1238" s="930"/>
      <c r="AI1238" s="242"/>
      <c r="AJ1238" s="933"/>
      <c r="AK1238" s="927"/>
      <c r="AL1238" s="927"/>
      <c r="AM1238" s="902"/>
      <c r="AN1238" s="924"/>
      <c r="AO1238" s="924"/>
      <c r="AP1238" s="924"/>
      <c r="AQ1238" s="924"/>
      <c r="AR1238" s="915"/>
    </row>
    <row r="1239" spans="1:44" s="50" customFormat="1" ht="31.9" hidden="1" customHeight="1" thickBot="1">
      <c r="A1239" s="197"/>
      <c r="B1239" s="893"/>
      <c r="C1239" s="896"/>
      <c r="D1239" s="912"/>
      <c r="E1239" s="909"/>
      <c r="F1239" s="236" t="s">
        <v>349</v>
      </c>
      <c r="G1239" s="203">
        <f>IF($B$1236="Лікар-педіатр",G1238/L1238,IF($B$1236="Лікар-терапевт","х",IF($B$1236="Лікар загальної практики - сімейний лікар",G1238/L1238,0)))</f>
        <v>0</v>
      </c>
      <c r="H1239" s="203">
        <f>IF($B$1236="Лікар-педіатр",H1238/L1238,IF($B$1236="Лікар-терапевт","х",IF($B$1236="Лікар загальної практики - сімейний лікар",H1238/L1238,0)))</f>
        <v>0</v>
      </c>
      <c r="I1239" s="203">
        <f>IF($B$1236="Лікар-педіатр","x",IF($B$1236="Лікар-терапевт",I1238/L1238,IF($B$1236="Лікар загальної практики - сімейний лікар",I1238/L1238,0)))</f>
        <v>0</v>
      </c>
      <c r="J1239" s="203">
        <f>IF($B$1236="Лікар-педіатр","x",IF($B$1236="Лікар-терапевт",J1238/L1238,IF($B$1236="Лікар загальної практики - сімейний лікар",J1238/L1238,0)))</f>
        <v>0</v>
      </c>
      <c r="K1239" s="203">
        <f>IF($B$1236="Лікар-педіатр","x",IF($B$1236="Лікар-терапевт",K1238/L1238,IF($B$1236="Лікар загальної практики - сімейний лікар",K1238/L1238,0)))</f>
        <v>0</v>
      </c>
      <c r="L1239" s="203">
        <f>SUM(G1239:K1239)</f>
        <v>0</v>
      </c>
      <c r="M1239" s="930"/>
      <c r="N1239" s="203">
        <f>IF($B$1236="Лікар-педіатр",N1238/S1238,IF($B$1236="Лікар-терапевт","х",IF($B$1236="Лікар загальної практики - сімейний лікар",N1238/S1238,0)))</f>
        <v>0</v>
      </c>
      <c r="O1239" s="203">
        <f>IF($B$1236="Лікар-педіатр",O1238/S1238,IF($B$1236="Лікар-терапевт","х",IF($B$1236="Лікар загальної практики - сімейний лікар",O1238/S1238,0)))</f>
        <v>0</v>
      </c>
      <c r="P1239" s="203">
        <f>IF($B$1236="Лікар-педіатр","x",IF($B$1236="Лікар-терапевт",P1238/S1238,IF($B$1236="Лікар загальної практики - сімейний лікар",P1238/S1238,0)))</f>
        <v>0</v>
      </c>
      <c r="Q1239" s="203">
        <f>IF($B$1236="Лікар-педіатр","x",IF($B$1236="Лікар-терапевт",Q1238/S1238,IF($B$1236="Лікар загальної практики - сімейний лікар",Q1238/S1238,0)))</f>
        <v>0</v>
      </c>
      <c r="R1239" s="203">
        <f>IF($B$1236="Лікар-педіатр","x",IF($B$1236="Лікар-терапевт",R1238/S1238,IF($B$1236="Лікар загальної практики - сімейний лікар",R1238/S1238,0)))</f>
        <v>0</v>
      </c>
      <c r="S1239" s="203">
        <f>SUM(N1239:R1239)</f>
        <v>0</v>
      </c>
      <c r="T1239" s="930"/>
      <c r="U1239" s="203">
        <f>IF($B$1236="Лікар-педіатр",U1238/Z1238,IF($B$1236="Лікар-терапевт","х",IF($B$1236="Лікар загальної практики - сімейний лікар",U1238/Z1238,0)))</f>
        <v>0</v>
      </c>
      <c r="V1239" s="203">
        <f>IF($B$1236="Лікар-педіатр",V1238/Z1238,IF($B$1236="Лікар-терапевт","х",IF($B$1236="Лікар загальної практики - сімейний лікар",V1238/Z1238,0)))</f>
        <v>0</v>
      </c>
      <c r="W1239" s="203">
        <f>IF($B$1236="Лікар-педіатр","x",IF($B$1236="Лікар-терапевт",W1238/Z1238,IF($B$1236="Лікар загальної практики - сімейний лікар",W1238/Z1238,0)))</f>
        <v>0</v>
      </c>
      <c r="X1239" s="203">
        <f>IF($B$1236="Лікар-педіатр","x",IF($B$1236="Лікар-терапевт",X1238/Z1238,IF($B$1236="Лікар загальної практики - сімейний лікар",X1238/Z1238,0)))</f>
        <v>0</v>
      </c>
      <c r="Y1239" s="203">
        <f>IF($B$1236="Лікар-педіатр","x",IF($B$1236="Лікар-терапевт",Y1238/Z1238,IF($B$1236="Лікар загальної практики - сімейний лікар",Y1238/Z1238,0)))</f>
        <v>0</v>
      </c>
      <c r="Z1239" s="203">
        <f>SUM(U1239:Y1239)</f>
        <v>0</v>
      </c>
      <c r="AA1239" s="930"/>
      <c r="AB1239" s="203">
        <f>IF($B$1236="Лікар-педіатр",AB1238/AG1238,IF($B$1236="Лікар-терапевт","х",IF($B$1236="Лікар загальної практики - сімейний лікар",AB1238/AG1238,0)))</f>
        <v>0</v>
      </c>
      <c r="AC1239" s="203">
        <f>IF($B$1236="Лікар-педіатр",AC1238/AG1238,IF($B$1236="Лікар-терапевт","х",IF($B$1236="Лікар загальної практики - сімейний лікар",AC1238/AG1238,0)))</f>
        <v>0</v>
      </c>
      <c r="AD1239" s="203">
        <f>IF($B$1236="Лікар-педіатр","x",IF($B$1236="Лікар-терапевт",AD1238/AG1238,IF($B$1236="Лікар загальної практики - сімейний лікар",AD1238/AG1238,0)))</f>
        <v>0</v>
      </c>
      <c r="AE1239" s="203">
        <f>IF($B$1236="Лікар-педіатр","x",IF($B$1236="Лікар-терапевт",AE1238/AG1238,IF($B$1236="Лікар загальної практики - сімейний лікар",AE1238/AG1238,0)))</f>
        <v>0</v>
      </c>
      <c r="AF1239" s="203">
        <f>IF($B$1236="Лікар-педіатр","x",IF($B$1236="Лікар-терапевт",AF1238/AG1238,IF($B$1236="Лікар загальної практики - сімейний лікар",AF1238/AG1238,0)))</f>
        <v>0</v>
      </c>
      <c r="AG1239" s="203">
        <f>SUM(AB1239:AF1239)</f>
        <v>0</v>
      </c>
      <c r="AH1239" s="930"/>
      <c r="AI1239" s="201"/>
      <c r="AJ1239" s="933"/>
      <c r="AK1239" s="927"/>
      <c r="AL1239" s="927"/>
      <c r="AM1239" s="902"/>
      <c r="AN1239" s="924"/>
      <c r="AO1239" s="924"/>
      <c r="AP1239" s="924"/>
      <c r="AQ1239" s="924"/>
      <c r="AR1239" s="915"/>
    </row>
    <row r="1240" spans="1:44" s="50" customFormat="1" ht="45" hidden="1" customHeight="1" thickBot="1">
      <c r="A1240" s="197"/>
      <c r="B1240" s="893"/>
      <c r="C1240" s="896"/>
      <c r="D1240" s="912"/>
      <c r="E1240" s="909"/>
      <c r="F1240" s="204" t="s">
        <v>585</v>
      </c>
      <c r="G1240" s="205">
        <f>IF($B$1236="Лікар загальної практики - сімейний лікар",AVERAGE(G1236:G1238),IF($B$1236="Лікар-педіатр",AVERAGE(G1236:G1238),IF($B$1236="Лікар-терапевт","х",0)))</f>
        <v>0</v>
      </c>
      <c r="H1240" s="205">
        <f>IF($B$1236="Лікар загальної практики - сімейний лікар",AVERAGE(H1236:H1238),IF($B$1236="Лікар-педіатр",AVERAGE(H1236:H1238),IF($B$1236="Лікар-терапевт","х",0)))</f>
        <v>0</v>
      </c>
      <c r="I1240" s="205">
        <f>IF($B$1236="Лікар загальної практики - сімейний лікар",AVERAGE(I1236:I1238),IF($B$1236="Лікар-педіатр","x",IF($B$1236="Лікар-терапевт",AVERAGE(I1236:I1238),0)))</f>
        <v>0</v>
      </c>
      <c r="J1240" s="205">
        <f>IF($B$1236="Лікар загальної практики - сімейний лікар",AVERAGE(J1236:J1238),IF($B$1236="Лікар-педіатр","x",IF($B$1236="Лікар-терапевт",AVERAGE(J1236:J1238),0)))</f>
        <v>0</v>
      </c>
      <c r="K1240" s="205">
        <f>IF($B$1236="Лікар загальної практики - сімейний лікар",AVERAGE(K1236:K1238),IF($B$1236="Лікар-педіатр","x",IF($B$1236="Лікар-терапевт",AVERAGE(K1236:K1238),0)))</f>
        <v>0</v>
      </c>
      <c r="L1240" s="206">
        <f>SUM(G1240:K1240)</f>
        <v>0</v>
      </c>
      <c r="M1240" s="930"/>
      <c r="N1240" s="205">
        <f>IF($B$1236="Лікар загальної практики - сімейний лікар",AVERAGE(N1236:N1238),IF($B$1236="Лікар-педіатр",AVERAGE(N1236:N1238),IF($B$1236="Лікар-терапевт","х",0)))</f>
        <v>0</v>
      </c>
      <c r="O1240" s="205">
        <f>IF($B$1236="Лікар загальної практики - сімейний лікар",AVERAGE(O1236:O1238),IF($B$1236="Лікар-педіатр",AVERAGE(O1236:O1238),IF($B$1236="Лікар-терапевт","х",0)))</f>
        <v>0</v>
      </c>
      <c r="P1240" s="205">
        <f>IF($B$1236="Лікар загальної практики - сімейний лікар",AVERAGE(P1236:P1238),IF($B$1236="Лікар-педіатр","x",IF($B$1236="Лікар-терапевт",AVERAGE(P1236:P1238),0)))</f>
        <v>0</v>
      </c>
      <c r="Q1240" s="205">
        <f>IF($B$1236="Лікар загальної практики - сімейний лікар",AVERAGE(Q1236:Q1238),IF($B$1236="Лікар-педіатр","x",IF($B$1236="Лікар-терапевт",AVERAGE(Q1236:Q1238),0)))</f>
        <v>0</v>
      </c>
      <c r="R1240" s="205">
        <f>IF($B$1236="Лікар загальної практики - сімейний лікар",AVERAGE(R1236:R1238),IF($B$1236="Лікар-педіатр","x",IF($B$1236="Лікар-терапевт",AVERAGE(R1236:R1238),0)))</f>
        <v>0</v>
      </c>
      <c r="S1240" s="206">
        <f>SUM(N1240:R1240)</f>
        <v>0</v>
      </c>
      <c r="T1240" s="930"/>
      <c r="U1240" s="205">
        <f>IF($B$1236="Лікар загальної практики - сімейний лікар",AVERAGE(U1236:U1238),IF($B$1236="Лікар-педіатр",AVERAGE(U1236:U1238),IF($B$1236="Лікар-терапевт","х",0)))</f>
        <v>0</v>
      </c>
      <c r="V1240" s="205">
        <f>IF($B$1236="Лікар загальної практики - сімейний лікар",AVERAGE(V1236:V1238),IF($B$1236="Лікар-педіатр",AVERAGE(V1236:V1238),IF($B$1236="Лікар-терапевт","х",0)))</f>
        <v>0</v>
      </c>
      <c r="W1240" s="205">
        <f>IF($B$1236="Лікар загальної практики - сімейний лікар",AVERAGE(W1236:W1238),IF($B$1236="Лікар-педіатр","x",IF($B$1236="Лікар-терапевт",AVERAGE(W1236:W1238),0)))</f>
        <v>0</v>
      </c>
      <c r="X1240" s="205">
        <f>IF($B$1236="Лікар загальної практики - сімейний лікар",AVERAGE(X1236:X1238),IF($B$1236="Лікар-педіатр","x",IF($B$1236="Лікар-терапевт",AVERAGE(X1236:X1238),0)))</f>
        <v>0</v>
      </c>
      <c r="Y1240" s="205">
        <f>IF($B$1236="Лікар загальної практики - сімейний лікар",AVERAGE(Y1236:Y1238),IF($B$1236="Лікар-педіатр","x",IF($B$1236="Лікар-терапевт",AVERAGE(Y1236:Y1238),0)))</f>
        <v>0</v>
      </c>
      <c r="Z1240" s="206">
        <f>SUM(U1240:Y1240)</f>
        <v>0</v>
      </c>
      <c r="AA1240" s="930"/>
      <c r="AB1240" s="205">
        <f>IF($B$1236="Лікар загальної практики - сімейний лікар",AVERAGE(AB1236:AB1238),IF($B$1236="Лікар-педіатр",AVERAGE(AB1236:AB1238),IF($B$1236="Лікар-терапевт","х",0)))</f>
        <v>0</v>
      </c>
      <c r="AC1240" s="205">
        <f>IF($B$1236="Лікар загальної практики - сімейний лікар",AVERAGE(AC1236:AC1238),IF($B$1236="Лікар-педіатр",AVERAGE(AC1236:AC1238),IF($B$1236="Лікар-терапевт","х",0)))</f>
        <v>0</v>
      </c>
      <c r="AD1240" s="205">
        <f>IF($B$1236="Лікар загальної практики - сімейний лікар",AVERAGE(AD1236:AD1238),IF($B$1236="Лікар-педіатр","x",IF($B$1236="Лікар-терапевт",AVERAGE(AD1236:AD1238),0)))</f>
        <v>0</v>
      </c>
      <c r="AE1240" s="205">
        <f>IF($B$1236="Лікар загальної практики - сімейний лікар",AVERAGE(AE1236:AE1238),IF($B$1236="Лікар-педіатр","x",IF($B$1236="Лікар-терапевт",AVERAGE(AE1236:AE1238),0)))</f>
        <v>0</v>
      </c>
      <c r="AF1240" s="205">
        <f>IF($B$1236="Лікар загальної практики - сімейний лікар",AVERAGE(AF1236:AF1238),IF($B$1236="Лікар-педіатр","x",IF($B$1236="Лікар-терапевт",AVERAGE(AF1236:AF1238),0)))</f>
        <v>0</v>
      </c>
      <c r="AG1240" s="206">
        <f>SUM(AB1240:AF1240)</f>
        <v>0</v>
      </c>
      <c r="AH1240" s="930"/>
      <c r="AI1240" s="201"/>
      <c r="AJ1240" s="933"/>
      <c r="AK1240" s="927"/>
      <c r="AL1240" s="927"/>
      <c r="AM1240" s="903"/>
      <c r="AN1240" s="925"/>
      <c r="AO1240" s="925"/>
      <c r="AP1240" s="925"/>
      <c r="AQ1240" s="925"/>
      <c r="AR1240" s="916"/>
    </row>
    <row r="1241" spans="1:44" s="50" customFormat="1" ht="40.5" hidden="1">
      <c r="A1241" s="197"/>
      <c r="B1241" s="893"/>
      <c r="C1241" s="896"/>
      <c r="D1241" s="912"/>
      <c r="E1241" s="909"/>
      <c r="F1241" s="237" t="str">
        <f ca="1">IF(B1236="Лікар-педіатр",Законод!$C$17,IF(B1236="Лікар загальної практики - сімейний лікар",Законод!$C$21,IF(B1236="Лікар-терапевт",Законод!$C$25,"х")))</f>
        <v>х</v>
      </c>
      <c r="G1241" s="208">
        <f ca="1">IF($B$1236="Лікар загальної практики - сімейний лікар",IF(L1240&lt;=Законод!$C$22,G1240,Законод!$C$22*'01_Доходи'!G1239),IF($B$1236="Лікар-педіатр",IF(L1240&lt;=Законод!$C$18,G1240,Законод!$C$18*'01_Доходи'!G1239),IF($B$1236="Лікар-терапевт","x",0)))</f>
        <v>0</v>
      </c>
      <c r="H1241" s="208">
        <f ca="1">IF($B$1236="Лікар загальної практики - сімейний лікар",IF(L1240&lt;=Законод!$C$22,H1240,Законод!$C$22*'01_Доходи'!H1239),IF($B$1236="Лікар-педіатр",IF(L1240&lt;=Законод!$C$18,H1240,Законод!$C$18*'01_Доходи'!H1239),IF($B$1236="Лікар-терапевт","x",0)))</f>
        <v>0</v>
      </c>
      <c r="I1241" s="208">
        <f ca="1">IF($B$1236="Лікар загальної практики - сімейний лікар",IF(L1240&lt;=Законод!$C$22,I1240,Законод!$C$22*'01_Доходи'!I1239),IF($B$1236="Лікар-педіатр","x",IF($B$1236="Лікар-терапевт",IF(L1240&lt;=Законод!$C$26,I1240,Законод!$C$26*'01_Доходи'!I1239),0)))</f>
        <v>0</v>
      </c>
      <c r="J1241" s="208">
        <f ca="1">IF($B$1236="Лікар загальної практики - сімейний лікар",IF(L1240&lt;=Законод!$C$22,J1240,Законод!$C$22*'01_Доходи'!J1239),IF($B$1236="Лікар-педіатр","x",IF($B$1236="Лікар-терапевт",IF(L1240&lt;=Законод!$C$26,J1240,Законод!$C$26*'01_Доходи'!J1239),0)))</f>
        <v>0</v>
      </c>
      <c r="K1241" s="208">
        <f ca="1">IF($B$1236="Лікар загальної практики - сімейний лікар",IF(L1240&lt;=Законод!$C$22,K1240,Законод!$C$22*'01_Доходи'!K1239),IF($B$1236="Лікар-педіатр","x",IF($B$1236="Лікар-терапевт",IF(L1240&lt;=Законод!$C$26,K1240,Законод!$C$26*'01_Доходи'!K1239),0)))</f>
        <v>0</v>
      </c>
      <c r="L1241" s="209">
        <f ca="1">SUM(G1241:K1241)</f>
        <v>0</v>
      </c>
      <c r="M1241" s="930"/>
      <c r="N1241" s="208">
        <f ca="1">IF($B$1236="Лікар загальної практики - сімейний лікар",IF(S1240&lt;=Законод!$C$22,N1240,Законод!$C$22*'01_Доходи'!N1239),IF($B$1236="Лікар-педіатр",IF(S1240&lt;=Законод!$C$18,N1240,Законод!$C$18*'01_Доходи'!N1239),IF($B$1236="Лікар-терапевт","x",0)))</f>
        <v>0</v>
      </c>
      <c r="O1241" s="208">
        <f ca="1">IF($B$1236="Лікар загальної практики - сімейний лікар",IF(S1240&lt;=Законод!$C$22,O1240,Законод!$C$22*'01_Доходи'!O1239),IF($B$1236="Лікар-педіатр",IF(S1240&lt;=Законод!$C$18,O1240,Законод!$C$18*'01_Доходи'!O1239),IF($B$1236="Лікар-терапевт","x",0)))</f>
        <v>0</v>
      </c>
      <c r="P1241" s="208">
        <f ca="1">IF($B$1236="Лікар загальної практики - сімейний лікар",IF(S1240&lt;=Законод!$C$22,P1240,Законод!$C$22*'01_Доходи'!P1239),IF($B$1236="Лікар-педіатр","x",IF($B$1236="Лікар-терапевт",IF(S1240&lt;=Законод!$C$26,P1240,Законод!$C$26*'01_Доходи'!P1239),0)))</f>
        <v>0</v>
      </c>
      <c r="Q1241" s="208">
        <f ca="1">IF($B$1236="Лікар загальної практики - сімейний лікар",IF(S1240&lt;=Законод!$C$22,Q1240,Законод!$C$22*'01_Доходи'!Q1239),IF($B$1236="Лікар-педіатр","x",IF($B$1236="Лікар-терапевт",IF(S1240&lt;=Законод!$C$26,Q1240,Законод!$C$26*'01_Доходи'!Q1239),0)))</f>
        <v>0</v>
      </c>
      <c r="R1241" s="208">
        <f ca="1">IF($B$1236="Лікар загальної практики - сімейний лікар",IF(S1240&lt;=Законод!$C$22,R1240,Законод!$C$22*'01_Доходи'!R1239),IF($B$1236="Лікар-педіатр","x",IF($B$1236="Лікар-терапевт",IF(S1240&lt;=Законод!$C$26,R1240,Законод!$C$26*'01_Доходи'!R1239),0)))</f>
        <v>0</v>
      </c>
      <c r="S1241" s="209">
        <f ca="1">SUM(N1241:R1241)</f>
        <v>0</v>
      </c>
      <c r="T1241" s="930"/>
      <c r="U1241" s="208">
        <f ca="1">IF($B$1236="Лікар загальної практики - сімейний лікар",IF(Z1240&lt;=Законод!$C$22,U1240,Законод!$C$22*'01_Доходи'!U1239),IF($B$1236="Лікар-педіатр",IF(Z1240&lt;=Законод!$C$18,U1240,Законод!$C$18*'01_Доходи'!U1239),IF($B$1236="Лікар-терапевт","x",0)))</f>
        <v>0</v>
      </c>
      <c r="V1241" s="208">
        <f ca="1">IF($B$1236="Лікар загальної практики - сімейний лікар",IF(Z1240&lt;=Законод!$C$22,V1240,Законод!$C$22*'01_Доходи'!V1239),IF($B$1236="Лікар-педіатр",IF(Z1240&lt;=Законод!$C$18,V1240,Законод!$C$18*'01_Доходи'!V1239),IF($B$1236="Лікар-терапевт","x",0)))</f>
        <v>0</v>
      </c>
      <c r="W1241" s="208">
        <f ca="1">IF($B$1236="Лікар загальної практики - сімейний лікар",IF(Z1240&lt;=Законод!$C$22,W1240,Законод!$C$22*'01_Доходи'!W1239),IF($B$1236="Лікар-педіатр","x",IF($B$1236="Лікар-терапевт",IF(Z1240&lt;=Законод!$C$26,W1240,Законод!$C$26*'01_Доходи'!W1239),0)))</f>
        <v>0</v>
      </c>
      <c r="X1241" s="208">
        <f ca="1">IF($B$1236="Лікар загальної практики - сімейний лікар",IF(Z1240&lt;=Законод!$C$22,X1240,Законод!$C$22*'01_Доходи'!X1239),IF($B$1236="Лікар-педіатр","x",IF($B$1236="Лікар-терапевт",IF(Z1240&lt;=Законод!$C$26,X1240,Законод!$C$26*'01_Доходи'!X1239),0)))</f>
        <v>0</v>
      </c>
      <c r="Y1241" s="208">
        <f ca="1">IF($B$1236="Лікар загальної практики - сімейний лікар",IF(Z1240&lt;=Законод!$C$22,Y1240,Законод!$C$22*'01_Доходи'!Y1239),IF($B$1236="Лікар-педіатр","x",IF($B$1236="Лікар-терапевт",IF(Z1240&lt;=Законод!$C$26,Y1240,Законод!$C$26*'01_Доходи'!Y1239),0)))</f>
        <v>0</v>
      </c>
      <c r="Z1241" s="209">
        <f ca="1">SUM(U1241:Y1241)</f>
        <v>0</v>
      </c>
      <c r="AA1241" s="930"/>
      <c r="AB1241" s="208">
        <f ca="1">IF($B$1236="Лікар загальної практики - сімейний лікар",IF(AG1240&lt;=Законод!$C$22,AB1240,Законод!$C$22*'01_Доходи'!AB1239),IF($B$1236="Лікар-педіатр",IF(AG1240&lt;=Законод!$C$18,AB1240,Законод!$C$18*'01_Доходи'!AB1239),IF($B$1236="Лікар-терапевт","x",0)))</f>
        <v>0</v>
      </c>
      <c r="AC1241" s="208">
        <f ca="1">IF($B$1236="Лікар загальної практики - сімейний лікар",IF(AG1240&lt;=Законод!$C$22,AC1240,Законод!$C$22*'01_Доходи'!AC1239),IF($B$1236="Лікар-педіатр",IF(AG1240&lt;=Законод!$C$18,AC1240,Законод!$C$18*'01_Доходи'!AC1239),IF($B$1236="Лікар-терапевт","x",0)))</f>
        <v>0</v>
      </c>
      <c r="AD1241" s="208">
        <f ca="1">IF($B$1236="Лікар загальної практики - сімейний лікар",IF(AG1240&lt;=Законод!$C$22,AD1240,Законод!$C$22*'01_Доходи'!AD1239),IF($B$1236="Лікар-педіатр","x",IF($B$1236="Лікар-терапевт",IF(AG1240&lt;=Законод!$C$26,AD1240,Законод!$C$26*'01_Доходи'!AD1239),0)))</f>
        <v>0</v>
      </c>
      <c r="AE1241" s="208">
        <f ca="1">IF($B$1236="Лікар загальної практики - сімейний лікар",IF(AG1240&lt;=Законод!$C$22,AE1240,Законод!$C$22*'01_Доходи'!AE1239),IF($B$1236="Лікар-педіатр","x",IF($B$1236="Лікар-терапевт",IF(AG1240&lt;=Законод!$C$26,AE1240,Законод!$C$26*'01_Доходи'!AE1239),0)))</f>
        <v>0</v>
      </c>
      <c r="AF1241" s="208">
        <f ca="1">IF($B$1236="Лікар загальної практики - сімейний лікар",IF(AG1240&lt;=Законод!$C$22,AF1240,Законод!$C$22*'01_Доходи'!AF1239),IF($B$1236="Лікар-педіатр","x",IF($B$1236="Лікар-терапевт",IF(AG1240&lt;=Законод!$C$26,AF1240,Законод!$C$26*'01_Доходи'!AF1239),0)))</f>
        <v>0</v>
      </c>
      <c r="AG1241" s="209">
        <f ca="1">SUM(AB1241:AF1241)</f>
        <v>0</v>
      </c>
      <c r="AH1241" s="930"/>
      <c r="AI1241" s="201"/>
      <c r="AJ1241" s="933"/>
      <c r="AK1241" s="927"/>
      <c r="AL1241" s="927"/>
      <c r="AM1241" s="348" t="s">
        <v>374</v>
      </c>
      <c r="AN1241" s="210">
        <f ca="1">IF(B1236="Лікар загальної практики - сімейний лікар",G1241*Законод!$C$11+'01_Доходи'!H1241*Законод!$D$11+'01_Доходи'!I1241*Законод!$E$11+'01_Доходи'!J1241*Законод!$F$11+'01_Доходи'!K1241*Законод!$G$11,IF(B1236="Лікар-педіатр",G1241*Законод!$C$11+'01_Доходи'!H1241*Законод!$D$11,IF(B1236="Лікар-терапевт",'01_Доходи'!I1241*Законод!$E$11+'01_Доходи'!J1241*Законод!$F$11+'01_Доходи'!K1241*Законод!$G$11,0)))</f>
        <v>0</v>
      </c>
      <c r="AO1241" s="210">
        <f ca="1">IF(B1236="Лікар загальної практики - сімейний лікар",N1241*Законод!$C$11+'01_Доходи'!O1241*Законод!$D$11+'01_Доходи'!P1241*Законод!$E$11+'01_Доходи'!Q1241*Законод!$F$11+'01_Доходи'!R1241*Законод!$G$11,IF(B1236="Лікар-педіатр",N1241*Законод!$C$11+'01_Доходи'!O1241*Законод!$D$11,IF(B1236="Лікар-терапевт",'01_Доходи'!P1241*Законод!$E$11+'01_Доходи'!Q1241*Законод!$F$11+'01_Доходи'!R1241*Законод!$G$11,0)))</f>
        <v>0</v>
      </c>
      <c r="AP1241" s="210">
        <f ca="1">IF(B1236="Лікар загальної практики - сімейний лікар",U1241*Законод!$C$11+'01_Доходи'!V1241*Законод!$D$11+'01_Доходи'!W1241*Законод!$E$11+'01_Доходи'!X1241*Законод!$F$11+'01_Доходи'!Y1241*Законод!$G$11,IF(B1236="Лікар-педіатр",U1241*Законод!$C$11+'01_Доходи'!V1241*Законод!$D$11,IF(B1236="Лікар-терапевт",'01_Доходи'!W1241*Законод!$E$11+'01_Доходи'!X1241*Законод!$F$11+'01_Доходи'!Y1241*Законод!$G$11,0)))</f>
        <v>0</v>
      </c>
      <c r="AQ1241" s="210">
        <f ca="1">IF(B1236="Лікар загальної практики - сімейний лікар",AB1241*Законод!$C$11+'01_Доходи'!AC1241*Законод!$D$11+'01_Доходи'!AD1241*Законод!$E$11+'01_Доходи'!AE1241*Законод!$F$11+'01_Доходи'!AF1241*Законод!$G$11,IF(B1236="Лікар-педіатр",AB1241*Законод!$C$11+'01_Доходи'!AC1241*Законод!$D$11,IF(B1236="Лікар-терапевт",'01_Доходи'!AD1241*Законод!$E$11+'01_Доходи'!AE1241*Законод!$F$11+'01_Доходи'!AF1241*Законод!$G$11,0)))</f>
        <v>0</v>
      </c>
      <c r="AR1241" s="211">
        <f t="shared" ref="AR1241:AR1247" si="122">SUM(AN1241:AQ1241)</f>
        <v>0</v>
      </c>
    </row>
    <row r="1242" spans="1:44" s="50" customFormat="1" ht="31.9" hidden="1" customHeight="1">
      <c r="A1242" s="197"/>
      <c r="B1242" s="893"/>
      <c r="C1242" s="896"/>
      <c r="D1242" s="912"/>
      <c r="E1242" s="909"/>
      <c r="F1242" s="238" t="str">
        <f ca="1">IF(B1236="Лікар-педіатр",Законод!$E$17,IF(B1236="Лікар загальної практики - сімейний лікар",Законод!$E$21,IF(B1236="Лікар-терапевт",Законод!$E$25,"х")))</f>
        <v>х</v>
      </c>
      <c r="G1242" s="889" t="s">
        <v>346</v>
      </c>
      <c r="H1242" s="890"/>
      <c r="I1242" s="890"/>
      <c r="J1242" s="890"/>
      <c r="K1242" s="891"/>
      <c r="L1242" s="196">
        <f ca="1">IF($B$1236="Лікар загальної практики - сімейний лікар",IF(L1240&lt;Законод!$C$22,0,(IF(AND(L1240&gt;=Законод!$E$22,L1240&lt;=Законод!$E$23),L1240-Законод!$C$22,IF('01_Доходи'!L1240&gt;=Законод!$F$22,Законод!$E$24,0)))),IF($B$1236="Лікар-педіатр",IF(L1240&lt;Законод!$C$18,0,(IF(AND(L1240&gt;=Законод!$E$18,L1240&lt;=Законод!$E$19),L1240-Законод!$C$18,IF('01_Доходи'!L1240&gt;=Законод!$F$18,Законод!$E$20,0)))),IF($B$1236="Лікар-терапевт",IF(L1240&lt;Законод!$C$26,0,(IF(AND(L1240&gt;=Законод!$E$26,L1240&lt;=Законод!$E$27),L1240-Законод!$C$26,IF('01_Доходи'!L1240&gt;=Законод!$F$26,Законод!$E$28,0)))),0)))</f>
        <v>0</v>
      </c>
      <c r="M1242" s="930"/>
      <c r="N1242" s="889" t="s">
        <v>346</v>
      </c>
      <c r="O1242" s="890"/>
      <c r="P1242" s="890"/>
      <c r="Q1242" s="890"/>
      <c r="R1242" s="891"/>
      <c r="S1242" s="196">
        <f ca="1">IF($B$1236="Лікар загальної практики - сімейний лікар",IF(S1240&lt;Законод!$C$22,0,(IF(AND(S1240&gt;=Законод!$E$22,S1240&lt;=Законод!$E$23),S1240-Законод!$C$22,IF('01_Доходи'!S1240&gt;=Законод!$F$22,Законод!$E$24,0)))),IF($B$1236="Лікар-педіатр",IF(S1240&lt;Законод!$C$18,0,(IF(AND(S1240&gt;=Законод!$E$18,S1240&lt;=Законод!$E$19),S1240-Законод!$C$18,IF('01_Доходи'!S1240&gt;=Законод!$F$18,Законод!$E$20,0)))),IF($B$1236="Лікар-терапевт",IF(S1240&lt;Законод!$C$26,0,(IF(AND(S1240&gt;=Законод!$E$26,S1240&lt;=Законод!$E$27),S1240-Законод!$C$26,IF('01_Доходи'!S1240&gt;=Законод!$F$26,Законод!$E$28,0)))),0)))</f>
        <v>0</v>
      </c>
      <c r="T1242" s="930"/>
      <c r="U1242" s="889" t="s">
        <v>346</v>
      </c>
      <c r="V1242" s="890"/>
      <c r="W1242" s="890"/>
      <c r="X1242" s="890"/>
      <c r="Y1242" s="891"/>
      <c r="Z1242" s="196">
        <f ca="1">IF($B$1236="Лікар загальної практики - сімейний лікар",IF(Z1240&lt;Законод!$C$22,0,(IF(AND(Z1240&gt;=Законод!$E$22,Z1240&lt;=Законод!$E$23),Z1240-Законод!$C$22,IF('01_Доходи'!Z1240&gt;=Законод!$F$22,Законод!$E$24,0)))),IF($B$1236="Лікар-педіатр",IF(Z1240&lt;Законод!$C$18,0,(IF(AND(Z1240&gt;=Законод!$E$18,Z1240&lt;=Законод!$E$19),Z1240-Законод!$C$18,IF('01_Доходи'!Z1240&gt;=Законод!$F$18,Законод!$E$20,0)))),IF($B$1236="Лікар-терапевт",IF(Z1240&lt;Законод!$C$26,0,(IF(AND(Z1240&gt;=Законод!$E$26,Z1240&lt;=Законод!$E$27),Z1240-Законод!$C$26,IF('01_Доходи'!Z1240&gt;=Законод!$F$26,Законод!$E$28,0)))),0)))</f>
        <v>0</v>
      </c>
      <c r="AA1242" s="930"/>
      <c r="AB1242" s="889" t="s">
        <v>346</v>
      </c>
      <c r="AC1242" s="890"/>
      <c r="AD1242" s="890"/>
      <c r="AE1242" s="890"/>
      <c r="AF1242" s="891"/>
      <c r="AG1242" s="196">
        <f ca="1">IF($B$1236="Лікар загальної практики - сімейний лікар",IF(AG1240&lt;Законод!$C$22,0,(IF(AND(AG1240&gt;=Законод!$E$22,AG1240&lt;=Законод!$E$23),AG1240-Законод!$C$22,IF('01_Доходи'!AG1240&gt;=Законод!$F$22,Законод!$E$24,0)))),IF($B$1236="Лікар-педіатр",IF(AG1240&lt;Законод!$C$18,0,(IF(AND(AG1240&gt;=Законод!$E$18,AG1240&lt;=Законод!$E$19),AG1240-Законод!$C$18,IF('01_Доходи'!AG1240&gt;=Законод!$F$18,Законод!$E$20,0)))),IF($B$1236="Лікар-терапевт",IF(AG1240&lt;Законод!$C$26,0,(IF(AND(AG1240&gt;=Законод!$E$26,AG1240&lt;=Законод!$E$27),AG1240-Законод!$C$26,IF('01_Доходи'!AG1240&gt;=Законод!$F$26,Законод!$E$28,0)))),0)))</f>
        <v>0</v>
      </c>
      <c r="AH1242" s="930"/>
      <c r="AI1242" s="201"/>
      <c r="AJ1242" s="933"/>
      <c r="AK1242" s="927"/>
      <c r="AL1242" s="927"/>
      <c r="AM1242" s="898" t="s">
        <v>375</v>
      </c>
      <c r="AN1242" s="210">
        <f ca="1">IF(B1236="Лікар загальної практики - сімейний лікар",L1242*Законод!$C$9/4*Законод!$E$16,IF(B1236="Лікар-педіатр",L1242*Законод!$C$9/4*Законод!$E$16,IF(B1236="Лікар-терапевт",L1242*Законод!$C$9/4*Законод!$E$16,0)))</f>
        <v>0</v>
      </c>
      <c r="AO1242" s="210">
        <f ca="1">IF(B1236="Лікар загальної практики - сімейний лікар",S1242*Законод!$C$9/4*Законод!$E$16,IF(B1236="Лікар-педіатр",S1242*Законод!$C$9/4*Законод!$E$16,IF(B1236="Лікар-терапевт",S1242*Законод!$C$9/4*Законод!$E$16,0)))</f>
        <v>0</v>
      </c>
      <c r="AP1242" s="210">
        <f ca="1">IF(B1236="Лікар загальної практики - сімейний лікар",Z1242*Законод!$C$9/4*Законод!$E$16,IF(B1236="Лікар-педіатр",Z1242*Законод!$C$9/4*Законод!$E$16,IF(B1236="Лікар-терапевт",Z1242*Законод!$C$9/4*Законод!$E$16,0)))</f>
        <v>0</v>
      </c>
      <c r="AQ1242" s="210">
        <f ca="1">IF(B1236="Лікар загальної практики - сімейний лікар",AG1242*Законод!$C$9/4*Законод!$E$16,IF(B1236="Лікар-педіатр",AG1242*Законод!$C$9/4*Законод!$E$16,IF(B1236="Лікар-терапевт",AG1242*Законод!$C$9/4*Законод!$E$16,0)))</f>
        <v>0</v>
      </c>
      <c r="AR1242" s="211">
        <f t="shared" si="122"/>
        <v>0</v>
      </c>
    </row>
    <row r="1243" spans="1:44" s="50" customFormat="1" ht="31.9" hidden="1" customHeight="1">
      <c r="A1243" s="197"/>
      <c r="B1243" s="893"/>
      <c r="C1243" s="896"/>
      <c r="D1243" s="912"/>
      <c r="E1243" s="909"/>
      <c r="F1243" s="238" t="str">
        <f ca="1">IF(B1236="Лікар-педіатр",Законод!$F$17,IF(B1236="Лікар загальної практики - сімейний лікар",Законод!$F$21,IF(B1236="Лікар-терапевт",Законод!$F$25,"х")))</f>
        <v>х</v>
      </c>
      <c r="G1243" s="889" t="s">
        <v>346</v>
      </c>
      <c r="H1243" s="890"/>
      <c r="I1243" s="890"/>
      <c r="J1243" s="890"/>
      <c r="K1243" s="891"/>
      <c r="L1243" s="196">
        <f ca="1">IF($B$1236="Лікар загальної практики - сімейний лікар",IF(L1240&lt;Законод!$C$22,0,(IF(AND(L1240&gt;=Законод!$F$22,L1240&lt;=Законод!$F$23),L1240-Законод!$E$23,IF('01_Доходи'!L1240&gt;=Законод!$G$22,Законод!$F$24,0)))),IF($B$1236="Лікар-педіатр",IF(L1240&lt;Законод!$C$18,0,(IF(AND(L1240&gt;=Законод!$F$18,L1240&lt;=Законод!$F$19),L1240-Законод!$E$19,IF('01_Доходи'!L1240&gt;=Законод!$G$18,Законод!$F$20,0)))),IF($B$1236="Лікар-терапевт",IF(L1240&lt;Законод!$C$26,0,(IF(AND(L1240&gt;=Законод!$F$26,L1240&lt;=Законод!$F$27),L1240-Законод!$E$27,IF('01_Доходи'!L1240&gt;=Законод!$G$26,Законод!$F$28,0)))),0)))</f>
        <v>0</v>
      </c>
      <c r="M1243" s="930"/>
      <c r="N1243" s="889" t="s">
        <v>346</v>
      </c>
      <c r="O1243" s="890"/>
      <c r="P1243" s="890"/>
      <c r="Q1243" s="890"/>
      <c r="R1243" s="891"/>
      <c r="S1243" s="196">
        <f ca="1">IF($B$1236="Лікар загальної практики - сімейний лікар",IF(S1240&lt;Законод!$C$22,0,(IF(AND(S1240&gt;=Законод!$F$22,S1240&lt;=Законод!$F$23),S1240-Законод!$E$23,IF('01_Доходи'!S1240&gt;=Законод!$G$22,Законод!$F$24,0)))),IF($B$1236="Лікар-педіатр",IF(S1240&lt;Законод!$C$18,0,(IF(AND(S1240&gt;=Законод!$F$18,S1240&lt;=Законод!$F$19),S1240-Законод!$E$19,IF('01_Доходи'!S1240&gt;=Законод!$G$18,Законод!$F$20,0)))),IF($B$1236="Лікар-терапевт",IF(S1240&lt;Законод!$C$26,0,(IF(AND(S1240&gt;=Законод!$F$26,S1240&lt;=Законод!$F$27),S1240-Законод!$E$27,IF('01_Доходи'!S1240&gt;=Законод!$G$26,Законод!$F$28,0)))),0)))</f>
        <v>0</v>
      </c>
      <c r="T1243" s="930"/>
      <c r="U1243" s="889" t="s">
        <v>346</v>
      </c>
      <c r="V1243" s="890"/>
      <c r="W1243" s="890"/>
      <c r="X1243" s="890"/>
      <c r="Y1243" s="891"/>
      <c r="Z1243" s="196">
        <f ca="1">IF($B$1236="Лікар загальної практики - сімейний лікар",IF(Z1240&lt;Законод!$C$22,0,(IF(AND(Z1240&gt;=Законод!$F$22,Z1240&lt;=Законод!$F$23),Z1240-Законод!$E$23,IF('01_Доходи'!Z1240&gt;=Законод!$G$22,Законод!$F$24,0)))),IF($B$1236="Лікар-педіатр",IF(Z1240&lt;Законод!$C$18,0,(IF(AND(Z1240&gt;=Законод!$F$18,Z1240&lt;=Законод!$F$19),Z1240-Законод!$E$19,IF('01_Доходи'!Z1240&gt;=Законод!$G$18,Законод!$F$20,0)))),IF($B$1236="Лікар-терапевт",IF(Z1240&lt;Законод!$C$26,0,(IF(AND(Z1240&gt;=Законод!$F$26,Z1240&lt;=Законод!$F$27),Z1240-Законод!$E$27,IF('01_Доходи'!Z1240&gt;=Законод!$G$26,Законод!$F$28,0)))),0)))</f>
        <v>0</v>
      </c>
      <c r="AA1243" s="930"/>
      <c r="AB1243" s="889" t="s">
        <v>346</v>
      </c>
      <c r="AC1243" s="890"/>
      <c r="AD1243" s="890"/>
      <c r="AE1243" s="890"/>
      <c r="AF1243" s="891"/>
      <c r="AG1243" s="196">
        <f ca="1">IF($B$1236="Лікар загальної практики - сімейний лікар",IF(AG1240&lt;Законод!$C$22,0,(IF(AND(AG1240&gt;=Законод!$F$22,AG1240&lt;=Законод!$F$23),AG1240-Законод!$E$23,IF('01_Доходи'!AG1240&gt;=Законод!$G$22,Законод!$F$24,0)))),IF($B$1236="Лікар-педіатр",IF(AG1240&lt;Законод!$C$18,0,(IF(AND(AG1240&gt;=Законод!$F$18,AG1240&lt;=Законод!$F$19),AG1240-Законод!$E$19,IF('01_Доходи'!AG1240&gt;=Законод!$G$18,Законод!$F$20,0)))),IF($B$1236="Лікар-терапевт",IF(AG1240&lt;Законод!$C$26,0,(IF(AND(AG1240&gt;=Законод!$F$26,AG1240&lt;=Законод!$F$27),AG1240-Законод!$E$27,IF('01_Доходи'!AG1240&gt;=Законод!$G$26,Законод!$F$28,0)))),0)))</f>
        <v>0</v>
      </c>
      <c r="AH1243" s="930"/>
      <c r="AI1243" s="201"/>
      <c r="AJ1243" s="933"/>
      <c r="AK1243" s="927"/>
      <c r="AL1243" s="927"/>
      <c r="AM1243" s="899"/>
      <c r="AN1243" s="210">
        <f ca="1">IF(B1236="Лікар загальної практики - сімейний лікар",L1243*Законод!$C$9/4*Законод!$F$16,IF(B1236="Лікар-педіатр",L1243*Законод!$C$9/4*Законод!$F$16,IF(B1236="Лікар-терапевт",L1243*Законод!$C$9/4*Законод!$F$16,0)))</f>
        <v>0</v>
      </c>
      <c r="AO1243" s="210">
        <f ca="1">IF(B1236="Лікар загальної практики - сімейний лікар",S1243*Законод!$C$9/4*Законод!$F$16,IF(B1236="Лікар-педіатр",S1243*Законод!$C$9/4*Законод!$F$16,IF(B1236="Лікар-терапевт",S1243*Законод!$C$9/4*Законод!$F$16,0)))</f>
        <v>0</v>
      </c>
      <c r="AP1243" s="210">
        <f ca="1">IF(B1236="Лікар загальної практики - сімейний лікар",Z1243*Законод!$C$9/4*Законод!$F$16,IF(B1236="Лікар-педіатр",Z1243*Законод!$C$9/4*Законод!$F$16,IF(B1236="Лікар-терапевт",Z1243*Законод!$C$9/4*Законод!$F$16,0)))</f>
        <v>0</v>
      </c>
      <c r="AQ1243" s="210">
        <f ca="1">IF(B1236="Лікар загальної практики - сімейний лікар",AG1243*Законод!$C$9/4*Законод!$F$16,IF(B1236="Лікар-педіатр",AG1243*Законод!$C$9/4*Законод!$F$16,IF(B1236="Лікар-терапевт",AG1243*Законод!$C$9/4*Законод!$F$16,0)))</f>
        <v>0</v>
      </c>
      <c r="AR1243" s="211">
        <f t="shared" si="122"/>
        <v>0</v>
      </c>
    </row>
    <row r="1244" spans="1:44" s="50" customFormat="1" ht="31.9" hidden="1" customHeight="1">
      <c r="A1244" s="197"/>
      <c r="B1244" s="893"/>
      <c r="C1244" s="896"/>
      <c r="D1244" s="912"/>
      <c r="E1244" s="909"/>
      <c r="F1244" s="238" t="str">
        <f ca="1">IF(B1236="Лікар-педіатр",Законод!$G$17,IF(B1236="Лікар загальної практики - сімейний лікар",Законод!$G$21,IF(B1236="Лікар-терапевт",Законод!$G$25,"х")))</f>
        <v>х</v>
      </c>
      <c r="G1244" s="889" t="s">
        <v>346</v>
      </c>
      <c r="H1244" s="890"/>
      <c r="I1244" s="890"/>
      <c r="J1244" s="890"/>
      <c r="K1244" s="891"/>
      <c r="L1244" s="196">
        <f ca="1">IF($B$1236="Лікар загальної практики - сімейний лікар",IF(L1240&lt;Законод!$C$22,0,(IF(AND(L1240&gt;=Законод!$G$22,L1240&lt;=Законод!$G$23),L1240-Законод!$F$23,IF('01_Доходи'!L1240&gt;=Законод!$H$22,Законод!$G$24,0)))),IF($B$1236="Лікар-педіатр",IF(L1240&lt;Законод!$C$18,0,(IF(AND(L1240&gt;=Законод!$G$18,L1240&lt;=Законод!$G$19),L1240-Законод!$F$19,IF('01_Доходи'!L1240&gt;=Законод!$H$18,Законод!$G$20,0)))),IF($B$1236="Лікар-терапевт",IF(L1240&lt;Законод!$C$26,0,(IF(AND(L1240&gt;=Законод!$G$26,L1240&lt;=Законод!$G$27),L1240-Законод!$F$27,IF('01_Доходи'!L1240&gt;=Законод!$H$26,Законод!$G$28,0)))),0)))</f>
        <v>0</v>
      </c>
      <c r="M1244" s="930"/>
      <c r="N1244" s="889" t="s">
        <v>346</v>
      </c>
      <c r="O1244" s="890"/>
      <c r="P1244" s="890"/>
      <c r="Q1244" s="890"/>
      <c r="R1244" s="891"/>
      <c r="S1244" s="196">
        <f ca="1">IF($B$1236="Лікар загальної практики - сімейний лікар",IF(S1240&lt;Законод!$C$22,0,(IF(AND(S1240&gt;=Законод!$G$22,S1240&lt;=Законод!$G$23),S1240-Законод!$F$23,IF('01_Доходи'!S1240&gt;=Законод!$H$22,Законод!$G$24,0)))),IF($B$1236="Лікар-педіатр",IF(S1240&lt;Законод!$C$18,0,(IF(AND(S1240&gt;=Законод!$G$18,S1240&lt;=Законод!$G$19),S1240-Законод!$F$19,IF('01_Доходи'!S1240&gt;=Законод!$H$18,Законод!$G$20,0)))),IF($B$1236="Лікар-терапевт",IF(S1240&lt;Законод!$C$26,0,(IF(AND(S1240&gt;=Законод!$G$26,S1240&lt;=Законод!$G$27),S1240-Законод!$F$27,IF('01_Доходи'!S1240&gt;=Законод!$H$26,Законод!$G$28,0)))),0)))</f>
        <v>0</v>
      </c>
      <c r="T1244" s="930"/>
      <c r="U1244" s="889" t="s">
        <v>346</v>
      </c>
      <c r="V1244" s="890"/>
      <c r="W1244" s="890"/>
      <c r="X1244" s="890"/>
      <c r="Y1244" s="891"/>
      <c r="Z1244" s="196">
        <f ca="1">IF($B$1236="Лікар загальної практики - сімейний лікар",IF(Z1240&lt;Законод!$C$22,0,(IF(AND(Z1240&gt;=Законод!$G$22,Z1240&lt;=Законод!$G$23),Z1240-Законод!$F$23,IF('01_Доходи'!Z1240&gt;=Законод!$H$22,Законод!$G$24,0)))),IF($B$1236="Лікар-педіатр",IF(Z1240&lt;Законод!$C$18,0,(IF(AND(Z1240&gt;=Законод!$G$18,Z1240&lt;=Законод!$G$19),Z1240-Законод!$F$19,IF('01_Доходи'!Z1240&gt;=Законод!$H$18,Законод!$G$20,0)))),IF($B$1236="Лікар-терапевт",IF(Z1240&lt;Законод!$C$26,0,(IF(AND(Z1240&gt;=Законод!$G$26,Z1240&lt;=Законод!$G$27),Z1240-Законод!$F$27,IF('01_Доходи'!Z1240&gt;=Законод!$H$26,Законод!$G$28,0)))),0)))</f>
        <v>0</v>
      </c>
      <c r="AA1244" s="930"/>
      <c r="AB1244" s="889" t="s">
        <v>346</v>
      </c>
      <c r="AC1244" s="890"/>
      <c r="AD1244" s="890"/>
      <c r="AE1244" s="890"/>
      <c r="AF1244" s="891"/>
      <c r="AG1244" s="196">
        <f ca="1">IF($B$1236="Лікар загальної практики - сімейний лікар",IF(AG1240&lt;Законод!$C$22,0,(IF(AND(AG1240&gt;=Законод!$G$22,AG1240&lt;=Законод!$G$23),AG1240-Законод!$F$23,IF('01_Доходи'!AG1240&gt;=Законод!$H$22,Законод!$G$24,0)))),IF($B$1236="Лікар-педіатр",IF(AG1240&lt;Законод!$C$18,0,(IF(AND(AG1240&gt;=Законод!$G$18,AG1240&lt;=Законод!$G$19),AG1240-Законод!$F$19,IF('01_Доходи'!AG1240&gt;=Законод!$H$18,Законод!$G$20,0)))),IF($B$1236="Лікар-терапевт",IF(AG1240&lt;Законод!$C$26,0,(IF(AND(AG1240&gt;=Законод!$G$26,AG1240&lt;=Законод!$G$27),AG1240-Законод!$F$27,IF('01_Доходи'!AG1240&gt;=Законод!$H$26,Законод!$G$28,0)))),0)))</f>
        <v>0</v>
      </c>
      <c r="AH1244" s="930"/>
      <c r="AI1244" s="201"/>
      <c r="AJ1244" s="933"/>
      <c r="AK1244" s="927"/>
      <c r="AL1244" s="927"/>
      <c r="AM1244" s="899"/>
      <c r="AN1244" s="210">
        <f ca="1">IF(B1236="Лікар загальної практики - сімейний лікар",L1244*Законод!$C$9/4*Законод!$G$16,IF(B1236="Лікар-педіатр",L1244*Законод!$C$9/4*Законод!$G$16,IF(B1236="Лікар-терапевт",L1244*Законод!$C$9/4*Законод!$G$16,0)))</f>
        <v>0</v>
      </c>
      <c r="AO1244" s="210">
        <f ca="1">IF(B1236="Лікар загальної практики - сімейний лікар",S1244*Законод!$C$9/4*Законод!$G$16,IF(B1236="Лікар-педіатр",S1244*Законод!$C$9/4*Законод!$G$16,IF(B1236="Лікар-терапевт",S1244*Законод!$C$9/4*Законод!$G$16,0)))</f>
        <v>0</v>
      </c>
      <c r="AP1244" s="210">
        <f ca="1">IF(B1236="Лікар загальної практики - сімейний лікар",Z1244*Законод!$C$9/4*Законод!$G$16,IF(B1236="Лікар-педіатр",Z1244*Законод!$C$9/4*Законод!$G$16,IF(B1236="Лікар-терапевт",Z1244*Законод!$C$9/4*Законод!$G$16,0)))</f>
        <v>0</v>
      </c>
      <c r="AQ1244" s="210">
        <f ca="1">IF(B1236="Лікар загальної практики - сімейний лікар",AG1244*Законод!$C$9/4*Законод!$G$16,IF(B1236="Лікар-педіатр",AG1244*Законод!$C$9/4*Законод!$G$16,IF(B1236="Лікар-терапевт",AG1244*Законод!$C$9/4*Законод!$G$16,0)))</f>
        <v>0</v>
      </c>
      <c r="AR1244" s="211">
        <f t="shared" si="122"/>
        <v>0</v>
      </c>
    </row>
    <row r="1245" spans="1:44" s="50" customFormat="1" ht="31.9" hidden="1" customHeight="1">
      <c r="A1245" s="197"/>
      <c r="B1245" s="893"/>
      <c r="C1245" s="896"/>
      <c r="D1245" s="912"/>
      <c r="E1245" s="909"/>
      <c r="F1245" s="238" t="str">
        <f ca="1">IF(B1236="Лікар-педіатр",Законод!$H$17,IF(B1236="Лікар загальної практики - сімейний лікар",Законод!$H$21,IF(B1236="Лікар-терапевт",Законод!$H$25,"х")))</f>
        <v>х</v>
      </c>
      <c r="G1245" s="889" t="s">
        <v>346</v>
      </c>
      <c r="H1245" s="890"/>
      <c r="I1245" s="890"/>
      <c r="J1245" s="890"/>
      <c r="K1245" s="891"/>
      <c r="L1245" s="196">
        <f ca="1">IF($B$1236="Лікар загальної практики - сімейний лікар",IF(L1240&lt;Законод!$C$22,0,(IF(AND(L1240&gt;=Законод!$H$22,L1240&lt;=Законод!$H$23),L1240-Законод!$G$23,IF('01_Доходи'!L1240&gt;=Законод!$I$22,Законод!$H$24,0)))),IF($B$1236="Лікар-педіатр",IF(L1240&lt;Законод!$C$18,0,(IF(AND(L1240&gt;=Законод!$H$18,L1240&lt;=Законод!$H$19),L1240-Законод!$G$19,IF('01_Доходи'!L1240&gt;=Законод!$I$18,Законод!$H$20,0)))),IF($B$1236="Лікар-терапевт",IF(L1240&lt;Законод!$C$26,0,(IF(AND(L1240&gt;=Законод!$H$26,L1240&lt;=Законод!$H$27),L1240-Законод!$G$27,IF(L1240&gt;=Законод!$I$26,Законод!$H$28,0)))),0)))</f>
        <v>0</v>
      </c>
      <c r="M1245" s="930"/>
      <c r="N1245" s="889" t="s">
        <v>346</v>
      </c>
      <c r="O1245" s="890"/>
      <c r="P1245" s="890"/>
      <c r="Q1245" s="890"/>
      <c r="R1245" s="891"/>
      <c r="S1245" s="196">
        <f ca="1">IF($B$1236="Лікар загальної практики - сімейний лікар",IF(S1240&lt;Законод!$C$22,0,(IF(AND(S1240&gt;=Законод!$H$22,S1240&lt;=Законод!$H$23),S1240-Законод!$G$23,IF('01_Доходи'!S1240&gt;=Законод!$I$22,Законод!$H$24,0)))),IF($B$1236="Лікар-педіатр",IF(S1240&lt;Законод!$C$18,0,(IF(AND(S1240&gt;=Законод!$H$18,S1240&lt;=Законод!$H$19),S1240-Законод!$G$19,IF('01_Доходи'!S1240&gt;=Законод!$I$18,Законод!$H$20,0)))),IF($B$1236="Лікар-терапевт",IF(S1240&lt;Законод!$C$26,0,(IF(AND(S1240&gt;=Законод!$H$26,S1240&lt;=Законод!$H$27),S1240-Законод!$G$27,IF(S1240&gt;=Законод!$I$26,Законод!$H$28,0)))),0)))</f>
        <v>0</v>
      </c>
      <c r="T1245" s="930"/>
      <c r="U1245" s="889" t="s">
        <v>346</v>
      </c>
      <c r="V1245" s="890"/>
      <c r="W1245" s="890"/>
      <c r="X1245" s="890"/>
      <c r="Y1245" s="891"/>
      <c r="Z1245" s="196">
        <f ca="1">IF($B$1236="Лікар загальної практики - сімейний лікар",IF(Z1240&lt;Законод!$C$22,0,(IF(AND(Z1240&gt;=Законод!$H$22,Z1240&lt;=Законод!$H$23),Z1240-Законод!$G$23,IF('01_Доходи'!Z1240&gt;=Законод!$I$22,Законод!$H$24,0)))),IF($B$1236="Лікар-педіатр",IF(Z1240&lt;Законод!$C$18,0,(IF(AND(Z1240&gt;=Законод!$H$18,Z1240&lt;=Законод!$H$19),Z1240-Законод!$G$19,IF('01_Доходи'!Z1240&gt;=Законод!$I$18,Законод!$H$20,0)))),IF($B$1236="Лікар-терапевт",IF(Z1240&lt;Законод!$C$26,0,(IF(AND(Z1240&gt;=Законод!$H$26,Z1240&lt;=Законод!$H$27),Z1240-Законод!$G$27,IF(Z1240&gt;=Законод!$I$26,Законод!$H$28,0)))),0)))</f>
        <v>0</v>
      </c>
      <c r="AA1245" s="930"/>
      <c r="AB1245" s="889" t="s">
        <v>346</v>
      </c>
      <c r="AC1245" s="890"/>
      <c r="AD1245" s="890"/>
      <c r="AE1245" s="890"/>
      <c r="AF1245" s="891"/>
      <c r="AG1245" s="196">
        <f ca="1">IF($B$1236="Лікар загальної практики - сімейний лікар",IF(AG1240&lt;Законод!$C$22,0,(IF(AND(AG1240&gt;=Законод!$H$22,AG1240&lt;=Законод!$H$23),AG1240-Законод!$G$23,IF('01_Доходи'!AG1240&gt;=Законод!$I$22,Законод!$H$24,0)))),IF($B$1236="Лікар-педіатр",IF(AG1240&lt;Законод!$C$18,0,(IF(AND(AG1240&gt;=Законод!$H$18,AG1240&lt;=Законод!$H$19),AG1240-Законод!$G$19,IF('01_Доходи'!AG1240&gt;=Законод!$I$18,Законод!$H$20,0)))),IF($B$1236="Лікар-терапевт",IF(AG1240&lt;Законод!$C$26,0,(IF(AND(AG1240&gt;=Законод!$H$26,AG1240&lt;=Законод!$H$27),AG1240-Законод!$G$27,IF(AG1240&gt;=Законод!$I$26,Законод!$H$28,0)))),0)))</f>
        <v>0</v>
      </c>
      <c r="AH1245" s="930"/>
      <c r="AI1245" s="201"/>
      <c r="AJ1245" s="933"/>
      <c r="AK1245" s="927"/>
      <c r="AL1245" s="927"/>
      <c r="AM1245" s="899"/>
      <c r="AN1245" s="210">
        <f ca="1">IF(B1236="Лікар загальної практики - сімейний лікар",L1245*Законод!$C$9/4*Законод!$H$16,IF(B1236="Лікар-педіатр",L1245*Законод!$C$9/4*Законод!$H$16,IF(B1236="Лікар-терапевт",L1245*Законод!$C$9/4*Законод!$H$16,0)))</f>
        <v>0</v>
      </c>
      <c r="AO1245" s="210">
        <f ca="1">IF(B1236="Лікар загальної практики - сімейний лікар",S1245*Законод!$C$9/4*Законод!$H$16,IF(B1236="Лікар-педіатр",S1245*Законод!$C$9/4*Законод!$H$16,IF(B1236="Лікар-терапевт",S1245*Законод!$C$9/4*Законод!$H$16,0)))</f>
        <v>0</v>
      </c>
      <c r="AP1245" s="210">
        <f ca="1">IF(B1236="Лікар загальної практики - сімейний лікар",Z1245*Законод!$C$9/4*Законод!$H$16,IF(B1236="Лікар-педіатр",Z1245*Законод!$C$9/4*Законод!$H$16,IF(B1236="Лікар-терапевт",Z1245*Законод!$C$9/4*Законод!$H$16,0)))</f>
        <v>0</v>
      </c>
      <c r="AQ1245" s="210">
        <f ca="1">IF(B1236="Лікар загальної практики - сімейний лікар",AG1245*Законод!$C$9/4*Законод!$H$16,IF(B1236="Лікар-педіатр",AG1245*Законод!$C$9/4*Законод!$H$16,IF(B1236="Лікар-терапевт",AG1245*Законод!$C$9/4*Законод!$H$16,0)))</f>
        <v>0</v>
      </c>
      <c r="AR1245" s="211">
        <f t="shared" si="122"/>
        <v>0</v>
      </c>
    </row>
    <row r="1246" spans="1:44" s="50" customFormat="1" ht="31.9" hidden="1" customHeight="1">
      <c r="A1246" s="197"/>
      <c r="B1246" s="893"/>
      <c r="C1246" s="896"/>
      <c r="D1246" s="912"/>
      <c r="E1246" s="909"/>
      <c r="F1246" s="238" t="str">
        <f ca="1">IF(B1236="Лікар-педіатр",Законод!$I$17,IF(B1236="Лікар загальної практики - сімейний лікар",Законод!$I$21,IF(B1236="Лікар-терапевт",Законод!$I$25,"х")))</f>
        <v>х</v>
      </c>
      <c r="G1246" s="889" t="s">
        <v>346</v>
      </c>
      <c r="H1246" s="890"/>
      <c r="I1246" s="890"/>
      <c r="J1246" s="890"/>
      <c r="K1246" s="891"/>
      <c r="L1246" s="196">
        <f ca="1">IF($B$1236="Лікар загальної практики - сімейний лікар",IF(L1240&lt;Законод!$C$22,0,(IF(AND(L1240&gt;=Законод!$I$22,L1240&lt;=Законод!$I$23),L1240-Законод!$H$23,IF('01_Доходи'!L1240&gt;=Законод!$I$22,Законод!$I$24,0)))),IF($B$1236="Лікар-педіатр",IF(L1240&lt;Законод!$C$18,0,(IF(AND(L1240&gt;=Законод!$I$18,L1240&lt;=Законод!$I$19),L1240-Законод!$H$19,IF('01_Доходи'!L1240&gt;=Законод!$I$18,Законод!$H$20,0)))),IF($B$1236="Лікар-терапевт",IF(L1240&lt;Законод!$C$26,0,(IF(AND(L1240&gt;=Законод!$I$26,L1240&lt;=Законод!$I$27),L1240-Законод!$H$27,IF('01_Доходи'!L1240&gt;=Законод!$I$26,Законод!$H$28,0)))),0)))</f>
        <v>0</v>
      </c>
      <c r="M1246" s="930"/>
      <c r="N1246" s="889" t="s">
        <v>346</v>
      </c>
      <c r="O1246" s="890"/>
      <c r="P1246" s="890"/>
      <c r="Q1246" s="890"/>
      <c r="R1246" s="891"/>
      <c r="S1246" s="196">
        <f ca="1">IF($B$1236="Лікар загальної практики - сімейний лікар",IF(S1240&lt;Законод!$C$22,0,(IF(AND(S1240&gt;=Законод!$I$22,S1240&lt;=Законод!$I$23),S1240-Законод!$H$23,IF('01_Доходи'!S1240&gt;=Законод!$I$22,Законод!$I$24,0)))),IF($B$1236="Лікар-педіатр",IF(S1240&lt;Законод!$C$18,0,(IF(AND(S1240&gt;=Законод!$I$18,S1240&lt;=Законод!$I$19),S1240-Законод!$H$19,IF('01_Доходи'!S1240&gt;=Законод!$I$18,Законод!$H$20,0)))),IF($B$1236="Лікар-терапевт",IF(S1240&lt;Законод!$C$26,0,(IF(AND(S1240&gt;=Законод!$I$26,S1240&lt;=Законод!$I$27),S1240-Законод!$H$27,IF('01_Доходи'!S1240&gt;=Законод!$I$26,Законод!$H$28,0)))),0)))</f>
        <v>0</v>
      </c>
      <c r="T1246" s="930"/>
      <c r="U1246" s="889" t="s">
        <v>346</v>
      </c>
      <c r="V1246" s="890"/>
      <c r="W1246" s="890"/>
      <c r="X1246" s="890"/>
      <c r="Y1246" s="891"/>
      <c r="Z1246" s="196">
        <f ca="1">IF($B$1236="Лікар загальної практики - сімейний лікар",IF(Z1240&lt;Законод!$C$22,0,(IF(AND(Z1240&gt;=Законод!$I$22,Z1240&lt;=Законод!$I$23),Z1240-Законод!$H$23,IF('01_Доходи'!Z1240&gt;=Законод!$I$22,Законод!$I$24,0)))),IF($B$1236="Лікар-педіатр",IF(Z1240&lt;Законод!$C$18,0,(IF(AND(Z1240&gt;=Законод!$I$18,Z1240&lt;=Законод!$I$19),Z1240-Законод!$H$19,IF('01_Доходи'!Z1240&gt;=Законод!$I$18,Законод!$H$20,0)))),IF($B$1236="Лікар-терапевт",IF(Z1240&lt;Законод!$C$26,0,(IF(AND(Z1240&gt;=Законод!$I$26,Z1240&lt;=Законод!$I$27),Z1240-Законод!$H$27,IF('01_Доходи'!Z1240&gt;=Законод!$I$26,Законод!$H$28,0)))),0)))</f>
        <v>0</v>
      </c>
      <c r="AA1246" s="930"/>
      <c r="AB1246" s="889" t="s">
        <v>346</v>
      </c>
      <c r="AC1246" s="890"/>
      <c r="AD1246" s="890"/>
      <c r="AE1246" s="890"/>
      <c r="AF1246" s="891"/>
      <c r="AG1246" s="196">
        <f ca="1">IF($B$1236="Лікар загальної практики - сімейний лікар",IF(AG1240&lt;Законод!$C$22,0,(IF(AND(AG1240&gt;=Законод!$I$22,AG1240&lt;=Законод!$I$23),AG1240-Законод!$H$23,IF('01_Доходи'!AG1240&gt;=Законод!$I$22,Законод!$I$24,0)))),IF($B$1236="Лікар-педіатр",IF(AG1240&lt;Законод!$C$18,0,(IF(AND(AG1240&gt;=Законод!$I$18,AG1240&lt;=Законод!$I$19),AG1240-Законод!$H$19,IF('01_Доходи'!AG1240&gt;=Законод!$I$18,Законод!$H$20,0)))),IF($B$1236="Лікар-терапевт",IF(AG1240&lt;Законод!$C$26,0,(IF(AND(AG1240&gt;=Законод!$I$26,AG1240&lt;=Законод!$I$27),AG1240-Законод!$H$27,IF('01_Доходи'!AG1240&gt;=Законод!$I$26,Законод!$H$28,0)))),0)))</f>
        <v>0</v>
      </c>
      <c r="AH1246" s="930"/>
      <c r="AI1246" s="201"/>
      <c r="AJ1246" s="933"/>
      <c r="AK1246" s="927"/>
      <c r="AL1246" s="927"/>
      <c r="AM1246" s="899"/>
      <c r="AN1246" s="210">
        <f ca="1">IF(B1236="Лікар загальної практики - сімейний лікар",L1246*Законод!$C$9/4*Законод!$I$16,IF(B1236="Лікар-педіатр",L1246*Законод!$C$9/4*Законод!$I$16,IF(B1236="Лікар-терапевт",L1246*Законод!$C$9/4*Законод!$I$16,0)))</f>
        <v>0</v>
      </c>
      <c r="AO1246" s="210">
        <f ca="1">IF(B1236="Лікар загальної практики - сімейний лікар",S1246*Законод!$C$9/4*Законод!$I$16,IF(B1236="Лікар-педіатр",S1246*Законод!$C$9/4*Законод!$I$16,IF(B1236="Лікар-терапевт",S1246*Законод!$C$9/4*Законод!$I$16,0)))</f>
        <v>0</v>
      </c>
      <c r="AP1246" s="210">
        <f ca="1">IF(B1236="Лікар загальної практики - сімейний лікар",Z1246*Законод!$C$9/4*Законод!$I$16,IF(B1236="Лікар-педіатр",Z1246*Законод!$C$9/4*Законод!$I$16,IF(B1236="Лікар-терапевт",Z1246*Законод!$C$9/4*Законод!$I$16,0)))</f>
        <v>0</v>
      </c>
      <c r="AQ1246" s="210">
        <f ca="1">IF(B1236="Лікар загальної практики - сімейний лікар",AG1246*Законод!$C$9/4*Законод!$I$16,IF(B1236="Лікар-педіатр",AG1246*Законод!$C$9/4*Законод!$I$16,IF(B1236="Лікар-терапевт",AG1246*Законод!$C$9/4*Законод!$I$16,0)))</f>
        <v>0</v>
      </c>
      <c r="AR1246" s="211">
        <f t="shared" si="122"/>
        <v>0</v>
      </c>
    </row>
    <row r="1247" spans="1:44" s="218" customFormat="1" ht="31.9" hidden="1" customHeight="1" thickBot="1">
      <c r="A1247" s="213"/>
      <c r="B1247" s="894"/>
      <c r="C1247" s="897"/>
      <c r="D1247" s="913"/>
      <c r="E1247" s="910"/>
      <c r="F1247" s="239" t="str">
        <f ca="1">IF(B1236="Лікар-педіатр",Законод!$J$17,IF(B1236="Лікар загальної практики - сімейний лікар",Законод!$J$21,IF(B1236="Лікар-терапевт",Законод!$J$25,"х")))</f>
        <v>х</v>
      </c>
      <c r="G1247" s="935" t="s">
        <v>346</v>
      </c>
      <c r="H1247" s="936"/>
      <c r="I1247" s="936"/>
      <c r="J1247" s="936"/>
      <c r="K1247" s="937"/>
      <c r="L1247" s="196">
        <f ca="1">IF($B$1236="Лікар загальної практики - сімейний лікар",IF(L1240&gt;=Законод!$J$22,'01_Доходи'!L1240-('01_Доходи'!L1241+'01_Доходи'!L1242+'01_Доходи'!L1243+'01_Доходи'!L1244+'01_Доходи'!L1245+'01_Доходи'!L1246),0),IF($B$1236="Лікар-педіатр",IF(L1240&gt;=Законод!$J$18,'01_Доходи'!L1240-('01_Доходи'!L1241+'01_Доходи'!L1242+'01_Доходи'!L1243+'01_Доходи'!L1244+'01_Доходи'!L1245+'01_Доходи'!L1246),0),IF($B$1236="Лікар-терапевт",IF('01_Доходи'!L1240&gt;=Законод!$J$26,L1240-Законод!$I$27,0),0)))</f>
        <v>0</v>
      </c>
      <c r="M1247" s="931"/>
      <c r="N1247" s="935" t="s">
        <v>346</v>
      </c>
      <c r="O1247" s="936"/>
      <c r="P1247" s="936"/>
      <c r="Q1247" s="936"/>
      <c r="R1247" s="937"/>
      <c r="S1247" s="196">
        <f ca="1">IF($B$1236="Лікар загальної практики - сімейний лікар",IF(S1240&gt;=Законод!$J$22,'01_Доходи'!S1240-('01_Доходи'!S1241+'01_Доходи'!S1242+'01_Доходи'!S1243+'01_Доходи'!S1244+'01_Доходи'!S1245+'01_Доходи'!S1246),0),IF($B$1236="Лікар-педіатр",IF(S1240&gt;=Законод!$J$18,'01_Доходи'!S1240-('01_Доходи'!S1241+'01_Доходи'!S1242+'01_Доходи'!S1243+'01_Доходи'!S1244+'01_Доходи'!S1245+'01_Доходи'!S1246),0),IF($B$1236="Лікар-терапевт",IF('01_Доходи'!S1240&gt;=Законод!$J$26,S1240-Законод!$I$27,0),0)))</f>
        <v>0</v>
      </c>
      <c r="T1247" s="931"/>
      <c r="U1247" s="935" t="s">
        <v>346</v>
      </c>
      <c r="V1247" s="936"/>
      <c r="W1247" s="936"/>
      <c r="X1247" s="936"/>
      <c r="Y1247" s="937"/>
      <c r="Z1247" s="196">
        <f ca="1">IF($B$1236="Лікар загальної практики - сімейний лікар",IF(Z1240&gt;=Законод!$J$22,'01_Доходи'!Z1240-('01_Доходи'!Z1241+'01_Доходи'!Z1242+'01_Доходи'!Z1243+'01_Доходи'!Z1244+'01_Доходи'!Z1245+'01_Доходи'!Z1246),0),IF($B$1236="Лікар-педіатр",IF(Z1240&gt;=Законод!$J$18,'01_Доходи'!Z1240-('01_Доходи'!Z1241+'01_Доходи'!Z1242+'01_Доходи'!Z1243+'01_Доходи'!Z1244+'01_Доходи'!Z1245+'01_Доходи'!Z1246),0),IF($B$1236="Лікар-терапевт",IF('01_Доходи'!Z1240&gt;=Законод!$J$26,Z1240-Законод!$I$27,0),0)))</f>
        <v>0</v>
      </c>
      <c r="AA1247" s="931"/>
      <c r="AB1247" s="935" t="s">
        <v>346</v>
      </c>
      <c r="AC1247" s="936"/>
      <c r="AD1247" s="936"/>
      <c r="AE1247" s="936"/>
      <c r="AF1247" s="937"/>
      <c r="AG1247" s="196">
        <f ca="1">IF($B$1236="Лікар загальної практики - сімейний лікар",IF(AG1240&gt;=Законод!$J$22,'01_Доходи'!AG1240-('01_Доходи'!AG1241+'01_Доходи'!AG1242+'01_Доходи'!AG1243+'01_Доходи'!AG1244+'01_Доходи'!AG1245+'01_Доходи'!AG1246),0),IF($B$1236="Лікар-педіатр",IF(AG1240&gt;=Законод!$J$18,'01_Доходи'!AG1240-('01_Доходи'!AG1241+'01_Доходи'!AG1242+'01_Доходи'!AG1243+'01_Доходи'!AG1244+'01_Доходи'!AG1245+'01_Доходи'!AG1246),0),IF($B$1236="Лікар-терапевт",IF('01_Доходи'!AG1240&gt;=Законод!$J$26,AG1240-Законод!$I$27,0),0)))</f>
        <v>0</v>
      </c>
      <c r="AH1247" s="931"/>
      <c r="AI1247" s="215"/>
      <c r="AJ1247" s="934"/>
      <c r="AK1247" s="928"/>
      <c r="AL1247" s="928"/>
      <c r="AM1247" s="900"/>
      <c r="AN1247" s="216">
        <f ca="1">IF(B1236="Лікар загальної практики - сімейний лікар",L1247*Законод!$C$9/4*Законод!$J$16,IF(B1236="Лікар-педіатр",L1247*Законод!$C$9/4*Законод!$J$16,IF(B1236="Лікар-терапевт",L1247*Законод!$C$9/4*Законод!$J$16,0)))</f>
        <v>0</v>
      </c>
      <c r="AO1247" s="216">
        <f ca="1">IF(B1236="Лікар загальної практики - сімейний лікар",S1247*Законод!$C$9/4*Законод!$J$16,IF(B1236="Лікар-педіатр",S1247*Законод!$C$9/4*Законод!$J$16,IF(B1236="Лікар-терапевт",S1247*Законод!$C$9/4*Законод!$J$16,0)))</f>
        <v>0</v>
      </c>
      <c r="AP1247" s="216">
        <f ca="1">IF(B1236="Лікар загальної практики - сімейний лікар",S1247*Законод!$C$9/4*Законод!$J$16,IF(B1236="Лікар-педіатр",S1247*Законод!$C$9/4*Законод!$J$16,IF(B1236="Лікар-терапевт",S1247*Законод!$C$9/4*Законод!$J$16,0)))</f>
        <v>0</v>
      </c>
      <c r="AQ1247" s="216">
        <f ca="1">IF(B1236="Лікар загальної практики - сімейний лікар",AG1247*Законод!$C$9/4*Законод!$J$16,IF(B1236="Лікар-педіатр",AG1247*Законод!$C$9/4*Законод!$J$16,IF(B1236="Лікар-терапевт",AG1247*Законод!$C$9/4*Законод!$J$16,0)))</f>
        <v>0</v>
      </c>
      <c r="AR1247" s="217">
        <f t="shared" si="122"/>
        <v>0</v>
      </c>
    </row>
    <row r="1248" spans="1:44" s="247" customFormat="1" ht="23.45" hidden="1" customHeight="1" thickBot="1">
      <c r="A1248" s="243"/>
      <c r="B1248" s="244"/>
      <c r="C1248" s="244"/>
      <c r="D1248" s="244"/>
      <c r="E1248" s="244"/>
      <c r="F1248" s="245"/>
      <c r="G1248" s="246"/>
      <c r="H1248" s="246"/>
      <c r="L1248" s="248"/>
      <c r="S1248" s="248"/>
      <c r="Z1248" s="248"/>
      <c r="AG1248" s="248"/>
      <c r="AM1248" s="249"/>
      <c r="AR1248" s="250"/>
    </row>
    <row r="1249" spans="1:44" s="191" customFormat="1" ht="24.6" hidden="1" customHeight="1">
      <c r="A1249" s="194">
        <f>A1236+1</f>
        <v>94</v>
      </c>
      <c r="B1249" s="892"/>
      <c r="C1249" s="895"/>
      <c r="D1249" s="911"/>
      <c r="E1249" s="908"/>
      <c r="F1249" s="234" t="s">
        <v>582</v>
      </c>
      <c r="G1249" s="196">
        <f>IF($B$1249="Лікар-педіатр",G1252*L1249,IF($B$1249="Лікар-терапевт","х",IF($B$1249="Лікар загальної практики - сімейний лікар",G1252*L1249,0)))</f>
        <v>0</v>
      </c>
      <c r="H1249" s="196">
        <f>IF($B$1249="Лікар-педіатр",H1252*L1249,IF($B$1249="Лікар-терапевт","х",IF($B$1249="Лікар загальної практики - сімейний лікар",H1252*L1249,0)))</f>
        <v>0</v>
      </c>
      <c r="I1249" s="196">
        <f>IF($B$1249="Лікар-педіатр","x",IF($B$1249="Лікар-терапевт",I1252*L1249,IF($B$1249="Лікар загальної практики - сімейний лікар",I1252*L1249,0)))</f>
        <v>0</v>
      </c>
      <c r="J1249" s="196">
        <f>IF($B$1249="Лікар-педіатр","x",IF($B$1249="Лікар-терапевт",J1252*L1249,IF($B$1249="Лікар загальної практики - сімейний лікар",J1252*L1249,0)))</f>
        <v>0</v>
      </c>
      <c r="K1249" s="196">
        <f>IF($B$1249="Лікар-педіатр","x",IF($B$1249="Лікар-терапевт",K1252*L1249,IF($B$1249="Лікар загальної практики - сімейний лікар",K1252*L1249,0)))</f>
        <v>0</v>
      </c>
      <c r="L1249" s="558"/>
      <c r="M1249" s="929"/>
      <c r="N1249" s="196">
        <f>IF($B$1249="Лікар-педіатр",N1252*S1249,IF($B$1249="Лікар-терапевт","х",IF($B$1249="Лікар загальної практики - сімейний лікар",N1252*S1249,0)))</f>
        <v>0</v>
      </c>
      <c r="O1249" s="196">
        <f>IF($B$1249="Лікар-педіатр",O1252*S1249,IF($B$1249="Лікар-терапевт","х",IF($B$1249="Лікар загальної практики - сімейний лікар",O1252*S1249,0)))</f>
        <v>0</v>
      </c>
      <c r="P1249" s="196">
        <f>IF($B$1249="Лікар-педіатр","x",IF($B$1249="Лікар-терапевт",P1252*S1249,IF($B$1249="Лікар загальної практики - сімейний лікар",P1252*S1249,0)))</f>
        <v>0</v>
      </c>
      <c r="Q1249" s="196">
        <f>IF($B$1249="Лікар-педіатр","x",IF($B$1249="Лікар-терапевт",Q1252*S1249,IF($B$1249="Лікар загальної практики - сімейний лікар",Q1252*S1249,0)))</f>
        <v>0</v>
      </c>
      <c r="R1249" s="196">
        <f>IF($B$1249="Лікар-педіатр","x",IF($B$1249="Лікар-терапевт",R1252*S1249,IF($B$1249="Лікар загальної практики - сімейний лікар",R1252*S1249,0)))</f>
        <v>0</v>
      </c>
      <c r="S1249" s="558"/>
      <c r="T1249" s="929"/>
      <c r="U1249" s="196">
        <f>IF($B$1249="Лікар-педіатр",U1252*Z1249,IF($B$1249="Лікар-терапевт","х",IF($B$1249="Лікар загальної практики - сімейний лікар",U1252*Z1249,0)))</f>
        <v>0</v>
      </c>
      <c r="V1249" s="196">
        <f>IF($B$1249="Лікар-педіатр",V1252*Z1249,IF($B$1249="Лікар-терапевт","х",IF($B$1249="Лікар загальної практики - сімейний лікар",V1252*Z1249,0)))</f>
        <v>0</v>
      </c>
      <c r="W1249" s="196">
        <f>IF($B$1249="Лікар-педіатр","x",IF($B$1249="Лікар-терапевт",W1252*Z1249,IF($B$1249="Лікар загальної практики - сімейний лікар",W1252*Z1249,0)))</f>
        <v>0</v>
      </c>
      <c r="X1249" s="196">
        <f>IF($B$1249="Лікар-педіатр","x",IF($B$1249="Лікар-терапевт",X1252*Z1249,IF($B$1249="Лікар загальної практики - сімейний лікар",X1252*Z1249,0)))</f>
        <v>0</v>
      </c>
      <c r="Y1249" s="196">
        <f>IF($B$1249="Лікар-педіатр","x",IF($B$1249="Лікар-терапевт",Y1252*Z1249,IF($B$1249="Лікар загальної практики - сімейний лікар",Y1252*Z1249,0)))</f>
        <v>0</v>
      </c>
      <c r="Z1249" s="558"/>
      <c r="AA1249" s="929"/>
      <c r="AB1249" s="196">
        <f>IF($B$1249="Лікар-педіатр",AB1252*AG1249,IF($B$1249="Лікар-терапевт","х",IF($B$1249="Лікар загальної практики - сімейний лікар",AB1252*AG1249,0)))</f>
        <v>0</v>
      </c>
      <c r="AC1249" s="196">
        <f>IF($B$1249="Лікар-педіатр",AC1252*AG1249,IF($B$1249="Лікар-терапевт","х",IF($B$1249="Лікар загальної практики - сімейний лікар",AC1252*AG1249,0)))</f>
        <v>0</v>
      </c>
      <c r="AD1249" s="196">
        <f>IF($B$1249="Лікар-педіатр","x",IF($B$1249="Лікар-терапевт",AD1252*AG1249,IF($B$1249="Лікар загальної практики - сімейний лікар",AD1252*AG1249,0)))</f>
        <v>0</v>
      </c>
      <c r="AE1249" s="196">
        <f>IF($B$1249="Лікар-педіатр","x",IF($B$1249="Лікар-терапевт",AE1252*AG1249,IF($B$1249="Лікар загальної практики - сімейний лікар",AE1252*AG1249,0)))</f>
        <v>0</v>
      </c>
      <c r="AF1249" s="196">
        <f>IF($B$1249="Лікар-педіатр","x",IF($B$1249="Лікар-терапевт",AF1252*AG1249,IF($B$1249="Лікар загальної практики - сімейний лікар",AF1252*AG1249,0)))</f>
        <v>0</v>
      </c>
      <c r="AG1249" s="558"/>
      <c r="AH1249" s="929"/>
      <c r="AI1249" s="541">
        <f>A1249</f>
        <v>94</v>
      </c>
      <c r="AJ1249" s="932">
        <f>B1249</f>
        <v>0</v>
      </c>
      <c r="AK1249" s="926">
        <f>C1249</f>
        <v>0</v>
      </c>
      <c r="AL1249" s="926">
        <f>D1249</f>
        <v>0</v>
      </c>
      <c r="AM1249" s="901" t="s">
        <v>785</v>
      </c>
      <c r="AN1249" s="923">
        <f>SUM(AN1254:AN1260)</f>
        <v>0</v>
      </c>
      <c r="AO1249" s="923">
        <f>SUM(AO1254:AO1260)</f>
        <v>0</v>
      </c>
      <c r="AP1249" s="923">
        <f>SUM(AP1254:AP1260)</f>
        <v>0</v>
      </c>
      <c r="AQ1249" s="923">
        <f>SUM(AQ1254:AQ1260)</f>
        <v>0</v>
      </c>
      <c r="AR1249" s="914">
        <f>SUM(AN1249:AQ1253)</f>
        <v>0</v>
      </c>
    </row>
    <row r="1250" spans="1:44" s="50" customFormat="1" ht="28.15" hidden="1" customHeight="1">
      <c r="A1250" s="197"/>
      <c r="B1250" s="893"/>
      <c r="C1250" s="896"/>
      <c r="D1250" s="912"/>
      <c r="E1250" s="909"/>
      <c r="F1250" s="234" t="s">
        <v>583</v>
      </c>
      <c r="G1250" s="196">
        <f>IF($B$1249="Лікар-педіатр",G1252*L1250,IF($B$1249="Лікар-терапевт","х",IF($B$1249="Лікар загальної практики - сімейний лікар",G1252*L1250,0)))</f>
        <v>0</v>
      </c>
      <c r="H1250" s="196">
        <f>IF($B$1249="Лікар-педіатр",H1252*L1250,IF($B$1249="Лікар-терапевт","х",IF($B$1249="Лікар загальної практики - сімейний лікар",H1252*L1250,0)))</f>
        <v>0</v>
      </c>
      <c r="I1250" s="196">
        <f>IF($B$1249="Лікар-педіатр","x",IF($B$1249="Лікар-терапевт",I1252*L1250,IF($B$1249="Лікар загальної практики - сімейний лікар",I1252*L1250,0)))</f>
        <v>0</v>
      </c>
      <c r="J1250" s="196">
        <f>IF($B$1249="Лікар-педіатр","x",IF($B$1249="Лікар-терапевт",J1252*L1250,IF($B$1249="Лікар загальної практики - сімейний лікар",J1252*L1250,0)))</f>
        <v>0</v>
      </c>
      <c r="K1250" s="196">
        <f>IF($B$1249="Лікар-педіатр","x",IF($B$1249="Лікар-терапевт",K1252*L1250,IF($B$1249="Лікар загальної практики - сімейний лікар",K1252*L1250,0)))</f>
        <v>0</v>
      </c>
      <c r="L1250" s="558"/>
      <c r="M1250" s="930"/>
      <c r="N1250" s="196">
        <f>IF($B$1249="Лікар-педіатр",N1252*S1250,IF($B$1249="Лікар-терапевт","х",IF($B$1249="Лікар загальної практики - сімейний лікар",N1252*S1250,0)))</f>
        <v>0</v>
      </c>
      <c r="O1250" s="196">
        <f>IF($B$1249="Лікар-педіатр",O1252*S1250,IF($B$1249="Лікар-терапевт","х",IF($B$1249="Лікар загальної практики - сімейний лікар",O1252*S1250,0)))</f>
        <v>0</v>
      </c>
      <c r="P1250" s="196">
        <f>IF($B$1249="Лікар-педіатр","x",IF($B$1249="Лікар-терапевт",P1252*S1250,IF($B$1249="Лікар загальної практики - сімейний лікар",P1252*S1250,0)))</f>
        <v>0</v>
      </c>
      <c r="Q1250" s="196">
        <f>IF($B$1249="Лікар-педіатр","x",IF($B$1249="Лікар-терапевт",Q1252*S1250,IF($B$1249="Лікар загальної практики - сімейний лікар",Q1252*S1250,0)))</f>
        <v>0</v>
      </c>
      <c r="R1250" s="196">
        <f>IF($B$1249="Лікар-педіатр","x",IF($B$1249="Лікар-терапевт",R1252*S1250,IF($B$1249="Лікар загальної практики - сімейний лікар",R1252*S1250,0)))</f>
        <v>0</v>
      </c>
      <c r="S1250" s="558"/>
      <c r="T1250" s="930"/>
      <c r="U1250" s="196">
        <f>IF($B$1249="Лікар-педіатр",U1252*Z1250,IF($B$1249="Лікар-терапевт","х",IF($B$1249="Лікар загальної практики - сімейний лікар",U1252*Z1250,0)))</f>
        <v>0</v>
      </c>
      <c r="V1250" s="196">
        <f>IF($B$1249="Лікар-педіатр",V1252*Z1250,IF($B$1249="Лікар-терапевт","х",IF($B$1249="Лікар загальної практики - сімейний лікар",V1252*Z1250,0)))</f>
        <v>0</v>
      </c>
      <c r="W1250" s="196">
        <f>IF($B$1249="Лікар-педіатр","x",IF($B$1249="Лікар-терапевт",W1252*Z1250,IF($B$1249="Лікар загальної практики - сімейний лікар",W1252*Z1250,0)))</f>
        <v>0</v>
      </c>
      <c r="X1250" s="196">
        <f>IF($B$1249="Лікар-педіатр","x",IF($B$1249="Лікар-терапевт",X1252*Z1250,IF($B$1249="Лікар загальної практики - сімейний лікар",X1252*Z1250,0)))</f>
        <v>0</v>
      </c>
      <c r="Y1250" s="196">
        <f>IF($B$1249="Лікар-педіатр","x",IF($B$1249="Лікар-терапевт",Y1252*Z1250,IF($B$1249="Лікар загальної практики - сімейний лікар",Y1252*Z1250,0)))</f>
        <v>0</v>
      </c>
      <c r="Z1250" s="558"/>
      <c r="AA1250" s="930"/>
      <c r="AB1250" s="196">
        <f>IF($B$1249="Лікар-педіатр",AB1252*AG1250,IF($B$1249="Лікар-терапевт","х",IF($B$1249="Лікар загальної практики - сімейний лікар",AB1252*AG1250,0)))</f>
        <v>0</v>
      </c>
      <c r="AC1250" s="196">
        <f>IF($B$1249="Лікар-педіатр",AC1252*AG1250,IF($B$1249="Лікар-терапевт","х",IF($B$1249="Лікар загальної практики - сімейний лікар",AC1252*AG1250,0)))</f>
        <v>0</v>
      </c>
      <c r="AD1250" s="196">
        <f>IF($B$1249="Лікар-педіатр","x",IF($B$1249="Лікар-терапевт",AD1252*AG1250,IF($B$1249="Лікар загальної практики - сімейний лікар",AD1252*AG1250,0)))</f>
        <v>0</v>
      </c>
      <c r="AE1250" s="196">
        <f>IF($B$1249="Лікар-педіатр","x",IF($B$1249="Лікар-терапевт",AE1252*AG1250,IF($B$1249="Лікар загальної практики - сімейний лікар",AE1252*AG1250,0)))</f>
        <v>0</v>
      </c>
      <c r="AF1250" s="196">
        <f>IF($B$1249="Лікар-педіатр","x",IF($B$1249="Лікар-терапевт",AF1252*AG1250,IF($B$1249="Лікар загальної практики - сімейний лікар",AF1252*AG1250,0)))</f>
        <v>0</v>
      </c>
      <c r="AG1250" s="558"/>
      <c r="AH1250" s="930"/>
      <c r="AI1250" s="198"/>
      <c r="AJ1250" s="933"/>
      <c r="AK1250" s="927"/>
      <c r="AL1250" s="927"/>
      <c r="AM1250" s="902"/>
      <c r="AN1250" s="924"/>
      <c r="AO1250" s="924"/>
      <c r="AP1250" s="924"/>
      <c r="AQ1250" s="924"/>
      <c r="AR1250" s="915"/>
    </row>
    <row r="1251" spans="1:44" s="90" customFormat="1" ht="31.15" hidden="1" customHeight="1">
      <c r="A1251" s="240"/>
      <c r="B1251" s="893"/>
      <c r="C1251" s="896"/>
      <c r="D1251" s="912"/>
      <c r="E1251" s="909"/>
      <c r="F1251" s="241" t="s">
        <v>584</v>
      </c>
      <c r="G1251" s="199">
        <f>IF(B1249="Лікар загальної практики - сімейний лікар"," ",IF(B1249="Лікар-педіатр"," ",IF(B1249="Лікар-терапевт","х",0)))</f>
        <v>0</v>
      </c>
      <c r="H1251" s="199">
        <f>IF(B1249="Лікар загальної практики - сімейний лікар"," ",IF(B1249="Лікар-педіатр"," ",IF(B1249="Лікар-терапевт","х",0)))</f>
        <v>0</v>
      </c>
      <c r="I1251" s="199">
        <f>IF(B1249="Лікар загальної практики - сімейний лікар"," ",IF(B1249="Лікар-педіатр","х",IF(B1249="Лікар-терапевт"," ",0)))</f>
        <v>0</v>
      </c>
      <c r="J1251" s="199">
        <f>IF(B1249="Лікар загальної практики - сімейний лікар"," ",IF(B1249="Лікар-педіатр","х",IF(B1249="Лікар-терапевт"," ",0)))</f>
        <v>0</v>
      </c>
      <c r="K1251" s="199">
        <f>IF(B1249="Лікар загальної практики - сімейний лікар"," ",IF(B1249="Лікар-педіатр","х",IF(B1249="Лікар-терапевт"," ",0)))</f>
        <v>0</v>
      </c>
      <c r="L1251" s="200">
        <f>SUM(G1251:K1251)</f>
        <v>0</v>
      </c>
      <c r="M1251" s="930"/>
      <c r="N1251" s="199">
        <f>IF(B1249="Лікар загальної практики - сімейний лікар"," ",IF(B1249="Лікар-педіатр"," ",IF(B1249="Лікар-терапевт","х",0)))</f>
        <v>0</v>
      </c>
      <c r="O1251" s="199">
        <f>IF(B1249="Лікар загальної практики - сімейний лікар"," ",IF(B1249="Лікар-педіатр"," ",IF(B1249="Лікар-терапевт","х",0)))</f>
        <v>0</v>
      </c>
      <c r="P1251" s="199">
        <f>IF(B1249="Лікар загальної практики - сімейний лікар"," ",IF(B1249="Лікар-педіатр","х",IF(B1249="Лікар-терапевт"," ",0)))</f>
        <v>0</v>
      </c>
      <c r="Q1251" s="199">
        <f>IF(B1249="Лікар загальної практики - сімейний лікар"," ",IF(B1249="Лікар-педіатр","х",IF(B1249="Лікар-терапевт"," ",0)))</f>
        <v>0</v>
      </c>
      <c r="R1251" s="199">
        <f>IF(B1249="Лікар загальної практики - сімейний лікар"," ",IF(B1249="Лікар-педіатр","х",IF(B1249="Лікар-терапевт"," ",0)))</f>
        <v>0</v>
      </c>
      <c r="S1251" s="200">
        <f>SUM(N1251:R1251)</f>
        <v>0</v>
      </c>
      <c r="T1251" s="930"/>
      <c r="U1251" s="199">
        <f>IF(B1249="Лікар загальної практики - сімейний лікар"," ",IF(B1249="Лікар-педіатр"," ",IF(B1249="Лікар-терапевт","х",0)))</f>
        <v>0</v>
      </c>
      <c r="V1251" s="199">
        <f>IF(B1249="Лікар загальної практики - сімейний лікар"," ",IF(B1249="Лікар-педіатр"," ",IF(B1249="Лікар-терапевт","х",0)))</f>
        <v>0</v>
      </c>
      <c r="W1251" s="199">
        <f>IF(B1249="Лікар загальної практики - сімейний лікар"," ",IF(B1249="Лікар-педіатр","х",IF(B1249="Лікар-терапевт"," ",0)))</f>
        <v>0</v>
      </c>
      <c r="X1251" s="199">
        <f>IF(B1249="Лікар загальної практики - сімейний лікар"," ",IF(B1249="Лікар-педіатр","х",IF(B1249="Лікар-терапевт"," ",0)))</f>
        <v>0</v>
      </c>
      <c r="Y1251" s="199">
        <f>IF(B1249="Лікар загальної практики - сімейний лікар"," ",IF(B1249="Лікар-педіатр","х",IF(B1249="Лікар-терапевт"," ",0)))</f>
        <v>0</v>
      </c>
      <c r="Z1251" s="200">
        <f>SUM(U1251:Y1251)</f>
        <v>0</v>
      </c>
      <c r="AA1251" s="930"/>
      <c r="AB1251" s="199">
        <f>IF(B1249="Лікар загальної практики - сімейний лікар"," ",IF(B1249="Лікар-педіатр"," ",IF(B1249="Лікар-терапевт","х",0)))</f>
        <v>0</v>
      </c>
      <c r="AC1251" s="199">
        <f>IF(B1249="Лікар загальної практики - сімейний лікар"," ",IF(B1249="Лікар-педіатр"," ",IF(B1249="Лікар-терапевт","х",0)))</f>
        <v>0</v>
      </c>
      <c r="AD1251" s="199">
        <f>IF(B1249="Лікар загальної практики - сімейний лікар"," ",IF(B1249="Лікар-педіатр","х",IF(B1249="Лікар-терапевт"," ",0)))</f>
        <v>0</v>
      </c>
      <c r="AE1251" s="199">
        <f>IF(B1249="Лікар загальної практики - сімейний лікар"," ",IF(B1249="Лікар-педіатр","х",IF(B1249="Лікар-терапевт"," ",0)))</f>
        <v>0</v>
      </c>
      <c r="AF1251" s="199">
        <f>IF(B1249="Лікар загальної практики - сімейний лікар"," ",IF(B1249="Лікар-педіатр","х",IF(B1249="Лікар-терапевт"," ",0)))</f>
        <v>0</v>
      </c>
      <c r="AG1251" s="200">
        <f>SUM(AB1251:AF1251)</f>
        <v>0</v>
      </c>
      <c r="AH1251" s="930"/>
      <c r="AI1251" s="242"/>
      <c r="AJ1251" s="933"/>
      <c r="AK1251" s="927"/>
      <c r="AL1251" s="927"/>
      <c r="AM1251" s="902"/>
      <c r="AN1251" s="924"/>
      <c r="AO1251" s="924"/>
      <c r="AP1251" s="924"/>
      <c r="AQ1251" s="924"/>
      <c r="AR1251" s="915"/>
    </row>
    <row r="1252" spans="1:44" s="50" customFormat="1" ht="31.9" hidden="1" customHeight="1" thickBot="1">
      <c r="A1252" s="197"/>
      <c r="B1252" s="893"/>
      <c r="C1252" s="896"/>
      <c r="D1252" s="912"/>
      <c r="E1252" s="909"/>
      <c r="F1252" s="236" t="s">
        <v>349</v>
      </c>
      <c r="G1252" s="203">
        <f>IF($B$1249="Лікар-педіатр",G1251/L1251,IF($B$1249="Лікар-терапевт","х",IF($B$1249="Лікар загальної практики - сімейний лікар",G1251/L1251,0)))</f>
        <v>0</v>
      </c>
      <c r="H1252" s="203">
        <f>IF($B$1249="Лікар-педіатр",H1251/L1251,IF($B$1249="Лікар-терапевт","х",IF($B$1249="Лікар загальної практики - сімейний лікар",H1251/L1251,0)))</f>
        <v>0</v>
      </c>
      <c r="I1252" s="203">
        <f>IF($B$1249="Лікар-педіатр","x",IF($B$1249="Лікар-терапевт",I1251/L1251,IF($B$1249="Лікар загальної практики - сімейний лікар",I1251/L1251,0)))</f>
        <v>0</v>
      </c>
      <c r="J1252" s="203">
        <f>IF($B$1249="Лікар-педіатр","x",IF($B$1249="Лікар-терапевт",J1251/L1251,IF($B$1249="Лікар загальної практики - сімейний лікар",J1251/L1251,0)))</f>
        <v>0</v>
      </c>
      <c r="K1252" s="203">
        <f>IF($B$1249="Лікар-педіатр","x",IF($B$1249="Лікар-терапевт",K1251/L1251,IF($B$1249="Лікар загальної практики - сімейний лікар",K1251/L1251,0)))</f>
        <v>0</v>
      </c>
      <c r="L1252" s="203">
        <f>SUM(G1252:K1252)</f>
        <v>0</v>
      </c>
      <c r="M1252" s="930"/>
      <c r="N1252" s="203">
        <f>IF($B$1249="Лікар-педіатр",N1251/S1251,IF($B$1249="Лікар-терапевт","х",IF($B$1249="Лікар загальної практики - сімейний лікар",N1251/S1251,0)))</f>
        <v>0</v>
      </c>
      <c r="O1252" s="203">
        <f>IF($B$1249="Лікар-педіатр",O1251/S1251,IF($B$1249="Лікар-терапевт","х",IF($B$1249="Лікар загальної практики - сімейний лікар",O1251/S1251,0)))</f>
        <v>0</v>
      </c>
      <c r="P1252" s="203">
        <f>IF($B$1249="Лікар-педіатр","x",IF($B$1249="Лікар-терапевт",P1251/S1251,IF($B$1249="Лікар загальної практики - сімейний лікар",P1251/S1251,0)))</f>
        <v>0</v>
      </c>
      <c r="Q1252" s="203">
        <f>IF($B$1249="Лікар-педіатр","x",IF($B$1249="Лікар-терапевт",Q1251/S1251,IF($B$1249="Лікар загальної практики - сімейний лікар",Q1251/S1251,0)))</f>
        <v>0</v>
      </c>
      <c r="R1252" s="203">
        <f>IF($B$1249="Лікар-педіатр","x",IF($B$1249="Лікар-терапевт",R1251/S1251,IF($B$1249="Лікар загальної практики - сімейний лікар",R1251/S1251,0)))</f>
        <v>0</v>
      </c>
      <c r="S1252" s="203">
        <f>SUM(N1252:R1252)</f>
        <v>0</v>
      </c>
      <c r="T1252" s="930"/>
      <c r="U1252" s="203">
        <f>IF($B$1249="Лікар-педіатр",U1251/Z1251,IF($B$1249="Лікар-терапевт","х",IF($B$1249="Лікар загальної практики - сімейний лікар",U1251/Z1251,0)))</f>
        <v>0</v>
      </c>
      <c r="V1252" s="203">
        <f>IF($B$1249="Лікар-педіатр",V1251/Z1251,IF($B$1249="Лікар-терапевт","х",IF($B$1249="Лікар загальної практики - сімейний лікар",V1251/Z1251,0)))</f>
        <v>0</v>
      </c>
      <c r="W1252" s="203">
        <f>IF($B$1249="Лікар-педіатр","x",IF($B$1249="Лікар-терапевт",W1251/Z1251,IF($B$1249="Лікар загальної практики - сімейний лікар",W1251/Z1251,0)))</f>
        <v>0</v>
      </c>
      <c r="X1252" s="203">
        <f>IF($B$1249="Лікар-педіатр","x",IF($B$1249="Лікар-терапевт",X1251/Z1251,IF($B$1249="Лікар загальної практики - сімейний лікар",X1251/Z1251,0)))</f>
        <v>0</v>
      </c>
      <c r="Y1252" s="203">
        <f>IF($B$1249="Лікар-педіатр","x",IF($B$1249="Лікар-терапевт",Y1251/Z1251,IF($B$1249="Лікар загальної практики - сімейний лікар",Y1251/Z1251,0)))</f>
        <v>0</v>
      </c>
      <c r="Z1252" s="203">
        <f>SUM(U1252:Y1252)</f>
        <v>0</v>
      </c>
      <c r="AA1252" s="930"/>
      <c r="AB1252" s="203">
        <f>IF($B$1249="Лікар-педіатр",AB1251/AG1251,IF($B$1249="Лікар-терапевт","х",IF($B$1249="Лікар загальної практики - сімейний лікар",AB1251/AG1251,0)))</f>
        <v>0</v>
      </c>
      <c r="AC1252" s="203">
        <f>IF($B$1249="Лікар-педіатр",AC1251/AG1251,IF($B$1249="Лікар-терапевт","х",IF($B$1249="Лікар загальної практики - сімейний лікар",AC1251/AG1251,0)))</f>
        <v>0</v>
      </c>
      <c r="AD1252" s="203">
        <f>IF($B$1249="Лікар-педіатр","x",IF($B$1249="Лікар-терапевт",AD1251/AG1251,IF($B$1249="Лікар загальної практики - сімейний лікар",AD1251/AG1251,0)))</f>
        <v>0</v>
      </c>
      <c r="AE1252" s="203">
        <f>IF($B$1249="Лікар-педіатр","x",IF($B$1249="Лікар-терапевт",AE1251/AG1251,IF($B$1249="Лікар загальної практики - сімейний лікар",AE1251/AG1251,0)))</f>
        <v>0</v>
      </c>
      <c r="AF1252" s="203">
        <f>IF($B$1249="Лікар-педіатр","x",IF($B$1249="Лікар-терапевт",AF1251/AG1251,IF($B$1249="Лікар загальної практики - сімейний лікар",AF1251/AG1251,0)))</f>
        <v>0</v>
      </c>
      <c r="AG1252" s="203">
        <f>SUM(AB1252:AF1252)</f>
        <v>0</v>
      </c>
      <c r="AH1252" s="930"/>
      <c r="AI1252" s="201"/>
      <c r="AJ1252" s="933"/>
      <c r="AK1252" s="927"/>
      <c r="AL1252" s="927"/>
      <c r="AM1252" s="902"/>
      <c r="AN1252" s="924"/>
      <c r="AO1252" s="924"/>
      <c r="AP1252" s="924"/>
      <c r="AQ1252" s="924"/>
      <c r="AR1252" s="915"/>
    </row>
    <row r="1253" spans="1:44" s="50" customFormat="1" ht="45" hidden="1" customHeight="1" thickBot="1">
      <c r="A1253" s="197"/>
      <c r="B1253" s="893"/>
      <c r="C1253" s="896"/>
      <c r="D1253" s="912"/>
      <c r="E1253" s="909"/>
      <c r="F1253" s="204" t="s">
        <v>585</v>
      </c>
      <c r="G1253" s="205">
        <f>IF($B$1249="Лікар загальної практики - сімейний лікар",AVERAGE(G1249:G1251),IF($B$1249="Лікар-педіатр",AVERAGE(G1249:G1251),IF($B$1249="Лікар-терапевт","х",0)))</f>
        <v>0</v>
      </c>
      <c r="H1253" s="205">
        <f>IF($B$1249="Лікар загальної практики - сімейний лікар",AVERAGE(H1249:H1251),IF($B$1249="Лікар-педіатр",AVERAGE(H1249:H1251),IF($B$1249="Лікар-терапевт","х",0)))</f>
        <v>0</v>
      </c>
      <c r="I1253" s="205">
        <f>IF($B$1249="Лікар загальної практики - сімейний лікар",AVERAGE(I1249:I1251),IF($B$1249="Лікар-педіатр","x",IF($B$1249="Лікар-терапевт",AVERAGE(I1249:I1251),0)))</f>
        <v>0</v>
      </c>
      <c r="J1253" s="205">
        <f>IF($B$1249="Лікар загальної практики - сімейний лікар",AVERAGE(J1249:J1251),IF($B$1249="Лікар-педіатр","x",IF($B$1249="Лікар-терапевт",AVERAGE(J1249:J1251),0)))</f>
        <v>0</v>
      </c>
      <c r="K1253" s="205">
        <f>IF($B$1249="Лікар загальної практики - сімейний лікар",AVERAGE(K1249:K1251),IF($B$1249="Лікар-педіатр","x",IF($B$1249="Лікар-терапевт",AVERAGE(K1249:K1251),0)))</f>
        <v>0</v>
      </c>
      <c r="L1253" s="206">
        <f>SUM(G1253:K1253)</f>
        <v>0</v>
      </c>
      <c r="M1253" s="930"/>
      <c r="N1253" s="205">
        <f>IF($B$1249="Лікар загальної практики - сімейний лікар",AVERAGE(N1249:N1251),IF($B$1249="Лікар-педіатр",AVERAGE(N1249:N1251),IF($B$1249="Лікар-терапевт","х",0)))</f>
        <v>0</v>
      </c>
      <c r="O1253" s="205">
        <f>IF($B$1249="Лікар загальної практики - сімейний лікар",AVERAGE(O1249:O1251),IF($B$1249="Лікар-педіатр",AVERAGE(O1249:O1251),IF($B$1249="Лікар-терапевт","х",0)))</f>
        <v>0</v>
      </c>
      <c r="P1253" s="205">
        <f>IF($B$1249="Лікар загальної практики - сімейний лікар",AVERAGE(P1249:P1251),IF($B$1249="Лікар-педіатр","x",IF($B$1249="Лікар-терапевт",AVERAGE(P1249:P1251),0)))</f>
        <v>0</v>
      </c>
      <c r="Q1253" s="205">
        <f>IF($B$1249="Лікар загальної практики - сімейний лікар",AVERAGE(Q1249:Q1251),IF($B$1249="Лікар-педіатр","x",IF($B$1249="Лікар-терапевт",AVERAGE(Q1249:Q1251),0)))</f>
        <v>0</v>
      </c>
      <c r="R1253" s="205">
        <f>IF($B$1249="Лікар загальної практики - сімейний лікар",AVERAGE(R1249:R1251),IF($B$1249="Лікар-педіатр","x",IF($B$1249="Лікар-терапевт",AVERAGE(R1249:R1251),0)))</f>
        <v>0</v>
      </c>
      <c r="S1253" s="206">
        <f>SUM(N1253:R1253)</f>
        <v>0</v>
      </c>
      <c r="T1253" s="930"/>
      <c r="U1253" s="205">
        <f>IF($B$1249="Лікар загальної практики - сімейний лікар",AVERAGE(U1249:U1251),IF($B$1249="Лікар-педіатр",AVERAGE(U1249:U1251),IF($B$1249="Лікар-терапевт","х",0)))</f>
        <v>0</v>
      </c>
      <c r="V1253" s="205">
        <f>IF($B$1249="Лікар загальної практики - сімейний лікар",AVERAGE(V1249:V1251),IF($B$1249="Лікар-педіатр",AVERAGE(V1249:V1251),IF($B$1249="Лікар-терапевт","х",0)))</f>
        <v>0</v>
      </c>
      <c r="W1253" s="205">
        <f>IF($B$1249="Лікар загальної практики - сімейний лікар",AVERAGE(W1249:W1251),IF($B$1249="Лікар-педіатр","x",IF($B$1249="Лікар-терапевт",AVERAGE(W1249:W1251),0)))</f>
        <v>0</v>
      </c>
      <c r="X1253" s="205">
        <f>IF($B$1249="Лікар загальної практики - сімейний лікар",AVERAGE(X1249:X1251),IF($B$1249="Лікар-педіатр","x",IF($B$1249="Лікар-терапевт",AVERAGE(X1249:X1251),0)))</f>
        <v>0</v>
      </c>
      <c r="Y1253" s="205">
        <f>IF($B$1249="Лікар загальної практики - сімейний лікар",AVERAGE(Y1249:Y1251),IF($B$1249="Лікар-педіатр","x",IF($B$1249="Лікар-терапевт",AVERAGE(Y1249:Y1251),0)))</f>
        <v>0</v>
      </c>
      <c r="Z1253" s="206">
        <f>SUM(U1253:Y1253)</f>
        <v>0</v>
      </c>
      <c r="AA1253" s="930"/>
      <c r="AB1253" s="205">
        <f>IF($B$1249="Лікар загальної практики - сімейний лікар",AVERAGE(AB1249:AB1251),IF($B$1249="Лікар-педіатр",AVERAGE(AB1249:AB1251),IF($B$1249="Лікар-терапевт","х",0)))</f>
        <v>0</v>
      </c>
      <c r="AC1253" s="205">
        <f>IF($B$1249="Лікар загальної практики - сімейний лікар",AVERAGE(AC1249:AC1251),IF($B$1249="Лікар-педіатр",AVERAGE(AC1249:AC1251),IF($B$1249="Лікар-терапевт","х",0)))</f>
        <v>0</v>
      </c>
      <c r="AD1253" s="205">
        <f>IF($B$1249="Лікар загальної практики - сімейний лікар",AVERAGE(AD1249:AD1251),IF($B$1249="Лікар-педіатр","x",IF($B$1249="Лікар-терапевт",AVERAGE(AD1249:AD1251),0)))</f>
        <v>0</v>
      </c>
      <c r="AE1253" s="205">
        <f>IF($B$1249="Лікар загальної практики - сімейний лікар",AVERAGE(AE1249:AE1251),IF($B$1249="Лікар-педіатр","x",IF($B$1249="Лікар-терапевт",AVERAGE(AE1249:AE1251),0)))</f>
        <v>0</v>
      </c>
      <c r="AF1253" s="205">
        <f>IF($B$1249="Лікар загальної практики - сімейний лікар",AVERAGE(AF1249:AF1251),IF($B$1249="Лікар-педіатр","x",IF($B$1249="Лікар-терапевт",AVERAGE(AF1249:AF1251),0)))</f>
        <v>0</v>
      </c>
      <c r="AG1253" s="206">
        <f>SUM(AB1253:AF1253)</f>
        <v>0</v>
      </c>
      <c r="AH1253" s="930"/>
      <c r="AI1253" s="201"/>
      <c r="AJ1253" s="933"/>
      <c r="AK1253" s="927"/>
      <c r="AL1253" s="927"/>
      <c r="AM1253" s="903"/>
      <c r="AN1253" s="925"/>
      <c r="AO1253" s="925"/>
      <c r="AP1253" s="925"/>
      <c r="AQ1253" s="925"/>
      <c r="AR1253" s="916"/>
    </row>
    <row r="1254" spans="1:44" s="50" customFormat="1" ht="40.5" hidden="1">
      <c r="A1254" s="197"/>
      <c r="B1254" s="893"/>
      <c r="C1254" s="896"/>
      <c r="D1254" s="912"/>
      <c r="E1254" s="909"/>
      <c r="F1254" s="237" t="str">
        <f ca="1">IF(B1249="Лікар-педіатр",Законод!$C$17,IF(B1249="Лікар загальної практики - сімейний лікар",Законод!$C$21,IF(B1249="Лікар-терапевт",Законод!$C$25,"х")))</f>
        <v>х</v>
      </c>
      <c r="G1254" s="208">
        <f ca="1">IF($B$1249="Лікар загальної практики - сімейний лікар",IF(L1253&lt;=Законод!$C$22,G1253,Законод!$C$22*'01_Доходи'!G1252),IF($B$1249="Лікар-педіатр",IF(L1253&lt;=Законод!$C$18,G1253,Законод!$C$18*'01_Доходи'!G1252),IF($B$1249="Лікар-терапевт","x",0)))</f>
        <v>0</v>
      </c>
      <c r="H1254" s="208">
        <f ca="1">IF($B$1249="Лікар загальної практики - сімейний лікар",IF(L1253&lt;=Законод!$C$22,H1253,Законод!$C$22*'01_Доходи'!H1252),IF($B$1249="Лікар-педіатр",IF(L1253&lt;=Законод!$C$18,H1253,Законод!$C$18*'01_Доходи'!H1252),IF($B$1249="Лікар-терапевт","x",0)))</f>
        <v>0</v>
      </c>
      <c r="I1254" s="208">
        <f ca="1">IF($B$1249="Лікар загальної практики - сімейний лікар",IF(L1253&lt;=Законод!$C$22,I1253,Законод!$C$22*'01_Доходи'!I1252),IF($B$1249="Лікар-педіатр","x",IF($B$1249="Лікар-терапевт",IF(L1253&lt;=Законод!$C$26,I1253,Законод!$C$26*'01_Доходи'!I1252),0)))</f>
        <v>0</v>
      </c>
      <c r="J1254" s="208">
        <f ca="1">IF($B$1249="Лікар загальної практики - сімейний лікар",IF(L1253&lt;=Законод!$C$22,J1253,Законод!$C$22*'01_Доходи'!J1252),IF($B$1249="Лікар-педіатр","x",IF($B$1249="Лікар-терапевт",IF(L1253&lt;=Законод!$C$26,J1253,Законод!$C$26*'01_Доходи'!J1252),0)))</f>
        <v>0</v>
      </c>
      <c r="K1254" s="208">
        <f ca="1">IF($B$1249="Лікар загальної практики - сімейний лікар",IF(L1253&lt;=Законод!$C$22,K1253,Законод!$C$22*'01_Доходи'!K1252),IF($B$1249="Лікар-педіатр","x",IF($B$1249="Лікар-терапевт",IF(L1253&lt;=Законод!$C$26,K1253,Законод!$C$26*'01_Доходи'!K1252),0)))</f>
        <v>0</v>
      </c>
      <c r="L1254" s="209">
        <f ca="1">SUM(G1254:K1254)</f>
        <v>0</v>
      </c>
      <c r="M1254" s="930"/>
      <c r="N1254" s="208">
        <f ca="1">IF($B$1249="Лікар загальної практики - сімейний лікар",IF(S1253&lt;=Законод!$C$22,N1253,Законод!$C$22*'01_Доходи'!N1252),IF($B$1249="Лікар-педіатр",IF(S1253&lt;=Законод!$C$18,N1253,Законод!$C$18*'01_Доходи'!N1252),IF($B$1249="Лікар-терапевт","x",0)))</f>
        <v>0</v>
      </c>
      <c r="O1254" s="208">
        <f ca="1">IF($B$1249="Лікар загальної практики - сімейний лікар",IF(S1253&lt;=Законод!$C$22,O1253,Законод!$C$22*'01_Доходи'!O1252),IF($B$1249="Лікар-педіатр",IF(S1253&lt;=Законод!$C$18,O1253,Законод!$C$18*'01_Доходи'!O1252),IF($B$1249="Лікар-терапевт","x",0)))</f>
        <v>0</v>
      </c>
      <c r="P1254" s="208">
        <f ca="1">IF($B$1249="Лікар загальної практики - сімейний лікар",IF(S1253&lt;=Законод!$C$22,P1253,Законод!$C$22*'01_Доходи'!P1252),IF($B$1249="Лікар-педіатр","x",IF($B$1249="Лікар-терапевт",IF(S1253&lt;=Законод!$C$26,P1253,Законод!$C$26*'01_Доходи'!P1252),0)))</f>
        <v>0</v>
      </c>
      <c r="Q1254" s="208">
        <f ca="1">IF($B$1249="Лікар загальної практики - сімейний лікар",IF(S1253&lt;=Законод!$C$22,Q1253,Законод!$C$22*'01_Доходи'!Q1252),IF($B$1249="Лікар-педіатр","x",IF($B$1249="Лікар-терапевт",IF(S1253&lt;=Законод!$C$26,Q1253,Законод!$C$26*'01_Доходи'!Q1252),0)))</f>
        <v>0</v>
      </c>
      <c r="R1254" s="208">
        <f ca="1">IF($B$1249="Лікар загальної практики - сімейний лікар",IF(S1253&lt;=Законод!$C$22,R1253,Законод!$C$22*'01_Доходи'!R1252),IF($B$1249="Лікар-педіатр","x",IF($B$1249="Лікар-терапевт",IF(S1253&lt;=Законод!$C$26,R1253,Законод!$C$26*'01_Доходи'!R1252),0)))</f>
        <v>0</v>
      </c>
      <c r="S1254" s="209">
        <f ca="1">SUM(N1254:R1254)</f>
        <v>0</v>
      </c>
      <c r="T1254" s="930"/>
      <c r="U1254" s="208">
        <f ca="1">IF($B$1249="Лікар загальної практики - сімейний лікар",IF(Z1253&lt;=Законод!$C$22,U1253,Законод!$C$22*'01_Доходи'!U1252),IF($B$1249="Лікар-педіатр",IF(Z1253&lt;=Законод!$C$18,U1253,Законод!$C$18*'01_Доходи'!U1252),IF($B$1249="Лікар-терапевт","x",0)))</f>
        <v>0</v>
      </c>
      <c r="V1254" s="208">
        <f ca="1">IF($B$1249="Лікар загальної практики - сімейний лікар",IF(Z1253&lt;=Законод!$C$22,V1253,Законод!$C$22*'01_Доходи'!V1252),IF($B$1249="Лікар-педіатр",IF(Z1253&lt;=Законод!$C$18,V1253,Законод!$C$18*'01_Доходи'!V1252),IF($B$1249="Лікар-терапевт","x",0)))</f>
        <v>0</v>
      </c>
      <c r="W1254" s="208">
        <f ca="1">IF($B$1249="Лікар загальної практики - сімейний лікар",IF(Z1253&lt;=Законод!$C$22,W1253,Законод!$C$22*'01_Доходи'!W1252),IF($B$1249="Лікар-педіатр","x",IF($B$1249="Лікар-терапевт",IF(Z1253&lt;=Законод!$C$26,W1253,Законод!$C$26*'01_Доходи'!W1252),0)))</f>
        <v>0</v>
      </c>
      <c r="X1254" s="208">
        <f ca="1">IF($B$1249="Лікар загальної практики - сімейний лікар",IF(Z1253&lt;=Законод!$C$22,X1253,Законод!$C$22*'01_Доходи'!X1252),IF($B$1249="Лікар-педіатр","x",IF($B$1249="Лікар-терапевт",IF(Z1253&lt;=Законод!$C$26,X1253,Законод!$C$26*'01_Доходи'!X1252),0)))</f>
        <v>0</v>
      </c>
      <c r="Y1254" s="208">
        <f ca="1">IF($B$1249="Лікар загальної практики - сімейний лікар",IF(Z1253&lt;=Законод!$C$22,Y1253,Законод!$C$22*'01_Доходи'!Y1252),IF($B$1249="Лікар-педіатр","x",IF($B$1249="Лікар-терапевт",IF(Z1253&lt;=Законод!$C$26,Y1253,Законод!$C$26*'01_Доходи'!Y1252),0)))</f>
        <v>0</v>
      </c>
      <c r="Z1254" s="209">
        <f ca="1">SUM(U1254:Y1254)</f>
        <v>0</v>
      </c>
      <c r="AA1254" s="930"/>
      <c r="AB1254" s="208">
        <f ca="1">IF($B$1249="Лікар загальної практики - сімейний лікар",IF(AG1253&lt;=Законод!$C$22,AB1253,Законод!$C$22*'01_Доходи'!AB1252),IF($B$1249="Лікар-педіатр",IF(AG1253&lt;=Законод!$C$18,AB1253,Законод!$C$18*'01_Доходи'!AB1252),IF($B$1249="Лікар-терапевт","x",0)))</f>
        <v>0</v>
      </c>
      <c r="AC1254" s="208">
        <f ca="1">IF($B$1249="Лікар загальної практики - сімейний лікар",IF(AG1253&lt;=Законод!$C$22,AC1253,Законод!$C$22*'01_Доходи'!AC1252),IF($B$1249="Лікар-педіатр",IF(AG1253&lt;=Законод!$C$18,AC1253,Законод!$C$18*'01_Доходи'!AC1252),IF($B$1249="Лікар-терапевт","x",0)))</f>
        <v>0</v>
      </c>
      <c r="AD1254" s="208">
        <f ca="1">IF($B$1249="Лікар загальної практики - сімейний лікар",IF(AG1253&lt;=Законод!$C$22,AD1253,Законод!$C$22*'01_Доходи'!AD1252),IF($B$1249="Лікар-педіатр","x",IF($B$1249="Лікар-терапевт",IF(AG1253&lt;=Законод!$C$26,AD1253,Законод!$C$26*'01_Доходи'!AD1252),0)))</f>
        <v>0</v>
      </c>
      <c r="AE1254" s="208">
        <f ca="1">IF($B$1249="Лікар загальної практики - сімейний лікар",IF(AG1253&lt;=Законод!$C$22,AE1253,Законод!$C$22*'01_Доходи'!AE1252),IF($B$1249="Лікар-педіатр","x",IF($B$1249="Лікар-терапевт",IF(AG1253&lt;=Законод!$C$26,AE1253,Законод!$C$26*'01_Доходи'!AE1252),0)))</f>
        <v>0</v>
      </c>
      <c r="AF1254" s="208">
        <f ca="1">IF($B$1249="Лікар загальної практики - сімейний лікар",IF(AG1253&lt;=Законод!$C$22,AF1253,Законод!$C$22*'01_Доходи'!AF1252),IF($B$1249="Лікар-педіатр","x",IF($B$1249="Лікар-терапевт",IF(AG1253&lt;=Законод!$C$26,AF1253,Законод!$C$26*'01_Доходи'!AF1252),0)))</f>
        <v>0</v>
      </c>
      <c r="AG1254" s="209">
        <f ca="1">SUM(AB1254:AF1254)</f>
        <v>0</v>
      </c>
      <c r="AH1254" s="930"/>
      <c r="AI1254" s="201"/>
      <c r="AJ1254" s="933"/>
      <c r="AK1254" s="927"/>
      <c r="AL1254" s="927"/>
      <c r="AM1254" s="348" t="s">
        <v>374</v>
      </c>
      <c r="AN1254" s="210">
        <f ca="1">IF(B1249="Лікар загальної практики - сімейний лікар",G1254*Законод!$C$11+'01_Доходи'!H1254*Законод!$D$11+'01_Доходи'!I1254*Законод!$E$11+'01_Доходи'!J1254*Законод!$F$11+'01_Доходи'!K1254*Законод!$G$11,IF(B1249="Лікар-педіатр",G1254*Законод!$C$11+'01_Доходи'!H1254*Законод!$D$11,IF(B1249="Лікар-терапевт",'01_Доходи'!I1254*Законод!$E$11+'01_Доходи'!J1254*Законод!$F$11+'01_Доходи'!K1254*Законод!$G$11,0)))</f>
        <v>0</v>
      </c>
      <c r="AO1254" s="210">
        <f ca="1">IF(B1249="Лікар загальної практики - сімейний лікар",N1254*Законод!$C$11+'01_Доходи'!O1254*Законод!$D$11+'01_Доходи'!P1254*Законод!$E$11+'01_Доходи'!Q1254*Законод!$F$11+'01_Доходи'!R1254*Законод!$G$11,IF(B1249="Лікар-педіатр",N1254*Законод!$C$11+'01_Доходи'!O1254*Законод!$D$11,IF(B1249="Лікар-терапевт",'01_Доходи'!P1254*Законод!$E$11+'01_Доходи'!Q1254*Законод!$F$11+'01_Доходи'!R1254*Законод!$G$11,0)))</f>
        <v>0</v>
      </c>
      <c r="AP1254" s="210">
        <f ca="1">IF(B1249="Лікар загальної практики - сімейний лікар",U1254*Законод!$C$11+'01_Доходи'!V1254*Законод!$D$11+'01_Доходи'!W1254*Законод!$E$11+'01_Доходи'!X1254*Законод!$F$11+'01_Доходи'!Y1254*Законод!$G$11,IF(B1249="Лікар-педіатр",U1254*Законод!$C$11+'01_Доходи'!V1254*Законод!$D$11,IF(B1249="Лікар-терапевт",'01_Доходи'!W1254*Законод!$E$11+'01_Доходи'!X1254*Законод!$F$11+'01_Доходи'!Y1254*Законод!$G$11,0)))</f>
        <v>0</v>
      </c>
      <c r="AQ1254" s="210">
        <f ca="1">IF(B1249="Лікар загальної практики - сімейний лікар",AB1254*Законод!$C$11+'01_Доходи'!AC1254*Законод!$D$11+'01_Доходи'!AD1254*Законод!$E$11+'01_Доходи'!AE1254*Законод!$F$11+'01_Доходи'!AF1254*Законод!$G$11,IF(B1249="Лікар-педіатр",AB1254*Законод!$C$11+'01_Доходи'!AC1254*Законод!$D$11,IF(B1249="Лікар-терапевт",'01_Доходи'!AD1254*Законод!$E$11+'01_Доходи'!AE1254*Законод!$F$11+'01_Доходи'!AF1254*Законод!$G$11,0)))</f>
        <v>0</v>
      </c>
      <c r="AR1254" s="211">
        <f t="shared" ref="AR1254:AR1260" si="123">SUM(AN1254:AQ1254)</f>
        <v>0</v>
      </c>
    </row>
    <row r="1255" spans="1:44" s="50" customFormat="1" ht="31.9" hidden="1" customHeight="1">
      <c r="A1255" s="197"/>
      <c r="B1255" s="893"/>
      <c r="C1255" s="896"/>
      <c r="D1255" s="912"/>
      <c r="E1255" s="909"/>
      <c r="F1255" s="238" t="str">
        <f ca="1">IF(B1249="Лікар-педіатр",Законод!$E$17,IF(B1249="Лікар загальної практики - сімейний лікар",Законод!$E$21,IF(B1249="Лікар-терапевт",Законод!$E$25,"х")))</f>
        <v>х</v>
      </c>
      <c r="G1255" s="889" t="s">
        <v>346</v>
      </c>
      <c r="H1255" s="890"/>
      <c r="I1255" s="890"/>
      <c r="J1255" s="890"/>
      <c r="K1255" s="891"/>
      <c r="L1255" s="196">
        <f ca="1">IF($B$1249="Лікар загальної практики - сімейний лікар",IF(L1253&lt;Законод!$C$22,0,(IF(AND(L1253&gt;=Законод!$E$22,L1253&lt;=Законод!$E$23),L1253-Законод!$C$22,IF('01_Доходи'!L1253&gt;=Законод!$F$22,Законод!$E$24,0)))),IF($B$1249="Лікар-педіатр",IF(L1253&lt;Законод!$C$18,0,(IF(AND(L1253&gt;=Законод!$E$18,L1253&lt;=Законод!$E$19),L1253-Законод!$C$18,IF('01_Доходи'!L1253&gt;=Законод!$F$18,Законод!$E$20,0)))),IF($B$1249="Лікар-терапевт",IF(L1253&lt;Законод!$C$26,0,(IF(AND(L1253&gt;=Законод!$E$26,L1253&lt;=Законод!$E$27),L1253-Законод!$C$26,IF('01_Доходи'!L1253&gt;=Законод!$F$26,Законод!$E$28,0)))),0)))</f>
        <v>0</v>
      </c>
      <c r="M1255" s="930"/>
      <c r="N1255" s="889" t="s">
        <v>346</v>
      </c>
      <c r="O1255" s="890"/>
      <c r="P1255" s="890"/>
      <c r="Q1255" s="890"/>
      <c r="R1255" s="891"/>
      <c r="S1255" s="196">
        <f ca="1">IF($B$1249="Лікар загальної практики - сімейний лікар",IF(S1253&lt;Законод!$C$22,0,(IF(AND(S1253&gt;=Законод!$E$22,S1253&lt;=Законод!$E$23),S1253-Законод!$C$22,IF('01_Доходи'!S1253&gt;=Законод!$F$22,Законод!$E$24,0)))),IF($B$1249="Лікар-педіатр",IF(S1253&lt;Законод!$C$18,0,(IF(AND(S1253&gt;=Законод!$E$18,S1253&lt;=Законод!$E$19),S1253-Законод!$C$18,IF('01_Доходи'!S1253&gt;=Законод!$F$18,Законод!$E$20,0)))),IF($B$1249="Лікар-терапевт",IF(S1253&lt;Законод!$C$26,0,(IF(AND(S1253&gt;=Законод!$E$26,S1253&lt;=Законод!$E$27),S1253-Законод!$C$26,IF('01_Доходи'!S1253&gt;=Законод!$F$26,Законод!$E$28,0)))),0)))</f>
        <v>0</v>
      </c>
      <c r="T1255" s="930"/>
      <c r="U1255" s="889" t="s">
        <v>346</v>
      </c>
      <c r="V1255" s="890"/>
      <c r="W1255" s="890"/>
      <c r="X1255" s="890"/>
      <c r="Y1255" s="891"/>
      <c r="Z1255" s="196">
        <f ca="1">IF($B$1249="Лікар загальної практики - сімейний лікар",IF(Z1253&lt;Законод!$C$22,0,(IF(AND(Z1253&gt;=Законод!$E$22,Z1253&lt;=Законод!$E$23),Z1253-Законод!$C$22,IF('01_Доходи'!Z1253&gt;=Законод!$F$22,Законод!$E$24,0)))),IF($B$1249="Лікар-педіатр",IF(Z1253&lt;Законод!$C$18,0,(IF(AND(Z1253&gt;=Законод!$E$18,Z1253&lt;=Законод!$E$19),Z1253-Законод!$C$18,IF('01_Доходи'!Z1253&gt;=Законод!$F$18,Законод!$E$20,0)))),IF($B$1249="Лікар-терапевт",IF(Z1253&lt;Законод!$C$26,0,(IF(AND(Z1253&gt;=Законод!$E$26,Z1253&lt;=Законод!$E$27),Z1253-Законод!$C$26,IF('01_Доходи'!Z1253&gt;=Законод!$F$26,Законод!$E$28,0)))),0)))</f>
        <v>0</v>
      </c>
      <c r="AA1255" s="930"/>
      <c r="AB1255" s="889" t="s">
        <v>346</v>
      </c>
      <c r="AC1255" s="890"/>
      <c r="AD1255" s="890"/>
      <c r="AE1255" s="890"/>
      <c r="AF1255" s="891"/>
      <c r="AG1255" s="196">
        <f ca="1">IF($B$1249="Лікар загальної практики - сімейний лікар",IF(AG1253&lt;Законод!$C$22,0,(IF(AND(AG1253&gt;=Законод!$E$22,AG1253&lt;=Законод!$E$23),AG1253-Законод!$C$22,IF('01_Доходи'!AG1253&gt;=Законод!$F$22,Законод!$E$24,0)))),IF($B$1249="Лікар-педіатр",IF(AG1253&lt;Законод!$C$18,0,(IF(AND(AG1253&gt;=Законод!$E$18,AG1253&lt;=Законод!$E$19),AG1253-Законод!$C$18,IF('01_Доходи'!AG1253&gt;=Законод!$F$18,Законод!$E$20,0)))),IF($B$1249="Лікар-терапевт",IF(AG1253&lt;Законод!$C$26,0,(IF(AND(AG1253&gt;=Законод!$E$26,AG1253&lt;=Законод!$E$27),AG1253-Законод!$C$26,IF('01_Доходи'!AG1253&gt;=Законод!$F$26,Законод!$E$28,0)))),0)))</f>
        <v>0</v>
      </c>
      <c r="AH1255" s="930"/>
      <c r="AI1255" s="201"/>
      <c r="AJ1255" s="933"/>
      <c r="AK1255" s="927"/>
      <c r="AL1255" s="927"/>
      <c r="AM1255" s="898" t="s">
        <v>375</v>
      </c>
      <c r="AN1255" s="210">
        <f ca="1">IF(B1249="Лікар загальної практики - сімейний лікар",L1255*Законод!$C$9/4*Законод!$E$16,IF(B1249="Лікар-педіатр",L1255*Законод!$C$9/4*Законод!$E$16,IF(B1249="Лікар-терапевт",L1255*Законод!$C$9/4*Законод!$E$16,0)))</f>
        <v>0</v>
      </c>
      <c r="AO1255" s="210">
        <f ca="1">IF(B1249="Лікар загальної практики - сімейний лікар",S1255*Законод!$C$9/4*Законод!$E$16,IF(B1249="Лікар-педіатр",S1255*Законод!$C$9/4*Законод!$E$16,IF(B1249="Лікар-терапевт",S1255*Законод!$C$9/4*Законод!$E$16,0)))</f>
        <v>0</v>
      </c>
      <c r="AP1255" s="210">
        <f ca="1">IF(B1249="Лікар загальної практики - сімейний лікар",Z1255*Законод!$C$9/4*Законод!$E$16,IF(B1249="Лікар-педіатр",Z1255*Законод!$C$9/4*Законод!$E$16,IF(B1249="Лікар-терапевт",Z1255*Законод!$C$9/4*Законод!$E$16,0)))</f>
        <v>0</v>
      </c>
      <c r="AQ1255" s="210">
        <f ca="1">IF(B1249="Лікар загальної практики - сімейний лікар",AG1255*Законод!$C$9/4*Законод!$E$16,IF(B1249="Лікар-педіатр",AG1255*Законод!$C$9/4*Законод!$E$16,IF(B1249="Лікар-терапевт",AG1255*Законод!$C$9/4*Законод!$E$16,0)))</f>
        <v>0</v>
      </c>
      <c r="AR1255" s="211">
        <f t="shared" si="123"/>
        <v>0</v>
      </c>
    </row>
    <row r="1256" spans="1:44" s="50" customFormat="1" ht="31.9" hidden="1" customHeight="1">
      <c r="A1256" s="197"/>
      <c r="B1256" s="893"/>
      <c r="C1256" s="896"/>
      <c r="D1256" s="912"/>
      <c r="E1256" s="909"/>
      <c r="F1256" s="238" t="str">
        <f ca="1">IF(B1249="Лікар-педіатр",Законод!$F$17,IF(B1249="Лікар загальної практики - сімейний лікар",Законод!$F$21,IF(B1249="Лікар-терапевт",Законод!$F$25,"х")))</f>
        <v>х</v>
      </c>
      <c r="G1256" s="889" t="s">
        <v>346</v>
      </c>
      <c r="H1256" s="890"/>
      <c r="I1256" s="890"/>
      <c r="J1256" s="890"/>
      <c r="K1256" s="891"/>
      <c r="L1256" s="196">
        <f ca="1">IF($B$1249="Лікар загальної практики - сімейний лікар",IF(L1253&lt;Законод!$C$22,0,(IF(AND(L1253&gt;=Законод!$F$22,L1253&lt;=Законод!$F$23),L1253-Законод!$E$23,IF('01_Доходи'!L1253&gt;=Законод!$G$22,Законод!$F$24,0)))),IF($B$1249="Лікар-педіатр",IF(L1253&lt;Законод!$C$18,0,(IF(AND(L1253&gt;=Законод!$F$18,L1253&lt;=Законод!$F$19),L1253-Законод!$E$19,IF('01_Доходи'!L1253&gt;=Законод!$G$18,Законод!$F$20,0)))),IF($B$1249="Лікар-терапевт",IF(L1253&lt;Законод!$C$26,0,(IF(AND(L1253&gt;=Законод!$F$26,L1253&lt;=Законод!$F$27),L1253-Законод!$E$27,IF('01_Доходи'!L1253&gt;=Законод!$G$26,Законод!$F$28,0)))),0)))</f>
        <v>0</v>
      </c>
      <c r="M1256" s="930"/>
      <c r="N1256" s="889" t="s">
        <v>346</v>
      </c>
      <c r="O1256" s="890"/>
      <c r="P1256" s="890"/>
      <c r="Q1256" s="890"/>
      <c r="R1256" s="891"/>
      <c r="S1256" s="196">
        <f ca="1">IF($B$1249="Лікар загальної практики - сімейний лікар",IF(S1253&lt;Законод!$C$22,0,(IF(AND(S1253&gt;=Законод!$F$22,S1253&lt;=Законод!$F$23),S1253-Законод!$E$23,IF('01_Доходи'!S1253&gt;=Законод!$G$22,Законод!$F$24,0)))),IF($B$1249="Лікар-педіатр",IF(S1253&lt;Законод!$C$18,0,(IF(AND(S1253&gt;=Законод!$F$18,S1253&lt;=Законод!$F$19),S1253-Законод!$E$19,IF('01_Доходи'!S1253&gt;=Законод!$G$18,Законод!$F$20,0)))),IF($B$1249="Лікар-терапевт",IF(S1253&lt;Законод!$C$26,0,(IF(AND(S1253&gt;=Законод!$F$26,S1253&lt;=Законод!$F$27),S1253-Законод!$E$27,IF('01_Доходи'!S1253&gt;=Законод!$G$26,Законод!$F$28,0)))),0)))</f>
        <v>0</v>
      </c>
      <c r="T1256" s="930"/>
      <c r="U1256" s="889" t="s">
        <v>346</v>
      </c>
      <c r="V1256" s="890"/>
      <c r="W1256" s="890"/>
      <c r="X1256" s="890"/>
      <c r="Y1256" s="891"/>
      <c r="Z1256" s="196">
        <f ca="1">IF($B$1249="Лікар загальної практики - сімейний лікар",IF(Z1253&lt;Законод!$C$22,0,(IF(AND(Z1253&gt;=Законод!$F$22,Z1253&lt;=Законод!$F$23),Z1253-Законод!$E$23,IF('01_Доходи'!Z1253&gt;=Законод!$G$22,Законод!$F$24,0)))),IF($B$1249="Лікар-педіатр",IF(Z1253&lt;Законод!$C$18,0,(IF(AND(Z1253&gt;=Законод!$F$18,Z1253&lt;=Законод!$F$19),Z1253-Законод!$E$19,IF('01_Доходи'!Z1253&gt;=Законод!$G$18,Законод!$F$20,0)))),IF($B$1249="Лікар-терапевт",IF(Z1253&lt;Законод!$C$26,0,(IF(AND(Z1253&gt;=Законод!$F$26,Z1253&lt;=Законод!$F$27),Z1253-Законод!$E$27,IF('01_Доходи'!Z1253&gt;=Законод!$G$26,Законод!$F$28,0)))),0)))</f>
        <v>0</v>
      </c>
      <c r="AA1256" s="930"/>
      <c r="AB1256" s="889" t="s">
        <v>346</v>
      </c>
      <c r="AC1256" s="890"/>
      <c r="AD1256" s="890"/>
      <c r="AE1256" s="890"/>
      <c r="AF1256" s="891"/>
      <c r="AG1256" s="196">
        <f ca="1">IF($B$1249="Лікар загальної практики - сімейний лікар",IF(AG1253&lt;Законод!$C$22,0,(IF(AND(AG1253&gt;=Законод!$F$22,AG1253&lt;=Законод!$F$23),AG1253-Законод!$E$23,IF('01_Доходи'!AG1253&gt;=Законод!$G$22,Законод!$F$24,0)))),IF($B$1249="Лікар-педіатр",IF(AG1253&lt;Законод!$C$18,0,(IF(AND(AG1253&gt;=Законод!$F$18,AG1253&lt;=Законод!$F$19),AG1253-Законод!$E$19,IF('01_Доходи'!AG1253&gt;=Законод!$G$18,Законод!$F$20,0)))),IF($B$1249="Лікар-терапевт",IF(AG1253&lt;Законод!$C$26,0,(IF(AND(AG1253&gt;=Законод!$F$26,AG1253&lt;=Законод!$F$27),AG1253-Законод!$E$27,IF('01_Доходи'!AG1253&gt;=Законод!$G$26,Законод!$F$28,0)))),0)))</f>
        <v>0</v>
      </c>
      <c r="AH1256" s="930"/>
      <c r="AI1256" s="201"/>
      <c r="AJ1256" s="933"/>
      <c r="AK1256" s="927"/>
      <c r="AL1256" s="927"/>
      <c r="AM1256" s="899"/>
      <c r="AN1256" s="210">
        <f ca="1">IF(B1249="Лікар загальної практики - сімейний лікар",L1256*Законод!$C$9/4*Законод!$F$16,IF(B1249="Лікар-педіатр",L1256*Законод!$C$9/4*Законод!$F$16,IF(B1249="Лікар-терапевт",L1256*Законод!$C$9/4*Законод!$F$16,0)))</f>
        <v>0</v>
      </c>
      <c r="AO1256" s="210">
        <f ca="1">IF(B1249="Лікар загальної практики - сімейний лікар",S1256*Законод!$C$9/4*Законод!$F$16,IF(B1249="Лікар-педіатр",S1256*Законод!$C$9/4*Законод!$F$16,IF(B1249="Лікар-терапевт",S1256*Законод!$C$9/4*Законод!$F$16,0)))</f>
        <v>0</v>
      </c>
      <c r="AP1256" s="210">
        <f ca="1">IF(B1249="Лікар загальної практики - сімейний лікар",Z1256*Законод!$C$9/4*Законод!$F$16,IF(B1249="Лікар-педіатр",Z1256*Законод!$C$9/4*Законод!$F$16,IF(B1249="Лікар-терапевт",Z1256*Законод!$C$9/4*Законод!$F$16,0)))</f>
        <v>0</v>
      </c>
      <c r="AQ1256" s="210">
        <f ca="1">IF(B1249="Лікар загальної практики - сімейний лікар",AG1256*Законод!$C$9/4*Законод!$F$16,IF(B1249="Лікар-педіатр",AG1256*Законод!$C$9/4*Законод!$F$16,IF(B1249="Лікар-терапевт",AG1256*Законод!$C$9/4*Законод!$F$16,0)))</f>
        <v>0</v>
      </c>
      <c r="AR1256" s="211">
        <f t="shared" si="123"/>
        <v>0</v>
      </c>
    </row>
    <row r="1257" spans="1:44" s="50" customFormat="1" ht="31.9" hidden="1" customHeight="1">
      <c r="A1257" s="197"/>
      <c r="B1257" s="893"/>
      <c r="C1257" s="896"/>
      <c r="D1257" s="912"/>
      <c r="E1257" s="909"/>
      <c r="F1257" s="238" t="str">
        <f ca="1">IF(B1249="Лікар-педіатр",Законод!$G$17,IF(B1249="Лікар загальної практики - сімейний лікар",Законод!$G$21,IF(B1249="Лікар-терапевт",Законод!$G$25,"х")))</f>
        <v>х</v>
      </c>
      <c r="G1257" s="889" t="s">
        <v>346</v>
      </c>
      <c r="H1257" s="890"/>
      <c r="I1257" s="890"/>
      <c r="J1257" s="890"/>
      <c r="K1257" s="891"/>
      <c r="L1257" s="196">
        <f ca="1">IF($B$1249="Лікар загальної практики - сімейний лікар",IF(L1253&lt;Законод!$C$22,0,(IF(AND(L1253&gt;=Законод!$G$22,L1253&lt;=Законод!$G$23),L1253-Законод!$F$23,IF('01_Доходи'!L1253&gt;=Законод!$H$22,Законод!$G$24,0)))),IF($B$1249="Лікар-педіатр",IF(L1253&lt;Законод!$C$18,0,(IF(AND(L1253&gt;=Законод!$G$18,L1253&lt;=Законод!$G$19),L1253-Законод!$F$19,IF('01_Доходи'!L1253&gt;=Законод!$H$18,Законод!$G$20,0)))),IF($B$1249="Лікар-терапевт",IF(L1253&lt;Законод!$C$26,0,(IF(AND(L1253&gt;=Законод!$G$26,L1253&lt;=Законод!$G$27),L1253-Законод!$F$27,IF('01_Доходи'!L1253&gt;=Законод!$H$26,Законод!$G$28,0)))),0)))</f>
        <v>0</v>
      </c>
      <c r="M1257" s="930"/>
      <c r="N1257" s="889" t="s">
        <v>346</v>
      </c>
      <c r="O1257" s="890"/>
      <c r="P1257" s="890"/>
      <c r="Q1257" s="890"/>
      <c r="R1257" s="891"/>
      <c r="S1257" s="196">
        <f ca="1">IF($B$1249="Лікар загальної практики - сімейний лікар",IF(S1253&lt;Законод!$C$22,0,(IF(AND(S1253&gt;=Законод!$G$22,S1253&lt;=Законод!$G$23),S1253-Законод!$F$23,IF('01_Доходи'!S1253&gt;=Законод!$H$22,Законод!$G$24,0)))),IF($B$1249="Лікар-педіатр",IF(S1253&lt;Законод!$C$18,0,(IF(AND(S1253&gt;=Законод!$G$18,S1253&lt;=Законод!$G$19),S1253-Законод!$F$19,IF('01_Доходи'!S1253&gt;=Законод!$H$18,Законод!$G$20,0)))),IF($B$1249="Лікар-терапевт",IF(S1253&lt;Законод!$C$26,0,(IF(AND(S1253&gt;=Законод!$G$26,S1253&lt;=Законод!$G$27),S1253-Законод!$F$27,IF('01_Доходи'!S1253&gt;=Законод!$H$26,Законод!$G$28,0)))),0)))</f>
        <v>0</v>
      </c>
      <c r="T1257" s="930"/>
      <c r="U1257" s="889" t="s">
        <v>346</v>
      </c>
      <c r="V1257" s="890"/>
      <c r="W1257" s="890"/>
      <c r="X1257" s="890"/>
      <c r="Y1257" s="891"/>
      <c r="Z1257" s="196">
        <f ca="1">IF($B$1249="Лікар загальної практики - сімейний лікар",IF(Z1253&lt;Законод!$C$22,0,(IF(AND(Z1253&gt;=Законод!$G$22,Z1253&lt;=Законод!$G$23),Z1253-Законод!$F$23,IF('01_Доходи'!Z1253&gt;=Законод!$H$22,Законод!$G$24,0)))),IF($B$1249="Лікар-педіатр",IF(Z1253&lt;Законод!$C$18,0,(IF(AND(Z1253&gt;=Законод!$G$18,Z1253&lt;=Законод!$G$19),Z1253-Законод!$F$19,IF('01_Доходи'!Z1253&gt;=Законод!$H$18,Законод!$G$20,0)))),IF($B$1249="Лікар-терапевт",IF(Z1253&lt;Законод!$C$26,0,(IF(AND(Z1253&gt;=Законод!$G$26,Z1253&lt;=Законод!$G$27),Z1253-Законод!$F$27,IF('01_Доходи'!Z1253&gt;=Законод!$H$26,Законод!$G$28,0)))),0)))</f>
        <v>0</v>
      </c>
      <c r="AA1257" s="930"/>
      <c r="AB1257" s="889" t="s">
        <v>346</v>
      </c>
      <c r="AC1257" s="890"/>
      <c r="AD1257" s="890"/>
      <c r="AE1257" s="890"/>
      <c r="AF1257" s="891"/>
      <c r="AG1257" s="196">
        <f ca="1">IF($B$1249="Лікар загальної практики - сімейний лікар",IF(AG1253&lt;Законод!$C$22,0,(IF(AND(AG1253&gt;=Законод!$G$22,AG1253&lt;=Законод!$G$23),AG1253-Законод!$F$23,IF('01_Доходи'!AG1253&gt;=Законод!$H$22,Законод!$G$24,0)))),IF($B$1249="Лікар-педіатр",IF(AG1253&lt;Законод!$C$18,0,(IF(AND(AG1253&gt;=Законод!$G$18,AG1253&lt;=Законод!$G$19),AG1253-Законод!$F$19,IF('01_Доходи'!AG1253&gt;=Законод!$H$18,Законод!$G$20,0)))),IF($B$1249="Лікар-терапевт",IF(AG1253&lt;Законод!$C$26,0,(IF(AND(AG1253&gt;=Законод!$G$26,AG1253&lt;=Законод!$G$27),AG1253-Законод!$F$27,IF('01_Доходи'!AG1253&gt;=Законод!$H$26,Законод!$G$28,0)))),0)))</f>
        <v>0</v>
      </c>
      <c r="AH1257" s="930"/>
      <c r="AI1257" s="201"/>
      <c r="AJ1257" s="933"/>
      <c r="AK1257" s="927"/>
      <c r="AL1257" s="927"/>
      <c r="AM1257" s="899"/>
      <c r="AN1257" s="210">
        <f ca="1">IF(B1249="Лікар загальної практики - сімейний лікар",L1257*Законод!$C$9/4*Законод!$G$16,IF(B1249="Лікар-педіатр",L1257*Законод!$C$9/4*Законод!$G$16,IF(B1249="Лікар-терапевт",L1257*Законод!$C$9/4*Законод!$G$16,0)))</f>
        <v>0</v>
      </c>
      <c r="AO1257" s="210">
        <f ca="1">IF(B1249="Лікар загальної практики - сімейний лікар",S1257*Законод!$C$9/4*Законод!$G$16,IF(B1249="Лікар-педіатр",S1257*Законод!$C$9/4*Законод!$G$16,IF(B1249="Лікар-терапевт",S1257*Законод!$C$9/4*Законод!$G$16,0)))</f>
        <v>0</v>
      </c>
      <c r="AP1257" s="210">
        <f ca="1">IF(B1249="Лікар загальної практики - сімейний лікар",Z1257*Законод!$C$9/4*Законод!$G$16,IF(B1249="Лікар-педіатр",Z1257*Законод!$C$9/4*Законод!$G$16,IF(B1249="Лікар-терапевт",Z1257*Законод!$C$9/4*Законод!$G$16,0)))</f>
        <v>0</v>
      </c>
      <c r="AQ1257" s="210">
        <f ca="1">IF(B1249="Лікар загальної практики - сімейний лікар",AG1257*Законод!$C$9/4*Законод!$G$16,IF(B1249="Лікар-педіатр",AG1257*Законод!$C$9/4*Законод!$G$16,IF(B1249="Лікар-терапевт",AG1257*Законод!$C$9/4*Законод!$G$16,0)))</f>
        <v>0</v>
      </c>
      <c r="AR1257" s="211">
        <f t="shared" si="123"/>
        <v>0</v>
      </c>
    </row>
    <row r="1258" spans="1:44" s="50" customFormat="1" ht="31.9" hidden="1" customHeight="1">
      <c r="A1258" s="197"/>
      <c r="B1258" s="893"/>
      <c r="C1258" s="896"/>
      <c r="D1258" s="912"/>
      <c r="E1258" s="909"/>
      <c r="F1258" s="238" t="str">
        <f ca="1">IF(B1249="Лікар-педіатр",Законод!$H$17,IF(B1249="Лікар загальної практики - сімейний лікар",Законод!$H$21,IF(B1249="Лікар-терапевт",Законод!$H$25,"х")))</f>
        <v>х</v>
      </c>
      <c r="G1258" s="889" t="s">
        <v>346</v>
      </c>
      <c r="H1258" s="890"/>
      <c r="I1258" s="890"/>
      <c r="J1258" s="890"/>
      <c r="K1258" s="891"/>
      <c r="L1258" s="196">
        <f ca="1">IF($B$1249="Лікар загальної практики - сімейний лікар",IF(L1253&lt;Законод!$C$22,0,(IF(AND(L1253&gt;=Законод!$H$22,L1253&lt;=Законод!$H$23),L1253-Законод!$G$23,IF('01_Доходи'!L1253&gt;=Законод!$I$22,Законод!$H$24,0)))),IF($B$1249="Лікар-педіатр",IF(L1253&lt;Законод!$C$18,0,(IF(AND(L1253&gt;=Законод!$H$18,L1253&lt;=Законод!$H$19),L1253-Законод!$G$19,IF('01_Доходи'!L1253&gt;=Законод!$I$18,Законод!$H$20,0)))),IF($B$1249="Лікар-терапевт",IF(L1253&lt;Законод!$C$26,0,(IF(AND(L1253&gt;=Законод!$H$26,L1253&lt;=Законод!$H$27),L1253-Законод!$G$27,IF(L1253&gt;=Законод!$I$26,Законод!$H$28,0)))),0)))</f>
        <v>0</v>
      </c>
      <c r="M1258" s="930"/>
      <c r="N1258" s="889" t="s">
        <v>346</v>
      </c>
      <c r="O1258" s="890"/>
      <c r="P1258" s="890"/>
      <c r="Q1258" s="890"/>
      <c r="R1258" s="891"/>
      <c r="S1258" s="196">
        <f ca="1">IF($B$1249="Лікар загальної практики - сімейний лікар",IF(S1253&lt;Законод!$C$22,0,(IF(AND(S1253&gt;=Законод!$H$22,S1253&lt;=Законод!$H$23),S1253-Законод!$G$23,IF('01_Доходи'!S1253&gt;=Законод!$I$22,Законод!$H$24,0)))),IF($B$1249="Лікар-педіатр",IF(S1253&lt;Законод!$C$18,0,(IF(AND(S1253&gt;=Законод!$H$18,S1253&lt;=Законод!$H$19),S1253-Законод!$G$19,IF('01_Доходи'!S1253&gt;=Законод!$I$18,Законод!$H$20,0)))),IF($B$1249="Лікар-терапевт",IF(S1253&lt;Законод!$C$26,0,(IF(AND(S1253&gt;=Законод!$H$26,S1253&lt;=Законод!$H$27),S1253-Законод!$G$27,IF(S1253&gt;=Законод!$I$26,Законод!$H$28,0)))),0)))</f>
        <v>0</v>
      </c>
      <c r="T1258" s="930"/>
      <c r="U1258" s="889" t="s">
        <v>346</v>
      </c>
      <c r="V1258" s="890"/>
      <c r="W1258" s="890"/>
      <c r="X1258" s="890"/>
      <c r="Y1258" s="891"/>
      <c r="Z1258" s="196">
        <f ca="1">IF($B$1249="Лікар загальної практики - сімейний лікар",IF(Z1253&lt;Законод!$C$22,0,(IF(AND(Z1253&gt;=Законод!$H$22,Z1253&lt;=Законод!$H$23),Z1253-Законод!$G$23,IF('01_Доходи'!Z1253&gt;=Законод!$I$22,Законод!$H$24,0)))),IF($B$1249="Лікар-педіатр",IF(Z1253&lt;Законод!$C$18,0,(IF(AND(Z1253&gt;=Законод!$H$18,Z1253&lt;=Законод!$H$19),Z1253-Законод!$G$19,IF('01_Доходи'!Z1253&gt;=Законод!$I$18,Законод!$H$20,0)))),IF($B$1249="Лікар-терапевт",IF(Z1253&lt;Законод!$C$26,0,(IF(AND(Z1253&gt;=Законод!$H$26,Z1253&lt;=Законод!$H$27),Z1253-Законод!$G$27,IF(Z1253&gt;=Законод!$I$26,Законод!$H$28,0)))),0)))</f>
        <v>0</v>
      </c>
      <c r="AA1258" s="930"/>
      <c r="AB1258" s="889" t="s">
        <v>346</v>
      </c>
      <c r="AC1258" s="890"/>
      <c r="AD1258" s="890"/>
      <c r="AE1258" s="890"/>
      <c r="AF1258" s="891"/>
      <c r="AG1258" s="196">
        <f ca="1">IF($B$1249="Лікар загальної практики - сімейний лікар",IF(AG1253&lt;Законод!$C$22,0,(IF(AND(AG1253&gt;=Законод!$H$22,AG1253&lt;=Законод!$H$23),AG1253-Законод!$G$23,IF('01_Доходи'!AG1253&gt;=Законод!$I$22,Законод!$H$24,0)))),IF($B$1249="Лікар-педіатр",IF(AG1253&lt;Законод!$C$18,0,(IF(AND(AG1253&gt;=Законод!$H$18,AG1253&lt;=Законод!$H$19),AG1253-Законод!$G$19,IF('01_Доходи'!AG1253&gt;=Законод!$I$18,Законод!$H$20,0)))),IF($B$1249="Лікар-терапевт",IF(AG1253&lt;Законод!$C$26,0,(IF(AND(AG1253&gt;=Законод!$H$26,AG1253&lt;=Законод!$H$27),AG1253-Законод!$G$27,IF(AG1253&gt;=Законод!$I$26,Законод!$H$28,0)))),0)))</f>
        <v>0</v>
      </c>
      <c r="AH1258" s="930"/>
      <c r="AI1258" s="201"/>
      <c r="AJ1258" s="933"/>
      <c r="AK1258" s="927"/>
      <c r="AL1258" s="927"/>
      <c r="AM1258" s="899"/>
      <c r="AN1258" s="210">
        <f ca="1">IF(B1249="Лікар загальної практики - сімейний лікар",L1258*Законод!$C$9/4*Законод!$H$16,IF(B1249="Лікар-педіатр",L1258*Законод!$C$9/4*Законод!$H$16,IF(B1249="Лікар-терапевт",L1258*Законод!$C$9/4*Законод!$H$16,0)))</f>
        <v>0</v>
      </c>
      <c r="AO1258" s="210">
        <f ca="1">IF(B1249="Лікар загальної практики - сімейний лікар",S1258*Законод!$C$9/4*Законод!$H$16,IF(B1249="Лікар-педіатр",S1258*Законод!$C$9/4*Законод!$H$16,IF(B1249="Лікар-терапевт",S1258*Законод!$C$9/4*Законод!$H$16,0)))</f>
        <v>0</v>
      </c>
      <c r="AP1258" s="210">
        <f ca="1">IF(B1249="Лікар загальної практики - сімейний лікар",Z1258*Законод!$C$9/4*Законод!$H$16,IF(B1249="Лікар-педіатр",Z1258*Законод!$C$9/4*Законод!$H$16,IF(B1249="Лікар-терапевт",Z1258*Законод!$C$9/4*Законод!$H$16,0)))</f>
        <v>0</v>
      </c>
      <c r="AQ1258" s="210">
        <f ca="1">IF(B1249="Лікар загальної практики - сімейний лікар",AG1258*Законод!$C$9/4*Законод!$H$16,IF(B1249="Лікар-педіатр",AG1258*Законод!$C$9/4*Законод!$H$16,IF(B1249="Лікар-терапевт",AG1258*Законод!$C$9/4*Законод!$H$16,0)))</f>
        <v>0</v>
      </c>
      <c r="AR1258" s="211">
        <f t="shared" si="123"/>
        <v>0</v>
      </c>
    </row>
    <row r="1259" spans="1:44" s="50" customFormat="1" ht="31.9" hidden="1" customHeight="1">
      <c r="A1259" s="197"/>
      <c r="B1259" s="893"/>
      <c r="C1259" s="896"/>
      <c r="D1259" s="912"/>
      <c r="E1259" s="909"/>
      <c r="F1259" s="238" t="str">
        <f ca="1">IF(B1249="Лікар-педіатр",Законод!$I$17,IF(B1249="Лікар загальної практики - сімейний лікар",Законод!$I$21,IF(B1249="Лікар-терапевт",Законод!$I$25,"х")))</f>
        <v>х</v>
      </c>
      <c r="G1259" s="889" t="s">
        <v>346</v>
      </c>
      <c r="H1259" s="890"/>
      <c r="I1259" s="890"/>
      <c r="J1259" s="890"/>
      <c r="K1259" s="891"/>
      <c r="L1259" s="196">
        <f ca="1">IF($B$1249="Лікар загальної практики - сімейний лікар",IF(L1253&lt;Законод!$C$22,0,(IF(AND(L1253&gt;=Законод!$I$22,L1253&lt;=Законод!$I$23),L1253-Законод!$H$23,IF('01_Доходи'!L1253&gt;=Законод!$I$22,Законод!$I$24,0)))),IF($B$1249="Лікар-педіатр",IF(L1253&lt;Законод!$C$18,0,(IF(AND(L1253&gt;=Законод!$I$18,L1253&lt;=Законод!$I$19),L1253-Законод!$H$19,IF('01_Доходи'!L1253&gt;=Законод!$I$18,Законод!$H$20,0)))),IF($B$1249="Лікар-терапевт",IF(L1253&lt;Законод!$C$26,0,(IF(AND(L1253&gt;=Законод!$I$26,L1253&lt;=Законод!$I$27),L1253-Законод!$H$27,IF('01_Доходи'!L1253&gt;=Законод!$I$26,Законод!$H$28,0)))),0)))</f>
        <v>0</v>
      </c>
      <c r="M1259" s="930"/>
      <c r="N1259" s="889" t="s">
        <v>346</v>
      </c>
      <c r="O1259" s="890"/>
      <c r="P1259" s="890"/>
      <c r="Q1259" s="890"/>
      <c r="R1259" s="891"/>
      <c r="S1259" s="196">
        <f ca="1">IF($B$1249="Лікар загальної практики - сімейний лікар",IF(S1253&lt;Законод!$C$22,0,(IF(AND(S1253&gt;=Законод!$I$22,S1253&lt;=Законод!$I$23),S1253-Законод!$H$23,IF('01_Доходи'!S1253&gt;=Законод!$I$22,Законод!$I$24,0)))),IF($B$1249="Лікар-педіатр",IF(S1253&lt;Законод!$C$18,0,(IF(AND(S1253&gt;=Законод!$I$18,S1253&lt;=Законод!$I$19),S1253-Законод!$H$19,IF('01_Доходи'!S1253&gt;=Законод!$I$18,Законод!$H$20,0)))),IF($B$1249="Лікар-терапевт",IF(S1253&lt;Законод!$C$26,0,(IF(AND(S1253&gt;=Законод!$I$26,S1253&lt;=Законод!$I$27),S1253-Законод!$H$27,IF('01_Доходи'!S1253&gt;=Законод!$I$26,Законод!$H$28,0)))),0)))</f>
        <v>0</v>
      </c>
      <c r="T1259" s="930"/>
      <c r="U1259" s="889" t="s">
        <v>346</v>
      </c>
      <c r="V1259" s="890"/>
      <c r="W1259" s="890"/>
      <c r="X1259" s="890"/>
      <c r="Y1259" s="891"/>
      <c r="Z1259" s="196">
        <f ca="1">IF($B$1249="Лікар загальної практики - сімейний лікар",IF(Z1253&lt;Законод!$C$22,0,(IF(AND(Z1253&gt;=Законод!$I$22,Z1253&lt;=Законод!$I$23),Z1253-Законод!$H$23,IF('01_Доходи'!Z1253&gt;=Законод!$I$22,Законод!$I$24,0)))),IF($B$1249="Лікар-педіатр",IF(Z1253&lt;Законод!$C$18,0,(IF(AND(Z1253&gt;=Законод!$I$18,Z1253&lt;=Законод!$I$19),Z1253-Законод!$H$19,IF('01_Доходи'!Z1253&gt;=Законод!$I$18,Законод!$H$20,0)))),IF($B$1249="Лікар-терапевт",IF(Z1253&lt;Законод!$C$26,0,(IF(AND(Z1253&gt;=Законод!$I$26,Z1253&lt;=Законод!$I$27),Z1253-Законод!$H$27,IF('01_Доходи'!Z1253&gt;=Законод!$I$26,Законод!$H$28,0)))),0)))</f>
        <v>0</v>
      </c>
      <c r="AA1259" s="930"/>
      <c r="AB1259" s="889" t="s">
        <v>346</v>
      </c>
      <c r="AC1259" s="890"/>
      <c r="AD1259" s="890"/>
      <c r="AE1259" s="890"/>
      <c r="AF1259" s="891"/>
      <c r="AG1259" s="196">
        <f ca="1">IF($B$1249="Лікар загальної практики - сімейний лікар",IF(AG1253&lt;Законод!$C$22,0,(IF(AND(AG1253&gt;=Законод!$I$22,AG1253&lt;=Законод!$I$23),AG1253-Законод!$H$23,IF('01_Доходи'!AG1253&gt;=Законод!$I$22,Законод!$I$24,0)))),IF($B$1249="Лікар-педіатр",IF(AG1253&lt;Законод!$C$18,0,(IF(AND(AG1253&gt;=Законод!$I$18,AG1253&lt;=Законод!$I$19),AG1253-Законод!$H$19,IF('01_Доходи'!AG1253&gt;=Законод!$I$18,Законод!$H$20,0)))),IF($B$1249="Лікар-терапевт",IF(AG1253&lt;Законод!$C$26,0,(IF(AND(AG1253&gt;=Законод!$I$26,AG1253&lt;=Законод!$I$27),AG1253-Законод!$H$27,IF('01_Доходи'!AG1253&gt;=Законод!$I$26,Законод!$H$28,0)))),0)))</f>
        <v>0</v>
      </c>
      <c r="AH1259" s="930"/>
      <c r="AI1259" s="201"/>
      <c r="AJ1259" s="933"/>
      <c r="AK1259" s="927"/>
      <c r="AL1259" s="927"/>
      <c r="AM1259" s="899"/>
      <c r="AN1259" s="210">
        <f ca="1">IF(B1249="Лікар загальної практики - сімейний лікар",L1259*Законод!$C$9/4*Законод!$I$16,IF(B1249="Лікар-педіатр",L1259*Законод!$C$9/4*Законод!$I$16,IF(B1249="Лікар-терапевт",L1259*Законод!$C$9/4*Законод!$I$16,0)))</f>
        <v>0</v>
      </c>
      <c r="AO1259" s="210">
        <f ca="1">IF(B1249="Лікар загальної практики - сімейний лікар",S1259*Законод!$C$9/4*Законод!$I$16,IF(B1249="Лікар-педіатр",S1259*Законод!$C$9/4*Законод!$I$16,IF(B1249="Лікар-терапевт",S1259*Законод!$C$9/4*Законод!$I$16,0)))</f>
        <v>0</v>
      </c>
      <c r="AP1259" s="210">
        <f ca="1">IF(B1249="Лікар загальної практики - сімейний лікар",Z1259*Законод!$C$9/4*Законод!$I$16,IF(B1249="Лікар-педіатр",Z1259*Законод!$C$9/4*Законод!$I$16,IF(B1249="Лікар-терапевт",Z1259*Законод!$C$9/4*Законод!$I$16,0)))</f>
        <v>0</v>
      </c>
      <c r="AQ1259" s="210">
        <f ca="1">IF(B1249="Лікар загальної практики - сімейний лікар",AG1259*Законод!$C$9/4*Законод!$I$16,IF(B1249="Лікар-педіатр",AG1259*Законод!$C$9/4*Законод!$I$16,IF(B1249="Лікар-терапевт",AG1259*Законод!$C$9/4*Законод!$I$16,0)))</f>
        <v>0</v>
      </c>
      <c r="AR1259" s="211">
        <f t="shared" si="123"/>
        <v>0</v>
      </c>
    </row>
    <row r="1260" spans="1:44" s="218" customFormat="1" ht="31.9" hidden="1" customHeight="1" thickBot="1">
      <c r="A1260" s="213"/>
      <c r="B1260" s="894"/>
      <c r="C1260" s="897"/>
      <c r="D1260" s="913"/>
      <c r="E1260" s="910"/>
      <c r="F1260" s="239" t="str">
        <f ca="1">IF(B1249="Лікар-педіатр",Законод!$J$17,IF(B1249="Лікар загальної практики - сімейний лікар",Законод!$J$21,IF(B1249="Лікар-терапевт",Законод!$J$25,"х")))</f>
        <v>х</v>
      </c>
      <c r="G1260" s="935" t="s">
        <v>346</v>
      </c>
      <c r="H1260" s="936"/>
      <c r="I1260" s="936"/>
      <c r="J1260" s="936"/>
      <c r="K1260" s="937"/>
      <c r="L1260" s="196">
        <f ca="1">IF($B$1249="Лікар загальної практики - сімейний лікар",IF(L1253&gt;=Законод!$J$22,'01_Доходи'!L1253-('01_Доходи'!L1254+'01_Доходи'!L1255+'01_Доходи'!L1256+'01_Доходи'!L1257+'01_Доходи'!L1258+'01_Доходи'!L1259),0),IF($B$1249="Лікар-педіатр",IF(L1253&gt;=Законод!$J$18,'01_Доходи'!L1253-('01_Доходи'!L1254+'01_Доходи'!L1255+'01_Доходи'!L1256+'01_Доходи'!L1257+'01_Доходи'!L1258+'01_Доходи'!L1259),0),IF($B$1249="Лікар-терапевт",IF('01_Доходи'!L1253&gt;=Законод!$J$26,L1253-Законод!$I$27,0),0)))</f>
        <v>0</v>
      </c>
      <c r="M1260" s="931"/>
      <c r="N1260" s="935" t="s">
        <v>346</v>
      </c>
      <c r="O1260" s="936"/>
      <c r="P1260" s="936"/>
      <c r="Q1260" s="936"/>
      <c r="R1260" s="937"/>
      <c r="S1260" s="196">
        <f ca="1">IF($B$1249="Лікар загальної практики - сімейний лікар",IF(S1253&gt;=Законод!$J$22,'01_Доходи'!S1253-('01_Доходи'!S1254+'01_Доходи'!S1255+'01_Доходи'!S1256+'01_Доходи'!S1257+'01_Доходи'!S1258+'01_Доходи'!S1259),0),IF($B$1249="Лікар-педіатр",IF(S1253&gt;=Законод!$J$18,'01_Доходи'!S1253-('01_Доходи'!S1254+'01_Доходи'!S1255+'01_Доходи'!S1256+'01_Доходи'!S1257+'01_Доходи'!S1258+'01_Доходи'!S1259),0),IF($B$1249="Лікар-терапевт",IF('01_Доходи'!S1253&gt;=Законод!$J$26,S1253-Законод!$I$27,0),0)))</f>
        <v>0</v>
      </c>
      <c r="T1260" s="931"/>
      <c r="U1260" s="935" t="s">
        <v>346</v>
      </c>
      <c r="V1260" s="936"/>
      <c r="W1260" s="936"/>
      <c r="X1260" s="936"/>
      <c r="Y1260" s="937"/>
      <c r="Z1260" s="196">
        <f ca="1">IF($B$1249="Лікар загальної практики - сімейний лікар",IF(Z1253&gt;=Законод!$J$22,'01_Доходи'!Z1253-('01_Доходи'!Z1254+'01_Доходи'!Z1255+'01_Доходи'!Z1256+'01_Доходи'!Z1257+'01_Доходи'!Z1258+'01_Доходи'!Z1259),0),IF($B$1249="Лікар-педіатр",IF(Z1253&gt;=Законод!$J$18,'01_Доходи'!Z1253-('01_Доходи'!Z1254+'01_Доходи'!Z1255+'01_Доходи'!Z1256+'01_Доходи'!Z1257+'01_Доходи'!Z1258+'01_Доходи'!Z1259),0),IF($B$1249="Лікар-терапевт",IF('01_Доходи'!Z1253&gt;=Законод!$J$26,Z1253-Законод!$I$27,0),0)))</f>
        <v>0</v>
      </c>
      <c r="AA1260" s="931"/>
      <c r="AB1260" s="935" t="s">
        <v>346</v>
      </c>
      <c r="AC1260" s="936"/>
      <c r="AD1260" s="936"/>
      <c r="AE1260" s="936"/>
      <c r="AF1260" s="937"/>
      <c r="AG1260" s="196">
        <f ca="1">IF($B$1249="Лікар загальної практики - сімейний лікар",IF(AG1253&gt;=Законод!$J$22,'01_Доходи'!AG1253-('01_Доходи'!AG1254+'01_Доходи'!AG1255+'01_Доходи'!AG1256+'01_Доходи'!AG1257+'01_Доходи'!AG1258+'01_Доходи'!AG1259),0),IF($B$1249="Лікар-педіатр",IF(AG1253&gt;=Законод!$J$18,'01_Доходи'!AG1253-('01_Доходи'!AG1254+'01_Доходи'!AG1255+'01_Доходи'!AG1256+'01_Доходи'!AG1257+'01_Доходи'!AG1258+'01_Доходи'!AG1259),0),IF($B$1249="Лікар-терапевт",IF('01_Доходи'!AG1253&gt;=Законод!$J$26,AG1253-Законод!$I$27,0),0)))</f>
        <v>0</v>
      </c>
      <c r="AH1260" s="931"/>
      <c r="AI1260" s="215"/>
      <c r="AJ1260" s="934"/>
      <c r="AK1260" s="928"/>
      <c r="AL1260" s="928"/>
      <c r="AM1260" s="900"/>
      <c r="AN1260" s="216">
        <f ca="1">IF(B1249="Лікар загальної практики - сімейний лікар",L1260*Законод!$C$9/4*Законод!$J$16,IF(B1249="Лікар-педіатр",L1260*Законод!$C$9/4*Законод!$J$16,IF(B1249="Лікар-терапевт",L1260*Законод!$C$9/4*Законод!$J$16,0)))</f>
        <v>0</v>
      </c>
      <c r="AO1260" s="216">
        <f ca="1">IF(B1249="Лікар загальної практики - сімейний лікар",S1260*Законод!$C$9/4*Законод!$J$16,IF(B1249="Лікар-педіатр",S1260*Законод!$C$9/4*Законод!$J$16,IF(B1249="Лікар-терапевт",S1260*Законод!$C$9/4*Законод!$J$16,0)))</f>
        <v>0</v>
      </c>
      <c r="AP1260" s="216">
        <f ca="1">IF(B1249="Лікар загальної практики - сімейний лікар",S1260*Законод!$C$9/4*Законод!$J$16,IF(B1249="Лікар-педіатр",S1260*Законод!$C$9/4*Законод!$J$16,IF(B1249="Лікар-терапевт",S1260*Законод!$C$9/4*Законод!$J$16,0)))</f>
        <v>0</v>
      </c>
      <c r="AQ1260" s="216">
        <f ca="1">IF(B1249="Лікар загальної практики - сімейний лікар",AG1260*Законод!$C$9/4*Законод!$J$16,IF(B1249="Лікар-педіатр",AG1260*Законод!$C$9/4*Законод!$J$16,IF(B1249="Лікар-терапевт",AG1260*Законод!$C$9/4*Законод!$J$16,0)))</f>
        <v>0</v>
      </c>
      <c r="AR1260" s="217">
        <f t="shared" si="123"/>
        <v>0</v>
      </c>
    </row>
    <row r="1261" spans="1:44" s="247" customFormat="1" ht="23.45" hidden="1" customHeight="1" thickBot="1">
      <c r="A1261" s="243"/>
      <c r="B1261" s="244"/>
      <c r="C1261" s="244"/>
      <c r="D1261" s="244"/>
      <c r="E1261" s="244"/>
      <c r="F1261" s="245"/>
      <c r="G1261" s="246"/>
      <c r="H1261" s="246"/>
      <c r="L1261" s="248"/>
      <c r="S1261" s="248"/>
      <c r="Z1261" s="248"/>
      <c r="AG1261" s="248"/>
      <c r="AM1261" s="249"/>
      <c r="AR1261" s="250"/>
    </row>
    <row r="1262" spans="1:44" s="191" customFormat="1" ht="24.6" hidden="1" customHeight="1">
      <c r="A1262" s="194">
        <f>A1249+1</f>
        <v>95</v>
      </c>
      <c r="B1262" s="892"/>
      <c r="C1262" s="895"/>
      <c r="D1262" s="911"/>
      <c r="E1262" s="908"/>
      <c r="F1262" s="234" t="s">
        <v>582</v>
      </c>
      <c r="G1262" s="196">
        <f>IF($B$1262="Лікар-педіатр",G1265*L1262,IF($B$1262="Лікар-терапевт","х",IF($B$1262="Лікар загальної практики - сімейний лікар",G1265*L1262,0)))</f>
        <v>0</v>
      </c>
      <c r="H1262" s="196">
        <f>IF($B$1262="Лікар-педіатр",H1265*L1262,IF($B$1262="Лікар-терапевт","х",IF($B$1262="Лікар загальної практики - сімейний лікар",H1265*L1262,0)))</f>
        <v>0</v>
      </c>
      <c r="I1262" s="196">
        <f>IF($B$1262="Лікар-педіатр","x",IF($B$1262="Лікар-терапевт",I1265*L1262,IF($B$1262="Лікар загальної практики - сімейний лікар",I1265*L1262,0)))</f>
        <v>0</v>
      </c>
      <c r="J1262" s="196">
        <f>IF($B$1262="Лікар-педіатр","x",IF($B$1262="Лікар-терапевт",J1265*L1262,IF($B$1262="Лікар загальної практики - сімейний лікар",J1265*L1262,0)))</f>
        <v>0</v>
      </c>
      <c r="K1262" s="196">
        <f>IF($B$1262="Лікар-педіатр","x",IF($B$1262="Лікар-терапевт",K1265*L1262,IF($B$1262="Лікар загальної практики - сімейний лікар",K1265*L1262,0)))</f>
        <v>0</v>
      </c>
      <c r="L1262" s="558"/>
      <c r="M1262" s="929"/>
      <c r="N1262" s="196">
        <f>IF($B$1262="Лікар-педіатр",N1265*S1262,IF($B$1262="Лікар-терапевт","х",IF($B$1262="Лікар загальної практики - сімейний лікар",N1265*S1262,0)))</f>
        <v>0</v>
      </c>
      <c r="O1262" s="196">
        <f>IF($B$1262="Лікар-педіатр",O1265*S1262,IF($B$1262="Лікар-терапевт","х",IF($B$1262="Лікар загальної практики - сімейний лікар",O1265*S1262,0)))</f>
        <v>0</v>
      </c>
      <c r="P1262" s="196">
        <f>IF($B$1262="Лікар-педіатр","x",IF($B$1262="Лікар-терапевт",P1265*S1262,IF($B$1262="Лікар загальної практики - сімейний лікар",P1265*S1262,0)))</f>
        <v>0</v>
      </c>
      <c r="Q1262" s="196">
        <f>IF($B$1262="Лікар-педіатр","x",IF($B$1262="Лікар-терапевт",Q1265*S1262,IF($B$1262="Лікар загальної практики - сімейний лікар",Q1265*S1262,0)))</f>
        <v>0</v>
      </c>
      <c r="R1262" s="196">
        <f>IF($B$1262="Лікар-педіатр","x",IF($B$1262="Лікар-терапевт",R1265*S1262,IF($B$1262="Лікар загальної практики - сімейний лікар",R1265*S1262,0)))</f>
        <v>0</v>
      </c>
      <c r="S1262" s="558"/>
      <c r="T1262" s="929"/>
      <c r="U1262" s="196">
        <f>IF($B$1262="Лікар-педіатр",U1265*Z1262,IF($B$1262="Лікар-терапевт","х",IF($B$1262="Лікар загальної практики - сімейний лікар",U1265*Z1262,0)))</f>
        <v>0</v>
      </c>
      <c r="V1262" s="196">
        <f>IF($B$1262="Лікар-педіатр",V1265*Z1262,IF($B$1262="Лікар-терапевт","х",IF($B$1262="Лікар загальної практики - сімейний лікар",V1265*Z1262,0)))</f>
        <v>0</v>
      </c>
      <c r="W1262" s="196">
        <f>IF($B$1262="Лікар-педіатр","x",IF($B$1262="Лікар-терапевт",W1265*Z1262,IF($B$1262="Лікар загальної практики - сімейний лікар",W1265*Z1262,0)))</f>
        <v>0</v>
      </c>
      <c r="X1262" s="196">
        <f>IF($B$1262="Лікар-педіатр","x",IF($B$1262="Лікар-терапевт",X1265*Z1262,IF($B$1262="Лікар загальної практики - сімейний лікар",X1265*Z1262,0)))</f>
        <v>0</v>
      </c>
      <c r="Y1262" s="196">
        <f>IF($B$1262="Лікар-педіатр","x",IF($B$1262="Лікар-терапевт",Y1265*Z1262,IF($B$1262="Лікар загальної практики - сімейний лікар",Y1265*Z1262,0)))</f>
        <v>0</v>
      </c>
      <c r="Z1262" s="558"/>
      <c r="AA1262" s="929"/>
      <c r="AB1262" s="196">
        <f>IF($B$1262="Лікар-педіатр",AB1265*AG1262,IF($B$1262="Лікар-терапевт","х",IF($B$1262="Лікар загальної практики - сімейний лікар",AB1265*AG1262,0)))</f>
        <v>0</v>
      </c>
      <c r="AC1262" s="196">
        <f>IF($B$1262="Лікар-педіатр",AC1265*AG1262,IF($B$1262="Лікар-терапевт","х",IF($B$1262="Лікар загальної практики - сімейний лікар",AC1265*AG1262,0)))</f>
        <v>0</v>
      </c>
      <c r="AD1262" s="196">
        <f>IF($B$1262="Лікар-педіатр","x",IF($B$1262="Лікар-терапевт",AD1265*AG1262,IF($B$1262="Лікар загальної практики - сімейний лікар",AD1265*AG1262,0)))</f>
        <v>0</v>
      </c>
      <c r="AE1262" s="196">
        <f>IF($B$1262="Лікар-педіатр","x",IF($B$1262="Лікар-терапевт",AE1265*AG1262,IF($B$1262="Лікар загальної практики - сімейний лікар",AE1265*AG1262,0)))</f>
        <v>0</v>
      </c>
      <c r="AF1262" s="196">
        <f>IF($B$1262="Лікар-педіатр","x",IF($B$1262="Лікар-терапевт",AF1265*AG1262,IF($B$1262="Лікар загальної практики - сімейний лікар",AF1265*AG1262,0)))</f>
        <v>0</v>
      </c>
      <c r="AG1262" s="558"/>
      <c r="AH1262" s="929"/>
      <c r="AI1262" s="541">
        <f>A1262</f>
        <v>95</v>
      </c>
      <c r="AJ1262" s="932">
        <f>B1262</f>
        <v>0</v>
      </c>
      <c r="AK1262" s="926">
        <f>C1262</f>
        <v>0</v>
      </c>
      <c r="AL1262" s="926">
        <f>D1262</f>
        <v>0</v>
      </c>
      <c r="AM1262" s="901" t="s">
        <v>785</v>
      </c>
      <c r="AN1262" s="923">
        <f>SUM(AN1267:AN1273)</f>
        <v>0</v>
      </c>
      <c r="AO1262" s="923">
        <f>SUM(AO1267:AO1273)</f>
        <v>0</v>
      </c>
      <c r="AP1262" s="923">
        <f>SUM(AP1267:AP1273)</f>
        <v>0</v>
      </c>
      <c r="AQ1262" s="923">
        <f>SUM(AQ1267:AQ1273)</f>
        <v>0</v>
      </c>
      <c r="AR1262" s="914">
        <f>SUM(AN1262:AQ1266)</f>
        <v>0</v>
      </c>
    </row>
    <row r="1263" spans="1:44" s="50" customFormat="1" ht="28.15" hidden="1" customHeight="1">
      <c r="A1263" s="197"/>
      <c r="B1263" s="893"/>
      <c r="C1263" s="896"/>
      <c r="D1263" s="912"/>
      <c r="E1263" s="909"/>
      <c r="F1263" s="234" t="s">
        <v>583</v>
      </c>
      <c r="G1263" s="196">
        <f>IF($B$1262="Лікар-педіатр",G1265*L1263,IF($B$1262="Лікар-терапевт","х",IF($B$1262="Лікар загальної практики - сімейний лікар",G1265*L1263,0)))</f>
        <v>0</v>
      </c>
      <c r="H1263" s="196">
        <f>IF($B$1262="Лікар-педіатр",H1265*L1263,IF($B$1262="Лікар-терапевт","х",IF($B$1262="Лікар загальної практики - сімейний лікар",H1265*L1263,0)))</f>
        <v>0</v>
      </c>
      <c r="I1263" s="196">
        <f>IF($B$1262="Лікар-педіатр","x",IF($B$1262="Лікар-терапевт",I1265*L1263,IF($B$1262="Лікар загальної практики - сімейний лікар",I1265*L1263,0)))</f>
        <v>0</v>
      </c>
      <c r="J1263" s="196">
        <f>IF($B$1262="Лікар-педіатр","x",IF($B$1262="Лікар-терапевт",J1265*L1263,IF($B$1262="Лікар загальної практики - сімейний лікар",J1265*L1263,0)))</f>
        <v>0</v>
      </c>
      <c r="K1263" s="196">
        <f>IF($B$1262="Лікар-педіатр","x",IF($B$1262="Лікар-терапевт",K1265*L1263,IF($B$1262="Лікар загальної практики - сімейний лікар",K1265*L1263,0)))</f>
        <v>0</v>
      </c>
      <c r="L1263" s="558"/>
      <c r="M1263" s="930"/>
      <c r="N1263" s="196">
        <f>IF($B$1262="Лікар-педіатр",N1265*S1263,IF($B$1262="Лікар-терапевт","х",IF($B$1262="Лікар загальної практики - сімейний лікар",N1265*S1263,0)))</f>
        <v>0</v>
      </c>
      <c r="O1263" s="196">
        <f>IF($B$1262="Лікар-педіатр",O1265*S1263,IF($B$1262="Лікар-терапевт","х",IF($B$1262="Лікар загальної практики - сімейний лікар",O1265*S1263,0)))</f>
        <v>0</v>
      </c>
      <c r="P1263" s="196">
        <f>IF($B$1262="Лікар-педіатр","x",IF($B$1262="Лікар-терапевт",P1265*S1263,IF($B$1262="Лікар загальної практики - сімейний лікар",P1265*S1263,0)))</f>
        <v>0</v>
      </c>
      <c r="Q1263" s="196">
        <f>IF($B$1262="Лікар-педіатр","x",IF($B$1262="Лікар-терапевт",Q1265*S1263,IF($B$1262="Лікар загальної практики - сімейний лікар",Q1265*S1263,0)))</f>
        <v>0</v>
      </c>
      <c r="R1263" s="196">
        <f>IF($B$1262="Лікар-педіатр","x",IF($B$1262="Лікар-терапевт",R1265*S1263,IF($B$1262="Лікар загальної практики - сімейний лікар",R1265*S1263,0)))</f>
        <v>0</v>
      </c>
      <c r="S1263" s="558"/>
      <c r="T1263" s="930"/>
      <c r="U1263" s="196">
        <f>IF($B$1262="Лікар-педіатр",U1265*Z1263,IF($B$1262="Лікар-терапевт","х",IF($B$1262="Лікар загальної практики - сімейний лікар",U1265*Z1263,0)))</f>
        <v>0</v>
      </c>
      <c r="V1263" s="196">
        <f>IF($B$1262="Лікар-педіатр",V1265*Z1263,IF($B$1262="Лікар-терапевт","х",IF($B$1262="Лікар загальної практики - сімейний лікар",V1265*Z1263,0)))</f>
        <v>0</v>
      </c>
      <c r="W1263" s="196">
        <f>IF($B$1262="Лікар-педіатр","x",IF($B$1262="Лікар-терапевт",W1265*Z1263,IF($B$1262="Лікар загальної практики - сімейний лікар",W1265*Z1263,0)))</f>
        <v>0</v>
      </c>
      <c r="X1263" s="196">
        <f>IF($B$1262="Лікар-педіатр","x",IF($B$1262="Лікар-терапевт",X1265*Z1263,IF($B$1262="Лікар загальної практики - сімейний лікар",X1265*Z1263,0)))</f>
        <v>0</v>
      </c>
      <c r="Y1263" s="196">
        <f>IF($B$1262="Лікар-педіатр","x",IF($B$1262="Лікар-терапевт",Y1265*Z1263,IF($B$1262="Лікар загальної практики - сімейний лікар",Y1265*Z1263,0)))</f>
        <v>0</v>
      </c>
      <c r="Z1263" s="558"/>
      <c r="AA1263" s="930"/>
      <c r="AB1263" s="196">
        <f>IF($B$1262="Лікар-педіатр",AB1265*AG1263,IF($B$1262="Лікар-терапевт","х",IF($B$1262="Лікар загальної практики - сімейний лікар",AB1265*AG1263,0)))</f>
        <v>0</v>
      </c>
      <c r="AC1263" s="196">
        <f>IF($B$1262="Лікар-педіатр",AC1265*AG1263,IF($B$1262="Лікар-терапевт","х",IF($B$1262="Лікар загальної практики - сімейний лікар",AC1265*AG1263,0)))</f>
        <v>0</v>
      </c>
      <c r="AD1263" s="196">
        <f>IF($B$1262="Лікар-педіатр","x",IF($B$1262="Лікар-терапевт",AD1265*AG1263,IF($B$1262="Лікар загальної практики - сімейний лікар",AD1265*AG1263,0)))</f>
        <v>0</v>
      </c>
      <c r="AE1263" s="196">
        <f>IF($B$1262="Лікар-педіатр","x",IF($B$1262="Лікар-терапевт",AE1265*AG1263,IF($B$1262="Лікар загальної практики - сімейний лікар",AE1265*AG1263,0)))</f>
        <v>0</v>
      </c>
      <c r="AF1263" s="196">
        <f>IF($B$1262="Лікар-педіатр","x",IF($B$1262="Лікар-терапевт",AF1265*AG1263,IF($B$1262="Лікар загальної практики - сімейний лікар",AF1265*AG1263,0)))</f>
        <v>0</v>
      </c>
      <c r="AG1263" s="558"/>
      <c r="AH1263" s="930"/>
      <c r="AI1263" s="198"/>
      <c r="AJ1263" s="933"/>
      <c r="AK1263" s="927"/>
      <c r="AL1263" s="927"/>
      <c r="AM1263" s="902"/>
      <c r="AN1263" s="924"/>
      <c r="AO1263" s="924"/>
      <c r="AP1263" s="924"/>
      <c r="AQ1263" s="924"/>
      <c r="AR1263" s="915"/>
    </row>
    <row r="1264" spans="1:44" s="90" customFormat="1" ht="31.15" hidden="1" customHeight="1">
      <c r="A1264" s="240"/>
      <c r="B1264" s="893"/>
      <c r="C1264" s="896"/>
      <c r="D1264" s="912"/>
      <c r="E1264" s="909"/>
      <c r="F1264" s="241" t="s">
        <v>584</v>
      </c>
      <c r="G1264" s="199">
        <f>IF(B1262="Лікар загальної практики - сімейний лікар"," ",IF(B1262="Лікар-педіатр"," ",IF(B1262="Лікар-терапевт","х",0)))</f>
        <v>0</v>
      </c>
      <c r="H1264" s="199">
        <f>IF(B1262="Лікар загальної практики - сімейний лікар"," ",IF(B1262="Лікар-педіатр"," ",IF(B1262="Лікар-терапевт","х",0)))</f>
        <v>0</v>
      </c>
      <c r="I1264" s="199">
        <f>IF(B1262="Лікар загальної практики - сімейний лікар"," ",IF(B1262="Лікар-педіатр","х",IF(B1262="Лікар-терапевт"," ",0)))</f>
        <v>0</v>
      </c>
      <c r="J1264" s="199">
        <f>IF(B1262="Лікар загальної практики - сімейний лікар"," ",IF(B1262="Лікар-педіатр","х",IF(B1262="Лікар-терапевт"," ",0)))</f>
        <v>0</v>
      </c>
      <c r="K1264" s="199">
        <f>IF(B1262="Лікар загальної практики - сімейний лікар"," ",IF(B1262="Лікар-педіатр","х",IF(B1262="Лікар-терапевт"," ",0)))</f>
        <v>0</v>
      </c>
      <c r="L1264" s="200">
        <f>SUM(G1264:K1264)</f>
        <v>0</v>
      </c>
      <c r="M1264" s="930"/>
      <c r="N1264" s="199">
        <f>IF(B1262="Лікар загальної практики - сімейний лікар"," ",IF(B1262="Лікар-педіатр"," ",IF(B1262="Лікар-терапевт","х",0)))</f>
        <v>0</v>
      </c>
      <c r="O1264" s="199">
        <f>IF(B1262="Лікар загальної практики - сімейний лікар"," ",IF(B1262="Лікар-педіатр"," ",IF(B1262="Лікар-терапевт","х",0)))</f>
        <v>0</v>
      </c>
      <c r="P1264" s="199">
        <f>IF(B1262="Лікар загальної практики - сімейний лікар"," ",IF(B1262="Лікар-педіатр","х",IF(B1262="Лікар-терапевт"," ",0)))</f>
        <v>0</v>
      </c>
      <c r="Q1264" s="199">
        <f>IF(B1262="Лікар загальної практики - сімейний лікар"," ",IF(B1262="Лікар-педіатр","х",IF(B1262="Лікар-терапевт"," ",0)))</f>
        <v>0</v>
      </c>
      <c r="R1264" s="199">
        <f>IF(B1262="Лікар загальної практики - сімейний лікар"," ",IF(B1262="Лікар-педіатр","х",IF(B1262="Лікар-терапевт"," ",0)))</f>
        <v>0</v>
      </c>
      <c r="S1264" s="200">
        <f>SUM(N1264:R1264)</f>
        <v>0</v>
      </c>
      <c r="T1264" s="930"/>
      <c r="U1264" s="199">
        <f>IF(B1262="Лікар загальної практики - сімейний лікар"," ",IF(B1262="Лікар-педіатр"," ",IF(B1262="Лікар-терапевт","х",0)))</f>
        <v>0</v>
      </c>
      <c r="V1264" s="199">
        <f>IF(B1262="Лікар загальної практики - сімейний лікар"," ",IF(B1262="Лікар-педіатр"," ",IF(B1262="Лікар-терапевт","х",0)))</f>
        <v>0</v>
      </c>
      <c r="W1264" s="199">
        <f>IF(B1262="Лікар загальної практики - сімейний лікар"," ",IF(B1262="Лікар-педіатр","х",IF(B1262="Лікар-терапевт"," ",0)))</f>
        <v>0</v>
      </c>
      <c r="X1264" s="199">
        <f>IF(B1262="Лікар загальної практики - сімейний лікар"," ",IF(B1262="Лікар-педіатр","х",IF(B1262="Лікар-терапевт"," ",0)))</f>
        <v>0</v>
      </c>
      <c r="Y1264" s="199">
        <f>IF(B1262="Лікар загальної практики - сімейний лікар"," ",IF(B1262="Лікар-педіатр","х",IF(B1262="Лікар-терапевт"," ",0)))</f>
        <v>0</v>
      </c>
      <c r="Z1264" s="200">
        <f>SUM(U1264:Y1264)</f>
        <v>0</v>
      </c>
      <c r="AA1264" s="930"/>
      <c r="AB1264" s="199">
        <f>IF(B1262="Лікар загальної практики - сімейний лікар"," ",IF(B1262="Лікар-педіатр"," ",IF(B1262="Лікар-терапевт","х",0)))</f>
        <v>0</v>
      </c>
      <c r="AC1264" s="199">
        <f>IF(B1262="Лікар загальної практики - сімейний лікар"," ",IF(B1262="Лікар-педіатр"," ",IF(B1262="Лікар-терапевт","х",0)))</f>
        <v>0</v>
      </c>
      <c r="AD1264" s="199">
        <f>IF(B1262="Лікар загальної практики - сімейний лікар"," ",IF(B1262="Лікар-педіатр","х",IF(B1262="Лікар-терапевт"," ",0)))</f>
        <v>0</v>
      </c>
      <c r="AE1264" s="199">
        <f>IF(B1262="Лікар загальної практики - сімейний лікар"," ",IF(B1262="Лікар-педіатр","х",IF(B1262="Лікар-терапевт"," ",0)))</f>
        <v>0</v>
      </c>
      <c r="AF1264" s="199">
        <f>IF(B1262="Лікар загальної практики - сімейний лікар"," ",IF(B1262="Лікар-педіатр","х",IF(B1262="Лікар-терапевт"," ",0)))</f>
        <v>0</v>
      </c>
      <c r="AG1264" s="200">
        <f>SUM(AB1264:AF1264)</f>
        <v>0</v>
      </c>
      <c r="AH1264" s="930"/>
      <c r="AI1264" s="242"/>
      <c r="AJ1264" s="933"/>
      <c r="AK1264" s="927"/>
      <c r="AL1264" s="927"/>
      <c r="AM1264" s="902"/>
      <c r="AN1264" s="924"/>
      <c r="AO1264" s="924"/>
      <c r="AP1264" s="924"/>
      <c r="AQ1264" s="924"/>
      <c r="AR1264" s="915"/>
    </row>
    <row r="1265" spans="1:44" s="50" customFormat="1" ht="31.9" hidden="1" customHeight="1" thickBot="1">
      <c r="A1265" s="197"/>
      <c r="B1265" s="893"/>
      <c r="C1265" s="896"/>
      <c r="D1265" s="912"/>
      <c r="E1265" s="909"/>
      <c r="F1265" s="236" t="s">
        <v>349</v>
      </c>
      <c r="G1265" s="203">
        <f>IF($B$1262="Лікар-педіатр",G1264/L1264,IF($B$1262="Лікар-терапевт","х",IF($B$1262="Лікар загальної практики - сімейний лікар",G1264/L1264,0)))</f>
        <v>0</v>
      </c>
      <c r="H1265" s="203">
        <f>IF($B$1262="Лікар-педіатр",H1264/L1264,IF($B$1262="Лікар-терапевт","х",IF($B$1262="Лікар загальної практики - сімейний лікар",H1264/L1264,0)))</f>
        <v>0</v>
      </c>
      <c r="I1265" s="203">
        <f>IF($B$1262="Лікар-педіатр","x",IF($B$1262="Лікар-терапевт",I1264/L1264,IF($B$1262="Лікар загальної практики - сімейний лікар",I1264/L1264,0)))</f>
        <v>0</v>
      </c>
      <c r="J1265" s="203">
        <f>IF($B$1262="Лікар-педіатр","x",IF($B$1262="Лікар-терапевт",J1264/L1264,IF($B$1262="Лікар загальної практики - сімейний лікар",J1264/L1264,0)))</f>
        <v>0</v>
      </c>
      <c r="K1265" s="203">
        <f>IF($B$1262="Лікар-педіатр","x",IF($B$1262="Лікар-терапевт",K1264/L1264,IF($B$1262="Лікар загальної практики - сімейний лікар",K1264/L1264,0)))</f>
        <v>0</v>
      </c>
      <c r="L1265" s="203">
        <f>SUM(G1265:K1265)</f>
        <v>0</v>
      </c>
      <c r="M1265" s="930"/>
      <c r="N1265" s="203">
        <f>IF($B$1262="Лікар-педіатр",N1264/S1264,IF($B$1262="Лікар-терапевт","х",IF($B$1262="Лікар загальної практики - сімейний лікар",N1264/S1264,0)))</f>
        <v>0</v>
      </c>
      <c r="O1265" s="203">
        <f>IF($B$1262="Лікар-педіатр",O1264/S1264,IF($B$1262="Лікар-терапевт","х",IF($B$1262="Лікар загальної практики - сімейний лікар",O1264/S1264,0)))</f>
        <v>0</v>
      </c>
      <c r="P1265" s="203">
        <f>IF($B$1262="Лікар-педіатр","x",IF($B$1262="Лікар-терапевт",P1264/S1264,IF($B$1262="Лікар загальної практики - сімейний лікар",P1264/S1264,0)))</f>
        <v>0</v>
      </c>
      <c r="Q1265" s="203">
        <f>IF($B$1262="Лікар-педіатр","x",IF($B$1262="Лікар-терапевт",Q1264/S1264,IF($B$1262="Лікар загальної практики - сімейний лікар",Q1264/S1264,0)))</f>
        <v>0</v>
      </c>
      <c r="R1265" s="203">
        <f>IF($B$1262="Лікар-педіатр","x",IF($B$1262="Лікар-терапевт",R1264/S1264,IF($B$1262="Лікар загальної практики - сімейний лікар",R1264/S1264,0)))</f>
        <v>0</v>
      </c>
      <c r="S1265" s="203">
        <f>SUM(N1265:R1265)</f>
        <v>0</v>
      </c>
      <c r="T1265" s="930"/>
      <c r="U1265" s="203">
        <f>IF($B$1262="Лікар-педіатр",U1264/Z1264,IF($B$1262="Лікар-терапевт","х",IF($B$1262="Лікар загальної практики - сімейний лікар",U1264/Z1264,0)))</f>
        <v>0</v>
      </c>
      <c r="V1265" s="203">
        <f>IF($B$1262="Лікар-педіатр",V1264/Z1264,IF($B$1262="Лікар-терапевт","х",IF($B$1262="Лікар загальної практики - сімейний лікар",V1264/Z1264,0)))</f>
        <v>0</v>
      </c>
      <c r="W1265" s="203">
        <f>IF($B$1262="Лікар-педіатр","x",IF($B$1262="Лікар-терапевт",W1264/Z1264,IF($B$1262="Лікар загальної практики - сімейний лікар",W1264/Z1264,0)))</f>
        <v>0</v>
      </c>
      <c r="X1265" s="203">
        <f>IF($B$1262="Лікар-педіатр","x",IF($B$1262="Лікар-терапевт",X1264/Z1264,IF($B$1262="Лікар загальної практики - сімейний лікар",X1264/Z1264,0)))</f>
        <v>0</v>
      </c>
      <c r="Y1265" s="203">
        <f>IF($B$1262="Лікар-педіатр","x",IF($B$1262="Лікар-терапевт",Y1264/Z1264,IF($B$1262="Лікар загальної практики - сімейний лікар",Y1264/Z1264,0)))</f>
        <v>0</v>
      </c>
      <c r="Z1265" s="203">
        <f>SUM(U1265:Y1265)</f>
        <v>0</v>
      </c>
      <c r="AA1265" s="930"/>
      <c r="AB1265" s="203">
        <f>IF($B$1262="Лікар-педіатр",AB1264/AG1264,IF($B$1262="Лікар-терапевт","х",IF($B$1262="Лікар загальної практики - сімейний лікар",AB1264/AG1264,0)))</f>
        <v>0</v>
      </c>
      <c r="AC1265" s="203">
        <f>IF($B$1262="Лікар-педіатр",AC1264/AG1264,IF($B$1262="Лікар-терапевт","х",IF($B$1262="Лікар загальної практики - сімейний лікар",AC1264/AG1264,0)))</f>
        <v>0</v>
      </c>
      <c r="AD1265" s="203">
        <f>IF($B$1262="Лікар-педіатр","x",IF($B$1262="Лікар-терапевт",AD1264/AG1264,IF($B$1262="Лікар загальної практики - сімейний лікар",AD1264/AG1264,0)))</f>
        <v>0</v>
      </c>
      <c r="AE1265" s="203">
        <f>IF($B$1262="Лікар-педіатр","x",IF($B$1262="Лікар-терапевт",AE1264/AG1264,IF($B$1262="Лікар загальної практики - сімейний лікар",AE1264/AG1264,0)))</f>
        <v>0</v>
      </c>
      <c r="AF1265" s="203">
        <f>IF($B$1262="Лікар-педіатр","x",IF($B$1262="Лікар-терапевт",AF1264/AG1264,IF($B$1262="Лікар загальної практики - сімейний лікар",AF1264/AG1264,0)))</f>
        <v>0</v>
      </c>
      <c r="AG1265" s="203">
        <f>SUM(AB1265:AF1265)</f>
        <v>0</v>
      </c>
      <c r="AH1265" s="930"/>
      <c r="AI1265" s="201"/>
      <c r="AJ1265" s="933"/>
      <c r="AK1265" s="927"/>
      <c r="AL1265" s="927"/>
      <c r="AM1265" s="902"/>
      <c r="AN1265" s="924"/>
      <c r="AO1265" s="924"/>
      <c r="AP1265" s="924"/>
      <c r="AQ1265" s="924"/>
      <c r="AR1265" s="915"/>
    </row>
    <row r="1266" spans="1:44" s="50" customFormat="1" ht="45" hidden="1" customHeight="1" thickBot="1">
      <c r="A1266" s="197"/>
      <c r="B1266" s="893"/>
      <c r="C1266" s="896"/>
      <c r="D1266" s="912"/>
      <c r="E1266" s="909"/>
      <c r="F1266" s="204" t="s">
        <v>585</v>
      </c>
      <c r="G1266" s="205">
        <f>IF($B$1262="Лікар загальної практики - сімейний лікар",AVERAGE(G1262:G1264),IF($B$1262="Лікар-педіатр",AVERAGE(G1262:G1264),IF($B$1262="Лікар-терапевт","х",0)))</f>
        <v>0</v>
      </c>
      <c r="H1266" s="205">
        <f>IF($B$1262="Лікар загальної практики - сімейний лікар",AVERAGE(H1262:H1264),IF($B$1262="Лікар-педіатр",AVERAGE(H1262:H1264),IF($B$1262="Лікар-терапевт","х",0)))</f>
        <v>0</v>
      </c>
      <c r="I1266" s="205">
        <f>IF($B$1262="Лікар загальної практики - сімейний лікар",AVERAGE(I1262:I1264),IF($B$1262="Лікар-педіатр","x",IF($B$1262="Лікар-терапевт",AVERAGE(I1262:I1264),0)))</f>
        <v>0</v>
      </c>
      <c r="J1266" s="205">
        <f>IF($B$1262="Лікар загальної практики - сімейний лікар",AVERAGE(J1262:J1264),IF($B$1262="Лікар-педіатр","x",IF($B$1262="Лікар-терапевт",AVERAGE(J1262:J1264),0)))</f>
        <v>0</v>
      </c>
      <c r="K1266" s="205">
        <f>IF($B$1262="Лікар загальної практики - сімейний лікар",AVERAGE(K1262:K1264),IF($B$1262="Лікар-педіатр","x",IF($B$1262="Лікар-терапевт",AVERAGE(K1262:K1264),0)))</f>
        <v>0</v>
      </c>
      <c r="L1266" s="206">
        <f>SUM(G1266:K1266)</f>
        <v>0</v>
      </c>
      <c r="M1266" s="930"/>
      <c r="N1266" s="205">
        <f>IF($B$1262="Лікар загальної практики - сімейний лікар",AVERAGE(N1262:N1264),IF($B$1262="Лікар-педіатр",AVERAGE(N1262:N1264),IF($B$1262="Лікар-терапевт","х",0)))</f>
        <v>0</v>
      </c>
      <c r="O1266" s="205">
        <f>IF($B$1262="Лікар загальної практики - сімейний лікар",AVERAGE(O1262:O1264),IF($B$1262="Лікар-педіатр",AVERAGE(O1262:O1264),IF($B$1262="Лікар-терапевт","х",0)))</f>
        <v>0</v>
      </c>
      <c r="P1266" s="205">
        <f>IF($B$1262="Лікар загальної практики - сімейний лікар",AVERAGE(P1262:P1264),IF($B$1262="Лікар-педіатр","x",IF($B$1262="Лікар-терапевт",AVERAGE(P1262:P1264),0)))</f>
        <v>0</v>
      </c>
      <c r="Q1266" s="205">
        <f>IF($B$1262="Лікар загальної практики - сімейний лікар",AVERAGE(Q1262:Q1264),IF($B$1262="Лікар-педіатр","x",IF($B$1262="Лікар-терапевт",AVERAGE(Q1262:Q1264),0)))</f>
        <v>0</v>
      </c>
      <c r="R1266" s="205">
        <f>IF($B$1262="Лікар загальної практики - сімейний лікар",AVERAGE(R1262:R1264),IF($B$1262="Лікар-педіатр","x",IF($B$1262="Лікар-терапевт",AVERAGE(R1262:R1264),0)))</f>
        <v>0</v>
      </c>
      <c r="S1266" s="206">
        <f>SUM(N1266:R1266)</f>
        <v>0</v>
      </c>
      <c r="T1266" s="930"/>
      <c r="U1266" s="205">
        <f>IF($B$1262="Лікар загальної практики - сімейний лікар",AVERAGE(U1262:U1264),IF($B$1262="Лікар-педіатр",AVERAGE(U1262:U1264),IF($B$1262="Лікар-терапевт","х",0)))</f>
        <v>0</v>
      </c>
      <c r="V1266" s="205">
        <f>IF($B$1262="Лікар загальної практики - сімейний лікар",AVERAGE(V1262:V1264),IF($B$1262="Лікар-педіатр",AVERAGE(V1262:V1264),IF($B$1262="Лікар-терапевт","х",0)))</f>
        <v>0</v>
      </c>
      <c r="W1266" s="205">
        <f>IF($B$1262="Лікар загальної практики - сімейний лікар",AVERAGE(W1262:W1264),IF($B$1262="Лікар-педіатр","x",IF($B$1262="Лікар-терапевт",AVERAGE(W1262:W1264),0)))</f>
        <v>0</v>
      </c>
      <c r="X1266" s="205">
        <f>IF($B$1262="Лікар загальної практики - сімейний лікар",AVERAGE(X1262:X1264),IF($B$1262="Лікар-педіатр","x",IF($B$1262="Лікар-терапевт",AVERAGE(X1262:X1264),0)))</f>
        <v>0</v>
      </c>
      <c r="Y1266" s="205">
        <f>IF($B$1262="Лікар загальної практики - сімейний лікар",AVERAGE(Y1262:Y1264),IF($B$1262="Лікар-педіатр","x",IF($B$1262="Лікар-терапевт",AVERAGE(Y1262:Y1264),0)))</f>
        <v>0</v>
      </c>
      <c r="Z1266" s="206">
        <f>SUM(U1266:Y1266)</f>
        <v>0</v>
      </c>
      <c r="AA1266" s="930"/>
      <c r="AB1266" s="205">
        <f>IF($B$1262="Лікар загальної практики - сімейний лікар",AVERAGE(AB1262:AB1264),IF($B$1262="Лікар-педіатр",AVERAGE(AB1262:AB1264),IF($B$1262="Лікар-терапевт","х",0)))</f>
        <v>0</v>
      </c>
      <c r="AC1266" s="205">
        <f>IF($B$1262="Лікар загальної практики - сімейний лікар",AVERAGE(AC1262:AC1264),IF($B$1262="Лікар-педіатр",AVERAGE(AC1262:AC1264),IF($B$1262="Лікар-терапевт","х",0)))</f>
        <v>0</v>
      </c>
      <c r="AD1266" s="205">
        <f>IF($B$1262="Лікар загальної практики - сімейний лікар",AVERAGE(AD1262:AD1264),IF($B$1262="Лікар-педіатр","x",IF($B$1262="Лікар-терапевт",AVERAGE(AD1262:AD1264),0)))</f>
        <v>0</v>
      </c>
      <c r="AE1266" s="205">
        <f>IF($B$1262="Лікар загальної практики - сімейний лікар",AVERAGE(AE1262:AE1264),IF($B$1262="Лікар-педіатр","x",IF($B$1262="Лікар-терапевт",AVERAGE(AE1262:AE1264),0)))</f>
        <v>0</v>
      </c>
      <c r="AF1266" s="205">
        <f>IF($B$1262="Лікар загальної практики - сімейний лікар",AVERAGE(AF1262:AF1264),IF($B$1262="Лікар-педіатр","x",IF($B$1262="Лікар-терапевт",AVERAGE(AF1262:AF1264),0)))</f>
        <v>0</v>
      </c>
      <c r="AG1266" s="206">
        <f>SUM(AB1266:AF1266)</f>
        <v>0</v>
      </c>
      <c r="AH1266" s="930"/>
      <c r="AI1266" s="201"/>
      <c r="AJ1266" s="933"/>
      <c r="AK1266" s="927"/>
      <c r="AL1266" s="927"/>
      <c r="AM1266" s="903"/>
      <c r="AN1266" s="925"/>
      <c r="AO1266" s="925"/>
      <c r="AP1266" s="925"/>
      <c r="AQ1266" s="925"/>
      <c r="AR1266" s="916"/>
    </row>
    <row r="1267" spans="1:44" s="50" customFormat="1" ht="40.5" hidden="1">
      <c r="A1267" s="197"/>
      <c r="B1267" s="893"/>
      <c r="C1267" s="896"/>
      <c r="D1267" s="912"/>
      <c r="E1267" s="909"/>
      <c r="F1267" s="237" t="str">
        <f ca="1">IF(B1262="Лікар-педіатр",Законод!$C$17,IF(B1262="Лікар загальної практики - сімейний лікар",Законод!$C$21,IF(B1262="Лікар-терапевт",Законод!$C$25,"х")))</f>
        <v>х</v>
      </c>
      <c r="G1267" s="208">
        <f ca="1">IF($B$1262="Лікар загальної практики - сімейний лікар",IF(L1266&lt;=Законод!$C$22,G1266,Законод!$C$22*'01_Доходи'!G1265),IF($B$1262="Лікар-педіатр",IF(L1266&lt;=Законод!$C$18,G1266,Законод!$C$18*'01_Доходи'!G1265),IF($B$1262="Лікар-терапевт","x",0)))</f>
        <v>0</v>
      </c>
      <c r="H1267" s="208">
        <f ca="1">IF($B$1262="Лікар загальної практики - сімейний лікар",IF(L1266&lt;=Законод!$C$22,H1266,Законод!$C$22*'01_Доходи'!H1265),IF($B$1262="Лікар-педіатр",IF(L1266&lt;=Законод!$C$18,H1266,Законод!$C$18*'01_Доходи'!H1265),IF($B$1262="Лікар-терапевт","x",0)))</f>
        <v>0</v>
      </c>
      <c r="I1267" s="208">
        <f ca="1">IF($B$1262="Лікар загальної практики - сімейний лікар",IF(L1266&lt;=Законод!$C$22,I1266,Законод!$C$22*'01_Доходи'!I1265),IF($B$1262="Лікар-педіатр","x",IF($B$1262="Лікар-терапевт",IF(L1266&lt;=Законод!$C$26,I1266,Законод!$C$26*'01_Доходи'!I1265),0)))</f>
        <v>0</v>
      </c>
      <c r="J1267" s="208">
        <f ca="1">IF($B$1262="Лікар загальної практики - сімейний лікар",IF(L1266&lt;=Законод!$C$22,J1266,Законод!$C$22*'01_Доходи'!J1265),IF($B$1262="Лікар-педіатр","x",IF($B$1262="Лікар-терапевт",IF(L1266&lt;=Законод!$C$26,J1266,Законод!$C$26*'01_Доходи'!J1265),0)))</f>
        <v>0</v>
      </c>
      <c r="K1267" s="208">
        <f ca="1">IF($B$1262="Лікар загальної практики - сімейний лікар",IF(L1266&lt;=Законод!$C$22,K1266,Законод!$C$22*'01_Доходи'!K1265),IF($B$1262="Лікар-педіатр","x",IF($B$1262="Лікар-терапевт",IF(L1266&lt;=Законод!$C$26,K1266,Законод!$C$26*'01_Доходи'!K1265),0)))</f>
        <v>0</v>
      </c>
      <c r="L1267" s="209">
        <f ca="1">SUM(G1267:K1267)</f>
        <v>0</v>
      </c>
      <c r="M1267" s="930"/>
      <c r="N1267" s="208">
        <f ca="1">IF($B$1262="Лікар загальної практики - сімейний лікар",IF(S1266&lt;=Законод!$C$22,N1266,Законод!$C$22*'01_Доходи'!N1265),IF($B$1262="Лікар-педіатр",IF(S1266&lt;=Законод!$C$18,N1266,Законод!$C$18*'01_Доходи'!N1265),IF($B$1262="Лікар-терапевт","x",0)))</f>
        <v>0</v>
      </c>
      <c r="O1267" s="208">
        <f ca="1">IF($B$1262="Лікар загальної практики - сімейний лікар",IF(S1266&lt;=Законод!$C$22,O1266,Законод!$C$22*'01_Доходи'!O1265),IF($B$1262="Лікар-педіатр",IF(S1266&lt;=Законод!$C$18,O1266,Законод!$C$18*'01_Доходи'!O1265),IF($B$1262="Лікар-терапевт","x",0)))</f>
        <v>0</v>
      </c>
      <c r="P1267" s="208">
        <f ca="1">IF($B$1262="Лікар загальної практики - сімейний лікар",IF(S1266&lt;=Законод!$C$22,P1266,Законод!$C$22*'01_Доходи'!P1265),IF($B$1262="Лікар-педіатр","x",IF($B$1262="Лікар-терапевт",IF(S1266&lt;=Законод!$C$26,P1266,Законод!$C$26*'01_Доходи'!P1265),0)))</f>
        <v>0</v>
      </c>
      <c r="Q1267" s="208">
        <f ca="1">IF($B$1262="Лікар загальної практики - сімейний лікар",IF(S1266&lt;=Законод!$C$22,Q1266,Законод!$C$22*'01_Доходи'!Q1265),IF($B$1262="Лікар-педіатр","x",IF($B$1262="Лікар-терапевт",IF(S1266&lt;=Законод!$C$26,Q1266,Законод!$C$26*'01_Доходи'!Q1265),0)))</f>
        <v>0</v>
      </c>
      <c r="R1267" s="208">
        <f ca="1">IF($B$1262="Лікар загальної практики - сімейний лікар",IF(S1266&lt;=Законод!$C$22,R1266,Законод!$C$22*'01_Доходи'!R1265),IF($B$1262="Лікар-педіатр","x",IF($B$1262="Лікар-терапевт",IF(S1266&lt;=Законод!$C$26,R1266,Законод!$C$26*'01_Доходи'!R1265),0)))</f>
        <v>0</v>
      </c>
      <c r="S1267" s="209">
        <f ca="1">SUM(N1267:R1267)</f>
        <v>0</v>
      </c>
      <c r="T1267" s="930"/>
      <c r="U1267" s="208">
        <f ca="1">IF($B$1262="Лікар загальної практики - сімейний лікар",IF(Z1266&lt;=Законод!$C$22,U1266,Законод!$C$22*'01_Доходи'!U1265),IF($B$1262="Лікар-педіатр",IF(Z1266&lt;=Законод!$C$18,U1266,Законод!$C$18*'01_Доходи'!U1265),IF($B$1262="Лікар-терапевт","x",0)))</f>
        <v>0</v>
      </c>
      <c r="V1267" s="208">
        <f ca="1">IF($B$1262="Лікар загальної практики - сімейний лікар",IF(Z1266&lt;=Законод!$C$22,V1266,Законод!$C$22*'01_Доходи'!V1265),IF($B$1262="Лікар-педіатр",IF(Z1266&lt;=Законод!$C$18,V1266,Законод!$C$18*'01_Доходи'!V1265),IF($B$1262="Лікар-терапевт","x",0)))</f>
        <v>0</v>
      </c>
      <c r="W1267" s="208">
        <f ca="1">IF($B$1262="Лікар загальної практики - сімейний лікар",IF(Z1266&lt;=Законод!$C$22,W1266,Законод!$C$22*'01_Доходи'!W1265),IF($B$1262="Лікар-педіатр","x",IF($B$1262="Лікар-терапевт",IF(Z1266&lt;=Законод!$C$26,W1266,Законод!$C$26*'01_Доходи'!W1265),0)))</f>
        <v>0</v>
      </c>
      <c r="X1267" s="208">
        <f ca="1">IF($B$1262="Лікар загальної практики - сімейний лікар",IF(Z1266&lt;=Законод!$C$22,X1266,Законод!$C$22*'01_Доходи'!X1265),IF($B$1262="Лікар-педіатр","x",IF($B$1262="Лікар-терапевт",IF(Z1266&lt;=Законод!$C$26,X1266,Законод!$C$26*'01_Доходи'!X1265),0)))</f>
        <v>0</v>
      </c>
      <c r="Y1267" s="208">
        <f ca="1">IF($B$1262="Лікар загальної практики - сімейний лікар",IF(Z1266&lt;=Законод!$C$22,Y1266,Законод!$C$22*'01_Доходи'!Y1265),IF($B$1262="Лікар-педіатр","x",IF($B$1262="Лікар-терапевт",IF(Z1266&lt;=Законод!$C$26,Y1266,Законод!$C$26*'01_Доходи'!Y1265),0)))</f>
        <v>0</v>
      </c>
      <c r="Z1267" s="209">
        <f ca="1">SUM(U1267:Y1267)</f>
        <v>0</v>
      </c>
      <c r="AA1267" s="930"/>
      <c r="AB1267" s="208">
        <f ca="1">IF($B$1262="Лікар загальної практики - сімейний лікар",IF(AG1266&lt;=Законод!$C$22,AB1266,Законод!$C$22*'01_Доходи'!AB1265),IF($B$1262="Лікар-педіатр",IF(AG1266&lt;=Законод!$C$18,AB1266,Законод!$C$18*'01_Доходи'!AB1265),IF($B$1262="Лікар-терапевт","x",0)))</f>
        <v>0</v>
      </c>
      <c r="AC1267" s="208">
        <f ca="1">IF($B$1262="Лікар загальної практики - сімейний лікар",IF(AG1266&lt;=Законод!$C$22,AC1266,Законод!$C$22*'01_Доходи'!AC1265),IF($B$1262="Лікар-педіатр",IF(AG1266&lt;=Законод!$C$18,AC1266,Законод!$C$18*'01_Доходи'!AC1265),IF($B$1262="Лікар-терапевт","x",0)))</f>
        <v>0</v>
      </c>
      <c r="AD1267" s="208">
        <f ca="1">IF($B$1262="Лікар загальної практики - сімейний лікар",IF(AG1266&lt;=Законод!$C$22,AD1266,Законод!$C$22*'01_Доходи'!AD1265),IF($B$1262="Лікар-педіатр","x",IF($B$1262="Лікар-терапевт",IF(AG1266&lt;=Законод!$C$26,AD1266,Законод!$C$26*'01_Доходи'!AD1265),0)))</f>
        <v>0</v>
      </c>
      <c r="AE1267" s="208">
        <f ca="1">IF($B$1262="Лікар загальної практики - сімейний лікар",IF(AG1266&lt;=Законод!$C$22,AE1266,Законод!$C$22*'01_Доходи'!AE1265),IF($B$1262="Лікар-педіатр","x",IF($B$1262="Лікар-терапевт",IF(AG1266&lt;=Законод!$C$26,AE1266,Законод!$C$26*'01_Доходи'!AE1265),0)))</f>
        <v>0</v>
      </c>
      <c r="AF1267" s="208">
        <f ca="1">IF($B$1262="Лікар загальної практики - сімейний лікар",IF(AG1266&lt;=Законод!$C$22,AF1266,Законод!$C$22*'01_Доходи'!AF1265),IF($B$1262="Лікар-педіатр","x",IF($B$1262="Лікар-терапевт",IF(AG1266&lt;=Законод!$C$26,AF1266,Законод!$C$26*'01_Доходи'!AF1265),0)))</f>
        <v>0</v>
      </c>
      <c r="AG1267" s="209">
        <f ca="1">SUM(AB1267:AF1267)</f>
        <v>0</v>
      </c>
      <c r="AH1267" s="930"/>
      <c r="AI1267" s="201"/>
      <c r="AJ1267" s="933"/>
      <c r="AK1267" s="927"/>
      <c r="AL1267" s="927"/>
      <c r="AM1267" s="348" t="s">
        <v>374</v>
      </c>
      <c r="AN1267" s="210">
        <f ca="1">IF(B1262="Лікар загальної практики - сімейний лікар",G1267*Законод!$C$11+'01_Доходи'!H1267*Законод!$D$11+'01_Доходи'!I1267*Законод!$E$11+'01_Доходи'!J1267*Законод!$F$11+'01_Доходи'!K1267*Законод!$G$11,IF(B1262="Лікар-педіатр",G1267*Законод!$C$11+'01_Доходи'!H1267*Законод!$D$11,IF(B1262="Лікар-терапевт",'01_Доходи'!I1267*Законод!$E$11+'01_Доходи'!J1267*Законод!$F$11+'01_Доходи'!K1267*Законод!$G$11,0)))</f>
        <v>0</v>
      </c>
      <c r="AO1267" s="210">
        <f ca="1">IF(B1262="Лікар загальної практики - сімейний лікар",N1267*Законод!$C$11+'01_Доходи'!O1267*Законод!$D$11+'01_Доходи'!P1267*Законод!$E$11+'01_Доходи'!Q1267*Законод!$F$11+'01_Доходи'!R1267*Законод!$G$11,IF(B1262="Лікар-педіатр",N1267*Законод!$C$11+'01_Доходи'!O1267*Законод!$D$11,IF(B1262="Лікар-терапевт",'01_Доходи'!P1267*Законод!$E$11+'01_Доходи'!Q1267*Законод!$F$11+'01_Доходи'!R1267*Законод!$G$11,0)))</f>
        <v>0</v>
      </c>
      <c r="AP1267" s="210">
        <f ca="1">IF(B1262="Лікар загальної практики - сімейний лікар",U1267*Законод!$C$11+'01_Доходи'!V1267*Законод!$D$11+'01_Доходи'!W1267*Законод!$E$11+'01_Доходи'!X1267*Законод!$F$11+'01_Доходи'!Y1267*Законод!$G$11,IF(B1262="Лікар-педіатр",U1267*Законод!$C$11+'01_Доходи'!V1267*Законод!$D$11,IF(B1262="Лікар-терапевт",'01_Доходи'!W1267*Законод!$E$11+'01_Доходи'!X1267*Законод!$F$11+'01_Доходи'!Y1267*Законод!$G$11,0)))</f>
        <v>0</v>
      </c>
      <c r="AQ1267" s="210">
        <f ca="1">IF(B1262="Лікар загальної практики - сімейний лікар",AB1267*Законод!$C$11+'01_Доходи'!AC1267*Законод!$D$11+'01_Доходи'!AD1267*Законод!$E$11+'01_Доходи'!AE1267*Законод!$F$11+'01_Доходи'!AF1267*Законод!$G$11,IF(B1262="Лікар-педіатр",AB1267*Законод!$C$11+'01_Доходи'!AC1267*Законод!$D$11,IF(B1262="Лікар-терапевт",'01_Доходи'!AD1267*Законод!$E$11+'01_Доходи'!AE1267*Законод!$F$11+'01_Доходи'!AF1267*Законод!$G$11,0)))</f>
        <v>0</v>
      </c>
      <c r="AR1267" s="211">
        <f t="shared" ref="AR1267:AR1273" si="124">SUM(AN1267:AQ1267)</f>
        <v>0</v>
      </c>
    </row>
    <row r="1268" spans="1:44" s="50" customFormat="1" ht="31.9" hidden="1" customHeight="1">
      <c r="A1268" s="197"/>
      <c r="B1268" s="893"/>
      <c r="C1268" s="896"/>
      <c r="D1268" s="912"/>
      <c r="E1268" s="909"/>
      <c r="F1268" s="238" t="str">
        <f ca="1">IF(B1262="Лікар-педіатр",Законод!$E$17,IF(B1262="Лікар загальної практики - сімейний лікар",Законод!$E$21,IF(B1262="Лікар-терапевт",Законод!$E$25,"х")))</f>
        <v>х</v>
      </c>
      <c r="G1268" s="889" t="s">
        <v>346</v>
      </c>
      <c r="H1268" s="890"/>
      <c r="I1268" s="890"/>
      <c r="J1268" s="890"/>
      <c r="K1268" s="891"/>
      <c r="L1268" s="196">
        <f ca="1">IF($B$1262="Лікар загальної практики - сімейний лікар",IF(L1266&lt;Законод!$C$22,0,(IF(AND(L1266&gt;=Законод!$E$22,L1266&lt;=Законод!$E$23),L1266-Законод!$C$22,IF('01_Доходи'!L1266&gt;=Законод!$F$22,Законод!$E$24,0)))),IF($B$1262="Лікар-педіатр",IF(L1266&lt;Законод!$C$18,0,(IF(AND(L1266&gt;=Законод!$E$18,L1266&lt;=Законод!$E$19),L1266-Законод!$C$18,IF('01_Доходи'!L1266&gt;=Законод!$F$18,Законод!$E$20,0)))),IF($B$1262="Лікар-терапевт",IF(L1266&lt;Законод!$C$26,0,(IF(AND(L1266&gt;=Законод!$E$26,L1266&lt;=Законод!$E$27),L1266-Законод!$C$26,IF('01_Доходи'!L1266&gt;=Законод!$F$26,Законод!$E$28,0)))),0)))</f>
        <v>0</v>
      </c>
      <c r="M1268" s="930"/>
      <c r="N1268" s="889" t="s">
        <v>346</v>
      </c>
      <c r="O1268" s="890"/>
      <c r="P1268" s="890"/>
      <c r="Q1268" s="890"/>
      <c r="R1268" s="891"/>
      <c r="S1268" s="196">
        <f ca="1">IF($B$1262="Лікар загальної практики - сімейний лікар",IF(S1266&lt;Законод!$C$22,0,(IF(AND(S1266&gt;=Законод!$E$22,S1266&lt;=Законод!$E$23),S1266-Законод!$C$22,IF('01_Доходи'!S1266&gt;=Законод!$F$22,Законод!$E$24,0)))),IF($B$1262="Лікар-педіатр",IF(S1266&lt;Законод!$C$18,0,(IF(AND(S1266&gt;=Законод!$E$18,S1266&lt;=Законод!$E$19),S1266-Законод!$C$18,IF('01_Доходи'!S1266&gt;=Законод!$F$18,Законод!$E$20,0)))),IF($B$1262="Лікар-терапевт",IF(S1266&lt;Законод!$C$26,0,(IF(AND(S1266&gt;=Законод!$E$26,S1266&lt;=Законод!$E$27),S1266-Законод!$C$26,IF('01_Доходи'!S1266&gt;=Законод!$F$26,Законод!$E$28,0)))),0)))</f>
        <v>0</v>
      </c>
      <c r="T1268" s="930"/>
      <c r="U1268" s="889" t="s">
        <v>346</v>
      </c>
      <c r="V1268" s="890"/>
      <c r="W1268" s="890"/>
      <c r="X1268" s="890"/>
      <c r="Y1268" s="891"/>
      <c r="Z1268" s="196">
        <f ca="1">IF($B$1262="Лікар загальної практики - сімейний лікар",IF(Z1266&lt;Законод!$C$22,0,(IF(AND(Z1266&gt;=Законод!$E$22,Z1266&lt;=Законод!$E$23),Z1266-Законод!$C$22,IF('01_Доходи'!Z1266&gt;=Законод!$F$22,Законод!$E$24,0)))),IF($B$1262="Лікар-педіатр",IF(Z1266&lt;Законод!$C$18,0,(IF(AND(Z1266&gt;=Законод!$E$18,Z1266&lt;=Законод!$E$19),Z1266-Законод!$C$18,IF('01_Доходи'!Z1266&gt;=Законод!$F$18,Законод!$E$20,0)))),IF($B$1262="Лікар-терапевт",IF(Z1266&lt;Законод!$C$26,0,(IF(AND(Z1266&gt;=Законод!$E$26,Z1266&lt;=Законод!$E$27),Z1266-Законод!$C$26,IF('01_Доходи'!Z1266&gt;=Законод!$F$26,Законод!$E$28,0)))),0)))</f>
        <v>0</v>
      </c>
      <c r="AA1268" s="930"/>
      <c r="AB1268" s="889" t="s">
        <v>346</v>
      </c>
      <c r="AC1268" s="890"/>
      <c r="AD1268" s="890"/>
      <c r="AE1268" s="890"/>
      <c r="AF1268" s="891"/>
      <c r="AG1268" s="196">
        <f ca="1">IF($B$1262="Лікар загальної практики - сімейний лікар",IF(AG1266&lt;Законод!$C$22,0,(IF(AND(AG1266&gt;=Законод!$E$22,AG1266&lt;=Законод!$E$23),AG1266-Законод!$C$22,IF('01_Доходи'!AG1266&gt;=Законод!$F$22,Законод!$E$24,0)))),IF($B$1262="Лікар-педіатр",IF(AG1266&lt;Законод!$C$18,0,(IF(AND(AG1266&gt;=Законод!$E$18,AG1266&lt;=Законод!$E$19),AG1266-Законод!$C$18,IF('01_Доходи'!AG1266&gt;=Законод!$F$18,Законод!$E$20,0)))),IF($B$1262="Лікар-терапевт",IF(AG1266&lt;Законод!$C$26,0,(IF(AND(AG1266&gt;=Законод!$E$26,AG1266&lt;=Законод!$E$27),AG1266-Законод!$C$26,IF('01_Доходи'!AG1266&gt;=Законод!$F$26,Законод!$E$28,0)))),0)))</f>
        <v>0</v>
      </c>
      <c r="AH1268" s="930"/>
      <c r="AI1268" s="201"/>
      <c r="AJ1268" s="933"/>
      <c r="AK1268" s="927"/>
      <c r="AL1268" s="927"/>
      <c r="AM1268" s="898" t="s">
        <v>375</v>
      </c>
      <c r="AN1268" s="210">
        <f ca="1">IF(B1262="Лікар загальної практики - сімейний лікар",L1268*Законод!$C$9/4*Законод!$E$16,IF(B1262="Лікар-педіатр",L1268*Законод!$C$9/4*Законод!$E$16,IF(B1262="Лікар-терапевт",L1268*Законод!$C$9/4*Законод!$E$16,0)))</f>
        <v>0</v>
      </c>
      <c r="AO1268" s="210">
        <f ca="1">IF(B1262="Лікар загальної практики - сімейний лікар",S1268*Законод!$C$9/4*Законод!$E$16,IF(B1262="Лікар-педіатр",S1268*Законод!$C$9/4*Законод!$E$16,IF(B1262="Лікар-терапевт",S1268*Законод!$C$9/4*Законод!$E$16,0)))</f>
        <v>0</v>
      </c>
      <c r="AP1268" s="210">
        <f ca="1">IF(B1262="Лікар загальної практики - сімейний лікар",Z1268*Законод!$C$9/4*Законод!$E$16,IF(B1262="Лікар-педіатр",Z1268*Законод!$C$9/4*Законод!$E$16,IF(B1262="Лікар-терапевт",Z1268*Законод!$C$9/4*Законод!$E$16,0)))</f>
        <v>0</v>
      </c>
      <c r="AQ1268" s="210">
        <f ca="1">IF(B1262="Лікар загальної практики - сімейний лікар",AG1268*Законод!$C$9/4*Законод!$E$16,IF(B1262="Лікар-педіатр",AG1268*Законод!$C$9/4*Законод!$E$16,IF(B1262="Лікар-терапевт",AG1268*Законод!$C$9/4*Законод!$E$16,0)))</f>
        <v>0</v>
      </c>
      <c r="AR1268" s="211">
        <f t="shared" si="124"/>
        <v>0</v>
      </c>
    </row>
    <row r="1269" spans="1:44" s="50" customFormat="1" ht="31.9" hidden="1" customHeight="1">
      <c r="A1269" s="197"/>
      <c r="B1269" s="893"/>
      <c r="C1269" s="896"/>
      <c r="D1269" s="912"/>
      <c r="E1269" s="909"/>
      <c r="F1269" s="238" t="str">
        <f ca="1">IF(B1262="Лікар-педіатр",Законод!$F$17,IF(B1262="Лікар загальної практики - сімейний лікар",Законод!$F$21,IF(B1262="Лікар-терапевт",Законод!$F$25,"х")))</f>
        <v>х</v>
      </c>
      <c r="G1269" s="889" t="s">
        <v>346</v>
      </c>
      <c r="H1269" s="890"/>
      <c r="I1269" s="890"/>
      <c r="J1269" s="890"/>
      <c r="K1269" s="891"/>
      <c r="L1269" s="196">
        <f ca="1">IF($B$1262="Лікар загальної практики - сімейний лікар",IF(L1266&lt;Законод!$C$22,0,(IF(AND(L1266&gt;=Законод!$F$22,L1266&lt;=Законод!$F$23),L1266-Законод!$E$23,IF('01_Доходи'!L1266&gt;=Законод!$G$22,Законод!$F$24,0)))),IF($B$1262="Лікар-педіатр",IF(L1266&lt;Законод!$C$18,0,(IF(AND(L1266&gt;=Законод!$F$18,L1266&lt;=Законод!$F$19),L1266-Законод!$E$19,IF('01_Доходи'!L1266&gt;=Законод!$G$18,Законод!$F$20,0)))),IF($B$1262="Лікар-терапевт",IF(L1266&lt;Законод!$C$26,0,(IF(AND(L1266&gt;=Законод!$F$26,L1266&lt;=Законод!$F$27),L1266-Законод!$E$27,IF('01_Доходи'!L1266&gt;=Законод!$G$26,Законод!$F$28,0)))),0)))</f>
        <v>0</v>
      </c>
      <c r="M1269" s="930"/>
      <c r="N1269" s="889" t="s">
        <v>346</v>
      </c>
      <c r="O1269" s="890"/>
      <c r="P1269" s="890"/>
      <c r="Q1269" s="890"/>
      <c r="R1269" s="891"/>
      <c r="S1269" s="196">
        <f ca="1">IF($B$1262="Лікар загальної практики - сімейний лікар",IF(S1266&lt;Законод!$C$22,0,(IF(AND(S1266&gt;=Законод!$F$22,S1266&lt;=Законод!$F$23),S1266-Законод!$E$23,IF('01_Доходи'!S1266&gt;=Законод!$G$22,Законод!$F$24,0)))),IF($B$1262="Лікар-педіатр",IF(S1266&lt;Законод!$C$18,0,(IF(AND(S1266&gt;=Законод!$F$18,S1266&lt;=Законод!$F$19),S1266-Законод!$E$19,IF('01_Доходи'!S1266&gt;=Законод!$G$18,Законод!$F$20,0)))),IF($B$1262="Лікар-терапевт",IF(S1266&lt;Законод!$C$26,0,(IF(AND(S1266&gt;=Законод!$F$26,S1266&lt;=Законод!$F$27),S1266-Законод!$E$27,IF('01_Доходи'!S1266&gt;=Законод!$G$26,Законод!$F$28,0)))),0)))</f>
        <v>0</v>
      </c>
      <c r="T1269" s="930"/>
      <c r="U1269" s="889" t="s">
        <v>346</v>
      </c>
      <c r="V1269" s="890"/>
      <c r="W1269" s="890"/>
      <c r="X1269" s="890"/>
      <c r="Y1269" s="891"/>
      <c r="Z1269" s="196">
        <f ca="1">IF($B$1262="Лікар загальної практики - сімейний лікар",IF(Z1266&lt;Законод!$C$22,0,(IF(AND(Z1266&gt;=Законод!$F$22,Z1266&lt;=Законод!$F$23),Z1266-Законод!$E$23,IF('01_Доходи'!Z1266&gt;=Законод!$G$22,Законод!$F$24,0)))),IF($B$1262="Лікар-педіатр",IF(Z1266&lt;Законод!$C$18,0,(IF(AND(Z1266&gt;=Законод!$F$18,Z1266&lt;=Законод!$F$19),Z1266-Законод!$E$19,IF('01_Доходи'!Z1266&gt;=Законод!$G$18,Законод!$F$20,0)))),IF($B$1262="Лікар-терапевт",IF(Z1266&lt;Законод!$C$26,0,(IF(AND(Z1266&gt;=Законод!$F$26,Z1266&lt;=Законод!$F$27),Z1266-Законод!$E$27,IF('01_Доходи'!Z1266&gt;=Законод!$G$26,Законод!$F$28,0)))),0)))</f>
        <v>0</v>
      </c>
      <c r="AA1269" s="930"/>
      <c r="AB1269" s="889" t="s">
        <v>346</v>
      </c>
      <c r="AC1269" s="890"/>
      <c r="AD1269" s="890"/>
      <c r="AE1269" s="890"/>
      <c r="AF1269" s="891"/>
      <c r="AG1269" s="196">
        <f ca="1">IF($B$1262="Лікар загальної практики - сімейний лікар",IF(AG1266&lt;Законод!$C$22,0,(IF(AND(AG1266&gt;=Законод!$F$22,AG1266&lt;=Законод!$F$23),AG1266-Законод!$E$23,IF('01_Доходи'!AG1266&gt;=Законод!$G$22,Законод!$F$24,0)))),IF($B$1262="Лікар-педіатр",IF(AG1266&lt;Законод!$C$18,0,(IF(AND(AG1266&gt;=Законод!$F$18,AG1266&lt;=Законод!$F$19),AG1266-Законод!$E$19,IF('01_Доходи'!AG1266&gt;=Законод!$G$18,Законод!$F$20,0)))),IF($B$1262="Лікар-терапевт",IF(AG1266&lt;Законод!$C$26,0,(IF(AND(AG1266&gt;=Законод!$F$26,AG1266&lt;=Законод!$F$27),AG1266-Законод!$E$27,IF('01_Доходи'!AG1266&gt;=Законод!$G$26,Законод!$F$28,0)))),0)))</f>
        <v>0</v>
      </c>
      <c r="AH1269" s="930"/>
      <c r="AI1269" s="201"/>
      <c r="AJ1269" s="933"/>
      <c r="AK1269" s="927"/>
      <c r="AL1269" s="927"/>
      <c r="AM1269" s="899"/>
      <c r="AN1269" s="210">
        <f ca="1">IF(B1262="Лікар загальної практики - сімейний лікар",L1269*Законод!$C$9/4*Законод!$F$16,IF(B1262="Лікар-педіатр",L1269*Законод!$C$9/4*Законод!$F$16,IF(B1262="Лікар-терапевт",L1269*Законод!$C$9/4*Законод!$F$16,0)))</f>
        <v>0</v>
      </c>
      <c r="AO1269" s="210">
        <f ca="1">IF(B1262="Лікар загальної практики - сімейний лікар",S1269*Законод!$C$9/4*Законод!$F$16,IF(B1262="Лікар-педіатр",S1269*Законод!$C$9/4*Законод!$F$16,IF(B1262="Лікар-терапевт",S1269*Законод!$C$9/4*Законод!$F$16,0)))</f>
        <v>0</v>
      </c>
      <c r="AP1269" s="210">
        <f ca="1">IF(B1262="Лікар загальної практики - сімейний лікар",Z1269*Законод!$C$9/4*Законод!$F$16,IF(B1262="Лікар-педіатр",Z1269*Законод!$C$9/4*Законод!$F$16,IF(B1262="Лікар-терапевт",Z1269*Законод!$C$9/4*Законод!$F$16,0)))</f>
        <v>0</v>
      </c>
      <c r="AQ1269" s="210">
        <f ca="1">IF(B1262="Лікар загальної практики - сімейний лікар",AG1269*Законод!$C$9/4*Законод!$F$16,IF(B1262="Лікар-педіатр",AG1269*Законод!$C$9/4*Законод!$F$16,IF(B1262="Лікар-терапевт",AG1269*Законод!$C$9/4*Законод!$F$16,0)))</f>
        <v>0</v>
      </c>
      <c r="AR1269" s="211">
        <f t="shared" si="124"/>
        <v>0</v>
      </c>
    </row>
    <row r="1270" spans="1:44" s="50" customFormat="1" ht="31.9" hidden="1" customHeight="1">
      <c r="A1270" s="197"/>
      <c r="B1270" s="893"/>
      <c r="C1270" s="896"/>
      <c r="D1270" s="912"/>
      <c r="E1270" s="909"/>
      <c r="F1270" s="238" t="str">
        <f ca="1">IF(B1262="Лікар-педіатр",Законод!$G$17,IF(B1262="Лікар загальної практики - сімейний лікар",Законод!$G$21,IF(B1262="Лікар-терапевт",Законод!$G$25,"х")))</f>
        <v>х</v>
      </c>
      <c r="G1270" s="889" t="s">
        <v>346</v>
      </c>
      <c r="H1270" s="890"/>
      <c r="I1270" s="890"/>
      <c r="J1270" s="890"/>
      <c r="K1270" s="891"/>
      <c r="L1270" s="196">
        <f ca="1">IF($B$1262="Лікар загальної практики - сімейний лікар",IF(L1266&lt;Законод!$C$22,0,(IF(AND(L1266&gt;=Законод!$G$22,L1266&lt;=Законод!$G$23),L1266-Законод!$F$23,IF('01_Доходи'!L1266&gt;=Законод!$H$22,Законод!$G$24,0)))),IF($B$1262="Лікар-педіатр",IF(L1266&lt;Законод!$C$18,0,(IF(AND(L1266&gt;=Законод!$G$18,L1266&lt;=Законод!$G$19),L1266-Законод!$F$19,IF('01_Доходи'!L1266&gt;=Законод!$H$18,Законод!$G$20,0)))),IF($B$1262="Лікар-терапевт",IF(L1266&lt;Законод!$C$26,0,(IF(AND(L1266&gt;=Законод!$G$26,L1266&lt;=Законод!$G$27),L1266-Законод!$F$27,IF('01_Доходи'!L1266&gt;=Законод!$H$26,Законод!$G$28,0)))),0)))</f>
        <v>0</v>
      </c>
      <c r="M1270" s="930"/>
      <c r="N1270" s="889" t="s">
        <v>346</v>
      </c>
      <c r="O1270" s="890"/>
      <c r="P1270" s="890"/>
      <c r="Q1270" s="890"/>
      <c r="R1270" s="891"/>
      <c r="S1270" s="196">
        <f ca="1">IF($B$1262="Лікар загальної практики - сімейний лікар",IF(S1266&lt;Законод!$C$22,0,(IF(AND(S1266&gt;=Законод!$G$22,S1266&lt;=Законод!$G$23),S1266-Законод!$F$23,IF('01_Доходи'!S1266&gt;=Законод!$H$22,Законод!$G$24,0)))),IF($B$1262="Лікар-педіатр",IF(S1266&lt;Законод!$C$18,0,(IF(AND(S1266&gt;=Законод!$G$18,S1266&lt;=Законод!$G$19),S1266-Законод!$F$19,IF('01_Доходи'!S1266&gt;=Законод!$H$18,Законод!$G$20,0)))),IF($B$1262="Лікар-терапевт",IF(S1266&lt;Законод!$C$26,0,(IF(AND(S1266&gt;=Законод!$G$26,S1266&lt;=Законод!$G$27),S1266-Законод!$F$27,IF('01_Доходи'!S1266&gt;=Законод!$H$26,Законод!$G$28,0)))),0)))</f>
        <v>0</v>
      </c>
      <c r="T1270" s="930"/>
      <c r="U1270" s="889" t="s">
        <v>346</v>
      </c>
      <c r="V1270" s="890"/>
      <c r="W1270" s="890"/>
      <c r="X1270" s="890"/>
      <c r="Y1270" s="891"/>
      <c r="Z1270" s="196">
        <f ca="1">IF($B$1262="Лікар загальної практики - сімейний лікар",IF(Z1266&lt;Законод!$C$22,0,(IF(AND(Z1266&gt;=Законод!$G$22,Z1266&lt;=Законод!$G$23),Z1266-Законод!$F$23,IF('01_Доходи'!Z1266&gt;=Законод!$H$22,Законод!$G$24,0)))),IF($B$1262="Лікар-педіатр",IF(Z1266&lt;Законод!$C$18,0,(IF(AND(Z1266&gt;=Законод!$G$18,Z1266&lt;=Законод!$G$19),Z1266-Законод!$F$19,IF('01_Доходи'!Z1266&gt;=Законод!$H$18,Законод!$G$20,0)))),IF($B$1262="Лікар-терапевт",IF(Z1266&lt;Законод!$C$26,0,(IF(AND(Z1266&gt;=Законод!$G$26,Z1266&lt;=Законод!$G$27),Z1266-Законод!$F$27,IF('01_Доходи'!Z1266&gt;=Законод!$H$26,Законод!$G$28,0)))),0)))</f>
        <v>0</v>
      </c>
      <c r="AA1270" s="930"/>
      <c r="AB1270" s="889" t="s">
        <v>346</v>
      </c>
      <c r="AC1270" s="890"/>
      <c r="AD1270" s="890"/>
      <c r="AE1270" s="890"/>
      <c r="AF1270" s="891"/>
      <c r="AG1270" s="196">
        <f ca="1">IF($B$1262="Лікар загальної практики - сімейний лікар",IF(AG1266&lt;Законод!$C$22,0,(IF(AND(AG1266&gt;=Законод!$G$22,AG1266&lt;=Законод!$G$23),AG1266-Законод!$F$23,IF('01_Доходи'!AG1266&gt;=Законод!$H$22,Законод!$G$24,0)))),IF($B$1262="Лікар-педіатр",IF(AG1266&lt;Законод!$C$18,0,(IF(AND(AG1266&gt;=Законод!$G$18,AG1266&lt;=Законод!$G$19),AG1266-Законод!$F$19,IF('01_Доходи'!AG1266&gt;=Законод!$H$18,Законод!$G$20,0)))),IF($B$1262="Лікар-терапевт",IF(AG1266&lt;Законод!$C$26,0,(IF(AND(AG1266&gt;=Законод!$G$26,AG1266&lt;=Законод!$G$27),AG1266-Законод!$F$27,IF('01_Доходи'!AG1266&gt;=Законод!$H$26,Законод!$G$28,0)))),0)))</f>
        <v>0</v>
      </c>
      <c r="AH1270" s="930"/>
      <c r="AI1270" s="201"/>
      <c r="AJ1270" s="933"/>
      <c r="AK1270" s="927"/>
      <c r="AL1270" s="927"/>
      <c r="AM1270" s="899"/>
      <c r="AN1270" s="210">
        <f ca="1">IF(B1262="Лікар загальної практики - сімейний лікар",L1270*Законод!$C$9/4*Законод!$G$16,IF(B1262="Лікар-педіатр",L1270*Законод!$C$9/4*Законод!$G$16,IF(B1262="Лікар-терапевт",L1270*Законод!$C$9/4*Законод!$G$16,0)))</f>
        <v>0</v>
      </c>
      <c r="AO1270" s="210">
        <f ca="1">IF(B1262="Лікар загальної практики - сімейний лікар",S1270*Законод!$C$9/4*Законод!$G$16,IF(B1262="Лікар-педіатр",S1270*Законод!$C$9/4*Законод!$G$16,IF(B1262="Лікар-терапевт",S1270*Законод!$C$9/4*Законод!$G$16,0)))</f>
        <v>0</v>
      </c>
      <c r="AP1270" s="210">
        <f ca="1">IF(B1262="Лікар загальної практики - сімейний лікар",Z1270*Законод!$C$9/4*Законод!$G$16,IF(B1262="Лікар-педіатр",Z1270*Законод!$C$9/4*Законод!$G$16,IF(B1262="Лікар-терапевт",Z1270*Законод!$C$9/4*Законод!$G$16,0)))</f>
        <v>0</v>
      </c>
      <c r="AQ1270" s="210">
        <f ca="1">IF(B1262="Лікар загальної практики - сімейний лікар",AG1270*Законод!$C$9/4*Законод!$G$16,IF(B1262="Лікар-педіатр",AG1270*Законод!$C$9/4*Законод!$G$16,IF(B1262="Лікар-терапевт",AG1270*Законод!$C$9/4*Законод!$G$16,0)))</f>
        <v>0</v>
      </c>
      <c r="AR1270" s="211">
        <f t="shared" si="124"/>
        <v>0</v>
      </c>
    </row>
    <row r="1271" spans="1:44" s="50" customFormat="1" ht="31.9" hidden="1" customHeight="1">
      <c r="A1271" s="197"/>
      <c r="B1271" s="893"/>
      <c r="C1271" s="896"/>
      <c r="D1271" s="912"/>
      <c r="E1271" s="909"/>
      <c r="F1271" s="238" t="str">
        <f ca="1">IF(B1262="Лікар-педіатр",Законод!$H$17,IF(B1262="Лікар загальної практики - сімейний лікар",Законод!$H$21,IF(B1262="Лікар-терапевт",Законод!$H$25,"х")))</f>
        <v>х</v>
      </c>
      <c r="G1271" s="889" t="s">
        <v>346</v>
      </c>
      <c r="H1271" s="890"/>
      <c r="I1271" s="890"/>
      <c r="J1271" s="890"/>
      <c r="K1271" s="891"/>
      <c r="L1271" s="196">
        <f ca="1">IF($B$1262="Лікар загальної практики - сімейний лікар",IF(L1266&lt;Законод!$C$22,0,(IF(AND(L1266&gt;=Законод!$H$22,L1266&lt;=Законод!$H$23),L1266-Законод!$G$23,IF('01_Доходи'!L1266&gt;=Законод!$I$22,Законод!$H$24,0)))),IF($B$1262="Лікар-педіатр",IF(L1266&lt;Законод!$C$18,0,(IF(AND(L1266&gt;=Законод!$H$18,L1266&lt;=Законод!$H$19),L1266-Законод!$G$19,IF('01_Доходи'!L1266&gt;=Законод!$I$18,Законод!$H$20,0)))),IF($B$1262="Лікар-терапевт",IF(L1266&lt;Законод!$C$26,0,(IF(AND(L1266&gt;=Законод!$H$26,L1266&lt;=Законод!$H$27),L1266-Законод!$G$27,IF(L1266&gt;=Законод!$I$26,Законод!$H$28,0)))),0)))</f>
        <v>0</v>
      </c>
      <c r="M1271" s="930"/>
      <c r="N1271" s="889" t="s">
        <v>346</v>
      </c>
      <c r="O1271" s="890"/>
      <c r="P1271" s="890"/>
      <c r="Q1271" s="890"/>
      <c r="R1271" s="891"/>
      <c r="S1271" s="196">
        <f ca="1">IF($B$1262="Лікар загальної практики - сімейний лікар",IF(S1266&lt;Законод!$C$22,0,(IF(AND(S1266&gt;=Законод!$H$22,S1266&lt;=Законод!$H$23),S1266-Законод!$G$23,IF('01_Доходи'!S1266&gt;=Законод!$I$22,Законод!$H$24,0)))),IF($B$1262="Лікар-педіатр",IF(S1266&lt;Законод!$C$18,0,(IF(AND(S1266&gt;=Законод!$H$18,S1266&lt;=Законод!$H$19),S1266-Законод!$G$19,IF('01_Доходи'!S1266&gt;=Законод!$I$18,Законод!$H$20,0)))),IF($B$1262="Лікар-терапевт",IF(S1266&lt;Законод!$C$26,0,(IF(AND(S1266&gt;=Законод!$H$26,S1266&lt;=Законод!$H$27),S1266-Законод!$G$27,IF(S1266&gt;=Законод!$I$26,Законод!$H$28,0)))),0)))</f>
        <v>0</v>
      </c>
      <c r="T1271" s="930"/>
      <c r="U1271" s="889" t="s">
        <v>346</v>
      </c>
      <c r="V1271" s="890"/>
      <c r="W1271" s="890"/>
      <c r="X1271" s="890"/>
      <c r="Y1271" s="891"/>
      <c r="Z1271" s="196">
        <f ca="1">IF($B$1262="Лікар загальної практики - сімейний лікар",IF(Z1266&lt;Законод!$C$22,0,(IF(AND(Z1266&gt;=Законод!$H$22,Z1266&lt;=Законод!$H$23),Z1266-Законод!$G$23,IF('01_Доходи'!Z1266&gt;=Законод!$I$22,Законод!$H$24,0)))),IF($B$1262="Лікар-педіатр",IF(Z1266&lt;Законод!$C$18,0,(IF(AND(Z1266&gt;=Законод!$H$18,Z1266&lt;=Законод!$H$19),Z1266-Законод!$G$19,IF('01_Доходи'!Z1266&gt;=Законод!$I$18,Законод!$H$20,0)))),IF($B$1262="Лікар-терапевт",IF(Z1266&lt;Законод!$C$26,0,(IF(AND(Z1266&gt;=Законод!$H$26,Z1266&lt;=Законод!$H$27),Z1266-Законод!$G$27,IF(Z1266&gt;=Законод!$I$26,Законод!$H$28,0)))),0)))</f>
        <v>0</v>
      </c>
      <c r="AA1271" s="930"/>
      <c r="AB1271" s="889" t="s">
        <v>346</v>
      </c>
      <c r="AC1271" s="890"/>
      <c r="AD1271" s="890"/>
      <c r="AE1271" s="890"/>
      <c r="AF1271" s="891"/>
      <c r="AG1271" s="196">
        <f ca="1">IF($B$1262="Лікар загальної практики - сімейний лікар",IF(AG1266&lt;Законод!$C$22,0,(IF(AND(AG1266&gt;=Законод!$H$22,AG1266&lt;=Законод!$H$23),AG1266-Законод!$G$23,IF('01_Доходи'!AG1266&gt;=Законод!$I$22,Законод!$H$24,0)))),IF($B$1262="Лікар-педіатр",IF(AG1266&lt;Законод!$C$18,0,(IF(AND(AG1266&gt;=Законод!$H$18,AG1266&lt;=Законод!$H$19),AG1266-Законод!$G$19,IF('01_Доходи'!AG1266&gt;=Законод!$I$18,Законод!$H$20,0)))),IF($B$1262="Лікар-терапевт",IF(AG1266&lt;Законод!$C$26,0,(IF(AND(AG1266&gt;=Законод!$H$26,AG1266&lt;=Законод!$H$27),AG1266-Законод!$G$27,IF(AG1266&gt;=Законод!$I$26,Законод!$H$28,0)))),0)))</f>
        <v>0</v>
      </c>
      <c r="AH1271" s="930"/>
      <c r="AI1271" s="201"/>
      <c r="AJ1271" s="933"/>
      <c r="AK1271" s="927"/>
      <c r="AL1271" s="927"/>
      <c r="AM1271" s="899"/>
      <c r="AN1271" s="210">
        <f ca="1">IF(B1262="Лікар загальної практики - сімейний лікар",L1271*Законод!$C$9/4*Законод!$H$16,IF(B1262="Лікар-педіатр",L1271*Законод!$C$9/4*Законод!$H$16,IF(B1262="Лікар-терапевт",L1271*Законод!$C$9/4*Законод!$H$16,0)))</f>
        <v>0</v>
      </c>
      <c r="AO1271" s="210">
        <f ca="1">IF(B1262="Лікар загальної практики - сімейний лікар",S1271*Законод!$C$9/4*Законод!$H$16,IF(B1262="Лікар-педіатр",S1271*Законод!$C$9/4*Законод!$H$16,IF(B1262="Лікар-терапевт",S1271*Законод!$C$9/4*Законод!$H$16,0)))</f>
        <v>0</v>
      </c>
      <c r="AP1271" s="210">
        <f ca="1">IF(B1262="Лікар загальної практики - сімейний лікар",Z1271*Законод!$C$9/4*Законод!$H$16,IF(B1262="Лікар-педіатр",Z1271*Законод!$C$9/4*Законод!$H$16,IF(B1262="Лікар-терапевт",Z1271*Законод!$C$9/4*Законод!$H$16,0)))</f>
        <v>0</v>
      </c>
      <c r="AQ1271" s="210">
        <f ca="1">IF(B1262="Лікар загальної практики - сімейний лікар",AG1271*Законод!$C$9/4*Законод!$H$16,IF(B1262="Лікар-педіатр",AG1271*Законод!$C$9/4*Законод!$H$16,IF(B1262="Лікар-терапевт",AG1271*Законод!$C$9/4*Законод!$H$16,0)))</f>
        <v>0</v>
      </c>
      <c r="AR1271" s="211">
        <f t="shared" si="124"/>
        <v>0</v>
      </c>
    </row>
    <row r="1272" spans="1:44" s="50" customFormat="1" ht="31.9" hidden="1" customHeight="1">
      <c r="A1272" s="197"/>
      <c r="B1272" s="893"/>
      <c r="C1272" s="896"/>
      <c r="D1272" s="912"/>
      <c r="E1272" s="909"/>
      <c r="F1272" s="238" t="str">
        <f ca="1">IF(B1262="Лікар-педіатр",Законод!$I$17,IF(B1262="Лікар загальної практики - сімейний лікар",Законод!$I$21,IF(B1262="Лікар-терапевт",Законод!$I$25,"х")))</f>
        <v>х</v>
      </c>
      <c r="G1272" s="889" t="s">
        <v>346</v>
      </c>
      <c r="H1272" s="890"/>
      <c r="I1272" s="890"/>
      <c r="J1272" s="890"/>
      <c r="K1272" s="891"/>
      <c r="L1272" s="196">
        <f ca="1">IF($B$1262="Лікар загальної практики - сімейний лікар",IF(L1266&lt;Законод!$C$22,0,(IF(AND(L1266&gt;=Законод!$I$22,L1266&lt;=Законод!$I$23),L1266-Законод!$H$23,IF('01_Доходи'!L1266&gt;=Законод!$I$22,Законод!$I$24,0)))),IF($B$1262="Лікар-педіатр",IF(L1266&lt;Законод!$C$18,0,(IF(AND(L1266&gt;=Законод!$I$18,L1266&lt;=Законод!$I$19),L1266-Законод!$H$19,IF('01_Доходи'!L1266&gt;=Законод!$I$18,Законод!$H$20,0)))),IF($B$1262="Лікар-терапевт",IF(L1266&lt;Законод!$C$26,0,(IF(AND(L1266&gt;=Законод!$I$26,L1266&lt;=Законод!$I$27),L1266-Законод!$H$27,IF('01_Доходи'!L1266&gt;=Законод!$I$26,Законод!$H$28,0)))),0)))</f>
        <v>0</v>
      </c>
      <c r="M1272" s="930"/>
      <c r="N1272" s="889" t="s">
        <v>346</v>
      </c>
      <c r="O1272" s="890"/>
      <c r="P1272" s="890"/>
      <c r="Q1272" s="890"/>
      <c r="R1272" s="891"/>
      <c r="S1272" s="196">
        <f ca="1">IF($B$1262="Лікар загальної практики - сімейний лікар",IF(S1266&lt;Законод!$C$22,0,(IF(AND(S1266&gt;=Законод!$I$22,S1266&lt;=Законод!$I$23),S1266-Законод!$H$23,IF('01_Доходи'!S1266&gt;=Законод!$I$22,Законод!$I$24,0)))),IF($B$1262="Лікар-педіатр",IF(S1266&lt;Законод!$C$18,0,(IF(AND(S1266&gt;=Законод!$I$18,S1266&lt;=Законод!$I$19),S1266-Законод!$H$19,IF('01_Доходи'!S1266&gt;=Законод!$I$18,Законод!$H$20,0)))),IF($B$1262="Лікар-терапевт",IF(S1266&lt;Законод!$C$26,0,(IF(AND(S1266&gt;=Законод!$I$26,S1266&lt;=Законод!$I$27),S1266-Законод!$H$27,IF('01_Доходи'!S1266&gt;=Законод!$I$26,Законод!$H$28,0)))),0)))</f>
        <v>0</v>
      </c>
      <c r="T1272" s="930"/>
      <c r="U1272" s="889" t="s">
        <v>346</v>
      </c>
      <c r="V1272" s="890"/>
      <c r="W1272" s="890"/>
      <c r="X1272" s="890"/>
      <c r="Y1272" s="891"/>
      <c r="Z1272" s="196">
        <f ca="1">IF($B$1262="Лікар загальної практики - сімейний лікар",IF(Z1266&lt;Законод!$C$22,0,(IF(AND(Z1266&gt;=Законод!$I$22,Z1266&lt;=Законод!$I$23),Z1266-Законод!$H$23,IF('01_Доходи'!Z1266&gt;=Законод!$I$22,Законод!$I$24,0)))),IF($B$1262="Лікар-педіатр",IF(Z1266&lt;Законод!$C$18,0,(IF(AND(Z1266&gt;=Законод!$I$18,Z1266&lt;=Законод!$I$19),Z1266-Законод!$H$19,IF('01_Доходи'!Z1266&gt;=Законод!$I$18,Законод!$H$20,0)))),IF($B$1262="Лікар-терапевт",IF(Z1266&lt;Законод!$C$26,0,(IF(AND(Z1266&gt;=Законод!$I$26,Z1266&lt;=Законод!$I$27),Z1266-Законод!$H$27,IF('01_Доходи'!Z1266&gt;=Законод!$I$26,Законод!$H$28,0)))),0)))</f>
        <v>0</v>
      </c>
      <c r="AA1272" s="930"/>
      <c r="AB1272" s="889" t="s">
        <v>346</v>
      </c>
      <c r="AC1272" s="890"/>
      <c r="AD1272" s="890"/>
      <c r="AE1272" s="890"/>
      <c r="AF1272" s="891"/>
      <c r="AG1272" s="196">
        <f ca="1">IF($B$1262="Лікар загальної практики - сімейний лікар",IF(AG1266&lt;Законод!$C$22,0,(IF(AND(AG1266&gt;=Законод!$I$22,AG1266&lt;=Законод!$I$23),AG1266-Законод!$H$23,IF('01_Доходи'!AG1266&gt;=Законод!$I$22,Законод!$I$24,0)))),IF($B$1262="Лікар-педіатр",IF(AG1266&lt;Законод!$C$18,0,(IF(AND(AG1266&gt;=Законод!$I$18,AG1266&lt;=Законод!$I$19),AG1266-Законод!$H$19,IF('01_Доходи'!AG1266&gt;=Законод!$I$18,Законод!$H$20,0)))),IF($B$1262="Лікар-терапевт",IF(AG1266&lt;Законод!$C$26,0,(IF(AND(AG1266&gt;=Законод!$I$26,AG1266&lt;=Законод!$I$27),AG1266-Законод!$H$27,IF('01_Доходи'!AG1266&gt;=Законод!$I$26,Законод!$H$28,0)))),0)))</f>
        <v>0</v>
      </c>
      <c r="AH1272" s="930"/>
      <c r="AI1272" s="201"/>
      <c r="AJ1272" s="933"/>
      <c r="AK1272" s="927"/>
      <c r="AL1272" s="927"/>
      <c r="AM1272" s="899"/>
      <c r="AN1272" s="210">
        <f ca="1">IF(B1262="Лікар загальної практики - сімейний лікар",L1272*Законод!$C$9/4*Законод!$I$16,IF(B1262="Лікар-педіатр",L1272*Законод!$C$9/4*Законод!$I$16,IF(B1262="Лікар-терапевт",L1272*Законод!$C$9/4*Законод!$I$16,0)))</f>
        <v>0</v>
      </c>
      <c r="AO1272" s="210">
        <f ca="1">IF(B1262="Лікар загальної практики - сімейний лікар",S1272*Законод!$C$9/4*Законод!$I$16,IF(B1262="Лікар-педіатр",S1272*Законод!$C$9/4*Законод!$I$16,IF(B1262="Лікар-терапевт",S1272*Законод!$C$9/4*Законод!$I$16,0)))</f>
        <v>0</v>
      </c>
      <c r="AP1272" s="210">
        <f ca="1">IF(B1262="Лікар загальної практики - сімейний лікар",Z1272*Законод!$C$9/4*Законод!$I$16,IF(B1262="Лікар-педіатр",Z1272*Законод!$C$9/4*Законод!$I$16,IF(B1262="Лікар-терапевт",Z1272*Законод!$C$9/4*Законод!$I$16,0)))</f>
        <v>0</v>
      </c>
      <c r="AQ1272" s="210">
        <f ca="1">IF(B1262="Лікар загальної практики - сімейний лікар",AG1272*Законод!$C$9/4*Законод!$I$16,IF(B1262="Лікар-педіатр",AG1272*Законод!$C$9/4*Законод!$I$16,IF(B1262="Лікар-терапевт",AG1272*Законод!$C$9/4*Законод!$I$16,0)))</f>
        <v>0</v>
      </c>
      <c r="AR1272" s="211">
        <f t="shared" si="124"/>
        <v>0</v>
      </c>
    </row>
    <row r="1273" spans="1:44" s="218" customFormat="1" ht="31.9" hidden="1" customHeight="1" thickBot="1">
      <c r="A1273" s="213"/>
      <c r="B1273" s="894"/>
      <c r="C1273" s="897"/>
      <c r="D1273" s="913"/>
      <c r="E1273" s="910"/>
      <c r="F1273" s="239" t="str">
        <f ca="1">IF(B1262="Лікар-педіатр",Законод!$J$17,IF(B1262="Лікар загальної практики - сімейний лікар",Законод!$J$21,IF(B1262="Лікар-терапевт",Законод!$J$25,"х")))</f>
        <v>х</v>
      </c>
      <c r="G1273" s="935" t="s">
        <v>346</v>
      </c>
      <c r="H1273" s="936"/>
      <c r="I1273" s="936"/>
      <c r="J1273" s="936"/>
      <c r="K1273" s="937"/>
      <c r="L1273" s="196">
        <f ca="1">IF($B$1262="Лікар загальної практики - сімейний лікар",IF(L1266&gt;=Законод!$J$22,'01_Доходи'!L1266-('01_Доходи'!L1267+'01_Доходи'!L1268+'01_Доходи'!L1269+'01_Доходи'!L1270+'01_Доходи'!L1271+'01_Доходи'!L1272),0),IF($B$1262="Лікар-педіатр",IF(L1266&gt;=Законод!$J$18,'01_Доходи'!L1266-('01_Доходи'!L1267+'01_Доходи'!L1268+'01_Доходи'!L1269+'01_Доходи'!L1270+'01_Доходи'!L1271+'01_Доходи'!L1272),0),IF($B$1262="Лікар-терапевт",IF('01_Доходи'!L1266&gt;=Законод!$J$26,L1266-Законод!$I$27,0),0)))</f>
        <v>0</v>
      </c>
      <c r="M1273" s="931"/>
      <c r="N1273" s="935" t="s">
        <v>346</v>
      </c>
      <c r="O1273" s="936"/>
      <c r="P1273" s="936"/>
      <c r="Q1273" s="936"/>
      <c r="R1273" s="937"/>
      <c r="S1273" s="196">
        <f ca="1">IF($B$1262="Лікар загальної практики - сімейний лікар",IF(S1266&gt;=Законод!$J$22,'01_Доходи'!S1266-('01_Доходи'!S1267+'01_Доходи'!S1268+'01_Доходи'!S1269+'01_Доходи'!S1270+'01_Доходи'!S1271+'01_Доходи'!S1272),0),IF($B$1262="Лікар-педіатр",IF(S1266&gt;=Законод!$J$18,'01_Доходи'!S1266-('01_Доходи'!S1267+'01_Доходи'!S1268+'01_Доходи'!S1269+'01_Доходи'!S1270+'01_Доходи'!S1271+'01_Доходи'!S1272),0),IF($B$1262="Лікар-терапевт",IF('01_Доходи'!S1266&gt;=Законод!$J$26,S1266-Законод!$I$27,0),0)))</f>
        <v>0</v>
      </c>
      <c r="T1273" s="931"/>
      <c r="U1273" s="935" t="s">
        <v>346</v>
      </c>
      <c r="V1273" s="936"/>
      <c r="W1273" s="936"/>
      <c r="X1273" s="936"/>
      <c r="Y1273" s="937"/>
      <c r="Z1273" s="196">
        <f ca="1">IF($B$1262="Лікар загальної практики - сімейний лікар",IF(Z1266&gt;=Законод!$J$22,'01_Доходи'!Z1266-('01_Доходи'!Z1267+'01_Доходи'!Z1268+'01_Доходи'!Z1269+'01_Доходи'!Z1270+'01_Доходи'!Z1271+'01_Доходи'!Z1272),0),IF($B$1262="Лікар-педіатр",IF(Z1266&gt;=Законод!$J$18,'01_Доходи'!Z1266-('01_Доходи'!Z1267+'01_Доходи'!Z1268+'01_Доходи'!Z1269+'01_Доходи'!Z1270+'01_Доходи'!Z1271+'01_Доходи'!Z1272),0),IF($B$1262="Лікар-терапевт",IF('01_Доходи'!Z1266&gt;=Законод!$J$26,Z1266-Законод!$I$27,0),0)))</f>
        <v>0</v>
      </c>
      <c r="AA1273" s="931"/>
      <c r="AB1273" s="935" t="s">
        <v>346</v>
      </c>
      <c r="AC1273" s="936"/>
      <c r="AD1273" s="936"/>
      <c r="AE1273" s="936"/>
      <c r="AF1273" s="937"/>
      <c r="AG1273" s="196">
        <f ca="1">IF($B$1262="Лікар загальної практики - сімейний лікар",IF(AG1266&gt;=Законод!$J$22,'01_Доходи'!AG1266-('01_Доходи'!AG1267+'01_Доходи'!AG1268+'01_Доходи'!AG1269+'01_Доходи'!AG1270+'01_Доходи'!AG1271+'01_Доходи'!AG1272),0),IF($B$1262="Лікар-педіатр",IF(AG1266&gt;=Законод!$J$18,'01_Доходи'!AG1266-('01_Доходи'!AG1267+'01_Доходи'!AG1268+'01_Доходи'!AG1269+'01_Доходи'!AG1270+'01_Доходи'!AG1271+'01_Доходи'!AG1272),0),IF($B$1262="Лікар-терапевт",IF('01_Доходи'!AG1266&gt;=Законод!$J$26,AG1266-Законод!$I$27,0),0)))</f>
        <v>0</v>
      </c>
      <c r="AH1273" s="931"/>
      <c r="AI1273" s="215"/>
      <c r="AJ1273" s="934"/>
      <c r="AK1273" s="928"/>
      <c r="AL1273" s="928"/>
      <c r="AM1273" s="900"/>
      <c r="AN1273" s="216">
        <f ca="1">IF(B1262="Лікар загальної практики - сімейний лікар",L1273*Законод!$C$9/4*Законод!$J$16,IF(B1262="Лікар-педіатр",L1273*Законод!$C$9/4*Законод!$J$16,IF(B1262="Лікар-терапевт",L1273*Законод!$C$9/4*Законод!$J$16,0)))</f>
        <v>0</v>
      </c>
      <c r="AO1273" s="216">
        <f ca="1">IF(B1262="Лікар загальної практики - сімейний лікар",S1273*Законод!$C$9/4*Законод!$J$16,IF(B1262="Лікар-педіатр",S1273*Законод!$C$9/4*Законод!$J$16,IF(B1262="Лікар-терапевт",S1273*Законод!$C$9/4*Законод!$J$16,0)))</f>
        <v>0</v>
      </c>
      <c r="AP1273" s="216">
        <f ca="1">IF(B1262="Лікар загальної практики - сімейний лікар",S1273*Законод!$C$9/4*Законод!$J$16,IF(B1262="Лікар-педіатр",S1273*Законод!$C$9/4*Законод!$J$16,IF(B1262="Лікар-терапевт",S1273*Законод!$C$9/4*Законод!$J$16,0)))</f>
        <v>0</v>
      </c>
      <c r="AQ1273" s="216">
        <f ca="1">IF(B1262="Лікар загальної практики - сімейний лікар",AG1273*Законод!$C$9/4*Законод!$J$16,IF(B1262="Лікар-педіатр",AG1273*Законод!$C$9/4*Законод!$J$16,IF(B1262="Лікар-терапевт",AG1273*Законод!$C$9/4*Законод!$J$16,0)))</f>
        <v>0</v>
      </c>
      <c r="AR1273" s="217">
        <f t="shared" si="124"/>
        <v>0</v>
      </c>
    </row>
    <row r="1274" spans="1:44" s="247" customFormat="1" ht="23.45" hidden="1" customHeight="1" thickBot="1">
      <c r="A1274" s="243"/>
      <c r="B1274" s="244"/>
      <c r="C1274" s="244"/>
      <c r="D1274" s="244"/>
      <c r="E1274" s="244"/>
      <c r="F1274" s="245"/>
      <c r="G1274" s="246"/>
      <c r="H1274" s="246"/>
      <c r="L1274" s="248"/>
      <c r="S1274" s="248"/>
      <c r="Z1274" s="248"/>
      <c r="AG1274" s="248"/>
      <c r="AM1274" s="249"/>
      <c r="AR1274" s="250"/>
    </row>
    <row r="1275" spans="1:44" s="191" customFormat="1" ht="24.6" hidden="1" customHeight="1">
      <c r="A1275" s="194">
        <f>A1262+1</f>
        <v>96</v>
      </c>
      <c r="B1275" s="892"/>
      <c r="C1275" s="895"/>
      <c r="D1275" s="911"/>
      <c r="E1275" s="908"/>
      <c r="F1275" s="234" t="s">
        <v>582</v>
      </c>
      <c r="G1275" s="196">
        <f>IF($B$1275="Лікар-педіатр",G1278*L1275,IF($B$1275="Лікар-терапевт","х",IF($B$1275="Лікар загальної практики - сімейний лікар",G1278*L1275,0)))</f>
        <v>0</v>
      </c>
      <c r="H1275" s="196">
        <f>IF($B$1275="Лікар-педіатр",H1278*L1275,IF($B$1275="Лікар-терапевт","х",IF($B$1275="Лікар загальної практики - сімейний лікар",H1278*L1275,0)))</f>
        <v>0</v>
      </c>
      <c r="I1275" s="196">
        <f>IF($B$1275="Лікар-педіатр","x",IF($B$1275="Лікар-терапевт",I1278*L1275,IF($B$1275="Лікар загальної практики - сімейний лікар",I1278*L1275,0)))</f>
        <v>0</v>
      </c>
      <c r="J1275" s="196">
        <f>IF($B$1275="Лікар-педіатр","x",IF($B$1275="Лікар-терапевт",J1278*L1275,IF($B$1275="Лікар загальної практики - сімейний лікар",J1278*L1275,0)))</f>
        <v>0</v>
      </c>
      <c r="K1275" s="196">
        <f>IF($B$1275="Лікар-педіатр","x",IF($B$1275="Лікар-терапевт",K1278*L1275,IF($B$1275="Лікар загальної практики - сімейний лікар",K1278*L1275,0)))</f>
        <v>0</v>
      </c>
      <c r="L1275" s="558"/>
      <c r="M1275" s="929"/>
      <c r="N1275" s="196">
        <f>IF($B$1275="Лікар-педіатр",N1278*S1275,IF($B$1275="Лікар-терапевт","х",IF($B$1275="Лікар загальної практики - сімейний лікар",N1278*S1275,0)))</f>
        <v>0</v>
      </c>
      <c r="O1275" s="196">
        <f>IF($B$1275="Лікар-педіатр",O1278*S1275,IF($B$1275="Лікар-терапевт","х",IF($B$1275="Лікар загальної практики - сімейний лікар",O1278*S1275,0)))</f>
        <v>0</v>
      </c>
      <c r="P1275" s="196">
        <f>IF($B$1275="Лікар-педіатр","x",IF($B$1275="Лікар-терапевт",P1278*S1275,IF($B$1275="Лікар загальної практики - сімейний лікар",P1278*S1275,0)))</f>
        <v>0</v>
      </c>
      <c r="Q1275" s="196">
        <f>IF($B$1275="Лікар-педіатр","x",IF($B$1275="Лікар-терапевт",Q1278*S1275,IF($B$1275="Лікар загальної практики - сімейний лікар",Q1278*S1275,0)))</f>
        <v>0</v>
      </c>
      <c r="R1275" s="196">
        <f>IF($B$1275="Лікар-педіатр","x",IF($B$1275="Лікар-терапевт",R1278*S1275,IF($B$1275="Лікар загальної практики - сімейний лікар",R1278*S1275,0)))</f>
        <v>0</v>
      </c>
      <c r="S1275" s="558"/>
      <c r="T1275" s="929"/>
      <c r="U1275" s="196">
        <f>IF($B$1275="Лікар-педіатр",U1278*Z1275,IF($B$1275="Лікар-терапевт","х",IF($B$1275="Лікар загальної практики - сімейний лікар",U1278*Z1275,0)))</f>
        <v>0</v>
      </c>
      <c r="V1275" s="196">
        <f>IF($B$1275="Лікар-педіатр",V1278*Z1275,IF($B$1275="Лікар-терапевт","х",IF($B$1275="Лікар загальної практики - сімейний лікар",V1278*Z1275,0)))</f>
        <v>0</v>
      </c>
      <c r="W1275" s="196">
        <f>IF($B$1275="Лікар-педіатр","x",IF($B$1275="Лікар-терапевт",W1278*Z1275,IF($B$1275="Лікар загальної практики - сімейний лікар",W1278*Z1275,0)))</f>
        <v>0</v>
      </c>
      <c r="X1275" s="196">
        <f>IF($B$1275="Лікар-педіатр","x",IF($B$1275="Лікар-терапевт",X1278*Z1275,IF($B$1275="Лікар загальної практики - сімейний лікар",X1278*Z1275,0)))</f>
        <v>0</v>
      </c>
      <c r="Y1275" s="196">
        <f>IF($B$1275="Лікар-педіатр","x",IF($B$1275="Лікар-терапевт",Y1278*Z1275,IF($B$1275="Лікар загальної практики - сімейний лікар",Y1278*Z1275,0)))</f>
        <v>0</v>
      </c>
      <c r="Z1275" s="558"/>
      <c r="AA1275" s="929"/>
      <c r="AB1275" s="196">
        <f>IF($B$1275="Лікар-педіатр",AB1278*AG1275,IF($B$1275="Лікар-терапевт","х",IF($B$1275="Лікар загальної практики - сімейний лікар",AB1278*AG1275,0)))</f>
        <v>0</v>
      </c>
      <c r="AC1275" s="196">
        <f>IF($B$1275="Лікар-педіатр",AC1278*AG1275,IF($B$1275="Лікар-терапевт","х",IF($B$1275="Лікар загальної практики - сімейний лікар",AC1278*AG1275,0)))</f>
        <v>0</v>
      </c>
      <c r="AD1275" s="196">
        <f>IF($B$1275="Лікар-педіатр","x",IF($B$1275="Лікар-терапевт",AD1278*AG1275,IF($B$1275="Лікар загальної практики - сімейний лікар",AD1278*AG1275,0)))</f>
        <v>0</v>
      </c>
      <c r="AE1275" s="196">
        <f>IF($B$1275="Лікар-педіатр","x",IF($B$1275="Лікар-терапевт",AE1278*AG1275,IF($B$1275="Лікар загальної практики - сімейний лікар",AE1278*AG1275,0)))</f>
        <v>0</v>
      </c>
      <c r="AF1275" s="196">
        <f>IF($B$1275="Лікар-педіатр","x",IF($B$1275="Лікар-терапевт",AF1278*AG1275,IF($B$1275="Лікар загальної практики - сімейний лікар",AF1278*AG1275,0)))</f>
        <v>0</v>
      </c>
      <c r="AG1275" s="558"/>
      <c r="AH1275" s="929"/>
      <c r="AI1275" s="541">
        <f>A1275</f>
        <v>96</v>
      </c>
      <c r="AJ1275" s="932">
        <f>B1275</f>
        <v>0</v>
      </c>
      <c r="AK1275" s="926">
        <f>C1275</f>
        <v>0</v>
      </c>
      <c r="AL1275" s="926">
        <f>D1275</f>
        <v>0</v>
      </c>
      <c r="AM1275" s="901" t="s">
        <v>785</v>
      </c>
      <c r="AN1275" s="923">
        <f>SUM(AN1280:AN1286)</f>
        <v>0</v>
      </c>
      <c r="AO1275" s="923">
        <f>SUM(AO1280:AO1286)</f>
        <v>0</v>
      </c>
      <c r="AP1275" s="923">
        <f>SUM(AP1280:AP1286)</f>
        <v>0</v>
      </c>
      <c r="AQ1275" s="923">
        <f>SUM(AQ1280:AQ1286)</f>
        <v>0</v>
      </c>
      <c r="AR1275" s="914">
        <f>SUM(AN1275:AQ1279)</f>
        <v>0</v>
      </c>
    </row>
    <row r="1276" spans="1:44" s="50" customFormat="1" ht="28.15" hidden="1" customHeight="1">
      <c r="A1276" s="197"/>
      <c r="B1276" s="893"/>
      <c r="C1276" s="896"/>
      <c r="D1276" s="912"/>
      <c r="E1276" s="909"/>
      <c r="F1276" s="234" t="s">
        <v>583</v>
      </c>
      <c r="G1276" s="196">
        <f>IF($B$1275="Лікар-педіатр",G1278*L1276,IF($B$1275="Лікар-терапевт","х",IF($B$1275="Лікар загальної практики - сімейний лікар",G1278*L1276,0)))</f>
        <v>0</v>
      </c>
      <c r="H1276" s="196">
        <f>IF($B$1275="Лікар-педіатр",H1278*L1276,IF($B$1275="Лікар-терапевт","х",IF($B$1275="Лікар загальної практики - сімейний лікар",H1278*L1276,0)))</f>
        <v>0</v>
      </c>
      <c r="I1276" s="196">
        <f>IF($B$1275="Лікар-педіатр","x",IF($B$1275="Лікар-терапевт",I1278*L1276,IF($B$1275="Лікар загальної практики - сімейний лікар",I1278*L1276,0)))</f>
        <v>0</v>
      </c>
      <c r="J1276" s="196">
        <f>IF($B$1275="Лікар-педіатр","x",IF($B$1275="Лікар-терапевт",J1278*L1276,IF($B$1275="Лікар загальної практики - сімейний лікар",J1278*L1276,0)))</f>
        <v>0</v>
      </c>
      <c r="K1276" s="196">
        <f>IF($B$1275="Лікар-педіатр","x",IF($B$1275="Лікар-терапевт",K1278*L1276,IF($B$1275="Лікар загальної практики - сімейний лікар",K1278*L1276,0)))</f>
        <v>0</v>
      </c>
      <c r="L1276" s="558"/>
      <c r="M1276" s="930"/>
      <c r="N1276" s="196">
        <f>IF($B$1275="Лікар-педіатр",N1278*S1276,IF($B$1275="Лікар-терапевт","х",IF($B$1275="Лікар загальної практики - сімейний лікар",N1278*S1276,0)))</f>
        <v>0</v>
      </c>
      <c r="O1276" s="196">
        <f>IF($B$1275="Лікар-педіатр",O1278*S1276,IF($B$1275="Лікар-терапевт","х",IF($B$1275="Лікар загальної практики - сімейний лікар",O1278*S1276,0)))</f>
        <v>0</v>
      </c>
      <c r="P1276" s="196">
        <f>IF($B$1275="Лікар-педіатр","x",IF($B$1275="Лікар-терапевт",P1278*S1276,IF($B$1275="Лікар загальної практики - сімейний лікар",P1278*S1276,0)))</f>
        <v>0</v>
      </c>
      <c r="Q1276" s="196">
        <f>IF($B$1275="Лікар-педіатр","x",IF($B$1275="Лікар-терапевт",Q1278*S1276,IF($B$1275="Лікар загальної практики - сімейний лікар",Q1278*S1276,0)))</f>
        <v>0</v>
      </c>
      <c r="R1276" s="196">
        <f>IF($B$1275="Лікар-педіатр","x",IF($B$1275="Лікар-терапевт",R1278*S1276,IF($B$1275="Лікар загальної практики - сімейний лікар",R1278*S1276,0)))</f>
        <v>0</v>
      </c>
      <c r="S1276" s="558"/>
      <c r="T1276" s="930"/>
      <c r="U1276" s="196">
        <f>IF($B$1275="Лікар-педіатр",U1278*Z1276,IF($B$1275="Лікар-терапевт","х",IF($B$1275="Лікар загальної практики - сімейний лікар",U1278*Z1276,0)))</f>
        <v>0</v>
      </c>
      <c r="V1276" s="196">
        <f>IF($B$1275="Лікар-педіатр",V1278*Z1276,IF($B$1275="Лікар-терапевт","х",IF($B$1275="Лікар загальної практики - сімейний лікар",V1278*Z1276,0)))</f>
        <v>0</v>
      </c>
      <c r="W1276" s="196">
        <f>IF($B$1275="Лікар-педіатр","x",IF($B$1275="Лікар-терапевт",W1278*Z1276,IF($B$1275="Лікар загальної практики - сімейний лікар",W1278*Z1276,0)))</f>
        <v>0</v>
      </c>
      <c r="X1276" s="196">
        <f>IF($B$1275="Лікар-педіатр","x",IF($B$1275="Лікар-терапевт",X1278*Z1276,IF($B$1275="Лікар загальної практики - сімейний лікар",X1278*Z1276,0)))</f>
        <v>0</v>
      </c>
      <c r="Y1276" s="196">
        <f>IF($B$1275="Лікар-педіатр","x",IF($B$1275="Лікар-терапевт",Y1278*Z1276,IF($B$1275="Лікар загальної практики - сімейний лікар",Y1278*Z1276,0)))</f>
        <v>0</v>
      </c>
      <c r="Z1276" s="558"/>
      <c r="AA1276" s="930"/>
      <c r="AB1276" s="196">
        <f>IF($B$1275="Лікар-педіатр",AB1278*AG1276,IF($B$1275="Лікар-терапевт","х",IF($B$1275="Лікар загальної практики - сімейний лікар",AB1278*AG1276,0)))</f>
        <v>0</v>
      </c>
      <c r="AC1276" s="196">
        <f>IF($B$1275="Лікар-педіатр",AC1278*AG1276,IF($B$1275="Лікар-терапевт","х",IF($B$1275="Лікар загальної практики - сімейний лікар",AC1278*AG1276,0)))</f>
        <v>0</v>
      </c>
      <c r="AD1276" s="196">
        <f>IF($B$1275="Лікар-педіатр","x",IF($B$1275="Лікар-терапевт",AD1278*AG1276,IF($B$1275="Лікар загальної практики - сімейний лікар",AD1278*AG1276,0)))</f>
        <v>0</v>
      </c>
      <c r="AE1276" s="196">
        <f>IF($B$1275="Лікар-педіатр","x",IF($B$1275="Лікар-терапевт",AE1278*AG1276,IF($B$1275="Лікар загальної практики - сімейний лікар",AE1278*AG1276,0)))</f>
        <v>0</v>
      </c>
      <c r="AF1276" s="196">
        <f>IF($B$1275="Лікар-педіатр","x",IF($B$1275="Лікар-терапевт",AF1278*AG1276,IF($B$1275="Лікар загальної практики - сімейний лікар",AF1278*AG1276,0)))</f>
        <v>0</v>
      </c>
      <c r="AG1276" s="558"/>
      <c r="AH1276" s="930"/>
      <c r="AI1276" s="198"/>
      <c r="AJ1276" s="933"/>
      <c r="AK1276" s="927"/>
      <c r="AL1276" s="927"/>
      <c r="AM1276" s="902"/>
      <c r="AN1276" s="924"/>
      <c r="AO1276" s="924"/>
      <c r="AP1276" s="924"/>
      <c r="AQ1276" s="924"/>
      <c r="AR1276" s="915"/>
    </row>
    <row r="1277" spans="1:44" s="90" customFormat="1" ht="31.15" hidden="1" customHeight="1">
      <c r="A1277" s="240"/>
      <c r="B1277" s="893"/>
      <c r="C1277" s="896"/>
      <c r="D1277" s="912"/>
      <c r="E1277" s="909"/>
      <c r="F1277" s="241" t="s">
        <v>584</v>
      </c>
      <c r="G1277" s="199">
        <f>IF(B1275="Лікар загальної практики - сімейний лікар"," ",IF(B1275="Лікар-педіатр"," ",IF(B1275="Лікар-терапевт","х",0)))</f>
        <v>0</v>
      </c>
      <c r="H1277" s="199">
        <f>IF(B1275="Лікар загальної практики - сімейний лікар"," ",IF(B1275="Лікар-педіатр"," ",IF(B1275="Лікар-терапевт","х",0)))</f>
        <v>0</v>
      </c>
      <c r="I1277" s="199">
        <f>IF(B1275="Лікар загальної практики - сімейний лікар"," ",IF(B1275="Лікар-педіатр","х",IF(B1275="Лікар-терапевт"," ",0)))</f>
        <v>0</v>
      </c>
      <c r="J1277" s="199">
        <f>IF(B1275="Лікар загальної практики - сімейний лікар"," ",IF(B1275="Лікар-педіатр","х",IF(B1275="Лікар-терапевт"," ",0)))</f>
        <v>0</v>
      </c>
      <c r="K1277" s="199">
        <f>IF(B1275="Лікар загальної практики - сімейний лікар"," ",IF(B1275="Лікар-педіатр","х",IF(B1275="Лікар-терапевт"," ",0)))</f>
        <v>0</v>
      </c>
      <c r="L1277" s="200">
        <f>SUM(G1277:K1277)</f>
        <v>0</v>
      </c>
      <c r="M1277" s="930"/>
      <c r="N1277" s="199">
        <f>IF(B1275="Лікар загальної практики - сімейний лікар"," ",IF(B1275="Лікар-педіатр"," ",IF(B1275="Лікар-терапевт","х",0)))</f>
        <v>0</v>
      </c>
      <c r="O1277" s="199">
        <f>IF(B1275="Лікар загальної практики - сімейний лікар"," ",IF(B1275="Лікар-педіатр"," ",IF(B1275="Лікар-терапевт","х",0)))</f>
        <v>0</v>
      </c>
      <c r="P1277" s="199">
        <f>IF(B1275="Лікар загальної практики - сімейний лікар"," ",IF(B1275="Лікар-педіатр","х",IF(B1275="Лікар-терапевт"," ",0)))</f>
        <v>0</v>
      </c>
      <c r="Q1277" s="199">
        <f>IF(B1275="Лікар загальної практики - сімейний лікар"," ",IF(B1275="Лікар-педіатр","х",IF(B1275="Лікар-терапевт"," ",0)))</f>
        <v>0</v>
      </c>
      <c r="R1277" s="199">
        <f>IF(B1275="Лікар загальної практики - сімейний лікар"," ",IF(B1275="Лікар-педіатр","х",IF(B1275="Лікар-терапевт"," ",0)))</f>
        <v>0</v>
      </c>
      <c r="S1277" s="200">
        <f>SUM(N1277:R1277)</f>
        <v>0</v>
      </c>
      <c r="T1277" s="930"/>
      <c r="U1277" s="199">
        <f>IF(B1275="Лікар загальної практики - сімейний лікар"," ",IF(B1275="Лікар-педіатр"," ",IF(B1275="Лікар-терапевт","х",0)))</f>
        <v>0</v>
      </c>
      <c r="V1277" s="199">
        <f>IF(B1275="Лікар загальної практики - сімейний лікар"," ",IF(B1275="Лікар-педіатр"," ",IF(B1275="Лікар-терапевт","х",0)))</f>
        <v>0</v>
      </c>
      <c r="W1277" s="199">
        <f>IF(B1275="Лікар загальної практики - сімейний лікар"," ",IF(B1275="Лікар-педіатр","х",IF(B1275="Лікар-терапевт"," ",0)))</f>
        <v>0</v>
      </c>
      <c r="X1277" s="199">
        <f>IF(B1275="Лікар загальної практики - сімейний лікар"," ",IF(B1275="Лікар-педіатр","х",IF(B1275="Лікар-терапевт"," ",0)))</f>
        <v>0</v>
      </c>
      <c r="Y1277" s="199">
        <f>IF(B1275="Лікар загальної практики - сімейний лікар"," ",IF(B1275="Лікар-педіатр","х",IF(B1275="Лікар-терапевт"," ",0)))</f>
        <v>0</v>
      </c>
      <c r="Z1277" s="200">
        <f>SUM(U1277:Y1277)</f>
        <v>0</v>
      </c>
      <c r="AA1277" s="930"/>
      <c r="AB1277" s="199">
        <f>IF(B1275="Лікар загальної практики - сімейний лікар"," ",IF(B1275="Лікар-педіатр"," ",IF(B1275="Лікар-терапевт","х",0)))</f>
        <v>0</v>
      </c>
      <c r="AC1277" s="199">
        <f>IF(B1275="Лікар загальної практики - сімейний лікар"," ",IF(B1275="Лікар-педіатр"," ",IF(B1275="Лікар-терапевт","х",0)))</f>
        <v>0</v>
      </c>
      <c r="AD1277" s="199">
        <f>IF(B1275="Лікар загальної практики - сімейний лікар"," ",IF(B1275="Лікар-педіатр","х",IF(B1275="Лікар-терапевт"," ",0)))</f>
        <v>0</v>
      </c>
      <c r="AE1277" s="199">
        <f>IF(B1275="Лікар загальної практики - сімейний лікар"," ",IF(B1275="Лікар-педіатр","х",IF(B1275="Лікар-терапевт"," ",0)))</f>
        <v>0</v>
      </c>
      <c r="AF1277" s="199">
        <f>IF(B1275="Лікар загальної практики - сімейний лікар"," ",IF(B1275="Лікар-педіатр","х",IF(B1275="Лікар-терапевт"," ",0)))</f>
        <v>0</v>
      </c>
      <c r="AG1277" s="200">
        <f>SUM(AB1277:AF1277)</f>
        <v>0</v>
      </c>
      <c r="AH1277" s="930"/>
      <c r="AI1277" s="242"/>
      <c r="AJ1277" s="933"/>
      <c r="AK1277" s="927"/>
      <c r="AL1277" s="927"/>
      <c r="AM1277" s="902"/>
      <c r="AN1277" s="924"/>
      <c r="AO1277" s="924"/>
      <c r="AP1277" s="924"/>
      <c r="AQ1277" s="924"/>
      <c r="AR1277" s="915"/>
    </row>
    <row r="1278" spans="1:44" s="50" customFormat="1" ht="31.9" hidden="1" customHeight="1" thickBot="1">
      <c r="A1278" s="197"/>
      <c r="B1278" s="893"/>
      <c r="C1278" s="896"/>
      <c r="D1278" s="912"/>
      <c r="E1278" s="909"/>
      <c r="F1278" s="236" t="s">
        <v>349</v>
      </c>
      <c r="G1278" s="203">
        <f>IF($B$1275="Лікар-педіатр",G1277/L1277,IF($B$1275="Лікар-терапевт","х",IF($B$1275="Лікар загальної практики - сімейний лікар",G1277/L1277,0)))</f>
        <v>0</v>
      </c>
      <c r="H1278" s="203">
        <f>IF($B$1275="Лікар-педіатр",H1277/L1277,IF($B$1275="Лікар-терапевт","х",IF($B$1275="Лікар загальної практики - сімейний лікар",H1277/L1277,0)))</f>
        <v>0</v>
      </c>
      <c r="I1278" s="203">
        <f>IF($B$1275="Лікар-педіатр","x",IF($B$1275="Лікар-терапевт",I1277/L1277,IF($B$1275="Лікар загальної практики - сімейний лікар",I1277/L1277,0)))</f>
        <v>0</v>
      </c>
      <c r="J1278" s="203">
        <f>IF($B$1275="Лікар-педіатр","x",IF($B$1275="Лікар-терапевт",J1277/L1277,IF($B$1275="Лікар загальної практики - сімейний лікар",J1277/L1277,0)))</f>
        <v>0</v>
      </c>
      <c r="K1278" s="203">
        <f>IF($B$1275="Лікар-педіатр","x",IF($B$1275="Лікар-терапевт",K1277/L1277,IF($B$1275="Лікар загальної практики - сімейний лікар",K1277/L1277,0)))</f>
        <v>0</v>
      </c>
      <c r="L1278" s="203">
        <f>SUM(G1278:K1278)</f>
        <v>0</v>
      </c>
      <c r="M1278" s="930"/>
      <c r="N1278" s="203">
        <f>IF($B$1275="Лікар-педіатр",N1277/S1277,IF($B$1275="Лікар-терапевт","х",IF($B$1275="Лікар загальної практики - сімейний лікар",N1277/S1277,0)))</f>
        <v>0</v>
      </c>
      <c r="O1278" s="203">
        <f>IF($B$1275="Лікар-педіатр",O1277/S1277,IF($B$1275="Лікар-терапевт","х",IF($B$1275="Лікар загальної практики - сімейний лікар",O1277/S1277,0)))</f>
        <v>0</v>
      </c>
      <c r="P1278" s="203">
        <f>IF($B$1275="Лікар-педіатр","x",IF($B$1275="Лікар-терапевт",P1277/S1277,IF($B$1275="Лікар загальної практики - сімейний лікар",P1277/S1277,0)))</f>
        <v>0</v>
      </c>
      <c r="Q1278" s="203">
        <f>IF($B$1275="Лікар-педіатр","x",IF($B$1275="Лікар-терапевт",Q1277/S1277,IF($B$1275="Лікар загальної практики - сімейний лікар",Q1277/S1277,0)))</f>
        <v>0</v>
      </c>
      <c r="R1278" s="203">
        <f>IF($B$1275="Лікар-педіатр","x",IF($B$1275="Лікар-терапевт",R1277/S1277,IF($B$1275="Лікар загальної практики - сімейний лікар",R1277/S1277,0)))</f>
        <v>0</v>
      </c>
      <c r="S1278" s="203">
        <f>SUM(N1278:R1278)</f>
        <v>0</v>
      </c>
      <c r="T1278" s="930"/>
      <c r="U1278" s="203">
        <f>IF($B$1275="Лікар-педіатр",U1277/Z1277,IF($B$1275="Лікар-терапевт","х",IF($B$1275="Лікар загальної практики - сімейний лікар",U1277/Z1277,0)))</f>
        <v>0</v>
      </c>
      <c r="V1278" s="203">
        <f>IF($B$1275="Лікар-педіатр",V1277/Z1277,IF($B$1275="Лікар-терапевт","х",IF($B$1275="Лікар загальної практики - сімейний лікар",V1277/Z1277,0)))</f>
        <v>0</v>
      </c>
      <c r="W1278" s="203">
        <f>IF($B$1275="Лікар-педіатр","x",IF($B$1275="Лікар-терапевт",W1277/Z1277,IF($B$1275="Лікар загальної практики - сімейний лікар",W1277/Z1277,0)))</f>
        <v>0</v>
      </c>
      <c r="X1278" s="203">
        <f>IF($B$1275="Лікар-педіатр","x",IF($B$1275="Лікар-терапевт",X1277/Z1277,IF($B$1275="Лікар загальної практики - сімейний лікар",X1277/Z1277,0)))</f>
        <v>0</v>
      </c>
      <c r="Y1278" s="203">
        <f>IF($B$1275="Лікар-педіатр","x",IF($B$1275="Лікар-терапевт",Y1277/Z1277,IF($B$1275="Лікар загальної практики - сімейний лікар",Y1277/Z1277,0)))</f>
        <v>0</v>
      </c>
      <c r="Z1278" s="203">
        <f>SUM(U1278:Y1278)</f>
        <v>0</v>
      </c>
      <c r="AA1278" s="930"/>
      <c r="AB1278" s="203">
        <f>IF($B$1275="Лікар-педіатр",AB1277/AG1277,IF($B$1275="Лікар-терапевт","х",IF($B$1275="Лікар загальної практики - сімейний лікар",AB1277/AG1277,0)))</f>
        <v>0</v>
      </c>
      <c r="AC1278" s="203">
        <f>IF($B$1275="Лікар-педіатр",AC1277/AG1277,IF($B$1275="Лікар-терапевт","х",IF($B$1275="Лікар загальної практики - сімейний лікар",AC1277/AG1277,0)))</f>
        <v>0</v>
      </c>
      <c r="AD1278" s="203">
        <f>IF($B$1275="Лікар-педіатр","x",IF($B$1275="Лікар-терапевт",AD1277/AG1277,IF($B$1275="Лікар загальної практики - сімейний лікар",AD1277/AG1277,0)))</f>
        <v>0</v>
      </c>
      <c r="AE1278" s="203">
        <f>IF($B$1275="Лікар-педіатр","x",IF($B$1275="Лікар-терапевт",AE1277/AG1277,IF($B$1275="Лікар загальної практики - сімейний лікар",AE1277/AG1277,0)))</f>
        <v>0</v>
      </c>
      <c r="AF1278" s="203">
        <f>IF($B$1275="Лікар-педіатр","x",IF($B$1275="Лікар-терапевт",AF1277/AG1277,IF($B$1275="Лікар загальної практики - сімейний лікар",AF1277/AG1277,0)))</f>
        <v>0</v>
      </c>
      <c r="AG1278" s="203">
        <f>SUM(AB1278:AF1278)</f>
        <v>0</v>
      </c>
      <c r="AH1278" s="930"/>
      <c r="AI1278" s="201"/>
      <c r="AJ1278" s="933"/>
      <c r="AK1278" s="927"/>
      <c r="AL1278" s="927"/>
      <c r="AM1278" s="902"/>
      <c r="AN1278" s="924"/>
      <c r="AO1278" s="924"/>
      <c r="AP1278" s="924"/>
      <c r="AQ1278" s="924"/>
      <c r="AR1278" s="915"/>
    </row>
    <row r="1279" spans="1:44" s="50" customFormat="1" ht="45" hidden="1" customHeight="1" thickBot="1">
      <c r="A1279" s="197"/>
      <c r="B1279" s="893"/>
      <c r="C1279" s="896"/>
      <c r="D1279" s="912"/>
      <c r="E1279" s="909"/>
      <c r="F1279" s="204" t="s">
        <v>585</v>
      </c>
      <c r="G1279" s="205">
        <f>IF($B$1275="Лікар загальної практики - сімейний лікар",AVERAGE(G1275:G1277),IF($B$1275="Лікар-педіатр",AVERAGE(G1275:G1277),IF($B$1275="Лікар-терапевт","х",0)))</f>
        <v>0</v>
      </c>
      <c r="H1279" s="205">
        <f>IF($B$1275="Лікар загальної практики - сімейний лікар",AVERAGE(H1275:H1277),IF($B$1275="Лікар-педіатр",AVERAGE(H1275:H1277),IF($B$1275="Лікар-терапевт","х",0)))</f>
        <v>0</v>
      </c>
      <c r="I1279" s="205">
        <f>IF($B$1275="Лікар загальної практики - сімейний лікар",AVERAGE(I1275:I1277),IF($B$1275="Лікар-педіатр","x",IF($B$1275="Лікар-терапевт",AVERAGE(I1275:I1277),0)))</f>
        <v>0</v>
      </c>
      <c r="J1279" s="205">
        <f>IF($B$1275="Лікар загальної практики - сімейний лікар",AVERAGE(J1275:J1277),IF($B$1275="Лікар-педіатр","x",IF($B$1275="Лікар-терапевт",AVERAGE(J1275:J1277),0)))</f>
        <v>0</v>
      </c>
      <c r="K1279" s="205">
        <f>IF($B$1275="Лікар загальної практики - сімейний лікар",AVERAGE(K1275:K1277),IF($B$1275="Лікар-педіатр","x",IF($B$1275="Лікар-терапевт",AVERAGE(K1275:K1277),0)))</f>
        <v>0</v>
      </c>
      <c r="L1279" s="206">
        <f>SUM(G1279:K1279)</f>
        <v>0</v>
      </c>
      <c r="M1279" s="930"/>
      <c r="N1279" s="205">
        <f>IF($B$1275="Лікар загальної практики - сімейний лікар",AVERAGE(N1275:N1277),IF($B$1275="Лікар-педіатр",AVERAGE(N1275:N1277),IF($B$1275="Лікар-терапевт","х",0)))</f>
        <v>0</v>
      </c>
      <c r="O1279" s="205">
        <f>IF($B$1275="Лікар загальної практики - сімейний лікар",AVERAGE(O1275:O1277),IF($B$1275="Лікар-педіатр",AVERAGE(O1275:O1277),IF($B$1275="Лікар-терапевт","х",0)))</f>
        <v>0</v>
      </c>
      <c r="P1279" s="205">
        <f>IF($B$1275="Лікар загальної практики - сімейний лікар",AVERAGE(P1275:P1277),IF($B$1275="Лікар-педіатр","x",IF($B$1275="Лікар-терапевт",AVERAGE(P1275:P1277),0)))</f>
        <v>0</v>
      </c>
      <c r="Q1279" s="205">
        <f>IF($B$1275="Лікар загальної практики - сімейний лікар",AVERAGE(Q1275:Q1277),IF($B$1275="Лікар-педіатр","x",IF($B$1275="Лікар-терапевт",AVERAGE(Q1275:Q1277),0)))</f>
        <v>0</v>
      </c>
      <c r="R1279" s="205">
        <f>IF($B$1275="Лікар загальної практики - сімейний лікар",AVERAGE(R1275:R1277),IF($B$1275="Лікар-педіатр","x",IF($B$1275="Лікар-терапевт",AVERAGE(R1275:R1277),0)))</f>
        <v>0</v>
      </c>
      <c r="S1279" s="206">
        <f>SUM(N1279:R1279)</f>
        <v>0</v>
      </c>
      <c r="T1279" s="930"/>
      <c r="U1279" s="205">
        <f>IF($B$1275="Лікар загальної практики - сімейний лікар",AVERAGE(U1275:U1277),IF($B$1275="Лікар-педіатр",AVERAGE(U1275:U1277),IF($B$1275="Лікар-терапевт","х",0)))</f>
        <v>0</v>
      </c>
      <c r="V1279" s="205">
        <f>IF($B$1275="Лікар загальної практики - сімейний лікар",AVERAGE(V1275:V1277),IF($B$1275="Лікар-педіатр",AVERAGE(V1275:V1277),IF($B$1275="Лікар-терапевт","х",0)))</f>
        <v>0</v>
      </c>
      <c r="W1279" s="205">
        <f>IF($B$1275="Лікар загальної практики - сімейний лікар",AVERAGE(W1275:W1277),IF($B$1275="Лікар-педіатр","x",IF($B$1275="Лікар-терапевт",AVERAGE(W1275:W1277),0)))</f>
        <v>0</v>
      </c>
      <c r="X1279" s="205">
        <f>IF($B$1275="Лікар загальної практики - сімейний лікар",AVERAGE(X1275:X1277),IF($B$1275="Лікар-педіатр","x",IF($B$1275="Лікар-терапевт",AVERAGE(X1275:X1277),0)))</f>
        <v>0</v>
      </c>
      <c r="Y1279" s="205">
        <f>IF($B$1275="Лікар загальної практики - сімейний лікар",AVERAGE(Y1275:Y1277),IF($B$1275="Лікар-педіатр","x",IF($B$1275="Лікар-терапевт",AVERAGE(Y1275:Y1277),0)))</f>
        <v>0</v>
      </c>
      <c r="Z1279" s="206">
        <f>SUM(U1279:Y1279)</f>
        <v>0</v>
      </c>
      <c r="AA1279" s="930"/>
      <c r="AB1279" s="205">
        <f>IF($B$1275="Лікар загальної практики - сімейний лікар",AVERAGE(AB1275:AB1277),IF($B$1275="Лікар-педіатр",AVERAGE(AB1275:AB1277),IF($B$1275="Лікар-терапевт","х",0)))</f>
        <v>0</v>
      </c>
      <c r="AC1279" s="205">
        <f>IF($B$1275="Лікар загальної практики - сімейний лікар",AVERAGE(AC1275:AC1277),IF($B$1275="Лікар-педіатр",AVERAGE(AC1275:AC1277),IF($B$1275="Лікар-терапевт","х",0)))</f>
        <v>0</v>
      </c>
      <c r="AD1279" s="205">
        <f>IF($B$1275="Лікар загальної практики - сімейний лікар",AVERAGE(AD1275:AD1277),IF($B$1275="Лікар-педіатр","x",IF($B$1275="Лікар-терапевт",AVERAGE(AD1275:AD1277),0)))</f>
        <v>0</v>
      </c>
      <c r="AE1279" s="205">
        <f>IF($B$1275="Лікар загальної практики - сімейний лікар",AVERAGE(AE1275:AE1277),IF($B$1275="Лікар-педіатр","x",IF($B$1275="Лікар-терапевт",AVERAGE(AE1275:AE1277),0)))</f>
        <v>0</v>
      </c>
      <c r="AF1279" s="205">
        <f>IF($B$1275="Лікар загальної практики - сімейний лікар",AVERAGE(AF1275:AF1277),IF($B$1275="Лікар-педіатр","x",IF($B$1275="Лікар-терапевт",AVERAGE(AF1275:AF1277),0)))</f>
        <v>0</v>
      </c>
      <c r="AG1279" s="206">
        <f>SUM(AB1279:AF1279)</f>
        <v>0</v>
      </c>
      <c r="AH1279" s="930"/>
      <c r="AI1279" s="201"/>
      <c r="AJ1279" s="933"/>
      <c r="AK1279" s="927"/>
      <c r="AL1279" s="927"/>
      <c r="AM1279" s="903"/>
      <c r="AN1279" s="925"/>
      <c r="AO1279" s="925"/>
      <c r="AP1279" s="925"/>
      <c r="AQ1279" s="925"/>
      <c r="AR1279" s="916"/>
    </row>
    <row r="1280" spans="1:44" s="50" customFormat="1" ht="40.5" hidden="1">
      <c r="A1280" s="197"/>
      <c r="B1280" s="893"/>
      <c r="C1280" s="896"/>
      <c r="D1280" s="912"/>
      <c r="E1280" s="909"/>
      <c r="F1280" s="237" t="str">
        <f ca="1">IF(B1275="Лікар-педіатр",Законод!$C$17,IF(B1275="Лікар загальної практики - сімейний лікар",Законод!$C$21,IF(B1275="Лікар-терапевт",Законод!$C$25,"х")))</f>
        <v>х</v>
      </c>
      <c r="G1280" s="208">
        <f ca="1">IF($B$1275="Лікар загальної практики - сімейний лікар",IF(L1279&lt;=Законод!$C$22,G1279,Законод!$C$22*'01_Доходи'!G1278),IF($B$1275="Лікар-педіатр",IF(L1279&lt;=Законод!$C$18,G1279,Законод!$C$18*'01_Доходи'!G1278),IF($B$1275="Лікар-терапевт","x",0)))</f>
        <v>0</v>
      </c>
      <c r="H1280" s="208">
        <f ca="1">IF($B$1275="Лікар загальної практики - сімейний лікар",IF(L1279&lt;=Законод!$C$22,H1279,Законод!$C$22*'01_Доходи'!H1278),IF($B$1275="Лікар-педіатр",IF(L1279&lt;=Законод!$C$18,H1279,Законод!$C$18*'01_Доходи'!H1278),IF($B$1275="Лікар-терапевт","x",0)))</f>
        <v>0</v>
      </c>
      <c r="I1280" s="208">
        <f ca="1">IF($B$1275="Лікар загальної практики - сімейний лікар",IF(L1279&lt;=Законод!$C$22,I1279,Законод!$C$22*'01_Доходи'!I1278),IF($B$1275="Лікар-педіатр","x",IF($B$1275="Лікар-терапевт",IF(L1279&lt;=Законод!$C$26,I1279,Законод!$C$26*'01_Доходи'!I1278),0)))</f>
        <v>0</v>
      </c>
      <c r="J1280" s="208">
        <f ca="1">IF($B$1275="Лікар загальної практики - сімейний лікар",IF(L1279&lt;=Законод!$C$22,J1279,Законод!$C$22*'01_Доходи'!J1278),IF($B$1275="Лікар-педіатр","x",IF($B$1275="Лікар-терапевт",IF(L1279&lt;=Законод!$C$26,J1279,Законод!$C$26*'01_Доходи'!J1278),0)))</f>
        <v>0</v>
      </c>
      <c r="K1280" s="208">
        <f ca="1">IF($B$1275="Лікар загальної практики - сімейний лікар",IF(L1279&lt;=Законод!$C$22,K1279,Законод!$C$22*'01_Доходи'!K1278),IF($B$1275="Лікар-педіатр","x",IF($B$1275="Лікар-терапевт",IF(L1279&lt;=Законод!$C$26,K1279,Законод!$C$26*'01_Доходи'!K1278),0)))</f>
        <v>0</v>
      </c>
      <c r="L1280" s="209">
        <f ca="1">SUM(G1280:K1280)</f>
        <v>0</v>
      </c>
      <c r="M1280" s="930"/>
      <c r="N1280" s="208">
        <f ca="1">IF($B$1275="Лікар загальної практики - сімейний лікар",IF(S1279&lt;=Законод!$C$22,N1279,Законод!$C$22*'01_Доходи'!N1278),IF($B$1275="Лікар-педіатр",IF(S1279&lt;=Законод!$C$18,N1279,Законод!$C$18*'01_Доходи'!N1278),IF($B$1275="Лікар-терапевт","x",0)))</f>
        <v>0</v>
      </c>
      <c r="O1280" s="208">
        <f ca="1">IF($B$1275="Лікар загальної практики - сімейний лікар",IF(S1279&lt;=Законод!$C$22,O1279,Законод!$C$22*'01_Доходи'!O1278),IF($B$1275="Лікар-педіатр",IF(S1279&lt;=Законод!$C$18,O1279,Законод!$C$18*'01_Доходи'!O1278),IF($B$1275="Лікар-терапевт","x",0)))</f>
        <v>0</v>
      </c>
      <c r="P1280" s="208">
        <f ca="1">IF($B$1275="Лікар загальної практики - сімейний лікар",IF(S1279&lt;=Законод!$C$22,P1279,Законод!$C$22*'01_Доходи'!P1278),IF($B$1275="Лікар-педіатр","x",IF($B$1275="Лікар-терапевт",IF(S1279&lt;=Законод!$C$26,P1279,Законод!$C$26*'01_Доходи'!P1278),0)))</f>
        <v>0</v>
      </c>
      <c r="Q1280" s="208">
        <f ca="1">IF($B$1275="Лікар загальної практики - сімейний лікар",IF(S1279&lt;=Законод!$C$22,Q1279,Законод!$C$22*'01_Доходи'!Q1278),IF($B$1275="Лікар-педіатр","x",IF($B$1275="Лікар-терапевт",IF(S1279&lt;=Законод!$C$26,Q1279,Законод!$C$26*'01_Доходи'!Q1278),0)))</f>
        <v>0</v>
      </c>
      <c r="R1280" s="208">
        <f ca="1">IF($B$1275="Лікар загальної практики - сімейний лікар",IF(S1279&lt;=Законод!$C$22,R1279,Законод!$C$22*'01_Доходи'!R1278),IF($B$1275="Лікар-педіатр","x",IF($B$1275="Лікар-терапевт",IF(S1279&lt;=Законод!$C$26,R1279,Законод!$C$26*'01_Доходи'!R1278),0)))</f>
        <v>0</v>
      </c>
      <c r="S1280" s="209">
        <f ca="1">SUM(N1280:R1280)</f>
        <v>0</v>
      </c>
      <c r="T1280" s="930"/>
      <c r="U1280" s="208">
        <f ca="1">IF($B$1275="Лікар загальної практики - сімейний лікар",IF(Z1279&lt;=Законод!$C$22,U1279,Законод!$C$22*'01_Доходи'!U1278),IF($B$1275="Лікар-педіатр",IF(Z1279&lt;=Законод!$C$18,U1279,Законод!$C$18*'01_Доходи'!U1278),IF($B$1275="Лікар-терапевт","x",0)))</f>
        <v>0</v>
      </c>
      <c r="V1280" s="208">
        <f ca="1">IF($B$1275="Лікар загальної практики - сімейний лікар",IF(Z1279&lt;=Законод!$C$22,V1279,Законод!$C$22*'01_Доходи'!V1278),IF($B$1275="Лікар-педіатр",IF(Z1279&lt;=Законод!$C$18,V1279,Законод!$C$18*'01_Доходи'!V1278),IF($B$1275="Лікар-терапевт","x",0)))</f>
        <v>0</v>
      </c>
      <c r="W1280" s="208">
        <f ca="1">IF($B$1275="Лікар загальної практики - сімейний лікар",IF(Z1279&lt;=Законод!$C$22,W1279,Законод!$C$22*'01_Доходи'!W1278),IF($B$1275="Лікар-педіатр","x",IF($B$1275="Лікар-терапевт",IF(Z1279&lt;=Законод!$C$26,W1279,Законод!$C$26*'01_Доходи'!W1278),0)))</f>
        <v>0</v>
      </c>
      <c r="X1280" s="208">
        <f ca="1">IF($B$1275="Лікар загальної практики - сімейний лікар",IF(Z1279&lt;=Законод!$C$22,X1279,Законод!$C$22*'01_Доходи'!X1278),IF($B$1275="Лікар-педіатр","x",IF($B$1275="Лікар-терапевт",IF(Z1279&lt;=Законод!$C$26,X1279,Законод!$C$26*'01_Доходи'!X1278),0)))</f>
        <v>0</v>
      </c>
      <c r="Y1280" s="208">
        <f ca="1">IF($B$1275="Лікар загальної практики - сімейний лікар",IF(Z1279&lt;=Законод!$C$22,Y1279,Законод!$C$22*'01_Доходи'!Y1278),IF($B$1275="Лікар-педіатр","x",IF($B$1275="Лікар-терапевт",IF(Z1279&lt;=Законод!$C$26,Y1279,Законод!$C$26*'01_Доходи'!Y1278),0)))</f>
        <v>0</v>
      </c>
      <c r="Z1280" s="209">
        <f ca="1">SUM(U1280:Y1280)</f>
        <v>0</v>
      </c>
      <c r="AA1280" s="930"/>
      <c r="AB1280" s="208">
        <f ca="1">IF($B$1275="Лікар загальної практики - сімейний лікар",IF(AG1279&lt;=Законод!$C$22,AB1279,Законод!$C$22*'01_Доходи'!AB1278),IF($B$1275="Лікар-педіатр",IF(AG1279&lt;=Законод!$C$18,AB1279,Законод!$C$18*'01_Доходи'!AB1278),IF($B$1275="Лікар-терапевт","x",0)))</f>
        <v>0</v>
      </c>
      <c r="AC1280" s="208">
        <f ca="1">IF($B$1275="Лікар загальної практики - сімейний лікар",IF(AG1279&lt;=Законод!$C$22,AC1279,Законод!$C$22*'01_Доходи'!AC1278),IF($B$1275="Лікар-педіатр",IF(AG1279&lt;=Законод!$C$18,AC1279,Законод!$C$18*'01_Доходи'!AC1278),IF($B$1275="Лікар-терапевт","x",0)))</f>
        <v>0</v>
      </c>
      <c r="AD1280" s="208">
        <f ca="1">IF($B$1275="Лікар загальної практики - сімейний лікар",IF(AG1279&lt;=Законод!$C$22,AD1279,Законод!$C$22*'01_Доходи'!AD1278),IF($B$1275="Лікар-педіатр","x",IF($B$1275="Лікар-терапевт",IF(AG1279&lt;=Законод!$C$26,AD1279,Законод!$C$26*'01_Доходи'!AD1278),0)))</f>
        <v>0</v>
      </c>
      <c r="AE1280" s="208">
        <f ca="1">IF($B$1275="Лікар загальної практики - сімейний лікар",IF(AG1279&lt;=Законод!$C$22,AE1279,Законод!$C$22*'01_Доходи'!AE1278),IF($B$1275="Лікар-педіатр","x",IF($B$1275="Лікар-терапевт",IF(AG1279&lt;=Законод!$C$26,AE1279,Законод!$C$26*'01_Доходи'!AE1278),0)))</f>
        <v>0</v>
      </c>
      <c r="AF1280" s="208">
        <f ca="1">IF($B$1275="Лікар загальної практики - сімейний лікар",IF(AG1279&lt;=Законод!$C$22,AF1279,Законод!$C$22*'01_Доходи'!AF1278),IF($B$1275="Лікар-педіатр","x",IF($B$1275="Лікар-терапевт",IF(AG1279&lt;=Законод!$C$26,AF1279,Законод!$C$26*'01_Доходи'!AF1278),0)))</f>
        <v>0</v>
      </c>
      <c r="AG1280" s="209">
        <f ca="1">SUM(AB1280:AF1280)</f>
        <v>0</v>
      </c>
      <c r="AH1280" s="930"/>
      <c r="AI1280" s="201"/>
      <c r="AJ1280" s="933"/>
      <c r="AK1280" s="927"/>
      <c r="AL1280" s="927"/>
      <c r="AM1280" s="348" t="s">
        <v>374</v>
      </c>
      <c r="AN1280" s="210">
        <f ca="1">IF(B1275="Лікар загальної практики - сімейний лікар",G1280*Законод!$C$11+'01_Доходи'!H1280*Законод!$D$11+'01_Доходи'!I1280*Законод!$E$11+'01_Доходи'!J1280*Законод!$F$11+'01_Доходи'!K1280*Законод!$G$11,IF(B1275="Лікар-педіатр",G1280*Законод!$C$11+'01_Доходи'!H1280*Законод!$D$11,IF(B1275="Лікар-терапевт",'01_Доходи'!I1280*Законод!$E$11+'01_Доходи'!J1280*Законод!$F$11+'01_Доходи'!K1280*Законод!$G$11,0)))</f>
        <v>0</v>
      </c>
      <c r="AO1280" s="210">
        <f ca="1">IF(B1275="Лікар загальної практики - сімейний лікар",N1280*Законод!$C$11+'01_Доходи'!O1280*Законод!$D$11+'01_Доходи'!P1280*Законод!$E$11+'01_Доходи'!Q1280*Законод!$F$11+'01_Доходи'!R1280*Законод!$G$11,IF(B1275="Лікар-педіатр",N1280*Законод!$C$11+'01_Доходи'!O1280*Законод!$D$11,IF(B1275="Лікар-терапевт",'01_Доходи'!P1280*Законод!$E$11+'01_Доходи'!Q1280*Законод!$F$11+'01_Доходи'!R1280*Законод!$G$11,0)))</f>
        <v>0</v>
      </c>
      <c r="AP1280" s="210">
        <f ca="1">IF(B1275="Лікар загальної практики - сімейний лікар",U1280*Законод!$C$11+'01_Доходи'!V1280*Законод!$D$11+'01_Доходи'!W1280*Законод!$E$11+'01_Доходи'!X1280*Законод!$F$11+'01_Доходи'!Y1280*Законод!$G$11,IF(B1275="Лікар-педіатр",U1280*Законод!$C$11+'01_Доходи'!V1280*Законод!$D$11,IF(B1275="Лікар-терапевт",'01_Доходи'!W1280*Законод!$E$11+'01_Доходи'!X1280*Законод!$F$11+'01_Доходи'!Y1280*Законод!$G$11,0)))</f>
        <v>0</v>
      </c>
      <c r="AQ1280" s="210">
        <f ca="1">IF(B1275="Лікар загальної практики - сімейний лікар",AB1280*Законод!$C$11+'01_Доходи'!AC1280*Законод!$D$11+'01_Доходи'!AD1280*Законод!$E$11+'01_Доходи'!AE1280*Законод!$F$11+'01_Доходи'!AF1280*Законод!$G$11,IF(B1275="Лікар-педіатр",AB1280*Законод!$C$11+'01_Доходи'!AC1280*Законод!$D$11,IF(B1275="Лікар-терапевт",'01_Доходи'!AD1280*Законод!$E$11+'01_Доходи'!AE1280*Законод!$F$11+'01_Доходи'!AF1280*Законод!$G$11,0)))</f>
        <v>0</v>
      </c>
      <c r="AR1280" s="211">
        <f t="shared" ref="AR1280:AR1286" si="125">SUM(AN1280:AQ1280)</f>
        <v>0</v>
      </c>
    </row>
    <row r="1281" spans="1:44" s="50" customFormat="1" ht="31.9" hidden="1" customHeight="1">
      <c r="A1281" s="197"/>
      <c r="B1281" s="893"/>
      <c r="C1281" s="896"/>
      <c r="D1281" s="912"/>
      <c r="E1281" s="909"/>
      <c r="F1281" s="238" t="str">
        <f ca="1">IF(B1275="Лікар-педіатр",Законод!$E$17,IF(B1275="Лікар загальної практики - сімейний лікар",Законод!$E$21,IF(B1275="Лікар-терапевт",Законод!$E$25,"х")))</f>
        <v>х</v>
      </c>
      <c r="G1281" s="889" t="s">
        <v>346</v>
      </c>
      <c r="H1281" s="890"/>
      <c r="I1281" s="890"/>
      <c r="J1281" s="890"/>
      <c r="K1281" s="891"/>
      <c r="L1281" s="196">
        <f ca="1">IF($B$1275="Лікар загальної практики - сімейний лікар",IF(L1279&lt;Законод!$C$22,0,(IF(AND(L1279&gt;=Законод!$E$22,L1279&lt;=Законод!$E$23),L1279-Законод!$C$22,IF('01_Доходи'!L1279&gt;=Законод!$F$22,Законод!$E$24,0)))),IF($B$1275="Лікар-педіатр",IF(L1279&lt;Законод!$C$18,0,(IF(AND(L1279&gt;=Законод!$E$18,L1279&lt;=Законод!$E$19),L1279-Законод!$C$18,IF('01_Доходи'!L1279&gt;=Законод!$F$18,Законод!$E$20,0)))),IF($B$1275="Лікар-терапевт",IF(L1279&lt;Законод!$C$26,0,(IF(AND(L1279&gt;=Законод!$E$26,L1279&lt;=Законод!$E$27),L1279-Законод!$C$26,IF('01_Доходи'!L1279&gt;=Законод!$F$26,Законод!$E$28,0)))),0)))</f>
        <v>0</v>
      </c>
      <c r="M1281" s="930"/>
      <c r="N1281" s="889" t="s">
        <v>346</v>
      </c>
      <c r="O1281" s="890"/>
      <c r="P1281" s="890"/>
      <c r="Q1281" s="890"/>
      <c r="R1281" s="891"/>
      <c r="S1281" s="196">
        <f ca="1">IF($B$1275="Лікар загальної практики - сімейний лікар",IF(S1279&lt;Законод!$C$22,0,(IF(AND(S1279&gt;=Законод!$E$22,S1279&lt;=Законод!$E$23),S1279-Законод!$C$22,IF('01_Доходи'!S1279&gt;=Законод!$F$22,Законод!$E$24,0)))),IF($B$1275="Лікар-педіатр",IF(S1279&lt;Законод!$C$18,0,(IF(AND(S1279&gt;=Законод!$E$18,S1279&lt;=Законод!$E$19),S1279-Законод!$C$18,IF('01_Доходи'!S1279&gt;=Законод!$F$18,Законод!$E$20,0)))),IF($B$1275="Лікар-терапевт",IF(S1279&lt;Законод!$C$26,0,(IF(AND(S1279&gt;=Законод!$E$26,S1279&lt;=Законод!$E$27),S1279-Законод!$C$26,IF('01_Доходи'!S1279&gt;=Законод!$F$26,Законод!$E$28,0)))),0)))</f>
        <v>0</v>
      </c>
      <c r="T1281" s="930"/>
      <c r="U1281" s="889" t="s">
        <v>346</v>
      </c>
      <c r="V1281" s="890"/>
      <c r="W1281" s="890"/>
      <c r="X1281" s="890"/>
      <c r="Y1281" s="891"/>
      <c r="Z1281" s="196">
        <f ca="1">IF($B$1275="Лікар загальної практики - сімейний лікар",IF(Z1279&lt;Законод!$C$22,0,(IF(AND(Z1279&gt;=Законод!$E$22,Z1279&lt;=Законод!$E$23),Z1279-Законод!$C$22,IF('01_Доходи'!Z1279&gt;=Законод!$F$22,Законод!$E$24,0)))),IF($B$1275="Лікар-педіатр",IF(Z1279&lt;Законод!$C$18,0,(IF(AND(Z1279&gt;=Законод!$E$18,Z1279&lt;=Законод!$E$19),Z1279-Законод!$C$18,IF('01_Доходи'!Z1279&gt;=Законод!$F$18,Законод!$E$20,0)))),IF($B$1275="Лікар-терапевт",IF(Z1279&lt;Законод!$C$26,0,(IF(AND(Z1279&gt;=Законод!$E$26,Z1279&lt;=Законод!$E$27),Z1279-Законод!$C$26,IF('01_Доходи'!Z1279&gt;=Законод!$F$26,Законод!$E$28,0)))),0)))</f>
        <v>0</v>
      </c>
      <c r="AA1281" s="930"/>
      <c r="AB1281" s="889" t="s">
        <v>346</v>
      </c>
      <c r="AC1281" s="890"/>
      <c r="AD1281" s="890"/>
      <c r="AE1281" s="890"/>
      <c r="AF1281" s="891"/>
      <c r="AG1281" s="196">
        <f ca="1">IF($B$1275="Лікар загальної практики - сімейний лікар",IF(AG1279&lt;Законод!$C$22,0,(IF(AND(AG1279&gt;=Законод!$E$22,AG1279&lt;=Законод!$E$23),AG1279-Законод!$C$22,IF('01_Доходи'!AG1279&gt;=Законод!$F$22,Законод!$E$24,0)))),IF($B$1275="Лікар-педіатр",IF(AG1279&lt;Законод!$C$18,0,(IF(AND(AG1279&gt;=Законод!$E$18,AG1279&lt;=Законод!$E$19),AG1279-Законод!$C$18,IF('01_Доходи'!AG1279&gt;=Законод!$F$18,Законод!$E$20,0)))),IF($B$1275="Лікар-терапевт",IF(AG1279&lt;Законод!$C$26,0,(IF(AND(AG1279&gt;=Законод!$E$26,AG1279&lt;=Законод!$E$27),AG1279-Законод!$C$26,IF('01_Доходи'!AG1279&gt;=Законод!$F$26,Законод!$E$28,0)))),0)))</f>
        <v>0</v>
      </c>
      <c r="AH1281" s="930"/>
      <c r="AI1281" s="201"/>
      <c r="AJ1281" s="933"/>
      <c r="AK1281" s="927"/>
      <c r="AL1281" s="927"/>
      <c r="AM1281" s="898" t="s">
        <v>375</v>
      </c>
      <c r="AN1281" s="210">
        <f ca="1">IF(B1275="Лікар загальної практики - сімейний лікар",L1281*Законод!$C$9/4*Законод!$E$16,IF(B1275="Лікар-педіатр",L1281*Законод!$C$9/4*Законод!$E$16,IF(B1275="Лікар-терапевт",L1281*Законод!$C$9/4*Законод!$E$16,0)))</f>
        <v>0</v>
      </c>
      <c r="AO1281" s="210">
        <f ca="1">IF(B1275="Лікар загальної практики - сімейний лікар",S1281*Законод!$C$9/4*Законод!$E$16,IF(B1275="Лікар-педіатр",S1281*Законод!$C$9/4*Законод!$E$16,IF(B1275="Лікар-терапевт",S1281*Законод!$C$9/4*Законод!$E$16,0)))</f>
        <v>0</v>
      </c>
      <c r="AP1281" s="210">
        <f ca="1">IF(B1275="Лікар загальної практики - сімейний лікар",Z1281*Законод!$C$9/4*Законод!$E$16,IF(B1275="Лікар-педіатр",Z1281*Законод!$C$9/4*Законод!$E$16,IF(B1275="Лікар-терапевт",Z1281*Законод!$C$9/4*Законод!$E$16,0)))</f>
        <v>0</v>
      </c>
      <c r="AQ1281" s="210">
        <f ca="1">IF(B1275="Лікар загальної практики - сімейний лікар",AG1281*Законод!$C$9/4*Законод!$E$16,IF(B1275="Лікар-педіатр",AG1281*Законод!$C$9/4*Законод!$E$16,IF(B1275="Лікар-терапевт",AG1281*Законод!$C$9/4*Законод!$E$16,0)))</f>
        <v>0</v>
      </c>
      <c r="AR1281" s="211">
        <f t="shared" si="125"/>
        <v>0</v>
      </c>
    </row>
    <row r="1282" spans="1:44" s="50" customFormat="1" ht="31.9" hidden="1" customHeight="1">
      <c r="A1282" s="197"/>
      <c r="B1282" s="893"/>
      <c r="C1282" s="896"/>
      <c r="D1282" s="912"/>
      <c r="E1282" s="909"/>
      <c r="F1282" s="238" t="str">
        <f ca="1">IF(B1275="Лікар-педіатр",Законод!$F$17,IF(B1275="Лікар загальної практики - сімейний лікар",Законод!$F$21,IF(B1275="Лікар-терапевт",Законод!$F$25,"х")))</f>
        <v>х</v>
      </c>
      <c r="G1282" s="889" t="s">
        <v>346</v>
      </c>
      <c r="H1282" s="890"/>
      <c r="I1282" s="890"/>
      <c r="J1282" s="890"/>
      <c r="K1282" s="891"/>
      <c r="L1282" s="196">
        <f ca="1">IF($B$1275="Лікар загальної практики - сімейний лікар",IF(L1279&lt;Законод!$C$22,0,(IF(AND(L1279&gt;=Законод!$F$22,L1279&lt;=Законод!$F$23),L1279-Законод!$E$23,IF('01_Доходи'!L1279&gt;=Законод!$G$22,Законод!$F$24,0)))),IF($B$1275="Лікар-педіатр",IF(L1279&lt;Законод!$C$18,0,(IF(AND(L1279&gt;=Законод!$F$18,L1279&lt;=Законод!$F$19),L1279-Законод!$E$19,IF('01_Доходи'!L1279&gt;=Законод!$G$18,Законод!$F$20,0)))),IF($B$1275="Лікар-терапевт",IF(L1279&lt;Законод!$C$26,0,(IF(AND(L1279&gt;=Законод!$F$26,L1279&lt;=Законод!$F$27),L1279-Законод!$E$27,IF('01_Доходи'!L1279&gt;=Законод!$G$26,Законод!$F$28,0)))),0)))</f>
        <v>0</v>
      </c>
      <c r="M1282" s="930"/>
      <c r="N1282" s="889" t="s">
        <v>346</v>
      </c>
      <c r="O1282" s="890"/>
      <c r="P1282" s="890"/>
      <c r="Q1282" s="890"/>
      <c r="R1282" s="891"/>
      <c r="S1282" s="196">
        <f ca="1">IF($B$1275="Лікар загальної практики - сімейний лікар",IF(S1279&lt;Законод!$C$22,0,(IF(AND(S1279&gt;=Законод!$F$22,S1279&lt;=Законод!$F$23),S1279-Законод!$E$23,IF('01_Доходи'!S1279&gt;=Законод!$G$22,Законод!$F$24,0)))),IF($B$1275="Лікар-педіатр",IF(S1279&lt;Законод!$C$18,0,(IF(AND(S1279&gt;=Законод!$F$18,S1279&lt;=Законод!$F$19),S1279-Законод!$E$19,IF('01_Доходи'!S1279&gt;=Законод!$G$18,Законод!$F$20,0)))),IF($B$1275="Лікар-терапевт",IF(S1279&lt;Законод!$C$26,0,(IF(AND(S1279&gt;=Законод!$F$26,S1279&lt;=Законод!$F$27),S1279-Законод!$E$27,IF('01_Доходи'!S1279&gt;=Законод!$G$26,Законод!$F$28,0)))),0)))</f>
        <v>0</v>
      </c>
      <c r="T1282" s="930"/>
      <c r="U1282" s="889" t="s">
        <v>346</v>
      </c>
      <c r="V1282" s="890"/>
      <c r="W1282" s="890"/>
      <c r="X1282" s="890"/>
      <c r="Y1282" s="891"/>
      <c r="Z1282" s="196">
        <f ca="1">IF($B$1275="Лікар загальної практики - сімейний лікар",IF(Z1279&lt;Законод!$C$22,0,(IF(AND(Z1279&gt;=Законод!$F$22,Z1279&lt;=Законод!$F$23),Z1279-Законод!$E$23,IF('01_Доходи'!Z1279&gt;=Законод!$G$22,Законод!$F$24,0)))),IF($B$1275="Лікар-педіатр",IF(Z1279&lt;Законод!$C$18,0,(IF(AND(Z1279&gt;=Законод!$F$18,Z1279&lt;=Законод!$F$19),Z1279-Законод!$E$19,IF('01_Доходи'!Z1279&gt;=Законод!$G$18,Законод!$F$20,0)))),IF($B$1275="Лікар-терапевт",IF(Z1279&lt;Законод!$C$26,0,(IF(AND(Z1279&gt;=Законод!$F$26,Z1279&lt;=Законод!$F$27),Z1279-Законод!$E$27,IF('01_Доходи'!Z1279&gt;=Законод!$G$26,Законод!$F$28,0)))),0)))</f>
        <v>0</v>
      </c>
      <c r="AA1282" s="930"/>
      <c r="AB1282" s="889" t="s">
        <v>346</v>
      </c>
      <c r="AC1282" s="890"/>
      <c r="AD1282" s="890"/>
      <c r="AE1282" s="890"/>
      <c r="AF1282" s="891"/>
      <c r="AG1282" s="196">
        <f ca="1">IF($B$1275="Лікар загальної практики - сімейний лікар",IF(AG1279&lt;Законод!$C$22,0,(IF(AND(AG1279&gt;=Законод!$F$22,AG1279&lt;=Законод!$F$23),AG1279-Законод!$E$23,IF('01_Доходи'!AG1279&gt;=Законод!$G$22,Законод!$F$24,0)))),IF($B$1275="Лікар-педіатр",IF(AG1279&lt;Законод!$C$18,0,(IF(AND(AG1279&gt;=Законод!$F$18,AG1279&lt;=Законод!$F$19),AG1279-Законод!$E$19,IF('01_Доходи'!AG1279&gt;=Законод!$G$18,Законод!$F$20,0)))),IF($B$1275="Лікар-терапевт",IF(AG1279&lt;Законод!$C$26,0,(IF(AND(AG1279&gt;=Законод!$F$26,AG1279&lt;=Законод!$F$27),AG1279-Законод!$E$27,IF('01_Доходи'!AG1279&gt;=Законод!$G$26,Законод!$F$28,0)))),0)))</f>
        <v>0</v>
      </c>
      <c r="AH1282" s="930"/>
      <c r="AI1282" s="201"/>
      <c r="AJ1282" s="933"/>
      <c r="AK1282" s="927"/>
      <c r="AL1282" s="927"/>
      <c r="AM1282" s="899"/>
      <c r="AN1282" s="210">
        <f ca="1">IF(B1275="Лікар загальної практики - сімейний лікар",L1282*Законод!$C$9/4*Законод!$F$16,IF(B1275="Лікар-педіатр",L1282*Законод!$C$9/4*Законод!$F$16,IF(B1275="Лікар-терапевт",L1282*Законод!$C$9/4*Законод!$F$16,0)))</f>
        <v>0</v>
      </c>
      <c r="AO1282" s="210">
        <f ca="1">IF(B1275="Лікар загальної практики - сімейний лікар",S1282*Законод!$C$9/4*Законод!$F$16,IF(B1275="Лікар-педіатр",S1282*Законод!$C$9/4*Законод!$F$16,IF(B1275="Лікар-терапевт",S1282*Законод!$C$9/4*Законод!$F$16,0)))</f>
        <v>0</v>
      </c>
      <c r="AP1282" s="210">
        <f ca="1">IF(B1275="Лікар загальної практики - сімейний лікар",Z1282*Законод!$C$9/4*Законод!$F$16,IF(B1275="Лікар-педіатр",Z1282*Законод!$C$9/4*Законод!$F$16,IF(B1275="Лікар-терапевт",Z1282*Законод!$C$9/4*Законод!$F$16,0)))</f>
        <v>0</v>
      </c>
      <c r="AQ1282" s="210">
        <f ca="1">IF(B1275="Лікар загальної практики - сімейний лікар",AG1282*Законод!$C$9/4*Законод!$F$16,IF(B1275="Лікар-педіатр",AG1282*Законод!$C$9/4*Законод!$F$16,IF(B1275="Лікар-терапевт",AG1282*Законод!$C$9/4*Законод!$F$16,0)))</f>
        <v>0</v>
      </c>
      <c r="AR1282" s="211">
        <f t="shared" si="125"/>
        <v>0</v>
      </c>
    </row>
    <row r="1283" spans="1:44" s="50" customFormat="1" ht="31.9" hidden="1" customHeight="1">
      <c r="A1283" s="197"/>
      <c r="B1283" s="893"/>
      <c r="C1283" s="896"/>
      <c r="D1283" s="912"/>
      <c r="E1283" s="909"/>
      <c r="F1283" s="238" t="str">
        <f ca="1">IF(B1275="Лікар-педіатр",Законод!$G$17,IF(B1275="Лікар загальної практики - сімейний лікар",Законод!$G$21,IF(B1275="Лікар-терапевт",Законод!$G$25,"х")))</f>
        <v>х</v>
      </c>
      <c r="G1283" s="889" t="s">
        <v>346</v>
      </c>
      <c r="H1283" s="890"/>
      <c r="I1283" s="890"/>
      <c r="J1283" s="890"/>
      <c r="K1283" s="891"/>
      <c r="L1283" s="196">
        <f ca="1">IF($B$1275="Лікар загальної практики - сімейний лікар",IF(L1279&lt;Законод!$C$22,0,(IF(AND(L1279&gt;=Законод!$G$22,L1279&lt;=Законод!$G$23),L1279-Законод!$F$23,IF('01_Доходи'!L1279&gt;=Законод!$H$22,Законод!$G$24,0)))),IF($B$1275="Лікар-педіатр",IF(L1279&lt;Законод!$C$18,0,(IF(AND(L1279&gt;=Законод!$G$18,L1279&lt;=Законод!$G$19),L1279-Законод!$F$19,IF('01_Доходи'!L1279&gt;=Законод!$H$18,Законод!$G$20,0)))),IF($B$1275="Лікар-терапевт",IF(L1279&lt;Законод!$C$26,0,(IF(AND(L1279&gt;=Законод!$G$26,L1279&lt;=Законод!$G$27),L1279-Законод!$F$27,IF('01_Доходи'!L1279&gt;=Законод!$H$26,Законод!$G$28,0)))),0)))</f>
        <v>0</v>
      </c>
      <c r="M1283" s="930"/>
      <c r="N1283" s="889" t="s">
        <v>346</v>
      </c>
      <c r="O1283" s="890"/>
      <c r="P1283" s="890"/>
      <c r="Q1283" s="890"/>
      <c r="R1283" s="891"/>
      <c r="S1283" s="196">
        <f ca="1">IF($B$1275="Лікар загальної практики - сімейний лікар",IF(S1279&lt;Законод!$C$22,0,(IF(AND(S1279&gt;=Законод!$G$22,S1279&lt;=Законод!$G$23),S1279-Законод!$F$23,IF('01_Доходи'!S1279&gt;=Законод!$H$22,Законод!$G$24,0)))),IF($B$1275="Лікар-педіатр",IF(S1279&lt;Законод!$C$18,0,(IF(AND(S1279&gt;=Законод!$G$18,S1279&lt;=Законод!$G$19),S1279-Законод!$F$19,IF('01_Доходи'!S1279&gt;=Законод!$H$18,Законод!$G$20,0)))),IF($B$1275="Лікар-терапевт",IF(S1279&lt;Законод!$C$26,0,(IF(AND(S1279&gt;=Законод!$G$26,S1279&lt;=Законод!$G$27),S1279-Законод!$F$27,IF('01_Доходи'!S1279&gt;=Законод!$H$26,Законод!$G$28,0)))),0)))</f>
        <v>0</v>
      </c>
      <c r="T1283" s="930"/>
      <c r="U1283" s="889" t="s">
        <v>346</v>
      </c>
      <c r="V1283" s="890"/>
      <c r="W1283" s="890"/>
      <c r="X1283" s="890"/>
      <c r="Y1283" s="891"/>
      <c r="Z1283" s="196">
        <f ca="1">IF($B$1275="Лікар загальної практики - сімейний лікар",IF(Z1279&lt;Законод!$C$22,0,(IF(AND(Z1279&gt;=Законод!$G$22,Z1279&lt;=Законод!$G$23),Z1279-Законод!$F$23,IF('01_Доходи'!Z1279&gt;=Законод!$H$22,Законод!$G$24,0)))),IF($B$1275="Лікар-педіатр",IF(Z1279&lt;Законод!$C$18,0,(IF(AND(Z1279&gt;=Законод!$G$18,Z1279&lt;=Законод!$G$19),Z1279-Законод!$F$19,IF('01_Доходи'!Z1279&gt;=Законод!$H$18,Законод!$G$20,0)))),IF($B$1275="Лікар-терапевт",IF(Z1279&lt;Законод!$C$26,0,(IF(AND(Z1279&gt;=Законод!$G$26,Z1279&lt;=Законод!$G$27),Z1279-Законод!$F$27,IF('01_Доходи'!Z1279&gt;=Законод!$H$26,Законод!$G$28,0)))),0)))</f>
        <v>0</v>
      </c>
      <c r="AA1283" s="930"/>
      <c r="AB1283" s="889" t="s">
        <v>346</v>
      </c>
      <c r="AC1283" s="890"/>
      <c r="AD1283" s="890"/>
      <c r="AE1283" s="890"/>
      <c r="AF1283" s="891"/>
      <c r="AG1283" s="196">
        <f ca="1">IF($B$1275="Лікар загальної практики - сімейний лікар",IF(AG1279&lt;Законод!$C$22,0,(IF(AND(AG1279&gt;=Законод!$G$22,AG1279&lt;=Законод!$G$23),AG1279-Законод!$F$23,IF('01_Доходи'!AG1279&gt;=Законод!$H$22,Законод!$G$24,0)))),IF($B$1275="Лікар-педіатр",IF(AG1279&lt;Законод!$C$18,0,(IF(AND(AG1279&gt;=Законод!$G$18,AG1279&lt;=Законод!$G$19),AG1279-Законод!$F$19,IF('01_Доходи'!AG1279&gt;=Законод!$H$18,Законод!$G$20,0)))),IF($B$1275="Лікар-терапевт",IF(AG1279&lt;Законод!$C$26,0,(IF(AND(AG1279&gt;=Законод!$G$26,AG1279&lt;=Законод!$G$27),AG1279-Законод!$F$27,IF('01_Доходи'!AG1279&gt;=Законод!$H$26,Законод!$G$28,0)))),0)))</f>
        <v>0</v>
      </c>
      <c r="AH1283" s="930"/>
      <c r="AI1283" s="201"/>
      <c r="AJ1283" s="933"/>
      <c r="AK1283" s="927"/>
      <c r="AL1283" s="927"/>
      <c r="AM1283" s="899"/>
      <c r="AN1283" s="210">
        <f ca="1">IF(B1275="Лікар загальної практики - сімейний лікар",L1283*Законод!$C$9/4*Законод!$G$16,IF(B1275="Лікар-педіатр",L1283*Законод!$C$9/4*Законод!$G$16,IF(B1275="Лікар-терапевт",L1283*Законод!$C$9/4*Законод!$G$16,0)))</f>
        <v>0</v>
      </c>
      <c r="AO1283" s="210">
        <f ca="1">IF(B1275="Лікар загальної практики - сімейний лікар",S1283*Законод!$C$9/4*Законод!$G$16,IF(B1275="Лікар-педіатр",S1283*Законод!$C$9/4*Законод!$G$16,IF(B1275="Лікар-терапевт",S1283*Законод!$C$9/4*Законод!$G$16,0)))</f>
        <v>0</v>
      </c>
      <c r="AP1283" s="210">
        <f ca="1">IF(B1275="Лікар загальної практики - сімейний лікар",Z1283*Законод!$C$9/4*Законод!$G$16,IF(B1275="Лікар-педіатр",Z1283*Законод!$C$9/4*Законод!$G$16,IF(B1275="Лікар-терапевт",Z1283*Законод!$C$9/4*Законод!$G$16,0)))</f>
        <v>0</v>
      </c>
      <c r="AQ1283" s="210">
        <f ca="1">IF(B1275="Лікар загальної практики - сімейний лікар",AG1283*Законод!$C$9/4*Законод!$G$16,IF(B1275="Лікар-педіатр",AG1283*Законод!$C$9/4*Законод!$G$16,IF(B1275="Лікар-терапевт",AG1283*Законод!$C$9/4*Законод!$G$16,0)))</f>
        <v>0</v>
      </c>
      <c r="AR1283" s="211">
        <f t="shared" si="125"/>
        <v>0</v>
      </c>
    </row>
    <row r="1284" spans="1:44" s="50" customFormat="1" ht="31.9" hidden="1" customHeight="1">
      <c r="A1284" s="197"/>
      <c r="B1284" s="893"/>
      <c r="C1284" s="896"/>
      <c r="D1284" s="912"/>
      <c r="E1284" s="909"/>
      <c r="F1284" s="238" t="str">
        <f ca="1">IF(B1275="Лікар-педіатр",Законод!$H$17,IF(B1275="Лікар загальної практики - сімейний лікар",Законод!$H$21,IF(B1275="Лікар-терапевт",Законод!$H$25,"х")))</f>
        <v>х</v>
      </c>
      <c r="G1284" s="889" t="s">
        <v>346</v>
      </c>
      <c r="H1284" s="890"/>
      <c r="I1284" s="890"/>
      <c r="J1284" s="890"/>
      <c r="K1284" s="891"/>
      <c r="L1284" s="196">
        <f ca="1">IF($B$1275="Лікар загальної практики - сімейний лікар",IF(L1279&lt;Законод!$C$22,0,(IF(AND(L1279&gt;=Законод!$H$22,L1279&lt;=Законод!$H$23),L1279-Законод!$G$23,IF('01_Доходи'!L1279&gt;=Законод!$I$22,Законод!$H$24,0)))),IF($B$1275="Лікар-педіатр",IF(L1279&lt;Законод!$C$18,0,(IF(AND(L1279&gt;=Законод!$H$18,L1279&lt;=Законод!$H$19),L1279-Законод!$G$19,IF('01_Доходи'!L1279&gt;=Законод!$I$18,Законод!$H$20,0)))),IF($B$1275="Лікар-терапевт",IF(L1279&lt;Законод!$C$26,0,(IF(AND(L1279&gt;=Законод!$H$26,L1279&lt;=Законод!$H$27),L1279-Законод!$G$27,IF(L1279&gt;=Законод!$I$26,Законод!$H$28,0)))),0)))</f>
        <v>0</v>
      </c>
      <c r="M1284" s="930"/>
      <c r="N1284" s="889" t="s">
        <v>346</v>
      </c>
      <c r="O1284" s="890"/>
      <c r="P1284" s="890"/>
      <c r="Q1284" s="890"/>
      <c r="R1284" s="891"/>
      <c r="S1284" s="196">
        <f ca="1">IF($B$1275="Лікар загальної практики - сімейний лікар",IF(S1279&lt;Законод!$C$22,0,(IF(AND(S1279&gt;=Законод!$H$22,S1279&lt;=Законод!$H$23),S1279-Законод!$G$23,IF('01_Доходи'!S1279&gt;=Законод!$I$22,Законод!$H$24,0)))),IF($B$1275="Лікар-педіатр",IF(S1279&lt;Законод!$C$18,0,(IF(AND(S1279&gt;=Законод!$H$18,S1279&lt;=Законод!$H$19),S1279-Законод!$G$19,IF('01_Доходи'!S1279&gt;=Законод!$I$18,Законод!$H$20,0)))),IF($B$1275="Лікар-терапевт",IF(S1279&lt;Законод!$C$26,0,(IF(AND(S1279&gt;=Законод!$H$26,S1279&lt;=Законод!$H$27),S1279-Законод!$G$27,IF(S1279&gt;=Законод!$I$26,Законод!$H$28,0)))),0)))</f>
        <v>0</v>
      </c>
      <c r="T1284" s="930"/>
      <c r="U1284" s="889" t="s">
        <v>346</v>
      </c>
      <c r="V1284" s="890"/>
      <c r="W1284" s="890"/>
      <c r="X1284" s="890"/>
      <c r="Y1284" s="891"/>
      <c r="Z1284" s="196">
        <f ca="1">IF($B$1275="Лікар загальної практики - сімейний лікар",IF(Z1279&lt;Законод!$C$22,0,(IF(AND(Z1279&gt;=Законод!$H$22,Z1279&lt;=Законод!$H$23),Z1279-Законод!$G$23,IF('01_Доходи'!Z1279&gt;=Законод!$I$22,Законод!$H$24,0)))),IF($B$1275="Лікар-педіатр",IF(Z1279&lt;Законод!$C$18,0,(IF(AND(Z1279&gt;=Законод!$H$18,Z1279&lt;=Законод!$H$19),Z1279-Законод!$G$19,IF('01_Доходи'!Z1279&gt;=Законод!$I$18,Законод!$H$20,0)))),IF($B$1275="Лікар-терапевт",IF(Z1279&lt;Законод!$C$26,0,(IF(AND(Z1279&gt;=Законод!$H$26,Z1279&lt;=Законод!$H$27),Z1279-Законод!$G$27,IF(Z1279&gt;=Законод!$I$26,Законод!$H$28,0)))),0)))</f>
        <v>0</v>
      </c>
      <c r="AA1284" s="930"/>
      <c r="AB1284" s="889" t="s">
        <v>346</v>
      </c>
      <c r="AC1284" s="890"/>
      <c r="AD1284" s="890"/>
      <c r="AE1284" s="890"/>
      <c r="AF1284" s="891"/>
      <c r="AG1284" s="196">
        <f ca="1">IF($B$1275="Лікар загальної практики - сімейний лікар",IF(AG1279&lt;Законод!$C$22,0,(IF(AND(AG1279&gt;=Законод!$H$22,AG1279&lt;=Законод!$H$23),AG1279-Законод!$G$23,IF('01_Доходи'!AG1279&gt;=Законод!$I$22,Законод!$H$24,0)))),IF($B$1275="Лікар-педіатр",IF(AG1279&lt;Законод!$C$18,0,(IF(AND(AG1279&gt;=Законод!$H$18,AG1279&lt;=Законод!$H$19),AG1279-Законод!$G$19,IF('01_Доходи'!AG1279&gt;=Законод!$I$18,Законод!$H$20,0)))),IF($B$1275="Лікар-терапевт",IF(AG1279&lt;Законод!$C$26,0,(IF(AND(AG1279&gt;=Законод!$H$26,AG1279&lt;=Законод!$H$27),AG1279-Законод!$G$27,IF(AG1279&gt;=Законод!$I$26,Законод!$H$28,0)))),0)))</f>
        <v>0</v>
      </c>
      <c r="AH1284" s="930"/>
      <c r="AI1284" s="201"/>
      <c r="AJ1284" s="933"/>
      <c r="AK1284" s="927"/>
      <c r="AL1284" s="927"/>
      <c r="AM1284" s="899"/>
      <c r="AN1284" s="210">
        <f ca="1">IF(B1275="Лікар загальної практики - сімейний лікар",L1284*Законод!$C$9/4*Законод!$H$16,IF(B1275="Лікар-педіатр",L1284*Законод!$C$9/4*Законод!$H$16,IF(B1275="Лікар-терапевт",L1284*Законод!$C$9/4*Законод!$H$16,0)))</f>
        <v>0</v>
      </c>
      <c r="AO1284" s="210">
        <f ca="1">IF(B1275="Лікар загальної практики - сімейний лікар",S1284*Законод!$C$9/4*Законод!$H$16,IF(B1275="Лікар-педіатр",S1284*Законод!$C$9/4*Законод!$H$16,IF(B1275="Лікар-терапевт",S1284*Законод!$C$9/4*Законод!$H$16,0)))</f>
        <v>0</v>
      </c>
      <c r="AP1284" s="210">
        <f ca="1">IF(B1275="Лікар загальної практики - сімейний лікар",Z1284*Законод!$C$9/4*Законод!$H$16,IF(B1275="Лікар-педіатр",Z1284*Законод!$C$9/4*Законод!$H$16,IF(B1275="Лікар-терапевт",Z1284*Законод!$C$9/4*Законод!$H$16,0)))</f>
        <v>0</v>
      </c>
      <c r="AQ1284" s="210">
        <f ca="1">IF(B1275="Лікар загальної практики - сімейний лікар",AG1284*Законод!$C$9/4*Законод!$H$16,IF(B1275="Лікар-педіатр",AG1284*Законод!$C$9/4*Законод!$H$16,IF(B1275="Лікар-терапевт",AG1284*Законод!$C$9/4*Законод!$H$16,0)))</f>
        <v>0</v>
      </c>
      <c r="AR1284" s="211">
        <f t="shared" si="125"/>
        <v>0</v>
      </c>
    </row>
    <row r="1285" spans="1:44" s="50" customFormat="1" ht="31.9" hidden="1" customHeight="1">
      <c r="A1285" s="197"/>
      <c r="B1285" s="893"/>
      <c r="C1285" s="896"/>
      <c r="D1285" s="912"/>
      <c r="E1285" s="909"/>
      <c r="F1285" s="238" t="str">
        <f ca="1">IF(B1275="Лікар-педіатр",Законод!$I$17,IF(B1275="Лікар загальної практики - сімейний лікар",Законод!$I$21,IF(B1275="Лікар-терапевт",Законод!$I$25,"х")))</f>
        <v>х</v>
      </c>
      <c r="G1285" s="889" t="s">
        <v>346</v>
      </c>
      <c r="H1285" s="890"/>
      <c r="I1285" s="890"/>
      <c r="J1285" s="890"/>
      <c r="K1285" s="891"/>
      <c r="L1285" s="196">
        <f ca="1">IF($B$1275="Лікар загальної практики - сімейний лікар",IF(L1279&lt;Законод!$C$22,0,(IF(AND(L1279&gt;=Законод!$I$22,L1279&lt;=Законод!$I$23),L1279-Законод!$H$23,IF('01_Доходи'!L1279&gt;=Законод!$I$22,Законод!$I$24,0)))),IF($B$1275="Лікар-педіатр",IF(L1279&lt;Законод!$C$18,0,(IF(AND(L1279&gt;=Законод!$I$18,L1279&lt;=Законод!$I$19),L1279-Законод!$H$19,IF('01_Доходи'!L1279&gt;=Законод!$I$18,Законод!$H$20,0)))),IF($B$1275="Лікар-терапевт",IF(L1279&lt;Законод!$C$26,0,(IF(AND(L1279&gt;=Законод!$I$26,L1279&lt;=Законод!$I$27),L1279-Законод!$H$27,IF('01_Доходи'!L1279&gt;=Законод!$I$26,Законод!$H$28,0)))),0)))</f>
        <v>0</v>
      </c>
      <c r="M1285" s="930"/>
      <c r="N1285" s="889" t="s">
        <v>346</v>
      </c>
      <c r="O1285" s="890"/>
      <c r="P1285" s="890"/>
      <c r="Q1285" s="890"/>
      <c r="R1285" s="891"/>
      <c r="S1285" s="196">
        <f ca="1">IF($B$1275="Лікар загальної практики - сімейний лікар",IF(S1279&lt;Законод!$C$22,0,(IF(AND(S1279&gt;=Законод!$I$22,S1279&lt;=Законод!$I$23),S1279-Законод!$H$23,IF('01_Доходи'!S1279&gt;=Законод!$I$22,Законод!$I$24,0)))),IF($B$1275="Лікар-педіатр",IF(S1279&lt;Законод!$C$18,0,(IF(AND(S1279&gt;=Законод!$I$18,S1279&lt;=Законод!$I$19),S1279-Законод!$H$19,IF('01_Доходи'!S1279&gt;=Законод!$I$18,Законод!$H$20,0)))),IF($B$1275="Лікар-терапевт",IF(S1279&lt;Законод!$C$26,0,(IF(AND(S1279&gt;=Законод!$I$26,S1279&lt;=Законод!$I$27),S1279-Законод!$H$27,IF('01_Доходи'!S1279&gt;=Законод!$I$26,Законод!$H$28,0)))),0)))</f>
        <v>0</v>
      </c>
      <c r="T1285" s="930"/>
      <c r="U1285" s="889" t="s">
        <v>346</v>
      </c>
      <c r="V1285" s="890"/>
      <c r="W1285" s="890"/>
      <c r="X1285" s="890"/>
      <c r="Y1285" s="891"/>
      <c r="Z1285" s="196">
        <f ca="1">IF($B$1275="Лікар загальної практики - сімейний лікар",IF(Z1279&lt;Законод!$C$22,0,(IF(AND(Z1279&gt;=Законод!$I$22,Z1279&lt;=Законод!$I$23),Z1279-Законод!$H$23,IF('01_Доходи'!Z1279&gt;=Законод!$I$22,Законод!$I$24,0)))),IF($B$1275="Лікар-педіатр",IF(Z1279&lt;Законод!$C$18,0,(IF(AND(Z1279&gt;=Законод!$I$18,Z1279&lt;=Законод!$I$19),Z1279-Законод!$H$19,IF('01_Доходи'!Z1279&gt;=Законод!$I$18,Законод!$H$20,0)))),IF($B$1275="Лікар-терапевт",IF(Z1279&lt;Законод!$C$26,0,(IF(AND(Z1279&gt;=Законод!$I$26,Z1279&lt;=Законод!$I$27),Z1279-Законод!$H$27,IF('01_Доходи'!Z1279&gt;=Законод!$I$26,Законод!$H$28,0)))),0)))</f>
        <v>0</v>
      </c>
      <c r="AA1285" s="930"/>
      <c r="AB1285" s="889" t="s">
        <v>346</v>
      </c>
      <c r="AC1285" s="890"/>
      <c r="AD1285" s="890"/>
      <c r="AE1285" s="890"/>
      <c r="AF1285" s="891"/>
      <c r="AG1285" s="196">
        <f ca="1">IF($B$1275="Лікар загальної практики - сімейний лікар",IF(AG1279&lt;Законод!$C$22,0,(IF(AND(AG1279&gt;=Законод!$I$22,AG1279&lt;=Законод!$I$23),AG1279-Законод!$H$23,IF('01_Доходи'!AG1279&gt;=Законод!$I$22,Законод!$I$24,0)))),IF($B$1275="Лікар-педіатр",IF(AG1279&lt;Законод!$C$18,0,(IF(AND(AG1279&gt;=Законод!$I$18,AG1279&lt;=Законод!$I$19),AG1279-Законод!$H$19,IF('01_Доходи'!AG1279&gt;=Законод!$I$18,Законод!$H$20,0)))),IF($B$1275="Лікар-терапевт",IF(AG1279&lt;Законод!$C$26,0,(IF(AND(AG1279&gt;=Законод!$I$26,AG1279&lt;=Законод!$I$27),AG1279-Законод!$H$27,IF('01_Доходи'!AG1279&gt;=Законод!$I$26,Законод!$H$28,0)))),0)))</f>
        <v>0</v>
      </c>
      <c r="AH1285" s="930"/>
      <c r="AI1285" s="201"/>
      <c r="AJ1285" s="933"/>
      <c r="AK1285" s="927"/>
      <c r="AL1285" s="927"/>
      <c r="AM1285" s="899"/>
      <c r="AN1285" s="210">
        <f ca="1">IF(B1275="Лікар загальної практики - сімейний лікар",L1285*Законод!$C$9/4*Законод!$I$16,IF(B1275="Лікар-педіатр",L1285*Законод!$C$9/4*Законод!$I$16,IF(B1275="Лікар-терапевт",L1285*Законод!$C$9/4*Законод!$I$16,0)))</f>
        <v>0</v>
      </c>
      <c r="AO1285" s="210">
        <f ca="1">IF(B1275="Лікар загальної практики - сімейний лікар",S1285*Законод!$C$9/4*Законод!$I$16,IF(B1275="Лікар-педіатр",S1285*Законод!$C$9/4*Законод!$I$16,IF(B1275="Лікар-терапевт",S1285*Законод!$C$9/4*Законод!$I$16,0)))</f>
        <v>0</v>
      </c>
      <c r="AP1285" s="210">
        <f ca="1">IF(B1275="Лікар загальної практики - сімейний лікар",Z1285*Законод!$C$9/4*Законод!$I$16,IF(B1275="Лікар-педіатр",Z1285*Законод!$C$9/4*Законод!$I$16,IF(B1275="Лікар-терапевт",Z1285*Законод!$C$9/4*Законод!$I$16,0)))</f>
        <v>0</v>
      </c>
      <c r="AQ1285" s="210">
        <f ca="1">IF(B1275="Лікар загальної практики - сімейний лікар",AG1285*Законод!$C$9/4*Законод!$I$16,IF(B1275="Лікар-педіатр",AG1285*Законод!$C$9/4*Законод!$I$16,IF(B1275="Лікар-терапевт",AG1285*Законод!$C$9/4*Законод!$I$16,0)))</f>
        <v>0</v>
      </c>
      <c r="AR1285" s="211">
        <f t="shared" si="125"/>
        <v>0</v>
      </c>
    </row>
    <row r="1286" spans="1:44" s="218" customFormat="1" ht="31.9" hidden="1" customHeight="1" thickBot="1">
      <c r="A1286" s="213"/>
      <c r="B1286" s="894"/>
      <c r="C1286" s="897"/>
      <c r="D1286" s="913"/>
      <c r="E1286" s="910"/>
      <c r="F1286" s="239" t="str">
        <f ca="1">IF(B1275="Лікар-педіатр",Законод!$J$17,IF(B1275="Лікар загальної практики - сімейний лікар",Законод!$J$21,IF(B1275="Лікар-терапевт",Законод!$J$25,"х")))</f>
        <v>х</v>
      </c>
      <c r="G1286" s="935" t="s">
        <v>346</v>
      </c>
      <c r="H1286" s="936"/>
      <c r="I1286" s="936"/>
      <c r="J1286" s="936"/>
      <c r="K1286" s="937"/>
      <c r="L1286" s="196">
        <f ca="1">IF($B$1275="Лікар загальної практики - сімейний лікар",IF(L1279&gt;=Законод!$J$22,'01_Доходи'!L1279-('01_Доходи'!L1280+'01_Доходи'!L1281+'01_Доходи'!L1282+'01_Доходи'!L1283+'01_Доходи'!L1284+'01_Доходи'!L1285),0),IF($B$1275="Лікар-педіатр",IF(L1279&gt;=Законод!$J$18,'01_Доходи'!L1279-('01_Доходи'!L1280+'01_Доходи'!L1281+'01_Доходи'!L1282+'01_Доходи'!L1283+'01_Доходи'!L1284+'01_Доходи'!L1285),0),IF($B$1275="Лікар-терапевт",IF('01_Доходи'!L1279&gt;=Законод!$J$26,L1279-Законод!$I$27,0),0)))</f>
        <v>0</v>
      </c>
      <c r="M1286" s="931"/>
      <c r="N1286" s="935" t="s">
        <v>346</v>
      </c>
      <c r="O1286" s="936"/>
      <c r="P1286" s="936"/>
      <c r="Q1286" s="936"/>
      <c r="R1286" s="937"/>
      <c r="S1286" s="196">
        <f ca="1">IF($B$1275="Лікар загальної практики - сімейний лікар",IF(S1279&gt;=Законод!$J$22,'01_Доходи'!S1279-('01_Доходи'!S1280+'01_Доходи'!S1281+'01_Доходи'!S1282+'01_Доходи'!S1283+'01_Доходи'!S1284+'01_Доходи'!S1285),0),IF($B$1275="Лікар-педіатр",IF(S1279&gt;=Законод!$J$18,'01_Доходи'!S1279-('01_Доходи'!S1280+'01_Доходи'!S1281+'01_Доходи'!S1282+'01_Доходи'!S1283+'01_Доходи'!S1284+'01_Доходи'!S1285),0),IF($B$1275="Лікар-терапевт",IF('01_Доходи'!S1279&gt;=Законод!$J$26,S1279-Законод!$I$27,0),0)))</f>
        <v>0</v>
      </c>
      <c r="T1286" s="931"/>
      <c r="U1286" s="935" t="s">
        <v>346</v>
      </c>
      <c r="V1286" s="936"/>
      <c r="W1286" s="936"/>
      <c r="X1286" s="936"/>
      <c r="Y1286" s="937"/>
      <c r="Z1286" s="196">
        <f ca="1">IF($B$1275="Лікар загальної практики - сімейний лікар",IF(Z1279&gt;=Законод!$J$22,'01_Доходи'!Z1279-('01_Доходи'!Z1280+'01_Доходи'!Z1281+'01_Доходи'!Z1282+'01_Доходи'!Z1283+'01_Доходи'!Z1284+'01_Доходи'!Z1285),0),IF($B$1275="Лікар-педіатр",IF(Z1279&gt;=Законод!$J$18,'01_Доходи'!Z1279-('01_Доходи'!Z1280+'01_Доходи'!Z1281+'01_Доходи'!Z1282+'01_Доходи'!Z1283+'01_Доходи'!Z1284+'01_Доходи'!Z1285),0),IF($B$1275="Лікар-терапевт",IF('01_Доходи'!Z1279&gt;=Законод!$J$26,Z1279-Законод!$I$27,0),0)))</f>
        <v>0</v>
      </c>
      <c r="AA1286" s="931"/>
      <c r="AB1286" s="935" t="s">
        <v>346</v>
      </c>
      <c r="AC1286" s="936"/>
      <c r="AD1286" s="936"/>
      <c r="AE1286" s="936"/>
      <c r="AF1286" s="937"/>
      <c r="AG1286" s="196">
        <f ca="1">IF($B$1275="Лікар загальної практики - сімейний лікар",IF(AG1279&gt;=Законод!$J$22,'01_Доходи'!AG1279-('01_Доходи'!AG1280+'01_Доходи'!AG1281+'01_Доходи'!AG1282+'01_Доходи'!AG1283+'01_Доходи'!AG1284+'01_Доходи'!AG1285),0),IF($B$1275="Лікар-педіатр",IF(AG1279&gt;=Законод!$J$18,'01_Доходи'!AG1279-('01_Доходи'!AG1280+'01_Доходи'!AG1281+'01_Доходи'!AG1282+'01_Доходи'!AG1283+'01_Доходи'!AG1284+'01_Доходи'!AG1285),0),IF($B$1275="Лікар-терапевт",IF('01_Доходи'!AG1279&gt;=Законод!$J$26,AG1279-Законод!$I$27,0),0)))</f>
        <v>0</v>
      </c>
      <c r="AH1286" s="931"/>
      <c r="AI1286" s="215"/>
      <c r="AJ1286" s="934"/>
      <c r="AK1286" s="928"/>
      <c r="AL1286" s="928"/>
      <c r="AM1286" s="900"/>
      <c r="AN1286" s="216">
        <f ca="1">IF(B1275="Лікар загальної практики - сімейний лікар",L1286*Законод!$C$9/4*Законод!$J$16,IF(B1275="Лікар-педіатр",L1286*Законод!$C$9/4*Законод!$J$16,IF(B1275="Лікар-терапевт",L1286*Законод!$C$9/4*Законод!$J$16,0)))</f>
        <v>0</v>
      </c>
      <c r="AO1286" s="216">
        <f ca="1">IF(B1275="Лікар загальної практики - сімейний лікар",S1286*Законод!$C$9/4*Законод!$J$16,IF(B1275="Лікар-педіатр",S1286*Законод!$C$9/4*Законод!$J$16,IF(B1275="Лікар-терапевт",S1286*Законод!$C$9/4*Законод!$J$16,0)))</f>
        <v>0</v>
      </c>
      <c r="AP1286" s="216">
        <f ca="1">IF(B1275="Лікар загальної практики - сімейний лікар",S1286*Законод!$C$9/4*Законод!$J$16,IF(B1275="Лікар-педіатр",S1286*Законод!$C$9/4*Законод!$J$16,IF(B1275="Лікар-терапевт",S1286*Законод!$C$9/4*Законод!$J$16,0)))</f>
        <v>0</v>
      </c>
      <c r="AQ1286" s="216">
        <f ca="1">IF(B1275="Лікар загальної практики - сімейний лікар",AG1286*Законод!$C$9/4*Законод!$J$16,IF(B1275="Лікар-педіатр",AG1286*Законод!$C$9/4*Законод!$J$16,IF(B1275="Лікар-терапевт",AG1286*Законод!$C$9/4*Законод!$J$16,0)))</f>
        <v>0</v>
      </c>
      <c r="AR1286" s="217">
        <f t="shared" si="125"/>
        <v>0</v>
      </c>
    </row>
    <row r="1287" spans="1:44" s="247" customFormat="1" ht="23.45" hidden="1" customHeight="1" thickBot="1">
      <c r="A1287" s="243"/>
      <c r="B1287" s="244"/>
      <c r="C1287" s="244"/>
      <c r="D1287" s="244"/>
      <c r="E1287" s="244"/>
      <c r="F1287" s="245"/>
      <c r="G1287" s="246"/>
      <c r="H1287" s="246"/>
      <c r="L1287" s="248"/>
      <c r="S1287" s="248"/>
      <c r="Z1287" s="248"/>
      <c r="AG1287" s="248"/>
      <c r="AM1287" s="249"/>
      <c r="AR1287" s="250"/>
    </row>
    <row r="1288" spans="1:44" s="191" customFormat="1" ht="24.6" hidden="1" customHeight="1">
      <c r="A1288" s="194">
        <f>A1275+1</f>
        <v>97</v>
      </c>
      <c r="B1288" s="892"/>
      <c r="C1288" s="895"/>
      <c r="D1288" s="911"/>
      <c r="E1288" s="908"/>
      <c r="F1288" s="234" t="s">
        <v>582</v>
      </c>
      <c r="G1288" s="196">
        <f>IF($B$1288="Лікар-педіатр",G1291*L1288,IF($B$1288="Лікар-терапевт","х",IF($B$1288="Лікар загальної практики - сімейний лікар",G1291*L1288,0)))</f>
        <v>0</v>
      </c>
      <c r="H1288" s="196">
        <f>IF($B$1288="Лікар-педіатр",H1291*L1288,IF($B$1288="Лікар-терапевт","х",IF($B$1288="Лікар загальної практики - сімейний лікар",H1291*L1288,0)))</f>
        <v>0</v>
      </c>
      <c r="I1288" s="196">
        <f>IF($B$1288="Лікар-педіатр","x",IF($B$1288="Лікар-терапевт",I1291*L1288,IF($B$1288="Лікар загальної практики - сімейний лікар",I1291*L1288,0)))</f>
        <v>0</v>
      </c>
      <c r="J1288" s="196">
        <f>IF($B$1288="Лікар-педіатр","x",IF($B$1288="Лікар-терапевт",J1291*L1288,IF($B$1288="Лікар загальної практики - сімейний лікар",J1291*L1288,0)))</f>
        <v>0</v>
      </c>
      <c r="K1288" s="196">
        <f>IF($B$1288="Лікар-педіатр","x",IF($B$1288="Лікар-терапевт",K1291*L1288,IF($B$1288="Лікар загальної практики - сімейний лікар",K1291*L1288,0)))</f>
        <v>0</v>
      </c>
      <c r="L1288" s="558"/>
      <c r="M1288" s="929"/>
      <c r="N1288" s="196">
        <f>IF($B$1288="Лікар-педіатр",N1291*S1288,IF($B$1288="Лікар-терапевт","х",IF($B$1288="Лікар загальної практики - сімейний лікар",N1291*S1288,0)))</f>
        <v>0</v>
      </c>
      <c r="O1288" s="196">
        <f>IF($B$1288="Лікар-педіатр",O1291*S1288,IF($B$1288="Лікар-терапевт","х",IF($B$1288="Лікар загальної практики - сімейний лікар",O1291*S1288,0)))</f>
        <v>0</v>
      </c>
      <c r="P1288" s="196">
        <f>IF($B$1288="Лікар-педіатр","x",IF($B$1288="Лікар-терапевт",P1291*S1288,IF($B$1288="Лікар загальної практики - сімейний лікар",P1291*S1288,0)))</f>
        <v>0</v>
      </c>
      <c r="Q1288" s="196">
        <f>IF($B$1288="Лікар-педіатр","x",IF($B$1288="Лікар-терапевт",Q1291*S1288,IF($B$1288="Лікар загальної практики - сімейний лікар",Q1291*S1288,0)))</f>
        <v>0</v>
      </c>
      <c r="R1288" s="196">
        <f>IF($B$1288="Лікар-педіатр","x",IF($B$1288="Лікар-терапевт",R1291*S1288,IF($B$1288="Лікар загальної практики - сімейний лікар",R1291*S1288,0)))</f>
        <v>0</v>
      </c>
      <c r="S1288" s="558"/>
      <c r="T1288" s="929"/>
      <c r="U1288" s="196">
        <f>IF($B$1288="Лікар-педіатр",U1291*Z1288,IF($B$1288="Лікар-терапевт","х",IF($B$1288="Лікар загальної практики - сімейний лікар",U1291*Z1288,0)))</f>
        <v>0</v>
      </c>
      <c r="V1288" s="196">
        <f>IF($B$1288="Лікар-педіатр",V1291*Z1288,IF($B$1288="Лікар-терапевт","х",IF($B$1288="Лікар загальної практики - сімейний лікар",V1291*Z1288,0)))</f>
        <v>0</v>
      </c>
      <c r="W1288" s="196">
        <f>IF($B$1288="Лікар-педіатр","x",IF($B$1288="Лікар-терапевт",W1291*Z1288,IF($B$1288="Лікар загальної практики - сімейний лікар",W1291*Z1288,0)))</f>
        <v>0</v>
      </c>
      <c r="X1288" s="196">
        <f>IF($B$1288="Лікар-педіатр","x",IF($B$1288="Лікар-терапевт",X1291*Z1288,IF($B$1288="Лікар загальної практики - сімейний лікар",X1291*Z1288,0)))</f>
        <v>0</v>
      </c>
      <c r="Y1288" s="196">
        <f>IF($B$1288="Лікар-педіатр","x",IF($B$1288="Лікар-терапевт",Y1291*Z1288,IF($B$1288="Лікар загальної практики - сімейний лікар",Y1291*Z1288,0)))</f>
        <v>0</v>
      </c>
      <c r="Z1288" s="558"/>
      <c r="AA1288" s="929"/>
      <c r="AB1288" s="196">
        <f>IF($B$1288="Лікар-педіатр",AB1291*AG1288,IF($B$1288="Лікар-терапевт","х",IF($B$1288="Лікар загальної практики - сімейний лікар",AB1291*AG1288,0)))</f>
        <v>0</v>
      </c>
      <c r="AC1288" s="196">
        <f>IF($B$1288="Лікар-педіатр",AC1291*AG1288,IF($B$1288="Лікар-терапевт","х",IF($B$1288="Лікар загальної практики - сімейний лікар",AC1291*AG1288,0)))</f>
        <v>0</v>
      </c>
      <c r="AD1288" s="196">
        <f>IF($B$1288="Лікар-педіатр","x",IF($B$1288="Лікар-терапевт",AD1291*AG1288,IF($B$1288="Лікар загальної практики - сімейний лікар",AD1291*AG1288,0)))</f>
        <v>0</v>
      </c>
      <c r="AE1288" s="196">
        <f>IF($B$1288="Лікар-педіатр","x",IF($B$1288="Лікар-терапевт",AE1291*AG1288,IF($B$1288="Лікар загальної практики - сімейний лікар",AE1291*AG1288,0)))</f>
        <v>0</v>
      </c>
      <c r="AF1288" s="196">
        <f>IF($B$1288="Лікар-педіатр","x",IF($B$1288="Лікар-терапевт",AF1291*AG1288,IF($B$1288="Лікар загальної практики - сімейний лікар",AF1291*AG1288,0)))</f>
        <v>0</v>
      </c>
      <c r="AG1288" s="558"/>
      <c r="AH1288" s="929"/>
      <c r="AI1288" s="541">
        <f>A1288</f>
        <v>97</v>
      </c>
      <c r="AJ1288" s="932">
        <f>B1288</f>
        <v>0</v>
      </c>
      <c r="AK1288" s="926">
        <f>C1288</f>
        <v>0</v>
      </c>
      <c r="AL1288" s="926">
        <f>D1288</f>
        <v>0</v>
      </c>
      <c r="AM1288" s="901" t="s">
        <v>785</v>
      </c>
      <c r="AN1288" s="923">
        <f>SUM(AN1293:AN1299)</f>
        <v>0</v>
      </c>
      <c r="AO1288" s="923">
        <f>SUM(AO1293:AO1299)</f>
        <v>0</v>
      </c>
      <c r="AP1288" s="923">
        <f>SUM(AP1293:AP1299)</f>
        <v>0</v>
      </c>
      <c r="AQ1288" s="923">
        <f>SUM(AQ1293:AQ1299)</f>
        <v>0</v>
      </c>
      <c r="AR1288" s="914">
        <f>SUM(AN1288:AQ1292)</f>
        <v>0</v>
      </c>
    </row>
    <row r="1289" spans="1:44" s="50" customFormat="1" ht="28.15" hidden="1" customHeight="1">
      <c r="A1289" s="197"/>
      <c r="B1289" s="893"/>
      <c r="C1289" s="896"/>
      <c r="D1289" s="912"/>
      <c r="E1289" s="909"/>
      <c r="F1289" s="234" t="s">
        <v>583</v>
      </c>
      <c r="G1289" s="196">
        <f>IF($B$1288="Лікар-педіатр",G1291*L1289,IF($B$1288="Лікар-терапевт","х",IF($B$1288="Лікар загальної практики - сімейний лікар",G1291*L1289,0)))</f>
        <v>0</v>
      </c>
      <c r="H1289" s="196">
        <f>IF($B$1288="Лікар-педіатр",H1291*L1289,IF($B$1288="Лікар-терапевт","х",IF($B$1288="Лікар загальної практики - сімейний лікар",H1291*L1289,0)))</f>
        <v>0</v>
      </c>
      <c r="I1289" s="196">
        <f>IF($B$1288="Лікар-педіатр","x",IF($B$1288="Лікар-терапевт",I1291*L1289,IF($B$1288="Лікар загальної практики - сімейний лікар",I1291*L1289,0)))</f>
        <v>0</v>
      </c>
      <c r="J1289" s="196">
        <f>IF($B$1288="Лікар-педіатр","x",IF($B$1288="Лікар-терапевт",J1291*L1289,IF($B$1288="Лікар загальної практики - сімейний лікар",J1291*L1289,0)))</f>
        <v>0</v>
      </c>
      <c r="K1289" s="196">
        <f>IF($B$1288="Лікар-педіатр","x",IF($B$1288="Лікар-терапевт",K1291*L1289,IF($B$1288="Лікар загальної практики - сімейний лікар",K1291*L1289,0)))</f>
        <v>0</v>
      </c>
      <c r="L1289" s="558"/>
      <c r="M1289" s="930"/>
      <c r="N1289" s="196">
        <f>IF($B$1288="Лікар-педіатр",N1291*S1289,IF($B$1288="Лікар-терапевт","х",IF($B$1288="Лікар загальної практики - сімейний лікар",N1291*S1289,0)))</f>
        <v>0</v>
      </c>
      <c r="O1289" s="196">
        <f>IF($B$1288="Лікар-педіатр",O1291*S1289,IF($B$1288="Лікар-терапевт","х",IF($B$1288="Лікар загальної практики - сімейний лікар",O1291*S1289,0)))</f>
        <v>0</v>
      </c>
      <c r="P1289" s="196">
        <f>IF($B$1288="Лікар-педіатр","x",IF($B$1288="Лікар-терапевт",P1291*S1289,IF($B$1288="Лікар загальної практики - сімейний лікар",P1291*S1289,0)))</f>
        <v>0</v>
      </c>
      <c r="Q1289" s="196">
        <f>IF($B$1288="Лікар-педіатр","x",IF($B$1288="Лікар-терапевт",Q1291*S1289,IF($B$1288="Лікар загальної практики - сімейний лікар",Q1291*S1289,0)))</f>
        <v>0</v>
      </c>
      <c r="R1289" s="196">
        <f>IF($B$1288="Лікар-педіатр","x",IF($B$1288="Лікар-терапевт",R1291*S1289,IF($B$1288="Лікар загальної практики - сімейний лікар",R1291*S1289,0)))</f>
        <v>0</v>
      </c>
      <c r="S1289" s="558"/>
      <c r="T1289" s="930"/>
      <c r="U1289" s="196">
        <f>IF($B$1288="Лікар-педіатр",U1291*Z1289,IF($B$1288="Лікар-терапевт","х",IF($B$1288="Лікар загальної практики - сімейний лікар",U1291*Z1289,0)))</f>
        <v>0</v>
      </c>
      <c r="V1289" s="196">
        <f>IF($B$1288="Лікар-педіатр",V1291*Z1289,IF($B$1288="Лікар-терапевт","х",IF($B$1288="Лікар загальної практики - сімейний лікар",V1291*Z1289,0)))</f>
        <v>0</v>
      </c>
      <c r="W1289" s="196">
        <f>IF($B$1288="Лікар-педіатр","x",IF($B$1288="Лікар-терапевт",W1291*Z1289,IF($B$1288="Лікар загальної практики - сімейний лікар",W1291*Z1289,0)))</f>
        <v>0</v>
      </c>
      <c r="X1289" s="196">
        <f>IF($B$1288="Лікар-педіатр","x",IF($B$1288="Лікар-терапевт",X1291*Z1289,IF($B$1288="Лікар загальної практики - сімейний лікар",X1291*Z1289,0)))</f>
        <v>0</v>
      </c>
      <c r="Y1289" s="196">
        <f>IF($B$1288="Лікар-педіатр","x",IF($B$1288="Лікар-терапевт",Y1291*Z1289,IF($B$1288="Лікар загальної практики - сімейний лікар",Y1291*Z1289,0)))</f>
        <v>0</v>
      </c>
      <c r="Z1289" s="558"/>
      <c r="AA1289" s="930"/>
      <c r="AB1289" s="196">
        <f>IF($B$1288="Лікар-педіатр",AB1291*AG1289,IF($B$1288="Лікар-терапевт","х",IF($B$1288="Лікар загальної практики - сімейний лікар",AB1291*AG1289,0)))</f>
        <v>0</v>
      </c>
      <c r="AC1289" s="196">
        <f>IF($B$1288="Лікар-педіатр",AC1291*AG1289,IF($B$1288="Лікар-терапевт","х",IF($B$1288="Лікар загальної практики - сімейний лікар",AC1291*AG1289,0)))</f>
        <v>0</v>
      </c>
      <c r="AD1289" s="196">
        <f>IF($B$1288="Лікар-педіатр","x",IF($B$1288="Лікар-терапевт",AD1291*AG1289,IF($B$1288="Лікар загальної практики - сімейний лікар",AD1291*AG1289,0)))</f>
        <v>0</v>
      </c>
      <c r="AE1289" s="196">
        <f>IF($B$1288="Лікар-педіатр","x",IF($B$1288="Лікар-терапевт",AE1291*AG1289,IF($B$1288="Лікар загальної практики - сімейний лікар",AE1291*AG1289,0)))</f>
        <v>0</v>
      </c>
      <c r="AF1289" s="196">
        <f>IF($B$1288="Лікар-педіатр","x",IF($B$1288="Лікар-терапевт",AF1291*AG1289,IF($B$1288="Лікар загальної практики - сімейний лікар",AF1291*AG1289,0)))</f>
        <v>0</v>
      </c>
      <c r="AG1289" s="558"/>
      <c r="AH1289" s="930"/>
      <c r="AI1289" s="198"/>
      <c r="AJ1289" s="933"/>
      <c r="AK1289" s="927"/>
      <c r="AL1289" s="927"/>
      <c r="AM1289" s="902"/>
      <c r="AN1289" s="924"/>
      <c r="AO1289" s="924"/>
      <c r="AP1289" s="924"/>
      <c r="AQ1289" s="924"/>
      <c r="AR1289" s="915"/>
    </row>
    <row r="1290" spans="1:44" s="90" customFormat="1" ht="31.15" hidden="1" customHeight="1">
      <c r="A1290" s="240"/>
      <c r="B1290" s="893"/>
      <c r="C1290" s="896"/>
      <c r="D1290" s="912"/>
      <c r="E1290" s="909"/>
      <c r="F1290" s="241" t="s">
        <v>584</v>
      </c>
      <c r="G1290" s="199">
        <f>IF(B1288="Лікар загальної практики - сімейний лікар"," ",IF(B1288="Лікар-педіатр"," ",IF(B1288="Лікар-терапевт","х",0)))</f>
        <v>0</v>
      </c>
      <c r="H1290" s="199">
        <f>IF(B1288="Лікар загальної практики - сімейний лікар"," ",IF(B1288="Лікар-педіатр"," ",IF(B1288="Лікар-терапевт","х",0)))</f>
        <v>0</v>
      </c>
      <c r="I1290" s="199">
        <f>IF(B1288="Лікар загальної практики - сімейний лікар"," ",IF(B1288="Лікар-педіатр","х",IF(B1288="Лікар-терапевт"," ",0)))</f>
        <v>0</v>
      </c>
      <c r="J1290" s="199">
        <f>IF(B1288="Лікар загальної практики - сімейний лікар"," ",IF(B1288="Лікар-педіатр","х",IF(B1288="Лікар-терапевт"," ",0)))</f>
        <v>0</v>
      </c>
      <c r="K1290" s="199">
        <f>IF(B1288="Лікар загальної практики - сімейний лікар"," ",IF(B1288="Лікар-педіатр","х",IF(B1288="Лікар-терапевт"," ",0)))</f>
        <v>0</v>
      </c>
      <c r="L1290" s="200">
        <f>SUM(G1290:K1290)</f>
        <v>0</v>
      </c>
      <c r="M1290" s="930"/>
      <c r="N1290" s="199">
        <f>IF(B1288="Лікар загальної практики - сімейний лікар"," ",IF(B1288="Лікар-педіатр"," ",IF(B1288="Лікар-терапевт","х",0)))</f>
        <v>0</v>
      </c>
      <c r="O1290" s="199">
        <f>IF(B1288="Лікар загальної практики - сімейний лікар"," ",IF(B1288="Лікар-педіатр"," ",IF(B1288="Лікар-терапевт","х",0)))</f>
        <v>0</v>
      </c>
      <c r="P1290" s="199">
        <f>IF(B1288="Лікар загальної практики - сімейний лікар"," ",IF(B1288="Лікар-педіатр","х",IF(B1288="Лікар-терапевт"," ",0)))</f>
        <v>0</v>
      </c>
      <c r="Q1290" s="199">
        <f>IF(B1288="Лікар загальної практики - сімейний лікар"," ",IF(B1288="Лікар-педіатр","х",IF(B1288="Лікар-терапевт"," ",0)))</f>
        <v>0</v>
      </c>
      <c r="R1290" s="199">
        <f>IF(B1288="Лікар загальної практики - сімейний лікар"," ",IF(B1288="Лікар-педіатр","х",IF(B1288="Лікар-терапевт"," ",0)))</f>
        <v>0</v>
      </c>
      <c r="S1290" s="200">
        <f>SUM(N1290:R1290)</f>
        <v>0</v>
      </c>
      <c r="T1290" s="930"/>
      <c r="U1290" s="199">
        <f>IF(B1288="Лікар загальної практики - сімейний лікар"," ",IF(B1288="Лікар-педіатр"," ",IF(B1288="Лікар-терапевт","х",0)))</f>
        <v>0</v>
      </c>
      <c r="V1290" s="199">
        <f>IF(B1288="Лікар загальної практики - сімейний лікар"," ",IF(B1288="Лікар-педіатр"," ",IF(B1288="Лікар-терапевт","х",0)))</f>
        <v>0</v>
      </c>
      <c r="W1290" s="199">
        <f>IF(B1288="Лікар загальної практики - сімейний лікар"," ",IF(B1288="Лікар-педіатр","х",IF(B1288="Лікар-терапевт"," ",0)))</f>
        <v>0</v>
      </c>
      <c r="X1290" s="199">
        <f>IF(B1288="Лікар загальної практики - сімейний лікар"," ",IF(B1288="Лікар-педіатр","х",IF(B1288="Лікар-терапевт"," ",0)))</f>
        <v>0</v>
      </c>
      <c r="Y1290" s="199">
        <f>IF(B1288="Лікар загальної практики - сімейний лікар"," ",IF(B1288="Лікар-педіатр","х",IF(B1288="Лікар-терапевт"," ",0)))</f>
        <v>0</v>
      </c>
      <c r="Z1290" s="200">
        <f>SUM(U1290:Y1290)</f>
        <v>0</v>
      </c>
      <c r="AA1290" s="930"/>
      <c r="AB1290" s="199">
        <f>IF(B1288="Лікар загальної практики - сімейний лікар"," ",IF(B1288="Лікар-педіатр"," ",IF(B1288="Лікар-терапевт","х",0)))</f>
        <v>0</v>
      </c>
      <c r="AC1290" s="199">
        <f>IF(B1288="Лікар загальної практики - сімейний лікар"," ",IF(B1288="Лікар-педіатр"," ",IF(B1288="Лікар-терапевт","х",0)))</f>
        <v>0</v>
      </c>
      <c r="AD1290" s="199">
        <f>IF(B1288="Лікар загальної практики - сімейний лікар"," ",IF(B1288="Лікар-педіатр","х",IF(B1288="Лікар-терапевт"," ",0)))</f>
        <v>0</v>
      </c>
      <c r="AE1290" s="199">
        <f>IF(B1288="Лікар загальної практики - сімейний лікар"," ",IF(B1288="Лікар-педіатр","х",IF(B1288="Лікар-терапевт"," ",0)))</f>
        <v>0</v>
      </c>
      <c r="AF1290" s="199">
        <f>IF(B1288="Лікар загальної практики - сімейний лікар"," ",IF(B1288="Лікар-педіатр","х",IF(B1288="Лікар-терапевт"," ",0)))</f>
        <v>0</v>
      </c>
      <c r="AG1290" s="200">
        <f>SUM(AB1290:AF1290)</f>
        <v>0</v>
      </c>
      <c r="AH1290" s="930"/>
      <c r="AI1290" s="242"/>
      <c r="AJ1290" s="933"/>
      <c r="AK1290" s="927"/>
      <c r="AL1290" s="927"/>
      <c r="AM1290" s="902"/>
      <c r="AN1290" s="924"/>
      <c r="AO1290" s="924"/>
      <c r="AP1290" s="924"/>
      <c r="AQ1290" s="924"/>
      <c r="AR1290" s="915"/>
    </row>
    <row r="1291" spans="1:44" s="50" customFormat="1" ht="31.9" hidden="1" customHeight="1" thickBot="1">
      <c r="A1291" s="197"/>
      <c r="B1291" s="893"/>
      <c r="C1291" s="896"/>
      <c r="D1291" s="912"/>
      <c r="E1291" s="909"/>
      <c r="F1291" s="236" t="s">
        <v>349</v>
      </c>
      <c r="G1291" s="203">
        <f>IF($B$1288="Лікар-педіатр",G1290/L1290,IF($B$1288="Лікар-терапевт","х",IF($B$1288="Лікар загальної практики - сімейний лікар",G1290/L1290,0)))</f>
        <v>0</v>
      </c>
      <c r="H1291" s="203">
        <f>IF($B$1288="Лікар-педіатр",H1290/L1290,IF($B$1288="Лікар-терапевт","х",IF($B$1288="Лікар загальної практики - сімейний лікар",H1290/L1290,0)))</f>
        <v>0</v>
      </c>
      <c r="I1291" s="203">
        <f>IF($B$1288="Лікар-педіатр","x",IF($B$1288="Лікар-терапевт",I1290/L1290,IF($B$1288="Лікар загальної практики - сімейний лікар",I1290/L1290,0)))</f>
        <v>0</v>
      </c>
      <c r="J1291" s="203">
        <f>IF($B$1288="Лікар-педіатр","x",IF($B$1288="Лікар-терапевт",J1290/L1290,IF($B$1288="Лікар загальної практики - сімейний лікар",J1290/L1290,0)))</f>
        <v>0</v>
      </c>
      <c r="K1291" s="203">
        <f>IF($B$1288="Лікар-педіатр","x",IF($B$1288="Лікар-терапевт",K1290/L1290,IF($B$1288="Лікар загальної практики - сімейний лікар",K1290/L1290,0)))</f>
        <v>0</v>
      </c>
      <c r="L1291" s="203">
        <f>SUM(G1291:K1291)</f>
        <v>0</v>
      </c>
      <c r="M1291" s="930"/>
      <c r="N1291" s="203">
        <f>IF($B$1288="Лікар-педіатр",N1290/S1290,IF($B$1288="Лікар-терапевт","х",IF($B$1288="Лікар загальної практики - сімейний лікар",N1290/S1290,0)))</f>
        <v>0</v>
      </c>
      <c r="O1291" s="203">
        <f>IF($B$1288="Лікар-педіатр",O1290/S1290,IF($B$1288="Лікар-терапевт","х",IF($B$1288="Лікар загальної практики - сімейний лікар",O1290/S1290,0)))</f>
        <v>0</v>
      </c>
      <c r="P1291" s="203">
        <f>IF($B$1288="Лікар-педіатр","x",IF($B$1288="Лікар-терапевт",P1290/S1290,IF($B$1288="Лікар загальної практики - сімейний лікар",P1290/S1290,0)))</f>
        <v>0</v>
      </c>
      <c r="Q1291" s="203">
        <f>IF($B$1288="Лікар-педіатр","x",IF($B$1288="Лікар-терапевт",Q1290/S1290,IF($B$1288="Лікар загальної практики - сімейний лікар",Q1290/S1290,0)))</f>
        <v>0</v>
      </c>
      <c r="R1291" s="203">
        <f>IF($B$1288="Лікар-педіатр","x",IF($B$1288="Лікар-терапевт",R1290/S1290,IF($B$1288="Лікар загальної практики - сімейний лікар",R1290/S1290,0)))</f>
        <v>0</v>
      </c>
      <c r="S1291" s="203">
        <f>SUM(N1291:R1291)</f>
        <v>0</v>
      </c>
      <c r="T1291" s="930"/>
      <c r="U1291" s="203">
        <f>IF($B$1288="Лікар-педіатр",U1290/Z1290,IF($B$1288="Лікар-терапевт","х",IF($B$1288="Лікар загальної практики - сімейний лікар",U1290/Z1290,0)))</f>
        <v>0</v>
      </c>
      <c r="V1291" s="203">
        <f>IF($B$1288="Лікар-педіатр",V1290/Z1290,IF($B$1288="Лікар-терапевт","х",IF($B$1288="Лікар загальної практики - сімейний лікар",V1290/Z1290,0)))</f>
        <v>0</v>
      </c>
      <c r="W1291" s="203">
        <f>IF($B$1288="Лікар-педіатр","x",IF($B$1288="Лікар-терапевт",W1290/Z1290,IF($B$1288="Лікар загальної практики - сімейний лікар",W1290/Z1290,0)))</f>
        <v>0</v>
      </c>
      <c r="X1291" s="203">
        <f>IF($B$1288="Лікар-педіатр","x",IF($B$1288="Лікар-терапевт",X1290/Z1290,IF($B$1288="Лікар загальної практики - сімейний лікар",X1290/Z1290,0)))</f>
        <v>0</v>
      </c>
      <c r="Y1291" s="203">
        <f>IF($B$1288="Лікар-педіатр","x",IF($B$1288="Лікар-терапевт",Y1290/Z1290,IF($B$1288="Лікар загальної практики - сімейний лікар",Y1290/Z1290,0)))</f>
        <v>0</v>
      </c>
      <c r="Z1291" s="203">
        <f>SUM(U1291:Y1291)</f>
        <v>0</v>
      </c>
      <c r="AA1291" s="930"/>
      <c r="AB1291" s="203">
        <f>IF($B$1288="Лікар-педіатр",AB1290/AG1290,IF($B$1288="Лікар-терапевт","х",IF($B$1288="Лікар загальної практики - сімейний лікар",AB1290/AG1290,0)))</f>
        <v>0</v>
      </c>
      <c r="AC1291" s="203">
        <f>IF($B$1288="Лікар-педіатр",AC1290/AG1290,IF($B$1288="Лікар-терапевт","х",IF($B$1288="Лікар загальної практики - сімейний лікар",AC1290/AG1290,0)))</f>
        <v>0</v>
      </c>
      <c r="AD1291" s="203">
        <f>IF($B$1288="Лікар-педіатр","x",IF($B$1288="Лікар-терапевт",AD1290/AG1290,IF($B$1288="Лікар загальної практики - сімейний лікар",AD1290/AG1290,0)))</f>
        <v>0</v>
      </c>
      <c r="AE1291" s="203">
        <f>IF($B$1288="Лікар-педіатр","x",IF($B$1288="Лікар-терапевт",AE1290/AG1290,IF($B$1288="Лікар загальної практики - сімейний лікар",AE1290/AG1290,0)))</f>
        <v>0</v>
      </c>
      <c r="AF1291" s="203">
        <f>IF($B$1288="Лікар-педіатр","x",IF($B$1288="Лікар-терапевт",AF1290/AG1290,IF($B$1288="Лікар загальної практики - сімейний лікар",AF1290/AG1290,0)))</f>
        <v>0</v>
      </c>
      <c r="AG1291" s="203">
        <f>SUM(AB1291:AF1291)</f>
        <v>0</v>
      </c>
      <c r="AH1291" s="930"/>
      <c r="AI1291" s="201"/>
      <c r="AJ1291" s="933"/>
      <c r="AK1291" s="927"/>
      <c r="AL1291" s="927"/>
      <c r="AM1291" s="902"/>
      <c r="AN1291" s="924"/>
      <c r="AO1291" s="924"/>
      <c r="AP1291" s="924"/>
      <c r="AQ1291" s="924"/>
      <c r="AR1291" s="915"/>
    </row>
    <row r="1292" spans="1:44" s="50" customFormat="1" ht="45" hidden="1" customHeight="1" thickBot="1">
      <c r="A1292" s="197"/>
      <c r="B1292" s="893"/>
      <c r="C1292" s="896"/>
      <c r="D1292" s="912"/>
      <c r="E1292" s="909"/>
      <c r="F1292" s="204" t="s">
        <v>585</v>
      </c>
      <c r="G1292" s="205">
        <f>IF($B$1288="Лікар загальної практики - сімейний лікар",AVERAGE(G1288:G1290),IF($B$1288="Лікар-педіатр",AVERAGE(G1288:G1290),IF($B$1288="Лікар-терапевт","х",0)))</f>
        <v>0</v>
      </c>
      <c r="H1292" s="205">
        <f>IF($B$1288="Лікар загальної практики - сімейний лікар",AVERAGE(H1288:H1290),IF($B$1288="Лікар-педіатр",AVERAGE(H1288:H1290),IF($B$1288="Лікар-терапевт","х",0)))</f>
        <v>0</v>
      </c>
      <c r="I1292" s="205">
        <f>IF($B$1288="Лікар загальної практики - сімейний лікар",AVERAGE(I1288:I1290),IF($B$1288="Лікар-педіатр","x",IF($B$1288="Лікар-терапевт",AVERAGE(I1288:I1290),0)))</f>
        <v>0</v>
      </c>
      <c r="J1292" s="205">
        <f>IF($B$1288="Лікар загальної практики - сімейний лікар",AVERAGE(J1288:J1290),IF($B$1288="Лікар-педіатр","x",IF($B$1288="Лікар-терапевт",AVERAGE(J1288:J1290),0)))</f>
        <v>0</v>
      </c>
      <c r="K1292" s="205">
        <f>IF($B$1288="Лікар загальної практики - сімейний лікар",AVERAGE(K1288:K1290),IF($B$1288="Лікар-педіатр","x",IF($B$1288="Лікар-терапевт",AVERAGE(K1288:K1290),0)))</f>
        <v>0</v>
      </c>
      <c r="L1292" s="206">
        <f>SUM(G1292:K1292)</f>
        <v>0</v>
      </c>
      <c r="M1292" s="930"/>
      <c r="N1292" s="205">
        <f>IF($B$1288="Лікар загальної практики - сімейний лікар",AVERAGE(N1288:N1290),IF($B$1288="Лікар-педіатр",AVERAGE(N1288:N1290),IF($B$1288="Лікар-терапевт","х",0)))</f>
        <v>0</v>
      </c>
      <c r="O1292" s="205">
        <f>IF($B$1288="Лікар загальної практики - сімейний лікар",AVERAGE(O1288:O1290),IF($B$1288="Лікар-педіатр",AVERAGE(O1288:O1290),IF($B$1288="Лікар-терапевт","х",0)))</f>
        <v>0</v>
      </c>
      <c r="P1292" s="205">
        <f>IF($B$1288="Лікар загальної практики - сімейний лікар",AVERAGE(P1288:P1290),IF($B$1288="Лікар-педіатр","x",IF($B$1288="Лікар-терапевт",AVERAGE(P1288:P1290),0)))</f>
        <v>0</v>
      </c>
      <c r="Q1292" s="205">
        <f>IF($B$1288="Лікар загальної практики - сімейний лікар",AVERAGE(Q1288:Q1290),IF($B$1288="Лікар-педіатр","x",IF($B$1288="Лікар-терапевт",AVERAGE(Q1288:Q1290),0)))</f>
        <v>0</v>
      </c>
      <c r="R1292" s="205">
        <f>IF($B$1288="Лікар загальної практики - сімейний лікар",AVERAGE(R1288:R1290),IF($B$1288="Лікар-педіатр","x",IF($B$1288="Лікар-терапевт",AVERAGE(R1288:R1290),0)))</f>
        <v>0</v>
      </c>
      <c r="S1292" s="206">
        <f>SUM(N1292:R1292)</f>
        <v>0</v>
      </c>
      <c r="T1292" s="930"/>
      <c r="U1292" s="205">
        <f>IF($B$1288="Лікар загальної практики - сімейний лікар",AVERAGE(U1288:U1290),IF($B$1288="Лікар-педіатр",AVERAGE(U1288:U1290),IF($B$1288="Лікар-терапевт","х",0)))</f>
        <v>0</v>
      </c>
      <c r="V1292" s="205">
        <f>IF($B$1288="Лікар загальної практики - сімейний лікар",AVERAGE(V1288:V1290),IF($B$1288="Лікар-педіатр",AVERAGE(V1288:V1290),IF($B$1288="Лікар-терапевт","х",0)))</f>
        <v>0</v>
      </c>
      <c r="W1292" s="205">
        <f>IF($B$1288="Лікар загальної практики - сімейний лікар",AVERAGE(W1288:W1290),IF($B$1288="Лікар-педіатр","x",IF($B$1288="Лікар-терапевт",AVERAGE(W1288:W1290),0)))</f>
        <v>0</v>
      </c>
      <c r="X1292" s="205">
        <f>IF($B$1288="Лікар загальної практики - сімейний лікар",AVERAGE(X1288:X1290),IF($B$1288="Лікар-педіатр","x",IF($B$1288="Лікар-терапевт",AVERAGE(X1288:X1290),0)))</f>
        <v>0</v>
      </c>
      <c r="Y1292" s="205">
        <f>IF($B$1288="Лікар загальної практики - сімейний лікар",AVERAGE(Y1288:Y1290),IF($B$1288="Лікар-педіатр","x",IF($B$1288="Лікар-терапевт",AVERAGE(Y1288:Y1290),0)))</f>
        <v>0</v>
      </c>
      <c r="Z1292" s="206">
        <f>SUM(U1292:Y1292)</f>
        <v>0</v>
      </c>
      <c r="AA1292" s="930"/>
      <c r="AB1292" s="205">
        <f>IF($B$1288="Лікар загальної практики - сімейний лікар",AVERAGE(AB1288:AB1290),IF($B$1288="Лікар-педіатр",AVERAGE(AB1288:AB1290),IF($B$1288="Лікар-терапевт","х",0)))</f>
        <v>0</v>
      </c>
      <c r="AC1292" s="205">
        <f>IF($B$1288="Лікар загальної практики - сімейний лікар",AVERAGE(AC1288:AC1290),IF($B$1288="Лікар-педіатр",AVERAGE(AC1288:AC1290),IF($B$1288="Лікар-терапевт","х",0)))</f>
        <v>0</v>
      </c>
      <c r="AD1292" s="205">
        <f>IF($B$1288="Лікар загальної практики - сімейний лікар",AVERAGE(AD1288:AD1290),IF($B$1288="Лікар-педіатр","x",IF($B$1288="Лікар-терапевт",AVERAGE(AD1288:AD1290),0)))</f>
        <v>0</v>
      </c>
      <c r="AE1292" s="205">
        <f>IF($B$1288="Лікар загальної практики - сімейний лікар",AVERAGE(AE1288:AE1290),IF($B$1288="Лікар-педіатр","x",IF($B$1288="Лікар-терапевт",AVERAGE(AE1288:AE1290),0)))</f>
        <v>0</v>
      </c>
      <c r="AF1292" s="205">
        <f>IF($B$1288="Лікар загальної практики - сімейний лікар",AVERAGE(AF1288:AF1290),IF($B$1288="Лікар-педіатр","x",IF($B$1288="Лікар-терапевт",AVERAGE(AF1288:AF1290),0)))</f>
        <v>0</v>
      </c>
      <c r="AG1292" s="206">
        <f>SUM(AB1292:AF1292)</f>
        <v>0</v>
      </c>
      <c r="AH1292" s="930"/>
      <c r="AI1292" s="201"/>
      <c r="AJ1292" s="933"/>
      <c r="AK1292" s="927"/>
      <c r="AL1292" s="927"/>
      <c r="AM1292" s="903"/>
      <c r="AN1292" s="925"/>
      <c r="AO1292" s="925"/>
      <c r="AP1292" s="925"/>
      <c r="AQ1292" s="925"/>
      <c r="AR1292" s="916"/>
    </row>
    <row r="1293" spans="1:44" s="50" customFormat="1" ht="40.5" hidden="1">
      <c r="A1293" s="197"/>
      <c r="B1293" s="893"/>
      <c r="C1293" s="896"/>
      <c r="D1293" s="912"/>
      <c r="E1293" s="909"/>
      <c r="F1293" s="237" t="str">
        <f ca="1">IF(B1288="Лікар-педіатр",Законод!$C$17,IF(B1288="Лікар загальної практики - сімейний лікар",Законод!$C$21,IF(B1288="Лікар-терапевт",Законод!$C$25,"х")))</f>
        <v>х</v>
      </c>
      <c r="G1293" s="208">
        <f ca="1">IF($B$1288="Лікар загальної практики - сімейний лікар",IF(L1292&lt;=Законод!$C$22,G1292,Законод!$C$22*'01_Доходи'!G1291),IF($B$1288="Лікар-педіатр",IF(L1292&lt;=Законод!$C$18,G1292,Законод!$C$18*'01_Доходи'!G1291),IF($B$1288="Лікар-терапевт","x",0)))</f>
        <v>0</v>
      </c>
      <c r="H1293" s="208">
        <f ca="1">IF($B$1288="Лікар загальної практики - сімейний лікар",IF(L1292&lt;=Законод!$C$22,H1292,Законод!$C$22*'01_Доходи'!H1291),IF($B$1288="Лікар-педіатр",IF(L1292&lt;=Законод!$C$18,H1292,Законод!$C$18*'01_Доходи'!H1291),IF($B$1288="Лікар-терапевт","x",0)))</f>
        <v>0</v>
      </c>
      <c r="I1293" s="208">
        <f ca="1">IF($B$1288="Лікар загальної практики - сімейний лікар",IF(L1292&lt;=Законод!$C$22,I1292,Законод!$C$22*'01_Доходи'!I1291),IF($B$1288="Лікар-педіатр","x",IF($B$1288="Лікар-терапевт",IF(L1292&lt;=Законод!$C$26,I1292,Законод!$C$26*'01_Доходи'!I1291),0)))</f>
        <v>0</v>
      </c>
      <c r="J1293" s="208">
        <f ca="1">IF($B$1288="Лікар загальної практики - сімейний лікар",IF(L1292&lt;=Законод!$C$22,J1292,Законод!$C$22*'01_Доходи'!J1291),IF($B$1288="Лікар-педіатр","x",IF($B$1288="Лікар-терапевт",IF(L1292&lt;=Законод!$C$26,J1292,Законод!$C$26*'01_Доходи'!J1291),0)))</f>
        <v>0</v>
      </c>
      <c r="K1293" s="208">
        <f ca="1">IF($B$1288="Лікар загальної практики - сімейний лікар",IF(L1292&lt;=Законод!$C$22,K1292,Законод!$C$22*'01_Доходи'!K1291),IF($B$1288="Лікар-педіатр","x",IF($B$1288="Лікар-терапевт",IF(L1292&lt;=Законод!$C$26,K1292,Законод!$C$26*'01_Доходи'!K1291),0)))</f>
        <v>0</v>
      </c>
      <c r="L1293" s="209">
        <f ca="1">SUM(G1293:K1293)</f>
        <v>0</v>
      </c>
      <c r="M1293" s="930"/>
      <c r="N1293" s="208">
        <f ca="1">IF($B$1288="Лікар загальної практики - сімейний лікар",IF(S1292&lt;=Законод!$C$22,N1292,Законод!$C$22*'01_Доходи'!N1291),IF($B$1288="Лікар-педіатр",IF(S1292&lt;=Законод!$C$18,N1292,Законод!$C$18*'01_Доходи'!N1291),IF($B$1288="Лікар-терапевт","x",0)))</f>
        <v>0</v>
      </c>
      <c r="O1293" s="208">
        <f ca="1">IF($B$1288="Лікар загальної практики - сімейний лікар",IF(S1292&lt;=Законод!$C$22,O1292,Законод!$C$22*'01_Доходи'!O1291),IF($B$1288="Лікар-педіатр",IF(S1292&lt;=Законод!$C$18,O1292,Законод!$C$18*'01_Доходи'!O1291),IF($B$1288="Лікар-терапевт","x",0)))</f>
        <v>0</v>
      </c>
      <c r="P1293" s="208">
        <f ca="1">IF($B$1288="Лікар загальної практики - сімейний лікар",IF(S1292&lt;=Законод!$C$22,P1292,Законод!$C$22*'01_Доходи'!P1291),IF($B$1288="Лікар-педіатр","x",IF($B$1288="Лікар-терапевт",IF(S1292&lt;=Законод!$C$26,P1292,Законод!$C$26*'01_Доходи'!P1291),0)))</f>
        <v>0</v>
      </c>
      <c r="Q1293" s="208">
        <f ca="1">IF($B$1288="Лікар загальної практики - сімейний лікар",IF(S1292&lt;=Законод!$C$22,Q1292,Законод!$C$22*'01_Доходи'!Q1291),IF($B$1288="Лікар-педіатр","x",IF($B$1288="Лікар-терапевт",IF(S1292&lt;=Законод!$C$26,Q1292,Законод!$C$26*'01_Доходи'!Q1291),0)))</f>
        <v>0</v>
      </c>
      <c r="R1293" s="208">
        <f ca="1">IF($B$1288="Лікар загальної практики - сімейний лікар",IF(S1292&lt;=Законод!$C$22,R1292,Законод!$C$22*'01_Доходи'!R1291),IF($B$1288="Лікар-педіатр","x",IF($B$1288="Лікар-терапевт",IF(S1292&lt;=Законод!$C$26,R1292,Законод!$C$26*'01_Доходи'!R1291),0)))</f>
        <v>0</v>
      </c>
      <c r="S1293" s="209">
        <f ca="1">SUM(N1293:R1293)</f>
        <v>0</v>
      </c>
      <c r="T1293" s="930"/>
      <c r="U1293" s="208">
        <f ca="1">IF($B$1288="Лікар загальної практики - сімейний лікар",IF(Z1292&lt;=Законод!$C$22,U1292,Законод!$C$22*'01_Доходи'!U1291),IF($B$1288="Лікар-педіатр",IF(Z1292&lt;=Законод!$C$18,U1292,Законод!$C$18*'01_Доходи'!U1291),IF($B$1288="Лікар-терапевт","x",0)))</f>
        <v>0</v>
      </c>
      <c r="V1293" s="208">
        <f ca="1">IF($B$1288="Лікар загальної практики - сімейний лікар",IF(Z1292&lt;=Законод!$C$22,V1292,Законод!$C$22*'01_Доходи'!V1291),IF($B$1288="Лікар-педіатр",IF(Z1292&lt;=Законод!$C$18,V1292,Законод!$C$18*'01_Доходи'!V1291),IF($B$1288="Лікар-терапевт","x",0)))</f>
        <v>0</v>
      </c>
      <c r="W1293" s="208">
        <f ca="1">IF($B$1288="Лікар загальної практики - сімейний лікар",IF(Z1292&lt;=Законод!$C$22,W1292,Законод!$C$22*'01_Доходи'!W1291),IF($B$1288="Лікар-педіатр","x",IF($B$1288="Лікар-терапевт",IF(Z1292&lt;=Законод!$C$26,W1292,Законод!$C$26*'01_Доходи'!W1291),0)))</f>
        <v>0</v>
      </c>
      <c r="X1293" s="208">
        <f ca="1">IF($B$1288="Лікар загальної практики - сімейний лікар",IF(Z1292&lt;=Законод!$C$22,X1292,Законод!$C$22*'01_Доходи'!X1291),IF($B$1288="Лікар-педіатр","x",IF($B$1288="Лікар-терапевт",IF(Z1292&lt;=Законод!$C$26,X1292,Законод!$C$26*'01_Доходи'!X1291),0)))</f>
        <v>0</v>
      </c>
      <c r="Y1293" s="208">
        <f ca="1">IF($B$1288="Лікар загальної практики - сімейний лікар",IF(Z1292&lt;=Законод!$C$22,Y1292,Законод!$C$22*'01_Доходи'!Y1291),IF($B$1288="Лікар-педіатр","x",IF($B$1288="Лікар-терапевт",IF(Z1292&lt;=Законод!$C$26,Y1292,Законод!$C$26*'01_Доходи'!Y1291),0)))</f>
        <v>0</v>
      </c>
      <c r="Z1293" s="209">
        <f ca="1">SUM(U1293:Y1293)</f>
        <v>0</v>
      </c>
      <c r="AA1293" s="930"/>
      <c r="AB1293" s="208">
        <f ca="1">IF($B$1288="Лікар загальної практики - сімейний лікар",IF(AG1292&lt;=Законод!$C$22,AB1292,Законод!$C$22*'01_Доходи'!AB1291),IF($B$1288="Лікар-педіатр",IF(AG1292&lt;=Законод!$C$18,AB1292,Законод!$C$18*'01_Доходи'!AB1291),IF($B$1288="Лікар-терапевт","x",0)))</f>
        <v>0</v>
      </c>
      <c r="AC1293" s="208">
        <f ca="1">IF($B$1288="Лікар загальної практики - сімейний лікар",IF(AG1292&lt;=Законод!$C$22,AC1292,Законод!$C$22*'01_Доходи'!AC1291),IF($B$1288="Лікар-педіатр",IF(AG1292&lt;=Законод!$C$18,AC1292,Законод!$C$18*'01_Доходи'!AC1291),IF($B$1288="Лікар-терапевт","x",0)))</f>
        <v>0</v>
      </c>
      <c r="AD1293" s="208">
        <f ca="1">IF($B$1288="Лікар загальної практики - сімейний лікар",IF(AG1292&lt;=Законод!$C$22,AD1292,Законод!$C$22*'01_Доходи'!AD1291),IF($B$1288="Лікар-педіатр","x",IF($B$1288="Лікар-терапевт",IF(AG1292&lt;=Законод!$C$26,AD1292,Законод!$C$26*'01_Доходи'!AD1291),0)))</f>
        <v>0</v>
      </c>
      <c r="AE1293" s="208">
        <f ca="1">IF($B$1288="Лікар загальної практики - сімейний лікар",IF(AG1292&lt;=Законод!$C$22,AE1292,Законод!$C$22*'01_Доходи'!AE1291),IF($B$1288="Лікар-педіатр","x",IF($B$1288="Лікар-терапевт",IF(AG1292&lt;=Законод!$C$26,AE1292,Законод!$C$26*'01_Доходи'!AE1291),0)))</f>
        <v>0</v>
      </c>
      <c r="AF1293" s="208">
        <f ca="1">IF($B$1288="Лікар загальної практики - сімейний лікар",IF(AG1292&lt;=Законод!$C$22,AF1292,Законод!$C$22*'01_Доходи'!AF1291),IF($B$1288="Лікар-педіатр","x",IF($B$1288="Лікар-терапевт",IF(AG1292&lt;=Законод!$C$26,AF1292,Законод!$C$26*'01_Доходи'!AF1291),0)))</f>
        <v>0</v>
      </c>
      <c r="AG1293" s="209">
        <f ca="1">SUM(AB1293:AF1293)</f>
        <v>0</v>
      </c>
      <c r="AH1293" s="930"/>
      <c r="AI1293" s="201"/>
      <c r="AJ1293" s="933"/>
      <c r="AK1293" s="927"/>
      <c r="AL1293" s="927"/>
      <c r="AM1293" s="348" t="s">
        <v>374</v>
      </c>
      <c r="AN1293" s="210">
        <f ca="1">IF(B1288="Лікар загальної практики - сімейний лікар",G1293*Законод!$C$11+'01_Доходи'!H1293*Законод!$D$11+'01_Доходи'!I1293*Законод!$E$11+'01_Доходи'!J1293*Законод!$F$11+'01_Доходи'!K1293*Законод!$G$11,IF(B1288="Лікар-педіатр",G1293*Законод!$C$11+'01_Доходи'!H1293*Законод!$D$11,IF(B1288="Лікар-терапевт",'01_Доходи'!I1293*Законод!$E$11+'01_Доходи'!J1293*Законод!$F$11+'01_Доходи'!K1293*Законод!$G$11,0)))</f>
        <v>0</v>
      </c>
      <c r="AO1293" s="210">
        <f ca="1">IF(B1288="Лікар загальної практики - сімейний лікар",N1293*Законод!$C$11+'01_Доходи'!O1293*Законод!$D$11+'01_Доходи'!P1293*Законод!$E$11+'01_Доходи'!Q1293*Законод!$F$11+'01_Доходи'!R1293*Законод!$G$11,IF(B1288="Лікар-педіатр",N1293*Законод!$C$11+'01_Доходи'!O1293*Законод!$D$11,IF(B1288="Лікар-терапевт",'01_Доходи'!P1293*Законод!$E$11+'01_Доходи'!Q1293*Законод!$F$11+'01_Доходи'!R1293*Законод!$G$11,0)))</f>
        <v>0</v>
      </c>
      <c r="AP1293" s="210">
        <f ca="1">IF(B1288="Лікар загальної практики - сімейний лікар",U1293*Законод!$C$11+'01_Доходи'!V1293*Законод!$D$11+'01_Доходи'!W1293*Законод!$E$11+'01_Доходи'!X1293*Законод!$F$11+'01_Доходи'!Y1293*Законод!$G$11,IF(B1288="Лікар-педіатр",U1293*Законод!$C$11+'01_Доходи'!V1293*Законод!$D$11,IF(B1288="Лікар-терапевт",'01_Доходи'!W1293*Законод!$E$11+'01_Доходи'!X1293*Законод!$F$11+'01_Доходи'!Y1293*Законод!$G$11,0)))</f>
        <v>0</v>
      </c>
      <c r="AQ1293" s="210">
        <f ca="1">IF(B1288="Лікар загальної практики - сімейний лікар",AB1293*Законод!$C$11+'01_Доходи'!AC1293*Законод!$D$11+'01_Доходи'!AD1293*Законод!$E$11+'01_Доходи'!AE1293*Законод!$F$11+'01_Доходи'!AF1293*Законод!$G$11,IF(B1288="Лікар-педіатр",AB1293*Законод!$C$11+'01_Доходи'!AC1293*Законод!$D$11,IF(B1288="Лікар-терапевт",'01_Доходи'!AD1293*Законод!$E$11+'01_Доходи'!AE1293*Законод!$F$11+'01_Доходи'!AF1293*Законод!$G$11,0)))</f>
        <v>0</v>
      </c>
      <c r="AR1293" s="211">
        <f t="shared" ref="AR1293:AR1299" si="126">SUM(AN1293:AQ1293)</f>
        <v>0</v>
      </c>
    </row>
    <row r="1294" spans="1:44" s="50" customFormat="1" ht="31.9" hidden="1" customHeight="1">
      <c r="A1294" s="197"/>
      <c r="B1294" s="893"/>
      <c r="C1294" s="896"/>
      <c r="D1294" s="912"/>
      <c r="E1294" s="909"/>
      <c r="F1294" s="238" t="str">
        <f ca="1">IF(B1288="Лікар-педіатр",Законод!$E$17,IF(B1288="Лікар загальної практики - сімейний лікар",Законод!$E$21,IF(B1288="Лікар-терапевт",Законод!$E$25,"х")))</f>
        <v>х</v>
      </c>
      <c r="G1294" s="889" t="s">
        <v>346</v>
      </c>
      <c r="H1294" s="890"/>
      <c r="I1294" s="890"/>
      <c r="J1294" s="890"/>
      <c r="K1294" s="891"/>
      <c r="L1294" s="196">
        <f ca="1">IF($B$1288="Лікар загальної практики - сімейний лікар",IF(L1292&lt;Законод!$C$22,0,(IF(AND(L1292&gt;=Законод!$E$22,L1292&lt;=Законод!$E$23),L1292-Законод!$C$22,IF('01_Доходи'!L1292&gt;=Законод!$F$22,Законод!$E$24,0)))),IF($B$1288="Лікар-педіатр",IF(L1292&lt;Законод!$C$18,0,(IF(AND(L1292&gt;=Законод!$E$18,L1292&lt;=Законод!$E$19),L1292-Законод!$C$18,IF('01_Доходи'!L1292&gt;=Законод!$F$18,Законод!$E$20,0)))),IF($B$1288="Лікар-терапевт",IF(L1292&lt;Законод!$C$26,0,(IF(AND(L1292&gt;=Законод!$E$26,L1292&lt;=Законод!$E$27),L1292-Законод!$C$26,IF('01_Доходи'!L1292&gt;=Законод!$F$26,Законод!$E$28,0)))),0)))</f>
        <v>0</v>
      </c>
      <c r="M1294" s="930"/>
      <c r="N1294" s="889" t="s">
        <v>346</v>
      </c>
      <c r="O1294" s="890"/>
      <c r="P1294" s="890"/>
      <c r="Q1294" s="890"/>
      <c r="R1294" s="891"/>
      <c r="S1294" s="196">
        <f ca="1">IF($B$1288="Лікар загальної практики - сімейний лікар",IF(S1292&lt;Законод!$C$22,0,(IF(AND(S1292&gt;=Законод!$E$22,S1292&lt;=Законод!$E$23),S1292-Законод!$C$22,IF('01_Доходи'!S1292&gt;=Законод!$F$22,Законод!$E$24,0)))),IF($B$1288="Лікар-педіатр",IF(S1292&lt;Законод!$C$18,0,(IF(AND(S1292&gt;=Законод!$E$18,S1292&lt;=Законод!$E$19),S1292-Законод!$C$18,IF('01_Доходи'!S1292&gt;=Законод!$F$18,Законод!$E$20,0)))),IF($B$1288="Лікар-терапевт",IF(S1292&lt;Законод!$C$26,0,(IF(AND(S1292&gt;=Законод!$E$26,S1292&lt;=Законод!$E$27),S1292-Законод!$C$26,IF('01_Доходи'!S1292&gt;=Законод!$F$26,Законод!$E$28,0)))),0)))</f>
        <v>0</v>
      </c>
      <c r="T1294" s="930"/>
      <c r="U1294" s="889" t="s">
        <v>346</v>
      </c>
      <c r="V1294" s="890"/>
      <c r="W1294" s="890"/>
      <c r="X1294" s="890"/>
      <c r="Y1294" s="891"/>
      <c r="Z1294" s="196">
        <f ca="1">IF($B$1288="Лікар загальної практики - сімейний лікар",IF(Z1292&lt;Законод!$C$22,0,(IF(AND(Z1292&gt;=Законод!$E$22,Z1292&lt;=Законод!$E$23),Z1292-Законод!$C$22,IF('01_Доходи'!Z1292&gt;=Законод!$F$22,Законод!$E$24,0)))),IF($B$1288="Лікар-педіатр",IF(Z1292&lt;Законод!$C$18,0,(IF(AND(Z1292&gt;=Законод!$E$18,Z1292&lt;=Законод!$E$19),Z1292-Законод!$C$18,IF('01_Доходи'!Z1292&gt;=Законод!$F$18,Законод!$E$20,0)))),IF($B$1288="Лікар-терапевт",IF(Z1292&lt;Законод!$C$26,0,(IF(AND(Z1292&gt;=Законод!$E$26,Z1292&lt;=Законод!$E$27),Z1292-Законод!$C$26,IF('01_Доходи'!Z1292&gt;=Законод!$F$26,Законод!$E$28,0)))),0)))</f>
        <v>0</v>
      </c>
      <c r="AA1294" s="930"/>
      <c r="AB1294" s="889" t="s">
        <v>346</v>
      </c>
      <c r="AC1294" s="890"/>
      <c r="AD1294" s="890"/>
      <c r="AE1294" s="890"/>
      <c r="AF1294" s="891"/>
      <c r="AG1294" s="196">
        <f ca="1">IF($B$1288="Лікар загальної практики - сімейний лікар",IF(AG1292&lt;Законод!$C$22,0,(IF(AND(AG1292&gt;=Законод!$E$22,AG1292&lt;=Законод!$E$23),AG1292-Законод!$C$22,IF('01_Доходи'!AG1292&gt;=Законод!$F$22,Законод!$E$24,0)))),IF($B$1288="Лікар-педіатр",IF(AG1292&lt;Законод!$C$18,0,(IF(AND(AG1292&gt;=Законод!$E$18,AG1292&lt;=Законод!$E$19),AG1292-Законод!$C$18,IF('01_Доходи'!AG1292&gt;=Законод!$F$18,Законод!$E$20,0)))),IF($B$1288="Лікар-терапевт",IF(AG1292&lt;Законод!$C$26,0,(IF(AND(AG1292&gt;=Законод!$E$26,AG1292&lt;=Законод!$E$27),AG1292-Законод!$C$26,IF('01_Доходи'!AG1292&gt;=Законод!$F$26,Законод!$E$28,0)))),0)))</f>
        <v>0</v>
      </c>
      <c r="AH1294" s="930"/>
      <c r="AI1294" s="201"/>
      <c r="AJ1294" s="933"/>
      <c r="AK1294" s="927"/>
      <c r="AL1294" s="927"/>
      <c r="AM1294" s="898" t="s">
        <v>375</v>
      </c>
      <c r="AN1294" s="210">
        <f ca="1">IF(B1288="Лікар загальної практики - сімейний лікар",L1294*Законод!$C$9/4*Законод!$E$16,IF(B1288="Лікар-педіатр",L1294*Законод!$C$9/4*Законод!$E$16,IF(B1288="Лікар-терапевт",L1294*Законод!$C$9/4*Законод!$E$16,0)))</f>
        <v>0</v>
      </c>
      <c r="AO1294" s="210">
        <f ca="1">IF(B1288="Лікар загальної практики - сімейний лікар",S1294*Законод!$C$9/4*Законод!$E$16,IF(B1288="Лікар-педіатр",S1294*Законод!$C$9/4*Законод!$E$16,IF(B1288="Лікар-терапевт",S1294*Законод!$C$9/4*Законод!$E$16,0)))</f>
        <v>0</v>
      </c>
      <c r="AP1294" s="210">
        <f ca="1">IF(B1288="Лікар загальної практики - сімейний лікар",Z1294*Законод!$C$9/4*Законод!$E$16,IF(B1288="Лікар-педіатр",Z1294*Законод!$C$9/4*Законод!$E$16,IF(B1288="Лікар-терапевт",Z1294*Законод!$C$9/4*Законод!$E$16,0)))</f>
        <v>0</v>
      </c>
      <c r="AQ1294" s="210">
        <f ca="1">IF(B1288="Лікар загальної практики - сімейний лікар",AG1294*Законод!$C$9/4*Законод!$E$16,IF(B1288="Лікар-педіатр",AG1294*Законод!$C$9/4*Законод!$E$16,IF(B1288="Лікар-терапевт",AG1294*Законод!$C$9/4*Законод!$E$16,0)))</f>
        <v>0</v>
      </c>
      <c r="AR1294" s="211">
        <f t="shared" si="126"/>
        <v>0</v>
      </c>
    </row>
    <row r="1295" spans="1:44" s="50" customFormat="1" ht="31.9" hidden="1" customHeight="1">
      <c r="A1295" s="197"/>
      <c r="B1295" s="893"/>
      <c r="C1295" s="896"/>
      <c r="D1295" s="912"/>
      <c r="E1295" s="909"/>
      <c r="F1295" s="238" t="str">
        <f ca="1">IF(B1288="Лікар-педіатр",Законод!$F$17,IF(B1288="Лікар загальної практики - сімейний лікар",Законод!$F$21,IF(B1288="Лікар-терапевт",Законод!$F$25,"х")))</f>
        <v>х</v>
      </c>
      <c r="G1295" s="889" t="s">
        <v>346</v>
      </c>
      <c r="H1295" s="890"/>
      <c r="I1295" s="890"/>
      <c r="J1295" s="890"/>
      <c r="K1295" s="891"/>
      <c r="L1295" s="196">
        <f ca="1">IF($B$1288="Лікар загальної практики - сімейний лікар",IF(L1292&lt;Законод!$C$22,0,(IF(AND(L1292&gt;=Законод!$F$22,L1292&lt;=Законод!$F$23),L1292-Законод!$E$23,IF('01_Доходи'!L1292&gt;=Законод!$G$22,Законод!$F$24,0)))),IF($B$1288="Лікар-педіатр",IF(L1292&lt;Законод!$C$18,0,(IF(AND(L1292&gt;=Законод!$F$18,L1292&lt;=Законод!$F$19),L1292-Законод!$E$19,IF('01_Доходи'!L1292&gt;=Законод!$G$18,Законод!$F$20,0)))),IF($B$1288="Лікар-терапевт",IF(L1292&lt;Законод!$C$26,0,(IF(AND(L1292&gt;=Законод!$F$26,L1292&lt;=Законод!$F$27),L1292-Законод!$E$27,IF('01_Доходи'!L1292&gt;=Законод!$G$26,Законод!$F$28,0)))),0)))</f>
        <v>0</v>
      </c>
      <c r="M1295" s="930"/>
      <c r="N1295" s="889" t="s">
        <v>346</v>
      </c>
      <c r="O1295" s="890"/>
      <c r="P1295" s="890"/>
      <c r="Q1295" s="890"/>
      <c r="R1295" s="891"/>
      <c r="S1295" s="196">
        <f ca="1">IF($B$1288="Лікар загальної практики - сімейний лікар",IF(S1292&lt;Законод!$C$22,0,(IF(AND(S1292&gt;=Законод!$F$22,S1292&lt;=Законод!$F$23),S1292-Законод!$E$23,IF('01_Доходи'!S1292&gt;=Законод!$G$22,Законод!$F$24,0)))),IF($B$1288="Лікар-педіатр",IF(S1292&lt;Законод!$C$18,0,(IF(AND(S1292&gt;=Законод!$F$18,S1292&lt;=Законод!$F$19),S1292-Законод!$E$19,IF('01_Доходи'!S1292&gt;=Законод!$G$18,Законод!$F$20,0)))),IF($B$1288="Лікар-терапевт",IF(S1292&lt;Законод!$C$26,0,(IF(AND(S1292&gt;=Законод!$F$26,S1292&lt;=Законод!$F$27),S1292-Законод!$E$27,IF('01_Доходи'!S1292&gt;=Законод!$G$26,Законод!$F$28,0)))),0)))</f>
        <v>0</v>
      </c>
      <c r="T1295" s="930"/>
      <c r="U1295" s="889" t="s">
        <v>346</v>
      </c>
      <c r="V1295" s="890"/>
      <c r="W1295" s="890"/>
      <c r="X1295" s="890"/>
      <c r="Y1295" s="891"/>
      <c r="Z1295" s="196">
        <f ca="1">IF($B$1288="Лікар загальної практики - сімейний лікар",IF(Z1292&lt;Законод!$C$22,0,(IF(AND(Z1292&gt;=Законод!$F$22,Z1292&lt;=Законод!$F$23),Z1292-Законод!$E$23,IF('01_Доходи'!Z1292&gt;=Законод!$G$22,Законод!$F$24,0)))),IF($B$1288="Лікар-педіатр",IF(Z1292&lt;Законод!$C$18,0,(IF(AND(Z1292&gt;=Законод!$F$18,Z1292&lt;=Законод!$F$19),Z1292-Законод!$E$19,IF('01_Доходи'!Z1292&gt;=Законод!$G$18,Законод!$F$20,0)))),IF($B$1288="Лікар-терапевт",IF(Z1292&lt;Законод!$C$26,0,(IF(AND(Z1292&gt;=Законод!$F$26,Z1292&lt;=Законод!$F$27),Z1292-Законод!$E$27,IF('01_Доходи'!Z1292&gt;=Законод!$G$26,Законод!$F$28,0)))),0)))</f>
        <v>0</v>
      </c>
      <c r="AA1295" s="930"/>
      <c r="AB1295" s="889" t="s">
        <v>346</v>
      </c>
      <c r="AC1295" s="890"/>
      <c r="AD1295" s="890"/>
      <c r="AE1295" s="890"/>
      <c r="AF1295" s="891"/>
      <c r="AG1295" s="196">
        <f ca="1">IF($B$1288="Лікар загальної практики - сімейний лікар",IF(AG1292&lt;Законод!$C$22,0,(IF(AND(AG1292&gt;=Законод!$F$22,AG1292&lt;=Законод!$F$23),AG1292-Законод!$E$23,IF('01_Доходи'!AG1292&gt;=Законод!$G$22,Законод!$F$24,0)))),IF($B$1288="Лікар-педіатр",IF(AG1292&lt;Законод!$C$18,0,(IF(AND(AG1292&gt;=Законод!$F$18,AG1292&lt;=Законод!$F$19),AG1292-Законод!$E$19,IF('01_Доходи'!AG1292&gt;=Законод!$G$18,Законод!$F$20,0)))),IF($B$1288="Лікар-терапевт",IF(AG1292&lt;Законод!$C$26,0,(IF(AND(AG1292&gt;=Законод!$F$26,AG1292&lt;=Законод!$F$27),AG1292-Законод!$E$27,IF('01_Доходи'!AG1292&gt;=Законод!$G$26,Законод!$F$28,0)))),0)))</f>
        <v>0</v>
      </c>
      <c r="AH1295" s="930"/>
      <c r="AI1295" s="201"/>
      <c r="AJ1295" s="933"/>
      <c r="AK1295" s="927"/>
      <c r="AL1295" s="927"/>
      <c r="AM1295" s="899"/>
      <c r="AN1295" s="210">
        <f ca="1">IF(B1288="Лікар загальної практики - сімейний лікар",L1295*Законод!$C$9/4*Законод!$F$16,IF(B1288="Лікар-педіатр",L1295*Законод!$C$9/4*Законод!$F$16,IF(B1288="Лікар-терапевт",L1295*Законод!$C$9/4*Законод!$F$16,0)))</f>
        <v>0</v>
      </c>
      <c r="AO1295" s="210">
        <f ca="1">IF(B1288="Лікар загальної практики - сімейний лікар",S1295*Законод!$C$9/4*Законод!$F$16,IF(B1288="Лікар-педіатр",S1295*Законод!$C$9/4*Законод!$F$16,IF(B1288="Лікар-терапевт",S1295*Законод!$C$9/4*Законод!$F$16,0)))</f>
        <v>0</v>
      </c>
      <c r="AP1295" s="210">
        <f ca="1">IF(B1288="Лікар загальної практики - сімейний лікар",Z1295*Законод!$C$9/4*Законод!$F$16,IF(B1288="Лікар-педіатр",Z1295*Законод!$C$9/4*Законод!$F$16,IF(B1288="Лікар-терапевт",Z1295*Законод!$C$9/4*Законод!$F$16,0)))</f>
        <v>0</v>
      </c>
      <c r="AQ1295" s="210">
        <f ca="1">IF(B1288="Лікар загальної практики - сімейний лікар",AG1295*Законод!$C$9/4*Законод!$F$16,IF(B1288="Лікар-педіатр",AG1295*Законод!$C$9/4*Законод!$F$16,IF(B1288="Лікар-терапевт",AG1295*Законод!$C$9/4*Законод!$F$16,0)))</f>
        <v>0</v>
      </c>
      <c r="AR1295" s="211">
        <f t="shared" si="126"/>
        <v>0</v>
      </c>
    </row>
    <row r="1296" spans="1:44" s="50" customFormat="1" ht="31.9" hidden="1" customHeight="1">
      <c r="A1296" s="197"/>
      <c r="B1296" s="893"/>
      <c r="C1296" s="896"/>
      <c r="D1296" s="912"/>
      <c r="E1296" s="909"/>
      <c r="F1296" s="238" t="str">
        <f ca="1">IF(B1288="Лікар-педіатр",Законод!$G$17,IF(B1288="Лікар загальної практики - сімейний лікар",Законод!$G$21,IF(B1288="Лікар-терапевт",Законод!$G$25,"х")))</f>
        <v>х</v>
      </c>
      <c r="G1296" s="889" t="s">
        <v>346</v>
      </c>
      <c r="H1296" s="890"/>
      <c r="I1296" s="890"/>
      <c r="J1296" s="890"/>
      <c r="K1296" s="891"/>
      <c r="L1296" s="196">
        <f ca="1">IF($B$1288="Лікар загальної практики - сімейний лікар",IF(L1292&lt;Законод!$C$22,0,(IF(AND(L1292&gt;=Законод!$G$22,L1292&lt;=Законод!$G$23),L1292-Законод!$F$23,IF('01_Доходи'!L1292&gt;=Законод!$H$22,Законод!$G$24,0)))),IF($B$1288="Лікар-педіатр",IF(L1292&lt;Законод!$C$18,0,(IF(AND(L1292&gt;=Законод!$G$18,L1292&lt;=Законод!$G$19),L1292-Законод!$F$19,IF('01_Доходи'!L1292&gt;=Законод!$H$18,Законод!$G$20,0)))),IF($B$1288="Лікар-терапевт",IF(L1292&lt;Законод!$C$26,0,(IF(AND(L1292&gt;=Законод!$G$26,L1292&lt;=Законод!$G$27),L1292-Законод!$F$27,IF('01_Доходи'!L1292&gt;=Законод!$H$26,Законод!$G$28,0)))),0)))</f>
        <v>0</v>
      </c>
      <c r="M1296" s="930"/>
      <c r="N1296" s="889" t="s">
        <v>346</v>
      </c>
      <c r="O1296" s="890"/>
      <c r="P1296" s="890"/>
      <c r="Q1296" s="890"/>
      <c r="R1296" s="891"/>
      <c r="S1296" s="196">
        <f ca="1">IF($B$1288="Лікар загальної практики - сімейний лікар",IF(S1292&lt;Законод!$C$22,0,(IF(AND(S1292&gt;=Законод!$G$22,S1292&lt;=Законод!$G$23),S1292-Законод!$F$23,IF('01_Доходи'!S1292&gt;=Законод!$H$22,Законод!$G$24,0)))),IF($B$1288="Лікар-педіатр",IF(S1292&lt;Законод!$C$18,0,(IF(AND(S1292&gt;=Законод!$G$18,S1292&lt;=Законод!$G$19),S1292-Законод!$F$19,IF('01_Доходи'!S1292&gt;=Законод!$H$18,Законод!$G$20,0)))),IF($B$1288="Лікар-терапевт",IF(S1292&lt;Законод!$C$26,0,(IF(AND(S1292&gt;=Законод!$G$26,S1292&lt;=Законод!$G$27),S1292-Законод!$F$27,IF('01_Доходи'!S1292&gt;=Законод!$H$26,Законод!$G$28,0)))),0)))</f>
        <v>0</v>
      </c>
      <c r="T1296" s="930"/>
      <c r="U1296" s="889" t="s">
        <v>346</v>
      </c>
      <c r="V1296" s="890"/>
      <c r="W1296" s="890"/>
      <c r="X1296" s="890"/>
      <c r="Y1296" s="891"/>
      <c r="Z1296" s="196">
        <f ca="1">IF($B$1288="Лікар загальної практики - сімейний лікар",IF(Z1292&lt;Законод!$C$22,0,(IF(AND(Z1292&gt;=Законод!$G$22,Z1292&lt;=Законод!$G$23),Z1292-Законод!$F$23,IF('01_Доходи'!Z1292&gt;=Законод!$H$22,Законод!$G$24,0)))),IF($B$1288="Лікар-педіатр",IF(Z1292&lt;Законод!$C$18,0,(IF(AND(Z1292&gt;=Законод!$G$18,Z1292&lt;=Законод!$G$19),Z1292-Законод!$F$19,IF('01_Доходи'!Z1292&gt;=Законод!$H$18,Законод!$G$20,0)))),IF($B$1288="Лікар-терапевт",IF(Z1292&lt;Законод!$C$26,0,(IF(AND(Z1292&gt;=Законод!$G$26,Z1292&lt;=Законод!$G$27),Z1292-Законод!$F$27,IF('01_Доходи'!Z1292&gt;=Законод!$H$26,Законод!$G$28,0)))),0)))</f>
        <v>0</v>
      </c>
      <c r="AA1296" s="930"/>
      <c r="AB1296" s="889" t="s">
        <v>346</v>
      </c>
      <c r="AC1296" s="890"/>
      <c r="AD1296" s="890"/>
      <c r="AE1296" s="890"/>
      <c r="AF1296" s="891"/>
      <c r="AG1296" s="196">
        <f ca="1">IF($B$1288="Лікар загальної практики - сімейний лікар",IF(AG1292&lt;Законод!$C$22,0,(IF(AND(AG1292&gt;=Законод!$G$22,AG1292&lt;=Законод!$G$23),AG1292-Законод!$F$23,IF('01_Доходи'!AG1292&gt;=Законод!$H$22,Законод!$G$24,0)))),IF($B$1288="Лікар-педіатр",IF(AG1292&lt;Законод!$C$18,0,(IF(AND(AG1292&gt;=Законод!$G$18,AG1292&lt;=Законод!$G$19),AG1292-Законод!$F$19,IF('01_Доходи'!AG1292&gt;=Законод!$H$18,Законод!$G$20,0)))),IF($B$1288="Лікар-терапевт",IF(AG1292&lt;Законод!$C$26,0,(IF(AND(AG1292&gt;=Законод!$G$26,AG1292&lt;=Законод!$G$27),AG1292-Законод!$F$27,IF('01_Доходи'!AG1292&gt;=Законод!$H$26,Законод!$G$28,0)))),0)))</f>
        <v>0</v>
      </c>
      <c r="AH1296" s="930"/>
      <c r="AI1296" s="201"/>
      <c r="AJ1296" s="933"/>
      <c r="AK1296" s="927"/>
      <c r="AL1296" s="927"/>
      <c r="AM1296" s="899"/>
      <c r="AN1296" s="210">
        <f ca="1">IF(B1288="Лікар загальної практики - сімейний лікар",L1296*Законод!$C$9/4*Законод!$G$16,IF(B1288="Лікар-педіатр",L1296*Законод!$C$9/4*Законод!$G$16,IF(B1288="Лікар-терапевт",L1296*Законод!$C$9/4*Законод!$G$16,0)))</f>
        <v>0</v>
      </c>
      <c r="AO1296" s="210">
        <f ca="1">IF(B1288="Лікар загальної практики - сімейний лікар",S1296*Законод!$C$9/4*Законод!$G$16,IF(B1288="Лікар-педіатр",S1296*Законод!$C$9/4*Законод!$G$16,IF(B1288="Лікар-терапевт",S1296*Законод!$C$9/4*Законод!$G$16,0)))</f>
        <v>0</v>
      </c>
      <c r="AP1296" s="210">
        <f ca="1">IF(B1288="Лікар загальної практики - сімейний лікар",Z1296*Законод!$C$9/4*Законод!$G$16,IF(B1288="Лікар-педіатр",Z1296*Законод!$C$9/4*Законод!$G$16,IF(B1288="Лікар-терапевт",Z1296*Законод!$C$9/4*Законод!$G$16,0)))</f>
        <v>0</v>
      </c>
      <c r="AQ1296" s="210">
        <f ca="1">IF(B1288="Лікар загальної практики - сімейний лікар",AG1296*Законод!$C$9/4*Законод!$G$16,IF(B1288="Лікар-педіатр",AG1296*Законод!$C$9/4*Законод!$G$16,IF(B1288="Лікар-терапевт",AG1296*Законод!$C$9/4*Законод!$G$16,0)))</f>
        <v>0</v>
      </c>
      <c r="AR1296" s="211">
        <f t="shared" si="126"/>
        <v>0</v>
      </c>
    </row>
    <row r="1297" spans="1:44" s="50" customFormat="1" ht="31.9" hidden="1" customHeight="1">
      <c r="A1297" s="197"/>
      <c r="B1297" s="893"/>
      <c r="C1297" s="896"/>
      <c r="D1297" s="912"/>
      <c r="E1297" s="909"/>
      <c r="F1297" s="238" t="str">
        <f ca="1">IF(B1288="Лікар-педіатр",Законод!$H$17,IF(B1288="Лікар загальної практики - сімейний лікар",Законод!$H$21,IF(B1288="Лікар-терапевт",Законод!$H$25,"х")))</f>
        <v>х</v>
      </c>
      <c r="G1297" s="889" t="s">
        <v>346</v>
      </c>
      <c r="H1297" s="890"/>
      <c r="I1297" s="890"/>
      <c r="J1297" s="890"/>
      <c r="K1297" s="891"/>
      <c r="L1297" s="196">
        <f ca="1">IF($B$1288="Лікар загальної практики - сімейний лікар",IF(L1292&lt;Законод!$C$22,0,(IF(AND(L1292&gt;=Законод!$H$22,L1292&lt;=Законод!$H$23),L1292-Законод!$G$23,IF('01_Доходи'!L1292&gt;=Законод!$I$22,Законод!$H$24,0)))),IF($B$1288="Лікар-педіатр",IF(L1292&lt;Законод!$C$18,0,(IF(AND(L1292&gt;=Законод!$H$18,L1292&lt;=Законод!$H$19),L1292-Законод!$G$19,IF('01_Доходи'!L1292&gt;=Законод!$I$18,Законод!$H$20,0)))),IF($B$1288="Лікар-терапевт",IF(L1292&lt;Законод!$C$26,0,(IF(AND(L1292&gt;=Законод!$H$26,L1292&lt;=Законод!$H$27),L1292-Законод!$G$27,IF(L1292&gt;=Законод!$I$26,Законод!$H$28,0)))),0)))</f>
        <v>0</v>
      </c>
      <c r="M1297" s="930"/>
      <c r="N1297" s="889" t="s">
        <v>346</v>
      </c>
      <c r="O1297" s="890"/>
      <c r="P1297" s="890"/>
      <c r="Q1297" s="890"/>
      <c r="R1297" s="891"/>
      <c r="S1297" s="196">
        <f ca="1">IF($B$1288="Лікар загальної практики - сімейний лікар",IF(S1292&lt;Законод!$C$22,0,(IF(AND(S1292&gt;=Законод!$H$22,S1292&lt;=Законод!$H$23),S1292-Законод!$G$23,IF('01_Доходи'!S1292&gt;=Законод!$I$22,Законод!$H$24,0)))),IF($B$1288="Лікар-педіатр",IF(S1292&lt;Законод!$C$18,0,(IF(AND(S1292&gt;=Законод!$H$18,S1292&lt;=Законод!$H$19),S1292-Законод!$G$19,IF('01_Доходи'!S1292&gt;=Законод!$I$18,Законод!$H$20,0)))),IF($B$1288="Лікар-терапевт",IF(S1292&lt;Законод!$C$26,0,(IF(AND(S1292&gt;=Законод!$H$26,S1292&lt;=Законод!$H$27),S1292-Законод!$G$27,IF(S1292&gt;=Законод!$I$26,Законод!$H$28,0)))),0)))</f>
        <v>0</v>
      </c>
      <c r="T1297" s="930"/>
      <c r="U1297" s="889" t="s">
        <v>346</v>
      </c>
      <c r="V1297" s="890"/>
      <c r="W1297" s="890"/>
      <c r="X1297" s="890"/>
      <c r="Y1297" s="891"/>
      <c r="Z1297" s="196">
        <f ca="1">IF($B$1288="Лікар загальної практики - сімейний лікар",IF(Z1292&lt;Законод!$C$22,0,(IF(AND(Z1292&gt;=Законод!$H$22,Z1292&lt;=Законод!$H$23),Z1292-Законод!$G$23,IF('01_Доходи'!Z1292&gt;=Законод!$I$22,Законод!$H$24,0)))),IF($B$1288="Лікар-педіатр",IF(Z1292&lt;Законод!$C$18,0,(IF(AND(Z1292&gt;=Законод!$H$18,Z1292&lt;=Законод!$H$19),Z1292-Законод!$G$19,IF('01_Доходи'!Z1292&gt;=Законод!$I$18,Законод!$H$20,0)))),IF($B$1288="Лікар-терапевт",IF(Z1292&lt;Законод!$C$26,0,(IF(AND(Z1292&gt;=Законод!$H$26,Z1292&lt;=Законод!$H$27),Z1292-Законод!$G$27,IF(Z1292&gt;=Законод!$I$26,Законод!$H$28,0)))),0)))</f>
        <v>0</v>
      </c>
      <c r="AA1297" s="930"/>
      <c r="AB1297" s="889" t="s">
        <v>346</v>
      </c>
      <c r="AC1297" s="890"/>
      <c r="AD1297" s="890"/>
      <c r="AE1297" s="890"/>
      <c r="AF1297" s="891"/>
      <c r="AG1297" s="196">
        <f ca="1">IF($B$1288="Лікар загальної практики - сімейний лікар",IF(AG1292&lt;Законод!$C$22,0,(IF(AND(AG1292&gt;=Законод!$H$22,AG1292&lt;=Законод!$H$23),AG1292-Законод!$G$23,IF('01_Доходи'!AG1292&gt;=Законод!$I$22,Законод!$H$24,0)))),IF($B$1288="Лікар-педіатр",IF(AG1292&lt;Законод!$C$18,0,(IF(AND(AG1292&gt;=Законод!$H$18,AG1292&lt;=Законод!$H$19),AG1292-Законод!$G$19,IF('01_Доходи'!AG1292&gt;=Законод!$I$18,Законод!$H$20,0)))),IF($B$1288="Лікар-терапевт",IF(AG1292&lt;Законод!$C$26,0,(IF(AND(AG1292&gt;=Законод!$H$26,AG1292&lt;=Законод!$H$27),AG1292-Законод!$G$27,IF(AG1292&gt;=Законод!$I$26,Законод!$H$28,0)))),0)))</f>
        <v>0</v>
      </c>
      <c r="AH1297" s="930"/>
      <c r="AI1297" s="201"/>
      <c r="AJ1297" s="933"/>
      <c r="AK1297" s="927"/>
      <c r="AL1297" s="927"/>
      <c r="AM1297" s="899"/>
      <c r="AN1297" s="210">
        <f ca="1">IF(B1288="Лікар загальної практики - сімейний лікар",L1297*Законод!$C$9/4*Законод!$H$16,IF(B1288="Лікар-педіатр",L1297*Законод!$C$9/4*Законод!$H$16,IF(B1288="Лікар-терапевт",L1297*Законод!$C$9/4*Законод!$H$16,0)))</f>
        <v>0</v>
      </c>
      <c r="AO1297" s="210">
        <f ca="1">IF(B1288="Лікар загальної практики - сімейний лікар",S1297*Законод!$C$9/4*Законод!$H$16,IF(B1288="Лікар-педіатр",S1297*Законод!$C$9/4*Законод!$H$16,IF(B1288="Лікар-терапевт",S1297*Законод!$C$9/4*Законод!$H$16,0)))</f>
        <v>0</v>
      </c>
      <c r="AP1297" s="210">
        <f ca="1">IF(B1288="Лікар загальної практики - сімейний лікар",Z1297*Законод!$C$9/4*Законод!$H$16,IF(B1288="Лікар-педіатр",Z1297*Законод!$C$9/4*Законод!$H$16,IF(B1288="Лікар-терапевт",Z1297*Законод!$C$9/4*Законод!$H$16,0)))</f>
        <v>0</v>
      </c>
      <c r="AQ1297" s="210">
        <f ca="1">IF(B1288="Лікар загальної практики - сімейний лікар",AG1297*Законод!$C$9/4*Законод!$H$16,IF(B1288="Лікар-педіатр",AG1297*Законод!$C$9/4*Законод!$H$16,IF(B1288="Лікар-терапевт",AG1297*Законод!$C$9/4*Законод!$H$16,0)))</f>
        <v>0</v>
      </c>
      <c r="AR1297" s="211">
        <f t="shared" si="126"/>
        <v>0</v>
      </c>
    </row>
    <row r="1298" spans="1:44" s="50" customFormat="1" ht="31.9" hidden="1" customHeight="1">
      <c r="A1298" s="197"/>
      <c r="B1298" s="893"/>
      <c r="C1298" s="896"/>
      <c r="D1298" s="912"/>
      <c r="E1298" s="909"/>
      <c r="F1298" s="238" t="str">
        <f ca="1">IF(B1288="Лікар-педіатр",Законод!$I$17,IF(B1288="Лікар загальної практики - сімейний лікар",Законод!$I$21,IF(B1288="Лікар-терапевт",Законод!$I$25,"х")))</f>
        <v>х</v>
      </c>
      <c r="G1298" s="889" t="s">
        <v>346</v>
      </c>
      <c r="H1298" s="890"/>
      <c r="I1298" s="890"/>
      <c r="J1298" s="890"/>
      <c r="K1298" s="891"/>
      <c r="L1298" s="196">
        <f ca="1">IF($B$1288="Лікар загальної практики - сімейний лікар",IF(L1292&lt;Законод!$C$22,0,(IF(AND(L1292&gt;=Законод!$I$22,L1292&lt;=Законод!$I$23),L1292-Законод!$H$23,IF('01_Доходи'!L1292&gt;=Законод!$I$22,Законод!$I$24,0)))),IF($B$1288="Лікар-педіатр",IF(L1292&lt;Законод!$C$18,0,(IF(AND(L1292&gt;=Законод!$I$18,L1292&lt;=Законод!$I$19),L1292-Законод!$H$19,IF('01_Доходи'!L1292&gt;=Законод!$I$18,Законод!$H$20,0)))),IF($B$1288="Лікар-терапевт",IF(L1292&lt;Законод!$C$26,0,(IF(AND(L1292&gt;=Законод!$I$26,L1292&lt;=Законод!$I$27),L1292-Законод!$H$27,IF('01_Доходи'!L1292&gt;=Законод!$I$26,Законод!$H$28,0)))),0)))</f>
        <v>0</v>
      </c>
      <c r="M1298" s="930"/>
      <c r="N1298" s="889" t="s">
        <v>346</v>
      </c>
      <c r="O1298" s="890"/>
      <c r="P1298" s="890"/>
      <c r="Q1298" s="890"/>
      <c r="R1298" s="891"/>
      <c r="S1298" s="196">
        <f ca="1">IF($B$1288="Лікар загальної практики - сімейний лікар",IF(S1292&lt;Законод!$C$22,0,(IF(AND(S1292&gt;=Законод!$I$22,S1292&lt;=Законод!$I$23),S1292-Законод!$H$23,IF('01_Доходи'!S1292&gt;=Законод!$I$22,Законод!$I$24,0)))),IF($B$1288="Лікар-педіатр",IF(S1292&lt;Законод!$C$18,0,(IF(AND(S1292&gt;=Законод!$I$18,S1292&lt;=Законод!$I$19),S1292-Законод!$H$19,IF('01_Доходи'!S1292&gt;=Законод!$I$18,Законод!$H$20,0)))),IF($B$1288="Лікар-терапевт",IF(S1292&lt;Законод!$C$26,0,(IF(AND(S1292&gt;=Законод!$I$26,S1292&lt;=Законод!$I$27),S1292-Законод!$H$27,IF('01_Доходи'!S1292&gt;=Законод!$I$26,Законод!$H$28,0)))),0)))</f>
        <v>0</v>
      </c>
      <c r="T1298" s="930"/>
      <c r="U1298" s="889" t="s">
        <v>346</v>
      </c>
      <c r="V1298" s="890"/>
      <c r="W1298" s="890"/>
      <c r="X1298" s="890"/>
      <c r="Y1298" s="891"/>
      <c r="Z1298" s="196">
        <f ca="1">IF($B$1288="Лікар загальної практики - сімейний лікар",IF(Z1292&lt;Законод!$C$22,0,(IF(AND(Z1292&gt;=Законод!$I$22,Z1292&lt;=Законод!$I$23),Z1292-Законод!$H$23,IF('01_Доходи'!Z1292&gt;=Законод!$I$22,Законод!$I$24,0)))),IF($B$1288="Лікар-педіатр",IF(Z1292&lt;Законод!$C$18,0,(IF(AND(Z1292&gt;=Законод!$I$18,Z1292&lt;=Законод!$I$19),Z1292-Законод!$H$19,IF('01_Доходи'!Z1292&gt;=Законод!$I$18,Законод!$H$20,0)))),IF($B$1288="Лікар-терапевт",IF(Z1292&lt;Законод!$C$26,0,(IF(AND(Z1292&gt;=Законод!$I$26,Z1292&lt;=Законод!$I$27),Z1292-Законод!$H$27,IF('01_Доходи'!Z1292&gt;=Законод!$I$26,Законод!$H$28,0)))),0)))</f>
        <v>0</v>
      </c>
      <c r="AA1298" s="930"/>
      <c r="AB1298" s="889" t="s">
        <v>346</v>
      </c>
      <c r="AC1298" s="890"/>
      <c r="AD1298" s="890"/>
      <c r="AE1298" s="890"/>
      <c r="AF1298" s="891"/>
      <c r="AG1298" s="196">
        <f ca="1">IF($B$1288="Лікар загальної практики - сімейний лікар",IF(AG1292&lt;Законод!$C$22,0,(IF(AND(AG1292&gt;=Законод!$I$22,AG1292&lt;=Законод!$I$23),AG1292-Законод!$H$23,IF('01_Доходи'!AG1292&gt;=Законод!$I$22,Законод!$I$24,0)))),IF($B$1288="Лікар-педіатр",IF(AG1292&lt;Законод!$C$18,0,(IF(AND(AG1292&gt;=Законод!$I$18,AG1292&lt;=Законод!$I$19),AG1292-Законод!$H$19,IF('01_Доходи'!AG1292&gt;=Законод!$I$18,Законод!$H$20,0)))),IF($B$1288="Лікар-терапевт",IF(AG1292&lt;Законод!$C$26,0,(IF(AND(AG1292&gt;=Законод!$I$26,AG1292&lt;=Законод!$I$27),AG1292-Законод!$H$27,IF('01_Доходи'!AG1292&gt;=Законод!$I$26,Законод!$H$28,0)))),0)))</f>
        <v>0</v>
      </c>
      <c r="AH1298" s="930"/>
      <c r="AI1298" s="201"/>
      <c r="AJ1298" s="933"/>
      <c r="AK1298" s="927"/>
      <c r="AL1298" s="927"/>
      <c r="AM1298" s="899"/>
      <c r="AN1298" s="210">
        <f ca="1">IF(B1288="Лікар загальної практики - сімейний лікар",L1298*Законод!$C$9/4*Законод!$I$16,IF(B1288="Лікар-педіатр",L1298*Законод!$C$9/4*Законод!$I$16,IF(B1288="Лікар-терапевт",L1298*Законод!$C$9/4*Законод!$I$16,0)))</f>
        <v>0</v>
      </c>
      <c r="AO1298" s="210">
        <f ca="1">IF(B1288="Лікар загальної практики - сімейний лікар",S1298*Законод!$C$9/4*Законод!$I$16,IF(B1288="Лікар-педіатр",S1298*Законод!$C$9/4*Законод!$I$16,IF(B1288="Лікар-терапевт",S1298*Законод!$C$9/4*Законод!$I$16,0)))</f>
        <v>0</v>
      </c>
      <c r="AP1298" s="210">
        <f ca="1">IF(B1288="Лікар загальної практики - сімейний лікар",Z1298*Законод!$C$9/4*Законод!$I$16,IF(B1288="Лікар-педіатр",Z1298*Законод!$C$9/4*Законод!$I$16,IF(B1288="Лікар-терапевт",Z1298*Законод!$C$9/4*Законод!$I$16,0)))</f>
        <v>0</v>
      </c>
      <c r="AQ1298" s="210">
        <f ca="1">IF(B1288="Лікар загальної практики - сімейний лікар",AG1298*Законод!$C$9/4*Законод!$I$16,IF(B1288="Лікар-педіатр",AG1298*Законод!$C$9/4*Законод!$I$16,IF(B1288="Лікар-терапевт",AG1298*Законод!$C$9/4*Законод!$I$16,0)))</f>
        <v>0</v>
      </c>
      <c r="AR1298" s="211">
        <f t="shared" si="126"/>
        <v>0</v>
      </c>
    </row>
    <row r="1299" spans="1:44" s="218" customFormat="1" ht="31.9" hidden="1" customHeight="1" thickBot="1">
      <c r="A1299" s="213"/>
      <c r="B1299" s="894"/>
      <c r="C1299" s="897"/>
      <c r="D1299" s="913"/>
      <c r="E1299" s="910"/>
      <c r="F1299" s="239" t="str">
        <f ca="1">IF(B1288="Лікар-педіатр",Законод!$J$17,IF(B1288="Лікар загальної практики - сімейний лікар",Законод!$J$21,IF(B1288="Лікар-терапевт",Законод!$J$25,"х")))</f>
        <v>х</v>
      </c>
      <c r="G1299" s="935" t="s">
        <v>346</v>
      </c>
      <c r="H1299" s="936"/>
      <c r="I1299" s="936"/>
      <c r="J1299" s="936"/>
      <c r="K1299" s="937"/>
      <c r="L1299" s="196">
        <f ca="1">IF($B$1288="Лікар загальної практики - сімейний лікар",IF(L1292&gt;=Законод!$J$22,'01_Доходи'!L1292-('01_Доходи'!L1293+'01_Доходи'!L1294+'01_Доходи'!L1295+'01_Доходи'!L1296+'01_Доходи'!L1297+'01_Доходи'!L1298),0),IF($B$1288="Лікар-педіатр",IF(L1292&gt;=Законод!$J$18,'01_Доходи'!L1292-('01_Доходи'!L1293+'01_Доходи'!L1294+'01_Доходи'!L1295+'01_Доходи'!L1296+'01_Доходи'!L1297+'01_Доходи'!L1298),0),IF($B$1288="Лікар-терапевт",IF('01_Доходи'!L1292&gt;=Законод!$J$26,L1292-Законод!$I$27,0),0)))</f>
        <v>0</v>
      </c>
      <c r="M1299" s="931"/>
      <c r="N1299" s="935" t="s">
        <v>346</v>
      </c>
      <c r="O1299" s="936"/>
      <c r="P1299" s="936"/>
      <c r="Q1299" s="936"/>
      <c r="R1299" s="937"/>
      <c r="S1299" s="196">
        <f ca="1">IF($B$1288="Лікар загальної практики - сімейний лікар",IF(S1292&gt;=Законод!$J$22,'01_Доходи'!S1292-('01_Доходи'!S1293+'01_Доходи'!S1294+'01_Доходи'!S1295+'01_Доходи'!S1296+'01_Доходи'!S1297+'01_Доходи'!S1298),0),IF($B$1288="Лікар-педіатр",IF(S1292&gt;=Законод!$J$18,'01_Доходи'!S1292-('01_Доходи'!S1293+'01_Доходи'!S1294+'01_Доходи'!S1295+'01_Доходи'!S1296+'01_Доходи'!S1297+'01_Доходи'!S1298),0),IF($B$1288="Лікар-терапевт",IF('01_Доходи'!S1292&gt;=Законод!$J$26,S1292-Законод!$I$27,0),0)))</f>
        <v>0</v>
      </c>
      <c r="T1299" s="931"/>
      <c r="U1299" s="935" t="s">
        <v>346</v>
      </c>
      <c r="V1299" s="936"/>
      <c r="W1299" s="936"/>
      <c r="X1299" s="936"/>
      <c r="Y1299" s="937"/>
      <c r="Z1299" s="196">
        <f ca="1">IF($B$1288="Лікар загальної практики - сімейний лікар",IF(Z1292&gt;=Законод!$J$22,'01_Доходи'!Z1292-('01_Доходи'!Z1293+'01_Доходи'!Z1294+'01_Доходи'!Z1295+'01_Доходи'!Z1296+'01_Доходи'!Z1297+'01_Доходи'!Z1298),0),IF($B$1288="Лікар-педіатр",IF(Z1292&gt;=Законод!$J$18,'01_Доходи'!Z1292-('01_Доходи'!Z1293+'01_Доходи'!Z1294+'01_Доходи'!Z1295+'01_Доходи'!Z1296+'01_Доходи'!Z1297+'01_Доходи'!Z1298),0),IF($B$1288="Лікар-терапевт",IF('01_Доходи'!Z1292&gt;=Законод!$J$26,Z1292-Законод!$I$27,0),0)))</f>
        <v>0</v>
      </c>
      <c r="AA1299" s="931"/>
      <c r="AB1299" s="935" t="s">
        <v>346</v>
      </c>
      <c r="AC1299" s="936"/>
      <c r="AD1299" s="936"/>
      <c r="AE1299" s="936"/>
      <c r="AF1299" s="937"/>
      <c r="AG1299" s="196">
        <f ca="1">IF($B$1288="Лікар загальної практики - сімейний лікар",IF(AG1292&gt;=Законод!$J$22,'01_Доходи'!AG1292-('01_Доходи'!AG1293+'01_Доходи'!AG1294+'01_Доходи'!AG1295+'01_Доходи'!AG1296+'01_Доходи'!AG1297+'01_Доходи'!AG1298),0),IF($B$1288="Лікар-педіатр",IF(AG1292&gt;=Законод!$J$18,'01_Доходи'!AG1292-('01_Доходи'!AG1293+'01_Доходи'!AG1294+'01_Доходи'!AG1295+'01_Доходи'!AG1296+'01_Доходи'!AG1297+'01_Доходи'!AG1298),0),IF($B$1288="Лікар-терапевт",IF('01_Доходи'!AG1292&gt;=Законод!$J$26,AG1292-Законод!$I$27,0),0)))</f>
        <v>0</v>
      </c>
      <c r="AH1299" s="931"/>
      <c r="AI1299" s="215"/>
      <c r="AJ1299" s="934"/>
      <c r="AK1299" s="928"/>
      <c r="AL1299" s="928"/>
      <c r="AM1299" s="900"/>
      <c r="AN1299" s="216">
        <f ca="1">IF(B1288="Лікар загальної практики - сімейний лікар",L1299*Законод!$C$9/4*Законод!$J$16,IF(B1288="Лікар-педіатр",L1299*Законод!$C$9/4*Законод!$J$16,IF(B1288="Лікар-терапевт",L1299*Законод!$C$9/4*Законод!$J$16,0)))</f>
        <v>0</v>
      </c>
      <c r="AO1299" s="216">
        <f ca="1">IF(B1288="Лікар загальної практики - сімейний лікар",S1299*Законод!$C$9/4*Законод!$J$16,IF(B1288="Лікар-педіатр",S1299*Законод!$C$9/4*Законод!$J$16,IF(B1288="Лікар-терапевт",S1299*Законод!$C$9/4*Законод!$J$16,0)))</f>
        <v>0</v>
      </c>
      <c r="AP1299" s="216">
        <f ca="1">IF(B1288="Лікар загальної практики - сімейний лікар",S1299*Законод!$C$9/4*Законод!$J$16,IF(B1288="Лікар-педіатр",S1299*Законод!$C$9/4*Законод!$J$16,IF(B1288="Лікар-терапевт",S1299*Законод!$C$9/4*Законод!$J$16,0)))</f>
        <v>0</v>
      </c>
      <c r="AQ1299" s="216">
        <f ca="1">IF(B1288="Лікар загальної практики - сімейний лікар",AG1299*Законод!$C$9/4*Законод!$J$16,IF(B1288="Лікар-педіатр",AG1299*Законод!$C$9/4*Законод!$J$16,IF(B1288="Лікар-терапевт",AG1299*Законод!$C$9/4*Законод!$J$16,0)))</f>
        <v>0</v>
      </c>
      <c r="AR1299" s="217">
        <f t="shared" si="126"/>
        <v>0</v>
      </c>
    </row>
    <row r="1300" spans="1:44" s="247" customFormat="1" ht="23.45" hidden="1" customHeight="1" thickBot="1">
      <c r="A1300" s="243"/>
      <c r="B1300" s="244"/>
      <c r="C1300" s="244"/>
      <c r="D1300" s="244"/>
      <c r="E1300" s="244"/>
      <c r="F1300" s="245"/>
      <c r="G1300" s="246"/>
      <c r="H1300" s="246"/>
      <c r="L1300" s="248"/>
      <c r="S1300" s="248"/>
      <c r="Z1300" s="248"/>
      <c r="AG1300" s="248"/>
      <c r="AM1300" s="249"/>
      <c r="AR1300" s="250"/>
    </row>
    <row r="1301" spans="1:44" s="191" customFormat="1" ht="24.6" hidden="1" customHeight="1">
      <c r="A1301" s="194">
        <f>A1288+1</f>
        <v>98</v>
      </c>
      <c r="B1301" s="892"/>
      <c r="C1301" s="895"/>
      <c r="D1301" s="911"/>
      <c r="E1301" s="908"/>
      <c r="F1301" s="234" t="s">
        <v>582</v>
      </c>
      <c r="G1301" s="196">
        <f>IF($B$1301="Лікар-педіатр",G1304*L1301,IF($B$1301="Лікар-терапевт","х",IF($B$1301="Лікар загальної практики - сімейний лікар",G1304*L1301,0)))</f>
        <v>0</v>
      </c>
      <c r="H1301" s="196">
        <f>IF($B$1301="Лікар-педіатр",H1304*L1301,IF($B$1301="Лікар-терапевт","х",IF($B$1301="Лікар загальної практики - сімейний лікар",H1304*L1301,0)))</f>
        <v>0</v>
      </c>
      <c r="I1301" s="196">
        <f>IF($B$1301="Лікар-педіатр","x",IF($B$1301="Лікар-терапевт",I1304*L1301,IF($B$1301="Лікар загальної практики - сімейний лікар",I1304*L1301,0)))</f>
        <v>0</v>
      </c>
      <c r="J1301" s="196">
        <f>IF($B$1301="Лікар-педіатр","x",IF($B$1301="Лікар-терапевт",J1304*L1301,IF($B$1301="Лікар загальної практики - сімейний лікар",J1304*L1301,0)))</f>
        <v>0</v>
      </c>
      <c r="K1301" s="196">
        <f>IF($B$1301="Лікар-педіатр","x",IF($B$1301="Лікар-терапевт",K1304*L1301,IF($B$1301="Лікар загальної практики - сімейний лікар",K1304*L1301,0)))</f>
        <v>0</v>
      </c>
      <c r="L1301" s="558"/>
      <c r="M1301" s="929"/>
      <c r="N1301" s="196">
        <f>IF($B$1301="Лікар-педіатр",N1304*S1301,IF($B$1301="Лікар-терапевт","х",IF($B$1301="Лікар загальної практики - сімейний лікар",N1304*S1301,0)))</f>
        <v>0</v>
      </c>
      <c r="O1301" s="196">
        <f>IF($B$1301="Лікар-педіатр",O1304*S1301,IF($B$1301="Лікар-терапевт","х",IF($B$1301="Лікар загальної практики - сімейний лікар",O1304*S1301,0)))</f>
        <v>0</v>
      </c>
      <c r="P1301" s="196">
        <f>IF($B$1301="Лікар-педіатр","x",IF($B$1301="Лікар-терапевт",P1304*S1301,IF($B$1301="Лікар загальної практики - сімейний лікар",P1304*S1301,0)))</f>
        <v>0</v>
      </c>
      <c r="Q1301" s="196">
        <f>IF($B$1301="Лікар-педіатр","x",IF($B$1301="Лікар-терапевт",Q1304*S1301,IF($B$1301="Лікар загальної практики - сімейний лікар",Q1304*S1301,0)))</f>
        <v>0</v>
      </c>
      <c r="R1301" s="196">
        <f>IF($B$1301="Лікар-педіатр","x",IF($B$1301="Лікар-терапевт",R1304*S1301,IF($B$1301="Лікар загальної практики - сімейний лікар",R1304*S1301,0)))</f>
        <v>0</v>
      </c>
      <c r="S1301" s="558"/>
      <c r="T1301" s="929"/>
      <c r="U1301" s="196">
        <f>IF($B$1301="Лікар-педіатр",U1304*Z1301,IF($B$1301="Лікар-терапевт","х",IF($B$1301="Лікар загальної практики - сімейний лікар",U1304*Z1301,0)))</f>
        <v>0</v>
      </c>
      <c r="V1301" s="196">
        <f>IF($B$1301="Лікар-педіатр",V1304*Z1301,IF($B$1301="Лікар-терапевт","х",IF($B$1301="Лікар загальної практики - сімейний лікар",V1304*Z1301,0)))</f>
        <v>0</v>
      </c>
      <c r="W1301" s="196">
        <f>IF($B$1301="Лікар-педіатр","x",IF($B$1301="Лікар-терапевт",W1304*Z1301,IF($B$1301="Лікар загальної практики - сімейний лікар",W1304*Z1301,0)))</f>
        <v>0</v>
      </c>
      <c r="X1301" s="196">
        <f>IF($B$1301="Лікар-педіатр","x",IF($B$1301="Лікар-терапевт",X1304*Z1301,IF($B$1301="Лікар загальної практики - сімейний лікар",X1304*Z1301,0)))</f>
        <v>0</v>
      </c>
      <c r="Y1301" s="196">
        <f>IF($B$1301="Лікар-педіатр","x",IF($B$1301="Лікар-терапевт",Y1304*Z1301,IF($B$1301="Лікар загальної практики - сімейний лікар",Y1304*Z1301,0)))</f>
        <v>0</v>
      </c>
      <c r="Z1301" s="558"/>
      <c r="AA1301" s="929"/>
      <c r="AB1301" s="196">
        <f>IF($B$1301="Лікар-педіатр",AB1304*AG1301,IF($B$1301="Лікар-терапевт","х",IF($B$1301="Лікар загальної практики - сімейний лікар",AB1304*AG1301,0)))</f>
        <v>0</v>
      </c>
      <c r="AC1301" s="196">
        <f>IF($B$1301="Лікар-педіатр",AC1304*AG1301,IF($B$1301="Лікар-терапевт","х",IF($B$1301="Лікар загальної практики - сімейний лікар",AC1304*AG1301,0)))</f>
        <v>0</v>
      </c>
      <c r="AD1301" s="196">
        <f>IF($B$1301="Лікар-педіатр","x",IF($B$1301="Лікар-терапевт",AD1304*AG1301,IF($B$1301="Лікар загальної практики - сімейний лікар",AD1304*AG1301,0)))</f>
        <v>0</v>
      </c>
      <c r="AE1301" s="196">
        <f>IF($B$1301="Лікар-педіатр","x",IF($B$1301="Лікар-терапевт",AE1304*AG1301,IF($B$1301="Лікар загальної практики - сімейний лікар",AE1304*AG1301,0)))</f>
        <v>0</v>
      </c>
      <c r="AF1301" s="196">
        <f>IF($B$1301="Лікар-педіатр","x",IF($B$1301="Лікар-терапевт",AF1304*AG1301,IF($B$1301="Лікар загальної практики - сімейний лікар",AF1304*AG1301,0)))</f>
        <v>0</v>
      </c>
      <c r="AG1301" s="558"/>
      <c r="AH1301" s="929"/>
      <c r="AI1301" s="541">
        <f>A1301</f>
        <v>98</v>
      </c>
      <c r="AJ1301" s="932">
        <f>B1301</f>
        <v>0</v>
      </c>
      <c r="AK1301" s="926">
        <f>C1301</f>
        <v>0</v>
      </c>
      <c r="AL1301" s="926">
        <f>D1301</f>
        <v>0</v>
      </c>
      <c r="AM1301" s="901" t="s">
        <v>785</v>
      </c>
      <c r="AN1301" s="923">
        <f>SUM(AN1306:AN1312)</f>
        <v>0</v>
      </c>
      <c r="AO1301" s="923">
        <f>SUM(AO1306:AO1312)</f>
        <v>0</v>
      </c>
      <c r="AP1301" s="923">
        <f>SUM(AP1306:AP1312)</f>
        <v>0</v>
      </c>
      <c r="AQ1301" s="923">
        <f>SUM(AQ1306:AQ1312)</f>
        <v>0</v>
      </c>
      <c r="AR1301" s="914">
        <f>SUM(AN1301:AQ1305)</f>
        <v>0</v>
      </c>
    </row>
    <row r="1302" spans="1:44" s="50" customFormat="1" ht="28.15" hidden="1" customHeight="1">
      <c r="A1302" s="197"/>
      <c r="B1302" s="893"/>
      <c r="C1302" s="896"/>
      <c r="D1302" s="912"/>
      <c r="E1302" s="909"/>
      <c r="F1302" s="234" t="s">
        <v>583</v>
      </c>
      <c r="G1302" s="196">
        <f>IF($B$1301="Лікар-педіатр",G1304*L1302,IF($B$1301="Лікар-терапевт","х",IF($B$1301="Лікар загальної практики - сімейний лікар",G1304*L1302,0)))</f>
        <v>0</v>
      </c>
      <c r="H1302" s="196">
        <f>IF($B$1301="Лікар-педіатр",H1304*L1302,IF($B$1301="Лікар-терапевт","х",IF($B$1301="Лікар загальної практики - сімейний лікар",H1304*L1302,0)))</f>
        <v>0</v>
      </c>
      <c r="I1302" s="196">
        <f>IF($B$1301="Лікар-педіатр","x",IF($B$1301="Лікар-терапевт",I1304*L1302,IF($B$1301="Лікар загальної практики - сімейний лікар",I1304*L1302,0)))</f>
        <v>0</v>
      </c>
      <c r="J1302" s="196">
        <f>IF($B$1301="Лікар-педіатр","x",IF($B$1301="Лікар-терапевт",J1304*L1302,IF($B$1301="Лікар загальної практики - сімейний лікар",J1304*L1302,0)))</f>
        <v>0</v>
      </c>
      <c r="K1302" s="196">
        <f>IF($B$1301="Лікар-педіатр","x",IF($B$1301="Лікар-терапевт",K1304*L1302,IF($B$1301="Лікар загальної практики - сімейний лікар",K1304*L1302,0)))</f>
        <v>0</v>
      </c>
      <c r="L1302" s="558"/>
      <c r="M1302" s="930"/>
      <c r="N1302" s="196">
        <f>IF($B$1301="Лікар-педіатр",N1304*S1302,IF($B$1301="Лікар-терапевт","х",IF($B$1301="Лікар загальної практики - сімейний лікар",N1304*S1302,0)))</f>
        <v>0</v>
      </c>
      <c r="O1302" s="196">
        <f>IF($B$1301="Лікар-педіатр",O1304*S1302,IF($B$1301="Лікар-терапевт","х",IF($B$1301="Лікар загальної практики - сімейний лікар",O1304*S1302,0)))</f>
        <v>0</v>
      </c>
      <c r="P1302" s="196">
        <f>IF($B$1301="Лікар-педіатр","x",IF($B$1301="Лікар-терапевт",P1304*S1302,IF($B$1301="Лікар загальної практики - сімейний лікар",P1304*S1302,0)))</f>
        <v>0</v>
      </c>
      <c r="Q1302" s="196">
        <f>IF($B$1301="Лікар-педіатр","x",IF($B$1301="Лікар-терапевт",Q1304*S1302,IF($B$1301="Лікар загальної практики - сімейний лікар",Q1304*S1302,0)))</f>
        <v>0</v>
      </c>
      <c r="R1302" s="196">
        <f>IF($B$1301="Лікар-педіатр","x",IF($B$1301="Лікар-терапевт",R1304*S1302,IF($B$1301="Лікар загальної практики - сімейний лікар",R1304*S1302,0)))</f>
        <v>0</v>
      </c>
      <c r="S1302" s="558"/>
      <c r="T1302" s="930"/>
      <c r="U1302" s="196">
        <f>IF($B$1301="Лікар-педіатр",U1304*Z1302,IF($B$1301="Лікар-терапевт","х",IF($B$1301="Лікар загальної практики - сімейний лікар",U1304*Z1302,0)))</f>
        <v>0</v>
      </c>
      <c r="V1302" s="196">
        <f>IF($B$1301="Лікар-педіатр",V1304*Z1302,IF($B$1301="Лікар-терапевт","х",IF($B$1301="Лікар загальної практики - сімейний лікар",V1304*Z1302,0)))</f>
        <v>0</v>
      </c>
      <c r="W1302" s="196">
        <f>IF($B$1301="Лікар-педіатр","x",IF($B$1301="Лікар-терапевт",W1304*Z1302,IF($B$1301="Лікар загальної практики - сімейний лікар",W1304*Z1302,0)))</f>
        <v>0</v>
      </c>
      <c r="X1302" s="196">
        <f>IF($B$1301="Лікар-педіатр","x",IF($B$1301="Лікар-терапевт",X1304*Z1302,IF($B$1301="Лікар загальної практики - сімейний лікар",X1304*Z1302,0)))</f>
        <v>0</v>
      </c>
      <c r="Y1302" s="196">
        <f>IF($B$1301="Лікар-педіатр","x",IF($B$1301="Лікар-терапевт",Y1304*Z1302,IF($B$1301="Лікар загальної практики - сімейний лікар",Y1304*Z1302,0)))</f>
        <v>0</v>
      </c>
      <c r="Z1302" s="558"/>
      <c r="AA1302" s="930"/>
      <c r="AB1302" s="196">
        <f>IF($B$1301="Лікар-педіатр",AB1304*AG1302,IF($B$1301="Лікар-терапевт","х",IF($B$1301="Лікар загальної практики - сімейний лікар",AB1304*AG1302,0)))</f>
        <v>0</v>
      </c>
      <c r="AC1302" s="196">
        <f>IF($B$1301="Лікар-педіатр",AC1304*AG1302,IF($B$1301="Лікар-терапевт","х",IF($B$1301="Лікар загальної практики - сімейний лікар",AC1304*AG1302,0)))</f>
        <v>0</v>
      </c>
      <c r="AD1302" s="196">
        <f>IF($B$1301="Лікар-педіатр","x",IF($B$1301="Лікар-терапевт",AD1304*AG1302,IF($B$1301="Лікар загальної практики - сімейний лікар",AD1304*AG1302,0)))</f>
        <v>0</v>
      </c>
      <c r="AE1302" s="196">
        <f>IF($B$1301="Лікар-педіатр","x",IF($B$1301="Лікар-терапевт",AE1304*AG1302,IF($B$1301="Лікар загальної практики - сімейний лікар",AE1304*AG1302,0)))</f>
        <v>0</v>
      </c>
      <c r="AF1302" s="196">
        <f>IF($B$1301="Лікар-педіатр","x",IF($B$1301="Лікар-терапевт",AF1304*AG1302,IF($B$1301="Лікар загальної практики - сімейний лікар",AF1304*AG1302,0)))</f>
        <v>0</v>
      </c>
      <c r="AG1302" s="558"/>
      <c r="AH1302" s="930"/>
      <c r="AI1302" s="198"/>
      <c r="AJ1302" s="933"/>
      <c r="AK1302" s="927"/>
      <c r="AL1302" s="927"/>
      <c r="AM1302" s="902"/>
      <c r="AN1302" s="924"/>
      <c r="AO1302" s="924"/>
      <c r="AP1302" s="924"/>
      <c r="AQ1302" s="924"/>
      <c r="AR1302" s="915"/>
    </row>
    <row r="1303" spans="1:44" s="90" customFormat="1" ht="31.15" hidden="1" customHeight="1">
      <c r="A1303" s="240"/>
      <c r="B1303" s="893"/>
      <c r="C1303" s="896"/>
      <c r="D1303" s="912"/>
      <c r="E1303" s="909"/>
      <c r="F1303" s="241" t="s">
        <v>584</v>
      </c>
      <c r="G1303" s="199">
        <f>IF(B1301="Лікар загальної практики - сімейний лікар"," ",IF(B1301="Лікар-педіатр"," ",IF(B1301="Лікар-терапевт","х",0)))</f>
        <v>0</v>
      </c>
      <c r="H1303" s="199">
        <f>IF(B1301="Лікар загальної практики - сімейний лікар"," ",IF(B1301="Лікар-педіатр"," ",IF(B1301="Лікар-терапевт","х",0)))</f>
        <v>0</v>
      </c>
      <c r="I1303" s="199">
        <f>IF(B1301="Лікар загальної практики - сімейний лікар"," ",IF(B1301="Лікар-педіатр","х",IF(B1301="Лікар-терапевт"," ",0)))</f>
        <v>0</v>
      </c>
      <c r="J1303" s="199">
        <f>IF(B1301="Лікар загальної практики - сімейний лікар"," ",IF(B1301="Лікар-педіатр","х",IF(B1301="Лікар-терапевт"," ",0)))</f>
        <v>0</v>
      </c>
      <c r="K1303" s="199">
        <f>IF(B1301="Лікар загальної практики - сімейний лікар"," ",IF(B1301="Лікар-педіатр","х",IF(B1301="Лікар-терапевт"," ",0)))</f>
        <v>0</v>
      </c>
      <c r="L1303" s="200">
        <f>SUM(G1303:K1303)</f>
        <v>0</v>
      </c>
      <c r="M1303" s="930"/>
      <c r="N1303" s="199">
        <f>IF(B1301="Лікар загальної практики - сімейний лікар"," ",IF(B1301="Лікар-педіатр"," ",IF(B1301="Лікар-терапевт","х",0)))</f>
        <v>0</v>
      </c>
      <c r="O1303" s="199">
        <f>IF(B1301="Лікар загальної практики - сімейний лікар"," ",IF(B1301="Лікар-педіатр"," ",IF(B1301="Лікар-терапевт","х",0)))</f>
        <v>0</v>
      </c>
      <c r="P1303" s="199">
        <f>IF(B1301="Лікар загальної практики - сімейний лікар"," ",IF(B1301="Лікар-педіатр","х",IF(B1301="Лікар-терапевт"," ",0)))</f>
        <v>0</v>
      </c>
      <c r="Q1303" s="199">
        <f>IF(B1301="Лікар загальної практики - сімейний лікар"," ",IF(B1301="Лікар-педіатр","х",IF(B1301="Лікар-терапевт"," ",0)))</f>
        <v>0</v>
      </c>
      <c r="R1303" s="199">
        <f>IF(B1301="Лікар загальної практики - сімейний лікар"," ",IF(B1301="Лікар-педіатр","х",IF(B1301="Лікар-терапевт"," ",0)))</f>
        <v>0</v>
      </c>
      <c r="S1303" s="200">
        <f>SUM(N1303:R1303)</f>
        <v>0</v>
      </c>
      <c r="T1303" s="930"/>
      <c r="U1303" s="199">
        <f>IF(B1301="Лікар загальної практики - сімейний лікар"," ",IF(B1301="Лікар-педіатр"," ",IF(B1301="Лікар-терапевт","х",0)))</f>
        <v>0</v>
      </c>
      <c r="V1303" s="199">
        <f>IF(B1301="Лікар загальної практики - сімейний лікар"," ",IF(B1301="Лікар-педіатр"," ",IF(B1301="Лікар-терапевт","х",0)))</f>
        <v>0</v>
      </c>
      <c r="W1303" s="199">
        <f>IF(B1301="Лікар загальної практики - сімейний лікар"," ",IF(B1301="Лікар-педіатр","х",IF(B1301="Лікар-терапевт"," ",0)))</f>
        <v>0</v>
      </c>
      <c r="X1303" s="199">
        <f>IF(B1301="Лікар загальної практики - сімейний лікар"," ",IF(B1301="Лікар-педіатр","х",IF(B1301="Лікар-терапевт"," ",0)))</f>
        <v>0</v>
      </c>
      <c r="Y1303" s="199">
        <f>IF(B1301="Лікар загальної практики - сімейний лікар"," ",IF(B1301="Лікар-педіатр","х",IF(B1301="Лікар-терапевт"," ",0)))</f>
        <v>0</v>
      </c>
      <c r="Z1303" s="200">
        <f>SUM(U1303:Y1303)</f>
        <v>0</v>
      </c>
      <c r="AA1303" s="930"/>
      <c r="AB1303" s="199">
        <f>IF(B1301="Лікар загальної практики - сімейний лікар"," ",IF(B1301="Лікар-педіатр"," ",IF(B1301="Лікар-терапевт","х",0)))</f>
        <v>0</v>
      </c>
      <c r="AC1303" s="199">
        <f>IF(B1301="Лікар загальної практики - сімейний лікар"," ",IF(B1301="Лікар-педіатр"," ",IF(B1301="Лікар-терапевт","х",0)))</f>
        <v>0</v>
      </c>
      <c r="AD1303" s="199">
        <f>IF(B1301="Лікар загальної практики - сімейний лікар"," ",IF(B1301="Лікар-педіатр","х",IF(B1301="Лікар-терапевт"," ",0)))</f>
        <v>0</v>
      </c>
      <c r="AE1303" s="199">
        <f>IF(B1301="Лікар загальної практики - сімейний лікар"," ",IF(B1301="Лікар-педіатр","х",IF(B1301="Лікар-терапевт"," ",0)))</f>
        <v>0</v>
      </c>
      <c r="AF1303" s="199">
        <f>IF(B1301="Лікар загальної практики - сімейний лікар"," ",IF(B1301="Лікар-педіатр","х",IF(B1301="Лікар-терапевт"," ",0)))</f>
        <v>0</v>
      </c>
      <c r="AG1303" s="200">
        <f>SUM(AB1303:AF1303)</f>
        <v>0</v>
      </c>
      <c r="AH1303" s="930"/>
      <c r="AI1303" s="242"/>
      <c r="AJ1303" s="933"/>
      <c r="AK1303" s="927"/>
      <c r="AL1303" s="927"/>
      <c r="AM1303" s="902"/>
      <c r="AN1303" s="924"/>
      <c r="AO1303" s="924"/>
      <c r="AP1303" s="924"/>
      <c r="AQ1303" s="924"/>
      <c r="AR1303" s="915"/>
    </row>
    <row r="1304" spans="1:44" s="50" customFormat="1" ht="31.9" hidden="1" customHeight="1" thickBot="1">
      <c r="A1304" s="197"/>
      <c r="B1304" s="893"/>
      <c r="C1304" s="896"/>
      <c r="D1304" s="912"/>
      <c r="E1304" s="909"/>
      <c r="F1304" s="236" t="s">
        <v>349</v>
      </c>
      <c r="G1304" s="203">
        <f>IF($B$1301="Лікар-педіатр",G1303/L1303,IF($B$1301="Лікар-терапевт","х",IF($B$1301="Лікар загальної практики - сімейний лікар",G1303/L1303,0)))</f>
        <v>0</v>
      </c>
      <c r="H1304" s="203">
        <f>IF($B$1301="Лікар-педіатр",H1303/L1303,IF($B$1301="Лікар-терапевт","х",IF($B$1301="Лікар загальної практики - сімейний лікар",H1303/L1303,0)))</f>
        <v>0</v>
      </c>
      <c r="I1304" s="203">
        <f>IF($B$1301="Лікар-педіатр","x",IF($B$1301="Лікар-терапевт",I1303/L1303,IF($B$1301="Лікар загальної практики - сімейний лікар",I1303/L1303,0)))</f>
        <v>0</v>
      </c>
      <c r="J1304" s="203">
        <f>IF($B$1301="Лікар-педіатр","x",IF($B$1301="Лікар-терапевт",J1303/L1303,IF($B$1301="Лікар загальної практики - сімейний лікар",J1303/L1303,0)))</f>
        <v>0</v>
      </c>
      <c r="K1304" s="203">
        <f>IF($B$1301="Лікар-педіатр","x",IF($B$1301="Лікар-терапевт",K1303/L1303,IF($B$1301="Лікар загальної практики - сімейний лікар",K1303/L1303,0)))</f>
        <v>0</v>
      </c>
      <c r="L1304" s="203">
        <f>SUM(G1304:K1304)</f>
        <v>0</v>
      </c>
      <c r="M1304" s="930"/>
      <c r="N1304" s="203">
        <f>IF($B$1301="Лікар-педіатр",N1303/S1303,IF($B$1301="Лікар-терапевт","х",IF($B$1301="Лікар загальної практики - сімейний лікар",N1303/S1303,0)))</f>
        <v>0</v>
      </c>
      <c r="O1304" s="203">
        <f>IF($B$1301="Лікар-педіатр",O1303/S1303,IF($B$1301="Лікар-терапевт","х",IF($B$1301="Лікар загальної практики - сімейний лікар",O1303/S1303,0)))</f>
        <v>0</v>
      </c>
      <c r="P1304" s="203">
        <f>IF($B$1301="Лікар-педіатр","x",IF($B$1301="Лікар-терапевт",P1303/S1303,IF($B$1301="Лікар загальної практики - сімейний лікар",P1303/S1303,0)))</f>
        <v>0</v>
      </c>
      <c r="Q1304" s="203">
        <f>IF($B$1301="Лікар-педіатр","x",IF($B$1301="Лікар-терапевт",Q1303/S1303,IF($B$1301="Лікар загальної практики - сімейний лікар",Q1303/S1303,0)))</f>
        <v>0</v>
      </c>
      <c r="R1304" s="203">
        <f>IF($B$1301="Лікар-педіатр","x",IF($B$1301="Лікар-терапевт",R1303/S1303,IF($B$1301="Лікар загальної практики - сімейний лікар",R1303/S1303,0)))</f>
        <v>0</v>
      </c>
      <c r="S1304" s="203">
        <f>SUM(N1304:R1304)</f>
        <v>0</v>
      </c>
      <c r="T1304" s="930"/>
      <c r="U1304" s="203">
        <f>IF($B$1301="Лікар-педіатр",U1303/Z1303,IF($B$1301="Лікар-терапевт","х",IF($B$1301="Лікар загальної практики - сімейний лікар",U1303/Z1303,0)))</f>
        <v>0</v>
      </c>
      <c r="V1304" s="203">
        <f>IF($B$1301="Лікар-педіатр",V1303/Z1303,IF($B$1301="Лікар-терапевт","х",IF($B$1301="Лікар загальної практики - сімейний лікар",V1303/Z1303,0)))</f>
        <v>0</v>
      </c>
      <c r="W1304" s="203">
        <f>IF($B$1301="Лікар-педіатр","x",IF($B$1301="Лікар-терапевт",W1303/Z1303,IF($B$1301="Лікар загальної практики - сімейний лікар",W1303/Z1303,0)))</f>
        <v>0</v>
      </c>
      <c r="X1304" s="203">
        <f>IF($B$1301="Лікар-педіатр","x",IF($B$1301="Лікар-терапевт",X1303/Z1303,IF($B$1301="Лікар загальної практики - сімейний лікар",X1303/Z1303,0)))</f>
        <v>0</v>
      </c>
      <c r="Y1304" s="203">
        <f>IF($B$1301="Лікар-педіатр","x",IF($B$1301="Лікар-терапевт",Y1303/Z1303,IF($B$1301="Лікар загальної практики - сімейний лікар",Y1303/Z1303,0)))</f>
        <v>0</v>
      </c>
      <c r="Z1304" s="203">
        <f>SUM(U1304:Y1304)</f>
        <v>0</v>
      </c>
      <c r="AA1304" s="930"/>
      <c r="AB1304" s="203">
        <f>IF($B$1301="Лікар-педіатр",AB1303/AG1303,IF($B$1301="Лікар-терапевт","х",IF($B$1301="Лікар загальної практики - сімейний лікар",AB1303/AG1303,0)))</f>
        <v>0</v>
      </c>
      <c r="AC1304" s="203">
        <f>IF($B$1301="Лікар-педіатр",AC1303/AG1303,IF($B$1301="Лікар-терапевт","х",IF($B$1301="Лікар загальної практики - сімейний лікар",AC1303/AG1303,0)))</f>
        <v>0</v>
      </c>
      <c r="AD1304" s="203">
        <f>IF($B$1301="Лікар-педіатр","x",IF($B$1301="Лікар-терапевт",AD1303/AG1303,IF($B$1301="Лікар загальної практики - сімейний лікар",AD1303/AG1303,0)))</f>
        <v>0</v>
      </c>
      <c r="AE1304" s="203">
        <f>IF($B$1301="Лікар-педіатр","x",IF($B$1301="Лікар-терапевт",AE1303/AG1303,IF($B$1301="Лікар загальної практики - сімейний лікар",AE1303/AG1303,0)))</f>
        <v>0</v>
      </c>
      <c r="AF1304" s="203">
        <f>IF($B$1301="Лікар-педіатр","x",IF($B$1301="Лікар-терапевт",AF1303/AG1303,IF($B$1301="Лікар загальної практики - сімейний лікар",AF1303/AG1303,0)))</f>
        <v>0</v>
      </c>
      <c r="AG1304" s="203">
        <f>SUM(AB1304:AF1304)</f>
        <v>0</v>
      </c>
      <c r="AH1304" s="930"/>
      <c r="AI1304" s="201"/>
      <c r="AJ1304" s="933"/>
      <c r="AK1304" s="927"/>
      <c r="AL1304" s="927"/>
      <c r="AM1304" s="902"/>
      <c r="AN1304" s="924"/>
      <c r="AO1304" s="924"/>
      <c r="AP1304" s="924"/>
      <c r="AQ1304" s="924"/>
      <c r="AR1304" s="915"/>
    </row>
    <row r="1305" spans="1:44" s="50" customFormat="1" ht="45" hidden="1" customHeight="1" thickBot="1">
      <c r="A1305" s="197"/>
      <c r="B1305" s="893"/>
      <c r="C1305" s="896"/>
      <c r="D1305" s="912"/>
      <c r="E1305" s="909"/>
      <c r="F1305" s="204" t="s">
        <v>585</v>
      </c>
      <c r="G1305" s="205">
        <f>IF($B$1301="Лікар загальної практики - сімейний лікар",AVERAGE(G1301:G1303),IF($B$1301="Лікар-педіатр",AVERAGE(G1301:G1303),IF($B$1301="Лікар-терапевт","х",0)))</f>
        <v>0</v>
      </c>
      <c r="H1305" s="205">
        <f>IF($B$1301="Лікар загальної практики - сімейний лікар",AVERAGE(H1301:H1303),IF($B$1301="Лікар-педіатр",AVERAGE(H1301:H1303),IF($B$1301="Лікар-терапевт","х",0)))</f>
        <v>0</v>
      </c>
      <c r="I1305" s="205">
        <f>IF($B$1301="Лікар загальної практики - сімейний лікар",AVERAGE(I1301:I1303),IF($B$1301="Лікар-педіатр","x",IF($B$1301="Лікар-терапевт",AVERAGE(I1301:I1303),0)))</f>
        <v>0</v>
      </c>
      <c r="J1305" s="205">
        <f>IF($B$1301="Лікар загальної практики - сімейний лікар",AVERAGE(J1301:J1303),IF($B$1301="Лікар-педіатр","x",IF($B$1301="Лікар-терапевт",AVERAGE(J1301:J1303),0)))</f>
        <v>0</v>
      </c>
      <c r="K1305" s="205">
        <f>IF($B$1301="Лікар загальної практики - сімейний лікар",AVERAGE(K1301:K1303),IF($B$1301="Лікар-педіатр","x",IF($B$1301="Лікар-терапевт",AVERAGE(K1301:K1303),0)))</f>
        <v>0</v>
      </c>
      <c r="L1305" s="206">
        <f>SUM(G1305:K1305)</f>
        <v>0</v>
      </c>
      <c r="M1305" s="930"/>
      <c r="N1305" s="205">
        <f>IF($B$1301="Лікар загальної практики - сімейний лікар",AVERAGE(N1301:N1303),IF($B$1301="Лікар-педіатр",AVERAGE(N1301:N1303),IF($B$1301="Лікар-терапевт","х",0)))</f>
        <v>0</v>
      </c>
      <c r="O1305" s="205">
        <f>IF($B$1301="Лікар загальної практики - сімейний лікар",AVERAGE(O1301:O1303),IF($B$1301="Лікар-педіатр",AVERAGE(O1301:O1303),IF($B$1301="Лікар-терапевт","х",0)))</f>
        <v>0</v>
      </c>
      <c r="P1305" s="205">
        <f>IF($B$1301="Лікар загальної практики - сімейний лікар",AVERAGE(P1301:P1303),IF($B$1301="Лікар-педіатр","x",IF($B$1301="Лікар-терапевт",AVERAGE(P1301:P1303),0)))</f>
        <v>0</v>
      </c>
      <c r="Q1305" s="205">
        <f>IF($B$1301="Лікар загальної практики - сімейний лікар",AVERAGE(Q1301:Q1303),IF($B$1301="Лікар-педіатр","x",IF($B$1301="Лікар-терапевт",AVERAGE(Q1301:Q1303),0)))</f>
        <v>0</v>
      </c>
      <c r="R1305" s="205">
        <f>IF($B$1301="Лікар загальної практики - сімейний лікар",AVERAGE(R1301:R1303),IF($B$1301="Лікар-педіатр","x",IF($B$1301="Лікар-терапевт",AVERAGE(R1301:R1303),0)))</f>
        <v>0</v>
      </c>
      <c r="S1305" s="206">
        <f>SUM(N1305:R1305)</f>
        <v>0</v>
      </c>
      <c r="T1305" s="930"/>
      <c r="U1305" s="205">
        <f>IF($B$1301="Лікар загальної практики - сімейний лікар",AVERAGE(U1301:U1303),IF($B$1301="Лікар-педіатр",AVERAGE(U1301:U1303),IF($B$1301="Лікар-терапевт","х",0)))</f>
        <v>0</v>
      </c>
      <c r="V1305" s="205">
        <f>IF($B$1301="Лікар загальної практики - сімейний лікар",AVERAGE(V1301:V1303),IF($B$1301="Лікар-педіатр",AVERAGE(V1301:V1303),IF($B$1301="Лікар-терапевт","х",0)))</f>
        <v>0</v>
      </c>
      <c r="W1305" s="205">
        <f>IF($B$1301="Лікар загальної практики - сімейний лікар",AVERAGE(W1301:W1303),IF($B$1301="Лікар-педіатр","x",IF($B$1301="Лікар-терапевт",AVERAGE(W1301:W1303),0)))</f>
        <v>0</v>
      </c>
      <c r="X1305" s="205">
        <f>IF($B$1301="Лікар загальної практики - сімейний лікар",AVERAGE(X1301:X1303),IF($B$1301="Лікар-педіатр","x",IF($B$1301="Лікар-терапевт",AVERAGE(X1301:X1303),0)))</f>
        <v>0</v>
      </c>
      <c r="Y1305" s="205">
        <f>IF($B$1301="Лікар загальної практики - сімейний лікар",AVERAGE(Y1301:Y1303),IF($B$1301="Лікар-педіатр","x",IF($B$1301="Лікар-терапевт",AVERAGE(Y1301:Y1303),0)))</f>
        <v>0</v>
      </c>
      <c r="Z1305" s="206">
        <f>SUM(U1305:Y1305)</f>
        <v>0</v>
      </c>
      <c r="AA1305" s="930"/>
      <c r="AB1305" s="205">
        <f>IF($B$1301="Лікар загальної практики - сімейний лікар",AVERAGE(AB1301:AB1303),IF($B$1301="Лікар-педіатр",AVERAGE(AB1301:AB1303),IF($B$1301="Лікар-терапевт","х",0)))</f>
        <v>0</v>
      </c>
      <c r="AC1305" s="205">
        <f>IF($B$1301="Лікар загальної практики - сімейний лікар",AVERAGE(AC1301:AC1303),IF($B$1301="Лікар-педіатр",AVERAGE(AC1301:AC1303),IF($B$1301="Лікар-терапевт","х",0)))</f>
        <v>0</v>
      </c>
      <c r="AD1305" s="205">
        <f>IF($B$1301="Лікар загальної практики - сімейний лікар",AVERAGE(AD1301:AD1303),IF($B$1301="Лікар-педіатр","x",IF($B$1301="Лікар-терапевт",AVERAGE(AD1301:AD1303),0)))</f>
        <v>0</v>
      </c>
      <c r="AE1305" s="205">
        <f>IF($B$1301="Лікар загальної практики - сімейний лікар",AVERAGE(AE1301:AE1303),IF($B$1301="Лікар-педіатр","x",IF($B$1301="Лікар-терапевт",AVERAGE(AE1301:AE1303),0)))</f>
        <v>0</v>
      </c>
      <c r="AF1305" s="205">
        <f>IF($B$1301="Лікар загальної практики - сімейний лікар",AVERAGE(AF1301:AF1303),IF($B$1301="Лікар-педіатр","x",IF($B$1301="Лікар-терапевт",AVERAGE(AF1301:AF1303),0)))</f>
        <v>0</v>
      </c>
      <c r="AG1305" s="206">
        <f>SUM(AB1305:AF1305)</f>
        <v>0</v>
      </c>
      <c r="AH1305" s="930"/>
      <c r="AI1305" s="201"/>
      <c r="AJ1305" s="933"/>
      <c r="AK1305" s="927"/>
      <c r="AL1305" s="927"/>
      <c r="AM1305" s="903"/>
      <c r="AN1305" s="925"/>
      <c r="AO1305" s="925"/>
      <c r="AP1305" s="925"/>
      <c r="AQ1305" s="925"/>
      <c r="AR1305" s="916"/>
    </row>
    <row r="1306" spans="1:44" s="50" customFormat="1" ht="40.5" hidden="1">
      <c r="A1306" s="197"/>
      <c r="B1306" s="893"/>
      <c r="C1306" s="896"/>
      <c r="D1306" s="912"/>
      <c r="E1306" s="909"/>
      <c r="F1306" s="237" t="str">
        <f ca="1">IF(B1301="Лікар-педіатр",Законод!$C$17,IF(B1301="Лікар загальної практики - сімейний лікар",Законод!$C$21,IF(B1301="Лікар-терапевт",Законод!$C$25,"х")))</f>
        <v>х</v>
      </c>
      <c r="G1306" s="208">
        <f ca="1">IF($B$1301="Лікар загальної практики - сімейний лікар",IF(L1305&lt;=Законод!$C$22,G1305,Законод!$C$22*'01_Доходи'!G1304),IF($B$1301="Лікар-педіатр",IF(L1305&lt;=Законод!$C$18,G1305,Законод!$C$18*'01_Доходи'!G1304),IF($B$1301="Лікар-терапевт","x",0)))</f>
        <v>0</v>
      </c>
      <c r="H1306" s="208">
        <f ca="1">IF($B$1301="Лікар загальної практики - сімейний лікар",IF(L1305&lt;=Законод!$C$22,H1305,Законод!$C$22*'01_Доходи'!H1304),IF($B$1301="Лікар-педіатр",IF(L1305&lt;=Законод!$C$18,H1305,Законод!$C$18*'01_Доходи'!H1304),IF($B$1301="Лікар-терапевт","x",0)))</f>
        <v>0</v>
      </c>
      <c r="I1306" s="208">
        <f ca="1">IF($B$1301="Лікар загальної практики - сімейний лікар",IF(L1305&lt;=Законод!$C$22,I1305,Законод!$C$22*'01_Доходи'!I1304),IF($B$1301="Лікар-педіатр","x",IF($B$1301="Лікар-терапевт",IF(L1305&lt;=Законод!$C$26,I1305,Законод!$C$26*'01_Доходи'!I1304),0)))</f>
        <v>0</v>
      </c>
      <c r="J1306" s="208">
        <f ca="1">IF($B$1301="Лікар загальної практики - сімейний лікар",IF(L1305&lt;=Законод!$C$22,J1305,Законод!$C$22*'01_Доходи'!J1304),IF($B$1301="Лікар-педіатр","x",IF($B$1301="Лікар-терапевт",IF(L1305&lt;=Законод!$C$26,J1305,Законод!$C$26*'01_Доходи'!J1304),0)))</f>
        <v>0</v>
      </c>
      <c r="K1306" s="208">
        <f ca="1">IF($B$1301="Лікар загальної практики - сімейний лікар",IF(L1305&lt;=Законод!$C$22,K1305,Законод!$C$22*'01_Доходи'!K1304),IF($B$1301="Лікар-педіатр","x",IF($B$1301="Лікар-терапевт",IF(L1305&lt;=Законод!$C$26,K1305,Законод!$C$26*'01_Доходи'!K1304),0)))</f>
        <v>0</v>
      </c>
      <c r="L1306" s="209">
        <f ca="1">SUM(G1306:K1306)</f>
        <v>0</v>
      </c>
      <c r="M1306" s="930"/>
      <c r="N1306" s="208">
        <f ca="1">IF($B$1301="Лікар загальної практики - сімейний лікар",IF(S1305&lt;=Законод!$C$22,N1305,Законод!$C$22*'01_Доходи'!N1304),IF($B$1301="Лікар-педіатр",IF(S1305&lt;=Законод!$C$18,N1305,Законод!$C$18*'01_Доходи'!N1304),IF($B$1301="Лікар-терапевт","x",0)))</f>
        <v>0</v>
      </c>
      <c r="O1306" s="208">
        <f ca="1">IF($B$1301="Лікар загальної практики - сімейний лікар",IF(S1305&lt;=Законод!$C$22,O1305,Законод!$C$22*'01_Доходи'!O1304),IF($B$1301="Лікар-педіатр",IF(S1305&lt;=Законод!$C$18,O1305,Законод!$C$18*'01_Доходи'!O1304),IF($B$1301="Лікар-терапевт","x",0)))</f>
        <v>0</v>
      </c>
      <c r="P1306" s="208">
        <f ca="1">IF($B$1301="Лікар загальної практики - сімейний лікар",IF(S1305&lt;=Законод!$C$22,P1305,Законод!$C$22*'01_Доходи'!P1304),IF($B$1301="Лікар-педіатр","x",IF($B$1301="Лікар-терапевт",IF(S1305&lt;=Законод!$C$26,P1305,Законод!$C$26*'01_Доходи'!P1304),0)))</f>
        <v>0</v>
      </c>
      <c r="Q1306" s="208">
        <f ca="1">IF($B$1301="Лікар загальної практики - сімейний лікар",IF(S1305&lt;=Законод!$C$22,Q1305,Законод!$C$22*'01_Доходи'!Q1304),IF($B$1301="Лікар-педіатр","x",IF($B$1301="Лікар-терапевт",IF(S1305&lt;=Законод!$C$26,Q1305,Законод!$C$26*'01_Доходи'!Q1304),0)))</f>
        <v>0</v>
      </c>
      <c r="R1306" s="208">
        <f ca="1">IF($B$1301="Лікар загальної практики - сімейний лікар",IF(S1305&lt;=Законод!$C$22,R1305,Законод!$C$22*'01_Доходи'!R1304),IF($B$1301="Лікар-педіатр","x",IF($B$1301="Лікар-терапевт",IF(S1305&lt;=Законод!$C$26,R1305,Законод!$C$26*'01_Доходи'!R1304),0)))</f>
        <v>0</v>
      </c>
      <c r="S1306" s="209">
        <f ca="1">SUM(N1306:R1306)</f>
        <v>0</v>
      </c>
      <c r="T1306" s="930"/>
      <c r="U1306" s="208">
        <f ca="1">IF($B$1301="Лікар загальної практики - сімейний лікар",IF(Z1305&lt;=Законод!$C$22,U1305,Законод!$C$22*'01_Доходи'!U1304),IF($B$1301="Лікар-педіатр",IF(Z1305&lt;=Законод!$C$18,U1305,Законод!$C$18*'01_Доходи'!U1304),IF($B$1301="Лікар-терапевт","x",0)))</f>
        <v>0</v>
      </c>
      <c r="V1306" s="208">
        <f ca="1">IF($B$1301="Лікар загальної практики - сімейний лікар",IF(Z1305&lt;=Законод!$C$22,V1305,Законод!$C$22*'01_Доходи'!V1304),IF($B$1301="Лікар-педіатр",IF(Z1305&lt;=Законод!$C$18,V1305,Законод!$C$18*'01_Доходи'!V1304),IF($B$1301="Лікар-терапевт","x",0)))</f>
        <v>0</v>
      </c>
      <c r="W1306" s="208">
        <f ca="1">IF($B$1301="Лікар загальної практики - сімейний лікар",IF(Z1305&lt;=Законод!$C$22,W1305,Законод!$C$22*'01_Доходи'!W1304),IF($B$1301="Лікар-педіатр","x",IF($B$1301="Лікар-терапевт",IF(Z1305&lt;=Законод!$C$26,W1305,Законод!$C$26*'01_Доходи'!W1304),0)))</f>
        <v>0</v>
      </c>
      <c r="X1306" s="208">
        <f ca="1">IF($B$1301="Лікар загальної практики - сімейний лікар",IF(Z1305&lt;=Законод!$C$22,X1305,Законод!$C$22*'01_Доходи'!X1304),IF($B$1301="Лікар-педіатр","x",IF($B$1301="Лікар-терапевт",IF(Z1305&lt;=Законод!$C$26,X1305,Законод!$C$26*'01_Доходи'!X1304),0)))</f>
        <v>0</v>
      </c>
      <c r="Y1306" s="208">
        <f ca="1">IF($B$1301="Лікар загальної практики - сімейний лікар",IF(Z1305&lt;=Законод!$C$22,Y1305,Законод!$C$22*'01_Доходи'!Y1304),IF($B$1301="Лікар-педіатр","x",IF($B$1301="Лікар-терапевт",IF(Z1305&lt;=Законод!$C$26,Y1305,Законод!$C$26*'01_Доходи'!Y1304),0)))</f>
        <v>0</v>
      </c>
      <c r="Z1306" s="209">
        <f ca="1">SUM(U1306:Y1306)</f>
        <v>0</v>
      </c>
      <c r="AA1306" s="930"/>
      <c r="AB1306" s="208">
        <f ca="1">IF($B$1301="Лікар загальної практики - сімейний лікар",IF(AG1305&lt;=Законод!$C$22,AB1305,Законод!$C$22*'01_Доходи'!AB1304),IF($B$1301="Лікар-педіатр",IF(AG1305&lt;=Законод!$C$18,AB1305,Законод!$C$18*'01_Доходи'!AB1304),IF($B$1301="Лікар-терапевт","x",0)))</f>
        <v>0</v>
      </c>
      <c r="AC1306" s="208">
        <f ca="1">IF($B$1301="Лікар загальної практики - сімейний лікар",IF(AG1305&lt;=Законод!$C$22,AC1305,Законод!$C$22*'01_Доходи'!AC1304),IF($B$1301="Лікар-педіатр",IF(AG1305&lt;=Законод!$C$18,AC1305,Законод!$C$18*'01_Доходи'!AC1304),IF($B$1301="Лікар-терапевт","x",0)))</f>
        <v>0</v>
      </c>
      <c r="AD1306" s="208">
        <f ca="1">IF($B$1301="Лікар загальної практики - сімейний лікар",IF(AG1305&lt;=Законод!$C$22,AD1305,Законод!$C$22*'01_Доходи'!AD1304),IF($B$1301="Лікар-педіатр","x",IF($B$1301="Лікар-терапевт",IF(AG1305&lt;=Законод!$C$26,AD1305,Законод!$C$26*'01_Доходи'!AD1304),0)))</f>
        <v>0</v>
      </c>
      <c r="AE1306" s="208">
        <f ca="1">IF($B$1301="Лікар загальної практики - сімейний лікар",IF(AG1305&lt;=Законод!$C$22,AE1305,Законод!$C$22*'01_Доходи'!AE1304),IF($B$1301="Лікар-педіатр","x",IF($B$1301="Лікар-терапевт",IF(AG1305&lt;=Законод!$C$26,AE1305,Законод!$C$26*'01_Доходи'!AE1304),0)))</f>
        <v>0</v>
      </c>
      <c r="AF1306" s="208">
        <f ca="1">IF($B$1301="Лікар загальної практики - сімейний лікар",IF(AG1305&lt;=Законод!$C$22,AF1305,Законод!$C$22*'01_Доходи'!AF1304),IF($B$1301="Лікар-педіатр","x",IF($B$1301="Лікар-терапевт",IF(AG1305&lt;=Законод!$C$26,AF1305,Законод!$C$26*'01_Доходи'!AF1304),0)))</f>
        <v>0</v>
      </c>
      <c r="AG1306" s="209">
        <f ca="1">SUM(AB1306:AF1306)</f>
        <v>0</v>
      </c>
      <c r="AH1306" s="930"/>
      <c r="AI1306" s="201"/>
      <c r="AJ1306" s="933"/>
      <c r="AK1306" s="927"/>
      <c r="AL1306" s="927"/>
      <c r="AM1306" s="348" t="s">
        <v>374</v>
      </c>
      <c r="AN1306" s="210">
        <f ca="1">IF(B1301="Лікар загальної практики - сімейний лікар",G1306*Законод!$C$11+'01_Доходи'!H1306*Законод!$D$11+'01_Доходи'!I1306*Законод!$E$11+'01_Доходи'!J1306*Законод!$F$11+'01_Доходи'!K1306*Законод!$G$11,IF(B1301="Лікар-педіатр",G1306*Законод!$C$11+'01_Доходи'!H1306*Законод!$D$11,IF(B1301="Лікар-терапевт",'01_Доходи'!I1306*Законод!$E$11+'01_Доходи'!J1306*Законод!$F$11+'01_Доходи'!K1306*Законод!$G$11,0)))</f>
        <v>0</v>
      </c>
      <c r="AO1306" s="210">
        <f ca="1">IF(B1301="Лікар загальної практики - сімейний лікар",N1306*Законод!$C$11+'01_Доходи'!O1306*Законод!$D$11+'01_Доходи'!P1306*Законод!$E$11+'01_Доходи'!Q1306*Законод!$F$11+'01_Доходи'!R1306*Законод!$G$11,IF(B1301="Лікар-педіатр",N1306*Законод!$C$11+'01_Доходи'!O1306*Законод!$D$11,IF(B1301="Лікар-терапевт",'01_Доходи'!P1306*Законод!$E$11+'01_Доходи'!Q1306*Законод!$F$11+'01_Доходи'!R1306*Законод!$G$11,0)))</f>
        <v>0</v>
      </c>
      <c r="AP1306" s="210">
        <f ca="1">IF(B1301="Лікар загальної практики - сімейний лікар",U1306*Законод!$C$11+'01_Доходи'!V1306*Законод!$D$11+'01_Доходи'!W1306*Законод!$E$11+'01_Доходи'!X1306*Законод!$F$11+'01_Доходи'!Y1306*Законод!$G$11,IF(B1301="Лікар-педіатр",U1306*Законод!$C$11+'01_Доходи'!V1306*Законод!$D$11,IF(B1301="Лікар-терапевт",'01_Доходи'!W1306*Законод!$E$11+'01_Доходи'!X1306*Законод!$F$11+'01_Доходи'!Y1306*Законод!$G$11,0)))</f>
        <v>0</v>
      </c>
      <c r="AQ1306" s="210">
        <f ca="1">IF(B1301="Лікар загальної практики - сімейний лікар",AB1306*Законод!$C$11+'01_Доходи'!AC1306*Законод!$D$11+'01_Доходи'!AD1306*Законод!$E$11+'01_Доходи'!AE1306*Законод!$F$11+'01_Доходи'!AF1306*Законод!$G$11,IF(B1301="Лікар-педіатр",AB1306*Законод!$C$11+'01_Доходи'!AC1306*Законод!$D$11,IF(B1301="Лікар-терапевт",'01_Доходи'!AD1306*Законод!$E$11+'01_Доходи'!AE1306*Законод!$F$11+'01_Доходи'!AF1306*Законод!$G$11,0)))</f>
        <v>0</v>
      </c>
      <c r="AR1306" s="211">
        <f t="shared" ref="AR1306:AR1312" si="127">SUM(AN1306:AQ1306)</f>
        <v>0</v>
      </c>
    </row>
    <row r="1307" spans="1:44" s="50" customFormat="1" ht="31.9" hidden="1" customHeight="1">
      <c r="A1307" s="197"/>
      <c r="B1307" s="893"/>
      <c r="C1307" s="896"/>
      <c r="D1307" s="912"/>
      <c r="E1307" s="909"/>
      <c r="F1307" s="238" t="str">
        <f ca="1">IF(B1301="Лікар-педіатр",Законод!$E$17,IF(B1301="Лікар загальної практики - сімейний лікар",Законод!$E$21,IF(B1301="Лікар-терапевт",Законод!$E$25,"х")))</f>
        <v>х</v>
      </c>
      <c r="G1307" s="889" t="s">
        <v>346</v>
      </c>
      <c r="H1307" s="890"/>
      <c r="I1307" s="890"/>
      <c r="J1307" s="890"/>
      <c r="K1307" s="891"/>
      <c r="L1307" s="196">
        <f ca="1">IF($B$1301="Лікар загальної практики - сімейний лікар",IF(L1305&lt;Законод!$C$22,0,(IF(AND(L1305&gt;=Законод!$E$22,L1305&lt;=Законод!$E$23),L1305-Законод!$C$22,IF('01_Доходи'!L1305&gt;=Законод!$F$22,Законод!$E$24,0)))),IF($B$1301="Лікар-педіатр",IF(L1305&lt;Законод!$C$18,0,(IF(AND(L1305&gt;=Законод!$E$18,L1305&lt;=Законод!$E$19),L1305-Законод!$C$18,IF('01_Доходи'!L1305&gt;=Законод!$F$18,Законод!$E$20,0)))),IF($B$1301="Лікар-терапевт",IF(L1305&lt;Законод!$C$26,0,(IF(AND(L1305&gt;=Законод!$E$26,L1305&lt;=Законод!$E$27),L1305-Законод!$C$26,IF('01_Доходи'!L1305&gt;=Законод!$F$26,Законод!$E$28,0)))),0)))</f>
        <v>0</v>
      </c>
      <c r="M1307" s="930"/>
      <c r="N1307" s="889" t="s">
        <v>346</v>
      </c>
      <c r="O1307" s="890"/>
      <c r="P1307" s="890"/>
      <c r="Q1307" s="890"/>
      <c r="R1307" s="891"/>
      <c r="S1307" s="196">
        <f ca="1">IF($B$1301="Лікар загальної практики - сімейний лікар",IF(S1305&lt;Законод!$C$22,0,(IF(AND(S1305&gt;=Законод!$E$22,S1305&lt;=Законод!$E$23),S1305-Законод!$C$22,IF('01_Доходи'!S1305&gt;=Законод!$F$22,Законод!$E$24,0)))),IF($B$1301="Лікар-педіатр",IF(S1305&lt;Законод!$C$18,0,(IF(AND(S1305&gt;=Законод!$E$18,S1305&lt;=Законод!$E$19),S1305-Законод!$C$18,IF('01_Доходи'!S1305&gt;=Законод!$F$18,Законод!$E$20,0)))),IF($B$1301="Лікар-терапевт",IF(S1305&lt;Законод!$C$26,0,(IF(AND(S1305&gt;=Законод!$E$26,S1305&lt;=Законод!$E$27),S1305-Законод!$C$26,IF('01_Доходи'!S1305&gt;=Законод!$F$26,Законод!$E$28,0)))),0)))</f>
        <v>0</v>
      </c>
      <c r="T1307" s="930"/>
      <c r="U1307" s="889" t="s">
        <v>346</v>
      </c>
      <c r="V1307" s="890"/>
      <c r="W1307" s="890"/>
      <c r="X1307" s="890"/>
      <c r="Y1307" s="891"/>
      <c r="Z1307" s="196">
        <f ca="1">IF($B$1301="Лікар загальної практики - сімейний лікар",IF(Z1305&lt;Законод!$C$22,0,(IF(AND(Z1305&gt;=Законод!$E$22,Z1305&lt;=Законод!$E$23),Z1305-Законод!$C$22,IF('01_Доходи'!Z1305&gt;=Законод!$F$22,Законод!$E$24,0)))),IF($B$1301="Лікар-педіатр",IF(Z1305&lt;Законод!$C$18,0,(IF(AND(Z1305&gt;=Законод!$E$18,Z1305&lt;=Законод!$E$19),Z1305-Законод!$C$18,IF('01_Доходи'!Z1305&gt;=Законод!$F$18,Законод!$E$20,0)))),IF($B$1301="Лікар-терапевт",IF(Z1305&lt;Законод!$C$26,0,(IF(AND(Z1305&gt;=Законод!$E$26,Z1305&lt;=Законод!$E$27),Z1305-Законод!$C$26,IF('01_Доходи'!Z1305&gt;=Законод!$F$26,Законод!$E$28,0)))),0)))</f>
        <v>0</v>
      </c>
      <c r="AA1307" s="930"/>
      <c r="AB1307" s="889" t="s">
        <v>346</v>
      </c>
      <c r="AC1307" s="890"/>
      <c r="AD1307" s="890"/>
      <c r="AE1307" s="890"/>
      <c r="AF1307" s="891"/>
      <c r="AG1307" s="196">
        <f ca="1">IF($B$1301="Лікар загальної практики - сімейний лікар",IF(AG1305&lt;Законод!$C$22,0,(IF(AND(AG1305&gt;=Законод!$E$22,AG1305&lt;=Законод!$E$23),AG1305-Законод!$C$22,IF('01_Доходи'!AG1305&gt;=Законод!$F$22,Законод!$E$24,0)))),IF($B$1301="Лікар-педіатр",IF(AG1305&lt;Законод!$C$18,0,(IF(AND(AG1305&gt;=Законод!$E$18,AG1305&lt;=Законод!$E$19),AG1305-Законод!$C$18,IF('01_Доходи'!AG1305&gt;=Законод!$F$18,Законод!$E$20,0)))),IF($B$1301="Лікар-терапевт",IF(AG1305&lt;Законод!$C$26,0,(IF(AND(AG1305&gt;=Законод!$E$26,AG1305&lt;=Законод!$E$27),AG1305-Законод!$C$26,IF('01_Доходи'!AG1305&gt;=Законод!$F$26,Законод!$E$28,0)))),0)))</f>
        <v>0</v>
      </c>
      <c r="AH1307" s="930"/>
      <c r="AI1307" s="201"/>
      <c r="AJ1307" s="933"/>
      <c r="AK1307" s="927"/>
      <c r="AL1307" s="927"/>
      <c r="AM1307" s="898" t="s">
        <v>375</v>
      </c>
      <c r="AN1307" s="210">
        <f ca="1">IF(B1301="Лікар загальної практики - сімейний лікар",L1307*Законод!$C$9/4*Законод!$E$16,IF(B1301="Лікар-педіатр",L1307*Законод!$C$9/4*Законод!$E$16,IF(B1301="Лікар-терапевт",L1307*Законод!$C$9/4*Законод!$E$16,0)))</f>
        <v>0</v>
      </c>
      <c r="AO1307" s="210">
        <f ca="1">IF(B1301="Лікар загальної практики - сімейний лікар",S1307*Законод!$C$9/4*Законод!$E$16,IF(B1301="Лікар-педіатр",S1307*Законод!$C$9/4*Законод!$E$16,IF(B1301="Лікар-терапевт",S1307*Законод!$C$9/4*Законод!$E$16,0)))</f>
        <v>0</v>
      </c>
      <c r="AP1307" s="210">
        <f ca="1">IF(B1301="Лікар загальної практики - сімейний лікар",Z1307*Законод!$C$9/4*Законод!$E$16,IF(B1301="Лікар-педіатр",Z1307*Законод!$C$9/4*Законод!$E$16,IF(B1301="Лікар-терапевт",Z1307*Законод!$C$9/4*Законод!$E$16,0)))</f>
        <v>0</v>
      </c>
      <c r="AQ1307" s="210">
        <f ca="1">IF(B1301="Лікар загальної практики - сімейний лікар",AG1307*Законод!$C$9/4*Законод!$E$16,IF(B1301="Лікар-педіатр",AG1307*Законод!$C$9/4*Законод!$E$16,IF(B1301="Лікар-терапевт",AG1307*Законод!$C$9/4*Законод!$E$16,0)))</f>
        <v>0</v>
      </c>
      <c r="AR1307" s="211">
        <f t="shared" si="127"/>
        <v>0</v>
      </c>
    </row>
    <row r="1308" spans="1:44" s="50" customFormat="1" ht="31.9" hidden="1" customHeight="1">
      <c r="A1308" s="197"/>
      <c r="B1308" s="893"/>
      <c r="C1308" s="896"/>
      <c r="D1308" s="912"/>
      <c r="E1308" s="909"/>
      <c r="F1308" s="238" t="str">
        <f ca="1">IF(B1301="Лікар-педіатр",Законод!$F$17,IF(B1301="Лікар загальної практики - сімейний лікар",Законод!$F$21,IF(B1301="Лікар-терапевт",Законод!$F$25,"х")))</f>
        <v>х</v>
      </c>
      <c r="G1308" s="889" t="s">
        <v>346</v>
      </c>
      <c r="H1308" s="890"/>
      <c r="I1308" s="890"/>
      <c r="J1308" s="890"/>
      <c r="K1308" s="891"/>
      <c r="L1308" s="196">
        <f ca="1">IF($B$1301="Лікар загальної практики - сімейний лікар",IF(L1305&lt;Законод!$C$22,0,(IF(AND(L1305&gt;=Законод!$F$22,L1305&lt;=Законод!$F$23),L1305-Законод!$E$23,IF('01_Доходи'!L1305&gt;=Законод!$G$22,Законод!$F$24,0)))),IF($B$1301="Лікар-педіатр",IF(L1305&lt;Законод!$C$18,0,(IF(AND(L1305&gt;=Законод!$F$18,L1305&lt;=Законод!$F$19),L1305-Законод!$E$19,IF('01_Доходи'!L1305&gt;=Законод!$G$18,Законод!$F$20,0)))),IF($B$1301="Лікар-терапевт",IF(L1305&lt;Законод!$C$26,0,(IF(AND(L1305&gt;=Законод!$F$26,L1305&lt;=Законод!$F$27),L1305-Законод!$E$27,IF('01_Доходи'!L1305&gt;=Законод!$G$26,Законод!$F$28,0)))),0)))</f>
        <v>0</v>
      </c>
      <c r="M1308" s="930"/>
      <c r="N1308" s="889" t="s">
        <v>346</v>
      </c>
      <c r="O1308" s="890"/>
      <c r="P1308" s="890"/>
      <c r="Q1308" s="890"/>
      <c r="R1308" s="891"/>
      <c r="S1308" s="196">
        <f ca="1">IF($B$1301="Лікар загальної практики - сімейний лікар",IF(S1305&lt;Законод!$C$22,0,(IF(AND(S1305&gt;=Законод!$F$22,S1305&lt;=Законод!$F$23),S1305-Законод!$E$23,IF('01_Доходи'!S1305&gt;=Законод!$G$22,Законод!$F$24,0)))),IF($B$1301="Лікар-педіатр",IF(S1305&lt;Законод!$C$18,0,(IF(AND(S1305&gt;=Законод!$F$18,S1305&lt;=Законод!$F$19),S1305-Законод!$E$19,IF('01_Доходи'!S1305&gt;=Законод!$G$18,Законод!$F$20,0)))),IF($B$1301="Лікар-терапевт",IF(S1305&lt;Законод!$C$26,0,(IF(AND(S1305&gt;=Законод!$F$26,S1305&lt;=Законод!$F$27),S1305-Законод!$E$27,IF('01_Доходи'!S1305&gt;=Законод!$G$26,Законод!$F$28,0)))),0)))</f>
        <v>0</v>
      </c>
      <c r="T1308" s="930"/>
      <c r="U1308" s="889" t="s">
        <v>346</v>
      </c>
      <c r="V1308" s="890"/>
      <c r="W1308" s="890"/>
      <c r="X1308" s="890"/>
      <c r="Y1308" s="891"/>
      <c r="Z1308" s="196">
        <f ca="1">IF($B$1301="Лікар загальної практики - сімейний лікар",IF(Z1305&lt;Законод!$C$22,0,(IF(AND(Z1305&gt;=Законод!$F$22,Z1305&lt;=Законод!$F$23),Z1305-Законод!$E$23,IF('01_Доходи'!Z1305&gt;=Законод!$G$22,Законод!$F$24,0)))),IF($B$1301="Лікар-педіатр",IF(Z1305&lt;Законод!$C$18,0,(IF(AND(Z1305&gt;=Законод!$F$18,Z1305&lt;=Законод!$F$19),Z1305-Законод!$E$19,IF('01_Доходи'!Z1305&gt;=Законод!$G$18,Законод!$F$20,0)))),IF($B$1301="Лікар-терапевт",IF(Z1305&lt;Законод!$C$26,0,(IF(AND(Z1305&gt;=Законод!$F$26,Z1305&lt;=Законод!$F$27),Z1305-Законод!$E$27,IF('01_Доходи'!Z1305&gt;=Законод!$G$26,Законод!$F$28,0)))),0)))</f>
        <v>0</v>
      </c>
      <c r="AA1308" s="930"/>
      <c r="AB1308" s="889" t="s">
        <v>346</v>
      </c>
      <c r="AC1308" s="890"/>
      <c r="AD1308" s="890"/>
      <c r="AE1308" s="890"/>
      <c r="AF1308" s="891"/>
      <c r="AG1308" s="196">
        <f ca="1">IF($B$1301="Лікар загальної практики - сімейний лікар",IF(AG1305&lt;Законод!$C$22,0,(IF(AND(AG1305&gt;=Законод!$F$22,AG1305&lt;=Законод!$F$23),AG1305-Законод!$E$23,IF('01_Доходи'!AG1305&gt;=Законод!$G$22,Законод!$F$24,0)))),IF($B$1301="Лікар-педіатр",IF(AG1305&lt;Законод!$C$18,0,(IF(AND(AG1305&gt;=Законод!$F$18,AG1305&lt;=Законод!$F$19),AG1305-Законод!$E$19,IF('01_Доходи'!AG1305&gt;=Законод!$G$18,Законод!$F$20,0)))),IF($B$1301="Лікар-терапевт",IF(AG1305&lt;Законод!$C$26,0,(IF(AND(AG1305&gt;=Законод!$F$26,AG1305&lt;=Законод!$F$27),AG1305-Законод!$E$27,IF('01_Доходи'!AG1305&gt;=Законод!$G$26,Законод!$F$28,0)))),0)))</f>
        <v>0</v>
      </c>
      <c r="AH1308" s="930"/>
      <c r="AI1308" s="201"/>
      <c r="AJ1308" s="933"/>
      <c r="AK1308" s="927"/>
      <c r="AL1308" s="927"/>
      <c r="AM1308" s="899"/>
      <c r="AN1308" s="210">
        <f ca="1">IF(B1301="Лікар загальної практики - сімейний лікар",L1308*Законод!$C$9/4*Законод!$F$16,IF(B1301="Лікар-педіатр",L1308*Законод!$C$9/4*Законод!$F$16,IF(B1301="Лікар-терапевт",L1308*Законод!$C$9/4*Законод!$F$16,0)))</f>
        <v>0</v>
      </c>
      <c r="AO1308" s="210">
        <f ca="1">IF(B1301="Лікар загальної практики - сімейний лікар",S1308*Законод!$C$9/4*Законод!$F$16,IF(B1301="Лікар-педіатр",S1308*Законод!$C$9/4*Законод!$F$16,IF(B1301="Лікар-терапевт",S1308*Законод!$C$9/4*Законод!$F$16,0)))</f>
        <v>0</v>
      </c>
      <c r="AP1308" s="210">
        <f ca="1">IF(B1301="Лікар загальної практики - сімейний лікар",Z1308*Законод!$C$9/4*Законод!$F$16,IF(B1301="Лікар-педіатр",Z1308*Законод!$C$9/4*Законод!$F$16,IF(B1301="Лікар-терапевт",Z1308*Законод!$C$9/4*Законод!$F$16,0)))</f>
        <v>0</v>
      </c>
      <c r="AQ1308" s="210">
        <f ca="1">IF(B1301="Лікар загальної практики - сімейний лікар",AG1308*Законод!$C$9/4*Законод!$F$16,IF(B1301="Лікар-педіатр",AG1308*Законод!$C$9/4*Законод!$F$16,IF(B1301="Лікар-терапевт",AG1308*Законод!$C$9/4*Законод!$F$16,0)))</f>
        <v>0</v>
      </c>
      <c r="AR1308" s="211">
        <f t="shared" si="127"/>
        <v>0</v>
      </c>
    </row>
    <row r="1309" spans="1:44" s="50" customFormat="1" ht="31.9" hidden="1" customHeight="1">
      <c r="A1309" s="197"/>
      <c r="B1309" s="893"/>
      <c r="C1309" s="896"/>
      <c r="D1309" s="912"/>
      <c r="E1309" s="909"/>
      <c r="F1309" s="238" t="str">
        <f ca="1">IF(B1301="Лікар-педіатр",Законод!$G$17,IF(B1301="Лікар загальної практики - сімейний лікар",Законод!$G$21,IF(B1301="Лікар-терапевт",Законод!$G$25,"х")))</f>
        <v>х</v>
      </c>
      <c r="G1309" s="889" t="s">
        <v>346</v>
      </c>
      <c r="H1309" s="890"/>
      <c r="I1309" s="890"/>
      <c r="J1309" s="890"/>
      <c r="K1309" s="891"/>
      <c r="L1309" s="196">
        <f ca="1">IF($B$1301="Лікар загальної практики - сімейний лікар",IF(L1305&lt;Законод!$C$22,0,(IF(AND(L1305&gt;=Законод!$G$22,L1305&lt;=Законод!$G$23),L1305-Законод!$F$23,IF('01_Доходи'!L1305&gt;=Законод!$H$22,Законод!$G$24,0)))),IF($B$1301="Лікар-педіатр",IF(L1305&lt;Законод!$C$18,0,(IF(AND(L1305&gt;=Законод!$G$18,L1305&lt;=Законод!$G$19),L1305-Законод!$F$19,IF('01_Доходи'!L1305&gt;=Законод!$H$18,Законод!$G$20,0)))),IF($B$1301="Лікар-терапевт",IF(L1305&lt;Законод!$C$26,0,(IF(AND(L1305&gt;=Законод!$G$26,L1305&lt;=Законод!$G$27),L1305-Законод!$F$27,IF('01_Доходи'!L1305&gt;=Законод!$H$26,Законод!$G$28,0)))),0)))</f>
        <v>0</v>
      </c>
      <c r="M1309" s="930"/>
      <c r="N1309" s="889" t="s">
        <v>346</v>
      </c>
      <c r="O1309" s="890"/>
      <c r="P1309" s="890"/>
      <c r="Q1309" s="890"/>
      <c r="R1309" s="891"/>
      <c r="S1309" s="196">
        <f ca="1">IF($B$1301="Лікар загальної практики - сімейний лікар",IF(S1305&lt;Законод!$C$22,0,(IF(AND(S1305&gt;=Законод!$G$22,S1305&lt;=Законод!$G$23),S1305-Законод!$F$23,IF('01_Доходи'!S1305&gt;=Законод!$H$22,Законод!$G$24,0)))),IF($B$1301="Лікар-педіатр",IF(S1305&lt;Законод!$C$18,0,(IF(AND(S1305&gt;=Законод!$G$18,S1305&lt;=Законод!$G$19),S1305-Законод!$F$19,IF('01_Доходи'!S1305&gt;=Законод!$H$18,Законод!$G$20,0)))),IF($B$1301="Лікар-терапевт",IF(S1305&lt;Законод!$C$26,0,(IF(AND(S1305&gt;=Законод!$G$26,S1305&lt;=Законод!$G$27),S1305-Законод!$F$27,IF('01_Доходи'!S1305&gt;=Законод!$H$26,Законод!$G$28,0)))),0)))</f>
        <v>0</v>
      </c>
      <c r="T1309" s="930"/>
      <c r="U1309" s="889" t="s">
        <v>346</v>
      </c>
      <c r="V1309" s="890"/>
      <c r="W1309" s="890"/>
      <c r="X1309" s="890"/>
      <c r="Y1309" s="891"/>
      <c r="Z1309" s="196">
        <f ca="1">IF($B$1301="Лікар загальної практики - сімейний лікар",IF(Z1305&lt;Законод!$C$22,0,(IF(AND(Z1305&gt;=Законод!$G$22,Z1305&lt;=Законод!$G$23),Z1305-Законод!$F$23,IF('01_Доходи'!Z1305&gt;=Законод!$H$22,Законод!$G$24,0)))),IF($B$1301="Лікар-педіатр",IF(Z1305&lt;Законод!$C$18,0,(IF(AND(Z1305&gt;=Законод!$G$18,Z1305&lt;=Законод!$G$19),Z1305-Законод!$F$19,IF('01_Доходи'!Z1305&gt;=Законод!$H$18,Законод!$G$20,0)))),IF($B$1301="Лікар-терапевт",IF(Z1305&lt;Законод!$C$26,0,(IF(AND(Z1305&gt;=Законод!$G$26,Z1305&lt;=Законод!$G$27),Z1305-Законод!$F$27,IF('01_Доходи'!Z1305&gt;=Законод!$H$26,Законод!$G$28,0)))),0)))</f>
        <v>0</v>
      </c>
      <c r="AA1309" s="930"/>
      <c r="AB1309" s="889" t="s">
        <v>346</v>
      </c>
      <c r="AC1309" s="890"/>
      <c r="AD1309" s="890"/>
      <c r="AE1309" s="890"/>
      <c r="AF1309" s="891"/>
      <c r="AG1309" s="196">
        <f ca="1">IF($B$1301="Лікар загальної практики - сімейний лікар",IF(AG1305&lt;Законод!$C$22,0,(IF(AND(AG1305&gt;=Законод!$G$22,AG1305&lt;=Законод!$G$23),AG1305-Законод!$F$23,IF('01_Доходи'!AG1305&gt;=Законод!$H$22,Законод!$G$24,0)))),IF($B$1301="Лікар-педіатр",IF(AG1305&lt;Законод!$C$18,0,(IF(AND(AG1305&gt;=Законод!$G$18,AG1305&lt;=Законод!$G$19),AG1305-Законод!$F$19,IF('01_Доходи'!AG1305&gt;=Законод!$H$18,Законод!$G$20,0)))),IF($B$1301="Лікар-терапевт",IF(AG1305&lt;Законод!$C$26,0,(IF(AND(AG1305&gt;=Законод!$G$26,AG1305&lt;=Законод!$G$27),AG1305-Законод!$F$27,IF('01_Доходи'!AG1305&gt;=Законод!$H$26,Законод!$G$28,0)))),0)))</f>
        <v>0</v>
      </c>
      <c r="AH1309" s="930"/>
      <c r="AI1309" s="201"/>
      <c r="AJ1309" s="933"/>
      <c r="AK1309" s="927"/>
      <c r="AL1309" s="927"/>
      <c r="AM1309" s="899"/>
      <c r="AN1309" s="210">
        <f ca="1">IF(B1301="Лікар загальної практики - сімейний лікар",L1309*Законод!$C$9/4*Законод!$G$16,IF(B1301="Лікар-педіатр",L1309*Законод!$C$9/4*Законод!$G$16,IF(B1301="Лікар-терапевт",L1309*Законод!$C$9/4*Законод!$G$16,0)))</f>
        <v>0</v>
      </c>
      <c r="AO1309" s="210">
        <f ca="1">IF(B1301="Лікар загальної практики - сімейний лікар",S1309*Законод!$C$9/4*Законод!$G$16,IF(B1301="Лікар-педіатр",S1309*Законод!$C$9/4*Законод!$G$16,IF(B1301="Лікар-терапевт",S1309*Законод!$C$9/4*Законод!$G$16,0)))</f>
        <v>0</v>
      </c>
      <c r="AP1309" s="210">
        <f ca="1">IF(B1301="Лікар загальної практики - сімейний лікар",Z1309*Законод!$C$9/4*Законод!$G$16,IF(B1301="Лікар-педіатр",Z1309*Законод!$C$9/4*Законод!$G$16,IF(B1301="Лікар-терапевт",Z1309*Законод!$C$9/4*Законод!$G$16,0)))</f>
        <v>0</v>
      </c>
      <c r="AQ1309" s="210">
        <f ca="1">IF(B1301="Лікар загальної практики - сімейний лікар",AG1309*Законод!$C$9/4*Законод!$G$16,IF(B1301="Лікар-педіатр",AG1309*Законод!$C$9/4*Законод!$G$16,IF(B1301="Лікар-терапевт",AG1309*Законод!$C$9/4*Законод!$G$16,0)))</f>
        <v>0</v>
      </c>
      <c r="AR1309" s="211">
        <f t="shared" si="127"/>
        <v>0</v>
      </c>
    </row>
    <row r="1310" spans="1:44" s="50" customFormat="1" ht="31.9" hidden="1" customHeight="1">
      <c r="A1310" s="197"/>
      <c r="B1310" s="893"/>
      <c r="C1310" s="896"/>
      <c r="D1310" s="912"/>
      <c r="E1310" s="909"/>
      <c r="F1310" s="238" t="str">
        <f ca="1">IF(B1301="Лікар-педіатр",Законод!$H$17,IF(B1301="Лікар загальної практики - сімейний лікар",Законод!$H$21,IF(B1301="Лікар-терапевт",Законод!$H$25,"х")))</f>
        <v>х</v>
      </c>
      <c r="G1310" s="889" t="s">
        <v>346</v>
      </c>
      <c r="H1310" s="890"/>
      <c r="I1310" s="890"/>
      <c r="J1310" s="890"/>
      <c r="K1310" s="891"/>
      <c r="L1310" s="196">
        <f ca="1">IF($B$1301="Лікар загальної практики - сімейний лікар",IF(L1305&lt;Законод!$C$22,0,(IF(AND(L1305&gt;=Законод!$H$22,L1305&lt;=Законод!$H$23),L1305-Законод!$G$23,IF('01_Доходи'!L1305&gt;=Законод!$I$22,Законод!$H$24,0)))),IF($B$1301="Лікар-педіатр",IF(L1305&lt;Законод!$C$18,0,(IF(AND(L1305&gt;=Законод!$H$18,L1305&lt;=Законод!$H$19),L1305-Законод!$G$19,IF('01_Доходи'!L1305&gt;=Законод!$I$18,Законод!$H$20,0)))),IF($B$1301="Лікар-терапевт",IF(L1305&lt;Законод!$C$26,0,(IF(AND(L1305&gt;=Законод!$H$26,L1305&lt;=Законод!$H$27),L1305-Законод!$G$27,IF(L1305&gt;=Законод!$I$26,Законод!$H$28,0)))),0)))</f>
        <v>0</v>
      </c>
      <c r="M1310" s="930"/>
      <c r="N1310" s="889" t="s">
        <v>346</v>
      </c>
      <c r="O1310" s="890"/>
      <c r="P1310" s="890"/>
      <c r="Q1310" s="890"/>
      <c r="R1310" s="891"/>
      <c r="S1310" s="196">
        <f ca="1">IF($B$1301="Лікар загальної практики - сімейний лікар",IF(S1305&lt;Законод!$C$22,0,(IF(AND(S1305&gt;=Законод!$H$22,S1305&lt;=Законод!$H$23),S1305-Законод!$G$23,IF('01_Доходи'!S1305&gt;=Законод!$I$22,Законод!$H$24,0)))),IF($B$1301="Лікар-педіатр",IF(S1305&lt;Законод!$C$18,0,(IF(AND(S1305&gt;=Законод!$H$18,S1305&lt;=Законод!$H$19),S1305-Законод!$G$19,IF('01_Доходи'!S1305&gt;=Законод!$I$18,Законод!$H$20,0)))),IF($B$1301="Лікар-терапевт",IF(S1305&lt;Законод!$C$26,0,(IF(AND(S1305&gt;=Законод!$H$26,S1305&lt;=Законод!$H$27),S1305-Законод!$G$27,IF(S1305&gt;=Законод!$I$26,Законод!$H$28,0)))),0)))</f>
        <v>0</v>
      </c>
      <c r="T1310" s="930"/>
      <c r="U1310" s="889" t="s">
        <v>346</v>
      </c>
      <c r="V1310" s="890"/>
      <c r="W1310" s="890"/>
      <c r="X1310" s="890"/>
      <c r="Y1310" s="891"/>
      <c r="Z1310" s="196">
        <f ca="1">IF($B$1301="Лікар загальної практики - сімейний лікар",IF(Z1305&lt;Законод!$C$22,0,(IF(AND(Z1305&gt;=Законод!$H$22,Z1305&lt;=Законод!$H$23),Z1305-Законод!$G$23,IF('01_Доходи'!Z1305&gt;=Законод!$I$22,Законод!$H$24,0)))),IF($B$1301="Лікар-педіатр",IF(Z1305&lt;Законод!$C$18,0,(IF(AND(Z1305&gt;=Законод!$H$18,Z1305&lt;=Законод!$H$19),Z1305-Законод!$G$19,IF('01_Доходи'!Z1305&gt;=Законод!$I$18,Законод!$H$20,0)))),IF($B$1301="Лікар-терапевт",IF(Z1305&lt;Законод!$C$26,0,(IF(AND(Z1305&gt;=Законод!$H$26,Z1305&lt;=Законод!$H$27),Z1305-Законод!$G$27,IF(Z1305&gt;=Законод!$I$26,Законод!$H$28,0)))),0)))</f>
        <v>0</v>
      </c>
      <c r="AA1310" s="930"/>
      <c r="AB1310" s="889" t="s">
        <v>346</v>
      </c>
      <c r="AC1310" s="890"/>
      <c r="AD1310" s="890"/>
      <c r="AE1310" s="890"/>
      <c r="AF1310" s="891"/>
      <c r="AG1310" s="196">
        <f ca="1">IF($B$1301="Лікар загальної практики - сімейний лікар",IF(AG1305&lt;Законод!$C$22,0,(IF(AND(AG1305&gt;=Законод!$H$22,AG1305&lt;=Законод!$H$23),AG1305-Законод!$G$23,IF('01_Доходи'!AG1305&gt;=Законод!$I$22,Законод!$H$24,0)))),IF($B$1301="Лікар-педіатр",IF(AG1305&lt;Законод!$C$18,0,(IF(AND(AG1305&gt;=Законод!$H$18,AG1305&lt;=Законод!$H$19),AG1305-Законод!$G$19,IF('01_Доходи'!AG1305&gt;=Законод!$I$18,Законод!$H$20,0)))),IF($B$1301="Лікар-терапевт",IF(AG1305&lt;Законод!$C$26,0,(IF(AND(AG1305&gt;=Законод!$H$26,AG1305&lt;=Законод!$H$27),AG1305-Законод!$G$27,IF(AG1305&gt;=Законод!$I$26,Законод!$H$28,0)))),0)))</f>
        <v>0</v>
      </c>
      <c r="AH1310" s="930"/>
      <c r="AI1310" s="201"/>
      <c r="AJ1310" s="933"/>
      <c r="AK1310" s="927"/>
      <c r="AL1310" s="927"/>
      <c r="AM1310" s="899"/>
      <c r="AN1310" s="210">
        <f ca="1">IF(B1301="Лікар загальної практики - сімейний лікар",L1310*Законод!$C$9/4*Законод!$H$16,IF(B1301="Лікар-педіатр",L1310*Законод!$C$9/4*Законод!$H$16,IF(B1301="Лікар-терапевт",L1310*Законод!$C$9/4*Законод!$H$16,0)))</f>
        <v>0</v>
      </c>
      <c r="AO1310" s="210">
        <f ca="1">IF(B1301="Лікар загальної практики - сімейний лікар",S1310*Законод!$C$9/4*Законод!$H$16,IF(B1301="Лікар-педіатр",S1310*Законод!$C$9/4*Законод!$H$16,IF(B1301="Лікар-терапевт",S1310*Законод!$C$9/4*Законод!$H$16,0)))</f>
        <v>0</v>
      </c>
      <c r="AP1310" s="210">
        <f ca="1">IF(B1301="Лікар загальної практики - сімейний лікар",Z1310*Законод!$C$9/4*Законод!$H$16,IF(B1301="Лікар-педіатр",Z1310*Законод!$C$9/4*Законод!$H$16,IF(B1301="Лікар-терапевт",Z1310*Законод!$C$9/4*Законод!$H$16,0)))</f>
        <v>0</v>
      </c>
      <c r="AQ1310" s="210">
        <f ca="1">IF(B1301="Лікар загальної практики - сімейний лікар",AG1310*Законод!$C$9/4*Законод!$H$16,IF(B1301="Лікар-педіатр",AG1310*Законод!$C$9/4*Законод!$H$16,IF(B1301="Лікар-терапевт",AG1310*Законод!$C$9/4*Законод!$H$16,0)))</f>
        <v>0</v>
      </c>
      <c r="AR1310" s="211">
        <f t="shared" si="127"/>
        <v>0</v>
      </c>
    </row>
    <row r="1311" spans="1:44" s="50" customFormat="1" ht="31.9" hidden="1" customHeight="1">
      <c r="A1311" s="197"/>
      <c r="B1311" s="893"/>
      <c r="C1311" s="896"/>
      <c r="D1311" s="912"/>
      <c r="E1311" s="909"/>
      <c r="F1311" s="238" t="str">
        <f ca="1">IF(B1301="Лікар-педіатр",Законод!$I$17,IF(B1301="Лікар загальної практики - сімейний лікар",Законод!$I$21,IF(B1301="Лікар-терапевт",Законод!$I$25,"х")))</f>
        <v>х</v>
      </c>
      <c r="G1311" s="889" t="s">
        <v>346</v>
      </c>
      <c r="H1311" s="890"/>
      <c r="I1311" s="890"/>
      <c r="J1311" s="890"/>
      <c r="K1311" s="891"/>
      <c r="L1311" s="196">
        <f ca="1">IF($B$1301="Лікар загальної практики - сімейний лікар",IF(L1305&lt;Законод!$C$22,0,(IF(AND(L1305&gt;=Законод!$I$22,L1305&lt;=Законод!$I$23),L1305-Законод!$H$23,IF('01_Доходи'!L1305&gt;=Законод!$I$22,Законод!$I$24,0)))),IF($B$1301="Лікар-педіатр",IF(L1305&lt;Законод!$C$18,0,(IF(AND(L1305&gt;=Законод!$I$18,L1305&lt;=Законод!$I$19),L1305-Законод!$H$19,IF('01_Доходи'!L1305&gt;=Законод!$I$18,Законод!$H$20,0)))),IF($B$1301="Лікар-терапевт",IF(L1305&lt;Законод!$C$26,0,(IF(AND(L1305&gt;=Законод!$I$26,L1305&lt;=Законод!$I$27),L1305-Законод!$H$27,IF('01_Доходи'!L1305&gt;=Законод!$I$26,Законод!$H$28,0)))),0)))</f>
        <v>0</v>
      </c>
      <c r="M1311" s="930"/>
      <c r="N1311" s="889" t="s">
        <v>346</v>
      </c>
      <c r="O1311" s="890"/>
      <c r="P1311" s="890"/>
      <c r="Q1311" s="890"/>
      <c r="R1311" s="891"/>
      <c r="S1311" s="196">
        <f ca="1">IF($B$1301="Лікар загальної практики - сімейний лікар",IF(S1305&lt;Законод!$C$22,0,(IF(AND(S1305&gt;=Законод!$I$22,S1305&lt;=Законод!$I$23),S1305-Законод!$H$23,IF('01_Доходи'!S1305&gt;=Законод!$I$22,Законод!$I$24,0)))),IF($B$1301="Лікар-педіатр",IF(S1305&lt;Законод!$C$18,0,(IF(AND(S1305&gt;=Законод!$I$18,S1305&lt;=Законод!$I$19),S1305-Законод!$H$19,IF('01_Доходи'!S1305&gt;=Законод!$I$18,Законод!$H$20,0)))),IF($B$1301="Лікар-терапевт",IF(S1305&lt;Законод!$C$26,0,(IF(AND(S1305&gt;=Законод!$I$26,S1305&lt;=Законод!$I$27),S1305-Законод!$H$27,IF('01_Доходи'!S1305&gt;=Законод!$I$26,Законод!$H$28,0)))),0)))</f>
        <v>0</v>
      </c>
      <c r="T1311" s="930"/>
      <c r="U1311" s="889" t="s">
        <v>346</v>
      </c>
      <c r="V1311" s="890"/>
      <c r="W1311" s="890"/>
      <c r="X1311" s="890"/>
      <c r="Y1311" s="891"/>
      <c r="Z1311" s="196">
        <f ca="1">IF($B$1301="Лікар загальної практики - сімейний лікар",IF(Z1305&lt;Законод!$C$22,0,(IF(AND(Z1305&gt;=Законод!$I$22,Z1305&lt;=Законод!$I$23),Z1305-Законод!$H$23,IF('01_Доходи'!Z1305&gt;=Законод!$I$22,Законод!$I$24,0)))),IF($B$1301="Лікар-педіатр",IF(Z1305&lt;Законод!$C$18,0,(IF(AND(Z1305&gt;=Законод!$I$18,Z1305&lt;=Законод!$I$19),Z1305-Законод!$H$19,IF('01_Доходи'!Z1305&gt;=Законод!$I$18,Законод!$H$20,0)))),IF($B$1301="Лікар-терапевт",IF(Z1305&lt;Законод!$C$26,0,(IF(AND(Z1305&gt;=Законод!$I$26,Z1305&lt;=Законод!$I$27),Z1305-Законод!$H$27,IF('01_Доходи'!Z1305&gt;=Законод!$I$26,Законод!$H$28,0)))),0)))</f>
        <v>0</v>
      </c>
      <c r="AA1311" s="930"/>
      <c r="AB1311" s="889" t="s">
        <v>346</v>
      </c>
      <c r="AC1311" s="890"/>
      <c r="AD1311" s="890"/>
      <c r="AE1311" s="890"/>
      <c r="AF1311" s="891"/>
      <c r="AG1311" s="196">
        <f ca="1">IF($B$1301="Лікар загальної практики - сімейний лікар",IF(AG1305&lt;Законод!$C$22,0,(IF(AND(AG1305&gt;=Законод!$I$22,AG1305&lt;=Законод!$I$23),AG1305-Законод!$H$23,IF('01_Доходи'!AG1305&gt;=Законод!$I$22,Законод!$I$24,0)))),IF($B$1301="Лікар-педіатр",IF(AG1305&lt;Законод!$C$18,0,(IF(AND(AG1305&gt;=Законод!$I$18,AG1305&lt;=Законод!$I$19),AG1305-Законод!$H$19,IF('01_Доходи'!AG1305&gt;=Законод!$I$18,Законод!$H$20,0)))),IF($B$1301="Лікар-терапевт",IF(AG1305&lt;Законод!$C$26,0,(IF(AND(AG1305&gt;=Законод!$I$26,AG1305&lt;=Законод!$I$27),AG1305-Законод!$H$27,IF('01_Доходи'!AG1305&gt;=Законод!$I$26,Законод!$H$28,0)))),0)))</f>
        <v>0</v>
      </c>
      <c r="AH1311" s="930"/>
      <c r="AI1311" s="201"/>
      <c r="AJ1311" s="933"/>
      <c r="AK1311" s="927"/>
      <c r="AL1311" s="927"/>
      <c r="AM1311" s="899"/>
      <c r="AN1311" s="210">
        <f ca="1">IF(B1301="Лікар загальної практики - сімейний лікар",L1311*Законод!$C$9/4*Законод!$I$16,IF(B1301="Лікар-педіатр",L1311*Законод!$C$9/4*Законод!$I$16,IF(B1301="Лікар-терапевт",L1311*Законод!$C$9/4*Законод!$I$16,0)))</f>
        <v>0</v>
      </c>
      <c r="AO1311" s="210">
        <f ca="1">IF(B1301="Лікар загальної практики - сімейний лікар",S1311*Законод!$C$9/4*Законод!$I$16,IF(B1301="Лікар-педіатр",S1311*Законод!$C$9/4*Законод!$I$16,IF(B1301="Лікар-терапевт",S1311*Законод!$C$9/4*Законод!$I$16,0)))</f>
        <v>0</v>
      </c>
      <c r="AP1311" s="210">
        <f ca="1">IF(B1301="Лікар загальної практики - сімейний лікар",Z1311*Законод!$C$9/4*Законод!$I$16,IF(B1301="Лікар-педіатр",Z1311*Законод!$C$9/4*Законод!$I$16,IF(B1301="Лікар-терапевт",Z1311*Законод!$C$9/4*Законод!$I$16,0)))</f>
        <v>0</v>
      </c>
      <c r="AQ1311" s="210">
        <f ca="1">IF(B1301="Лікар загальної практики - сімейний лікар",AG1311*Законод!$C$9/4*Законод!$I$16,IF(B1301="Лікар-педіатр",AG1311*Законод!$C$9/4*Законод!$I$16,IF(B1301="Лікар-терапевт",AG1311*Законод!$C$9/4*Законод!$I$16,0)))</f>
        <v>0</v>
      </c>
      <c r="AR1311" s="211">
        <f t="shared" si="127"/>
        <v>0</v>
      </c>
    </row>
    <row r="1312" spans="1:44" s="218" customFormat="1" ht="31.9" hidden="1" customHeight="1" thickBot="1">
      <c r="A1312" s="213"/>
      <c r="B1312" s="894"/>
      <c r="C1312" s="897"/>
      <c r="D1312" s="913"/>
      <c r="E1312" s="910"/>
      <c r="F1312" s="239" t="str">
        <f ca="1">IF(B1301="Лікар-педіатр",Законод!$J$17,IF(B1301="Лікар загальної практики - сімейний лікар",Законод!$J$21,IF(B1301="Лікар-терапевт",Законод!$J$25,"х")))</f>
        <v>х</v>
      </c>
      <c r="G1312" s="935" t="s">
        <v>346</v>
      </c>
      <c r="H1312" s="936"/>
      <c r="I1312" s="936"/>
      <c r="J1312" s="936"/>
      <c r="K1312" s="937"/>
      <c r="L1312" s="196">
        <f ca="1">IF($B$1301="Лікар загальної практики - сімейний лікар",IF(L1305&gt;=Законод!$J$22,'01_Доходи'!L1305-('01_Доходи'!L1306+'01_Доходи'!L1307+'01_Доходи'!L1308+'01_Доходи'!L1309+'01_Доходи'!L1310+'01_Доходи'!L1311),0),IF($B$1301="Лікар-педіатр",IF(L1305&gt;=Законод!$J$18,'01_Доходи'!L1305-('01_Доходи'!L1306+'01_Доходи'!L1307+'01_Доходи'!L1308+'01_Доходи'!L1309+'01_Доходи'!L1310+'01_Доходи'!L1311),0),IF($B$1301="Лікар-терапевт",IF('01_Доходи'!L1305&gt;=Законод!$J$26,L1305-Законод!$I$27,0),0)))</f>
        <v>0</v>
      </c>
      <c r="M1312" s="931"/>
      <c r="N1312" s="935" t="s">
        <v>346</v>
      </c>
      <c r="O1312" s="936"/>
      <c r="P1312" s="936"/>
      <c r="Q1312" s="936"/>
      <c r="R1312" s="937"/>
      <c r="S1312" s="196">
        <f ca="1">IF($B$1301="Лікар загальної практики - сімейний лікар",IF(S1305&gt;=Законод!$J$22,'01_Доходи'!S1305-('01_Доходи'!S1306+'01_Доходи'!S1307+'01_Доходи'!S1308+'01_Доходи'!S1309+'01_Доходи'!S1310+'01_Доходи'!S1311),0),IF($B$1301="Лікар-педіатр",IF(S1305&gt;=Законод!$J$18,'01_Доходи'!S1305-('01_Доходи'!S1306+'01_Доходи'!S1307+'01_Доходи'!S1308+'01_Доходи'!S1309+'01_Доходи'!S1310+'01_Доходи'!S1311),0),IF($B$1301="Лікар-терапевт",IF('01_Доходи'!S1305&gt;=Законод!$J$26,S1305-Законод!$I$27,0),0)))</f>
        <v>0</v>
      </c>
      <c r="T1312" s="931"/>
      <c r="U1312" s="935" t="s">
        <v>346</v>
      </c>
      <c r="V1312" s="936"/>
      <c r="W1312" s="936"/>
      <c r="X1312" s="936"/>
      <c r="Y1312" s="937"/>
      <c r="Z1312" s="196">
        <f ca="1">IF($B$1301="Лікар загальної практики - сімейний лікар",IF(Z1305&gt;=Законод!$J$22,'01_Доходи'!Z1305-('01_Доходи'!Z1306+'01_Доходи'!Z1307+'01_Доходи'!Z1308+'01_Доходи'!Z1309+'01_Доходи'!Z1310+'01_Доходи'!Z1311),0),IF($B$1301="Лікар-педіатр",IF(Z1305&gt;=Законод!$J$18,'01_Доходи'!Z1305-('01_Доходи'!Z1306+'01_Доходи'!Z1307+'01_Доходи'!Z1308+'01_Доходи'!Z1309+'01_Доходи'!Z1310+'01_Доходи'!Z1311),0),IF($B$1301="Лікар-терапевт",IF('01_Доходи'!Z1305&gt;=Законод!$J$26,Z1305-Законод!$I$27,0),0)))</f>
        <v>0</v>
      </c>
      <c r="AA1312" s="931"/>
      <c r="AB1312" s="935" t="s">
        <v>346</v>
      </c>
      <c r="AC1312" s="936"/>
      <c r="AD1312" s="936"/>
      <c r="AE1312" s="936"/>
      <c r="AF1312" s="937"/>
      <c r="AG1312" s="196">
        <f ca="1">IF($B$1301="Лікар загальної практики - сімейний лікар",IF(AG1305&gt;=Законод!$J$22,'01_Доходи'!AG1305-('01_Доходи'!AG1306+'01_Доходи'!AG1307+'01_Доходи'!AG1308+'01_Доходи'!AG1309+'01_Доходи'!AG1310+'01_Доходи'!AG1311),0),IF($B$1301="Лікар-педіатр",IF(AG1305&gt;=Законод!$J$18,'01_Доходи'!AG1305-('01_Доходи'!AG1306+'01_Доходи'!AG1307+'01_Доходи'!AG1308+'01_Доходи'!AG1309+'01_Доходи'!AG1310+'01_Доходи'!AG1311),0),IF($B$1301="Лікар-терапевт",IF('01_Доходи'!AG1305&gt;=Законод!$J$26,AG1305-Законод!$I$27,0),0)))</f>
        <v>0</v>
      </c>
      <c r="AH1312" s="931"/>
      <c r="AI1312" s="215"/>
      <c r="AJ1312" s="934"/>
      <c r="AK1312" s="928"/>
      <c r="AL1312" s="928"/>
      <c r="AM1312" s="900"/>
      <c r="AN1312" s="216">
        <f ca="1">IF(B1301="Лікар загальної практики - сімейний лікар",L1312*Законод!$C$9/4*Законод!$J$16,IF(B1301="Лікар-педіатр",L1312*Законод!$C$9/4*Законод!$J$16,IF(B1301="Лікар-терапевт",L1312*Законод!$C$9/4*Законод!$J$16,0)))</f>
        <v>0</v>
      </c>
      <c r="AO1312" s="216">
        <f ca="1">IF(B1301="Лікар загальної практики - сімейний лікар",S1312*Законод!$C$9/4*Законод!$J$16,IF(B1301="Лікар-педіатр",S1312*Законод!$C$9/4*Законод!$J$16,IF(B1301="Лікар-терапевт",S1312*Законод!$C$9/4*Законод!$J$16,0)))</f>
        <v>0</v>
      </c>
      <c r="AP1312" s="216">
        <f ca="1">IF(B1301="Лікар загальної практики - сімейний лікар",S1312*Законод!$C$9/4*Законод!$J$16,IF(B1301="Лікар-педіатр",S1312*Законод!$C$9/4*Законод!$J$16,IF(B1301="Лікар-терапевт",S1312*Законод!$C$9/4*Законод!$J$16,0)))</f>
        <v>0</v>
      </c>
      <c r="AQ1312" s="216">
        <f ca="1">IF(B1301="Лікар загальної практики - сімейний лікар",AG1312*Законод!$C$9/4*Законод!$J$16,IF(B1301="Лікар-педіатр",AG1312*Законод!$C$9/4*Законод!$J$16,IF(B1301="Лікар-терапевт",AG1312*Законод!$C$9/4*Законод!$J$16,0)))</f>
        <v>0</v>
      </c>
      <c r="AR1312" s="217">
        <f t="shared" si="127"/>
        <v>0</v>
      </c>
    </row>
    <row r="1313" spans="1:44" s="247" customFormat="1" ht="23.45" hidden="1" customHeight="1" thickBot="1">
      <c r="A1313" s="243"/>
      <c r="B1313" s="244"/>
      <c r="C1313" s="244"/>
      <c r="D1313" s="244"/>
      <c r="E1313" s="244"/>
      <c r="F1313" s="245"/>
      <c r="G1313" s="246"/>
      <c r="H1313" s="246"/>
      <c r="L1313" s="248"/>
      <c r="S1313" s="248"/>
      <c r="Z1313" s="248"/>
      <c r="AG1313" s="248"/>
      <c r="AM1313" s="249"/>
      <c r="AR1313" s="250"/>
    </row>
    <row r="1314" spans="1:44" s="191" customFormat="1" ht="24.6" hidden="1" customHeight="1">
      <c r="A1314" s="194">
        <f>A1301+1</f>
        <v>99</v>
      </c>
      <c r="B1314" s="892"/>
      <c r="C1314" s="895"/>
      <c r="D1314" s="911"/>
      <c r="E1314" s="908"/>
      <c r="F1314" s="234" t="s">
        <v>582</v>
      </c>
      <c r="G1314" s="196">
        <f>IF($B$1314="Лікар-педіатр",G1317*L1314,IF($B$1314="Лікар-терапевт","х",IF($B$1314="Лікар загальної практики - сімейний лікар",G1317*L1314,0)))</f>
        <v>0</v>
      </c>
      <c r="H1314" s="196">
        <f>IF($B$1314="Лікар-педіатр",H1317*L1314,IF($B$1314="Лікар-терапевт","х",IF($B$1314="Лікар загальної практики - сімейний лікар",H1317*L1314,0)))</f>
        <v>0</v>
      </c>
      <c r="I1314" s="196">
        <f>IF($B$1314="Лікар-педіатр","x",IF($B$1314="Лікар-терапевт",I1317*L1314,IF($B$1314="Лікар загальної практики - сімейний лікар",I1317*L1314,0)))</f>
        <v>0</v>
      </c>
      <c r="J1314" s="196">
        <f>IF($B$1314="Лікар-педіатр","x",IF($B$1314="Лікар-терапевт",J1317*L1314,IF($B$1314="Лікар загальної практики - сімейний лікар",J1317*L1314,0)))</f>
        <v>0</v>
      </c>
      <c r="K1314" s="196">
        <f>IF($B$1314="Лікар-педіатр","x",IF($B$1314="Лікар-терапевт",K1317*L1314,IF($B$1314="Лікар загальної практики - сімейний лікар",K1317*L1314,0)))</f>
        <v>0</v>
      </c>
      <c r="L1314" s="558"/>
      <c r="M1314" s="929"/>
      <c r="N1314" s="196">
        <f>IF($B$1314="Лікар-педіатр",N1317*S1314,IF($B$1314="Лікар-терапевт","х",IF($B$1314="Лікар загальної практики - сімейний лікар",N1317*S1314,0)))</f>
        <v>0</v>
      </c>
      <c r="O1314" s="196">
        <f>IF($B$1314="Лікар-педіатр",O1317*S1314,IF($B$1314="Лікар-терапевт","х",IF($B$1314="Лікар загальної практики - сімейний лікар",O1317*S1314,0)))</f>
        <v>0</v>
      </c>
      <c r="P1314" s="196">
        <f>IF($B$1314="Лікар-педіатр","x",IF($B$1314="Лікар-терапевт",P1317*S1314,IF($B$1314="Лікар загальної практики - сімейний лікар",P1317*S1314,0)))</f>
        <v>0</v>
      </c>
      <c r="Q1314" s="196">
        <f>IF($B$1314="Лікар-педіатр","x",IF($B$1314="Лікар-терапевт",Q1317*S1314,IF($B$1314="Лікар загальної практики - сімейний лікар",Q1317*S1314,0)))</f>
        <v>0</v>
      </c>
      <c r="R1314" s="196">
        <f>IF($B$1314="Лікар-педіатр","x",IF($B$1314="Лікар-терапевт",R1317*S1314,IF($B$1314="Лікар загальної практики - сімейний лікар",R1317*S1314,0)))</f>
        <v>0</v>
      </c>
      <c r="S1314" s="558"/>
      <c r="T1314" s="929"/>
      <c r="U1314" s="196">
        <f>IF($B$1314="Лікар-педіатр",U1317*Z1314,IF($B$1314="Лікар-терапевт","х",IF($B$1314="Лікар загальної практики - сімейний лікар",U1317*Z1314,0)))</f>
        <v>0</v>
      </c>
      <c r="V1314" s="196">
        <f>IF($B$1314="Лікар-педіатр",V1317*Z1314,IF($B$1314="Лікар-терапевт","х",IF($B$1314="Лікар загальної практики - сімейний лікар",V1317*Z1314,0)))</f>
        <v>0</v>
      </c>
      <c r="W1314" s="196">
        <f>IF($B$1314="Лікар-педіатр","x",IF($B$1314="Лікар-терапевт",W1317*Z1314,IF($B$1314="Лікар загальної практики - сімейний лікар",W1317*Z1314,0)))</f>
        <v>0</v>
      </c>
      <c r="X1314" s="196">
        <f>IF($B$1314="Лікар-педіатр","x",IF($B$1314="Лікар-терапевт",X1317*Z1314,IF($B$1314="Лікар загальної практики - сімейний лікар",X1317*Z1314,0)))</f>
        <v>0</v>
      </c>
      <c r="Y1314" s="196">
        <f>IF($B$1314="Лікар-педіатр","x",IF($B$1314="Лікар-терапевт",Y1317*Z1314,IF($B$1314="Лікар загальної практики - сімейний лікар",Y1317*Z1314,0)))</f>
        <v>0</v>
      </c>
      <c r="Z1314" s="558"/>
      <c r="AA1314" s="929"/>
      <c r="AB1314" s="196">
        <f>IF($B$1314="Лікар-педіатр",AB1317*AG1314,IF($B$1314="Лікар-терапевт","х",IF($B$1314="Лікар загальної практики - сімейний лікар",AB1317*AG1314,0)))</f>
        <v>0</v>
      </c>
      <c r="AC1314" s="196">
        <f>IF($B$1314="Лікар-педіатр",AC1317*AG1314,IF($B$1314="Лікар-терапевт","х",IF($B$1314="Лікар загальної практики - сімейний лікар",AC1317*AG1314,0)))</f>
        <v>0</v>
      </c>
      <c r="AD1314" s="196">
        <f>IF($B$1314="Лікар-педіатр","x",IF($B$1314="Лікар-терапевт",AD1317*AG1314,IF($B$1314="Лікар загальної практики - сімейний лікар",AD1317*AG1314,0)))</f>
        <v>0</v>
      </c>
      <c r="AE1314" s="196">
        <f>IF($B$1314="Лікар-педіатр","x",IF($B$1314="Лікар-терапевт",AE1317*AG1314,IF($B$1314="Лікар загальної практики - сімейний лікар",AE1317*AG1314,0)))</f>
        <v>0</v>
      </c>
      <c r="AF1314" s="196">
        <f>IF($B$1314="Лікар-педіатр","x",IF($B$1314="Лікар-терапевт",AF1317*AG1314,IF($B$1314="Лікар загальної практики - сімейний лікар",AF1317*AG1314,0)))</f>
        <v>0</v>
      </c>
      <c r="AG1314" s="558"/>
      <c r="AH1314" s="929"/>
      <c r="AI1314" s="541">
        <f>A1314</f>
        <v>99</v>
      </c>
      <c r="AJ1314" s="932">
        <f>B1314</f>
        <v>0</v>
      </c>
      <c r="AK1314" s="926">
        <f>C1314</f>
        <v>0</v>
      </c>
      <c r="AL1314" s="926">
        <f>D1314</f>
        <v>0</v>
      </c>
      <c r="AM1314" s="901" t="s">
        <v>785</v>
      </c>
      <c r="AN1314" s="923">
        <f>SUM(AN1319:AN1325)</f>
        <v>0</v>
      </c>
      <c r="AO1314" s="923">
        <f>SUM(AO1319:AO1325)</f>
        <v>0</v>
      </c>
      <c r="AP1314" s="923">
        <f>SUM(AP1319:AP1325)</f>
        <v>0</v>
      </c>
      <c r="AQ1314" s="923">
        <f>SUM(AQ1319:AQ1325)</f>
        <v>0</v>
      </c>
      <c r="AR1314" s="914">
        <f>SUM(AN1314:AQ1318)</f>
        <v>0</v>
      </c>
    </row>
    <row r="1315" spans="1:44" s="50" customFormat="1" ht="28.15" hidden="1" customHeight="1">
      <c r="A1315" s="197"/>
      <c r="B1315" s="893"/>
      <c r="C1315" s="896"/>
      <c r="D1315" s="912"/>
      <c r="E1315" s="909"/>
      <c r="F1315" s="234" t="s">
        <v>583</v>
      </c>
      <c r="G1315" s="196">
        <f>IF($B$1314="Лікар-педіатр",G1317*L1315,IF($B$1314="Лікар-терапевт","х",IF($B$1314="Лікар загальної практики - сімейний лікар",G1317*L1315,0)))</f>
        <v>0</v>
      </c>
      <c r="H1315" s="196">
        <f>IF($B$1314="Лікар-педіатр",H1317*L1315,IF($B$1314="Лікар-терапевт","х",IF($B$1314="Лікар загальної практики - сімейний лікар",H1317*L1315,0)))</f>
        <v>0</v>
      </c>
      <c r="I1315" s="196">
        <f>IF($B$1314="Лікар-педіатр","x",IF($B$1314="Лікар-терапевт",I1317*L1315,IF($B$1314="Лікар загальної практики - сімейний лікар",I1317*L1315,0)))</f>
        <v>0</v>
      </c>
      <c r="J1315" s="196">
        <f>IF($B$1314="Лікар-педіатр","x",IF($B$1314="Лікар-терапевт",J1317*L1315,IF($B$1314="Лікар загальної практики - сімейний лікар",J1317*L1315,0)))</f>
        <v>0</v>
      </c>
      <c r="K1315" s="196">
        <f>IF($B$1314="Лікар-педіатр","x",IF($B$1314="Лікар-терапевт",K1317*L1315,IF($B$1314="Лікар загальної практики - сімейний лікар",K1317*L1315,0)))</f>
        <v>0</v>
      </c>
      <c r="L1315" s="558"/>
      <c r="M1315" s="930"/>
      <c r="N1315" s="196">
        <f>IF($B$1314="Лікар-педіатр",N1317*S1315,IF($B$1314="Лікар-терапевт","х",IF($B$1314="Лікар загальної практики - сімейний лікар",N1317*S1315,0)))</f>
        <v>0</v>
      </c>
      <c r="O1315" s="196">
        <f>IF($B$1314="Лікар-педіатр",O1317*S1315,IF($B$1314="Лікар-терапевт","х",IF($B$1314="Лікар загальної практики - сімейний лікар",O1317*S1315,0)))</f>
        <v>0</v>
      </c>
      <c r="P1315" s="196">
        <f>IF($B$1314="Лікар-педіатр","x",IF($B$1314="Лікар-терапевт",P1317*S1315,IF($B$1314="Лікар загальної практики - сімейний лікар",P1317*S1315,0)))</f>
        <v>0</v>
      </c>
      <c r="Q1315" s="196">
        <f>IF($B$1314="Лікар-педіатр","x",IF($B$1314="Лікар-терапевт",Q1317*S1315,IF($B$1314="Лікар загальної практики - сімейний лікар",Q1317*S1315,0)))</f>
        <v>0</v>
      </c>
      <c r="R1315" s="196">
        <f>IF($B$1314="Лікар-педіатр","x",IF($B$1314="Лікар-терапевт",R1317*S1315,IF($B$1314="Лікар загальної практики - сімейний лікар",R1317*S1315,0)))</f>
        <v>0</v>
      </c>
      <c r="S1315" s="558"/>
      <c r="T1315" s="930"/>
      <c r="U1315" s="196">
        <f>IF($B$1314="Лікар-педіатр",U1317*Z1315,IF($B$1314="Лікар-терапевт","х",IF($B$1314="Лікар загальної практики - сімейний лікар",U1317*Z1315,0)))</f>
        <v>0</v>
      </c>
      <c r="V1315" s="196">
        <f>IF($B$1314="Лікар-педіатр",V1317*Z1315,IF($B$1314="Лікар-терапевт","х",IF($B$1314="Лікар загальної практики - сімейний лікар",V1317*Z1315,0)))</f>
        <v>0</v>
      </c>
      <c r="W1315" s="196">
        <f>IF($B$1314="Лікар-педіатр","x",IF($B$1314="Лікар-терапевт",W1317*Z1315,IF($B$1314="Лікар загальної практики - сімейний лікар",W1317*Z1315,0)))</f>
        <v>0</v>
      </c>
      <c r="X1315" s="196">
        <f>IF($B$1314="Лікар-педіатр","x",IF($B$1314="Лікар-терапевт",X1317*Z1315,IF($B$1314="Лікар загальної практики - сімейний лікар",X1317*Z1315,0)))</f>
        <v>0</v>
      </c>
      <c r="Y1315" s="196">
        <f>IF($B$1314="Лікар-педіатр","x",IF($B$1314="Лікар-терапевт",Y1317*Z1315,IF($B$1314="Лікар загальної практики - сімейний лікар",Y1317*Z1315,0)))</f>
        <v>0</v>
      </c>
      <c r="Z1315" s="558"/>
      <c r="AA1315" s="930"/>
      <c r="AB1315" s="196">
        <f>IF($B$1314="Лікар-педіатр",AB1317*AG1315,IF($B$1314="Лікар-терапевт","х",IF($B$1314="Лікар загальної практики - сімейний лікар",AB1317*AG1315,0)))</f>
        <v>0</v>
      </c>
      <c r="AC1315" s="196">
        <f>IF($B$1314="Лікар-педіатр",AC1317*AG1315,IF($B$1314="Лікар-терапевт","х",IF($B$1314="Лікар загальної практики - сімейний лікар",AC1317*AG1315,0)))</f>
        <v>0</v>
      </c>
      <c r="AD1315" s="196">
        <f>IF($B$1314="Лікар-педіатр","x",IF($B$1314="Лікар-терапевт",AD1317*AG1315,IF($B$1314="Лікар загальної практики - сімейний лікар",AD1317*AG1315,0)))</f>
        <v>0</v>
      </c>
      <c r="AE1315" s="196">
        <f>IF($B$1314="Лікар-педіатр","x",IF($B$1314="Лікар-терапевт",AE1317*AG1315,IF($B$1314="Лікар загальної практики - сімейний лікар",AE1317*AG1315,0)))</f>
        <v>0</v>
      </c>
      <c r="AF1315" s="196">
        <f>IF($B$1314="Лікар-педіатр","x",IF($B$1314="Лікар-терапевт",AF1317*AG1315,IF($B$1314="Лікар загальної практики - сімейний лікар",AF1317*AG1315,0)))</f>
        <v>0</v>
      </c>
      <c r="AG1315" s="558"/>
      <c r="AH1315" s="930"/>
      <c r="AI1315" s="198"/>
      <c r="AJ1315" s="933"/>
      <c r="AK1315" s="927"/>
      <c r="AL1315" s="927"/>
      <c r="AM1315" s="902"/>
      <c r="AN1315" s="924"/>
      <c r="AO1315" s="924"/>
      <c r="AP1315" s="924"/>
      <c r="AQ1315" s="924"/>
      <c r="AR1315" s="915"/>
    </row>
    <row r="1316" spans="1:44" s="90" customFormat="1" ht="31.15" hidden="1" customHeight="1">
      <c r="A1316" s="240"/>
      <c r="B1316" s="893"/>
      <c r="C1316" s="896"/>
      <c r="D1316" s="912"/>
      <c r="E1316" s="909"/>
      <c r="F1316" s="241" t="s">
        <v>584</v>
      </c>
      <c r="G1316" s="199">
        <f>IF(B1314="Лікар загальної практики - сімейний лікар"," ",IF(B1314="Лікар-педіатр"," ",IF(B1314="Лікар-терапевт","х",0)))</f>
        <v>0</v>
      </c>
      <c r="H1316" s="199">
        <f>IF(B1314="Лікар загальної практики - сімейний лікар"," ",IF(B1314="Лікар-педіатр"," ",IF(B1314="Лікар-терапевт","х",0)))</f>
        <v>0</v>
      </c>
      <c r="I1316" s="199">
        <f>IF(B1314="Лікар загальної практики - сімейний лікар"," ",IF(B1314="Лікар-педіатр","х",IF(B1314="Лікар-терапевт"," ",0)))</f>
        <v>0</v>
      </c>
      <c r="J1316" s="199">
        <f>IF(B1314="Лікар загальної практики - сімейний лікар"," ",IF(B1314="Лікар-педіатр","х",IF(B1314="Лікар-терапевт"," ",0)))</f>
        <v>0</v>
      </c>
      <c r="K1316" s="199">
        <f>IF(B1314="Лікар загальної практики - сімейний лікар"," ",IF(B1314="Лікар-педіатр","х",IF(B1314="Лікар-терапевт"," ",0)))</f>
        <v>0</v>
      </c>
      <c r="L1316" s="200">
        <f>SUM(G1316:K1316)</f>
        <v>0</v>
      </c>
      <c r="M1316" s="930"/>
      <c r="N1316" s="199">
        <f>IF(B1314="Лікар загальної практики - сімейний лікар"," ",IF(B1314="Лікар-педіатр"," ",IF(B1314="Лікар-терапевт","х",0)))</f>
        <v>0</v>
      </c>
      <c r="O1316" s="199">
        <f>IF(B1314="Лікар загальної практики - сімейний лікар"," ",IF(B1314="Лікар-педіатр"," ",IF(B1314="Лікар-терапевт","х",0)))</f>
        <v>0</v>
      </c>
      <c r="P1316" s="199">
        <f>IF(B1314="Лікар загальної практики - сімейний лікар"," ",IF(B1314="Лікар-педіатр","х",IF(B1314="Лікар-терапевт"," ",0)))</f>
        <v>0</v>
      </c>
      <c r="Q1316" s="199">
        <f>IF(B1314="Лікар загальної практики - сімейний лікар"," ",IF(B1314="Лікар-педіатр","х",IF(B1314="Лікар-терапевт"," ",0)))</f>
        <v>0</v>
      </c>
      <c r="R1316" s="199">
        <f>IF(B1314="Лікар загальної практики - сімейний лікар"," ",IF(B1314="Лікар-педіатр","х",IF(B1314="Лікар-терапевт"," ",0)))</f>
        <v>0</v>
      </c>
      <c r="S1316" s="200">
        <f>SUM(N1316:R1316)</f>
        <v>0</v>
      </c>
      <c r="T1316" s="930"/>
      <c r="U1316" s="199">
        <f>IF(B1314="Лікар загальної практики - сімейний лікар"," ",IF(B1314="Лікар-педіатр"," ",IF(B1314="Лікар-терапевт","х",0)))</f>
        <v>0</v>
      </c>
      <c r="V1316" s="199">
        <f>IF(B1314="Лікар загальної практики - сімейний лікар"," ",IF(B1314="Лікар-педіатр"," ",IF(B1314="Лікар-терапевт","х",0)))</f>
        <v>0</v>
      </c>
      <c r="W1316" s="199">
        <f>IF(B1314="Лікар загальної практики - сімейний лікар"," ",IF(B1314="Лікар-педіатр","х",IF(B1314="Лікар-терапевт"," ",0)))</f>
        <v>0</v>
      </c>
      <c r="X1316" s="199">
        <f>IF(B1314="Лікар загальної практики - сімейний лікар"," ",IF(B1314="Лікар-педіатр","х",IF(B1314="Лікар-терапевт"," ",0)))</f>
        <v>0</v>
      </c>
      <c r="Y1316" s="199">
        <f>IF(B1314="Лікар загальної практики - сімейний лікар"," ",IF(B1314="Лікар-педіатр","х",IF(B1314="Лікар-терапевт"," ",0)))</f>
        <v>0</v>
      </c>
      <c r="Z1316" s="200">
        <f>SUM(U1316:Y1316)</f>
        <v>0</v>
      </c>
      <c r="AA1316" s="930"/>
      <c r="AB1316" s="199">
        <f>IF(B1314="Лікар загальної практики - сімейний лікар"," ",IF(B1314="Лікар-педіатр"," ",IF(B1314="Лікар-терапевт","х",0)))</f>
        <v>0</v>
      </c>
      <c r="AC1316" s="199">
        <f>IF(B1314="Лікар загальної практики - сімейний лікар"," ",IF(B1314="Лікар-педіатр"," ",IF(B1314="Лікар-терапевт","х",0)))</f>
        <v>0</v>
      </c>
      <c r="AD1316" s="199">
        <f>IF(B1314="Лікар загальної практики - сімейний лікар"," ",IF(B1314="Лікар-педіатр","х",IF(B1314="Лікар-терапевт"," ",0)))</f>
        <v>0</v>
      </c>
      <c r="AE1316" s="199">
        <f>IF(B1314="Лікар загальної практики - сімейний лікар"," ",IF(B1314="Лікар-педіатр","х",IF(B1314="Лікар-терапевт"," ",0)))</f>
        <v>0</v>
      </c>
      <c r="AF1316" s="199">
        <f>IF(B1314="Лікар загальної практики - сімейний лікар"," ",IF(B1314="Лікар-педіатр","х",IF(B1314="Лікар-терапевт"," ",0)))</f>
        <v>0</v>
      </c>
      <c r="AG1316" s="200">
        <f>SUM(AB1316:AF1316)</f>
        <v>0</v>
      </c>
      <c r="AH1316" s="930"/>
      <c r="AI1316" s="242"/>
      <c r="AJ1316" s="933"/>
      <c r="AK1316" s="927"/>
      <c r="AL1316" s="927"/>
      <c r="AM1316" s="902"/>
      <c r="AN1316" s="924"/>
      <c r="AO1316" s="924"/>
      <c r="AP1316" s="924"/>
      <c r="AQ1316" s="924"/>
      <c r="AR1316" s="915"/>
    </row>
    <row r="1317" spans="1:44" s="50" customFormat="1" ht="31.9" hidden="1" customHeight="1" thickBot="1">
      <c r="A1317" s="197"/>
      <c r="B1317" s="893"/>
      <c r="C1317" s="896"/>
      <c r="D1317" s="912"/>
      <c r="E1317" s="909"/>
      <c r="F1317" s="236" t="s">
        <v>349</v>
      </c>
      <c r="G1317" s="203">
        <f>IF($B$1314="Лікар-педіатр",G1316/L1316,IF($B$1314="Лікар-терапевт","х",IF($B$1314="Лікар загальної практики - сімейний лікар",G1316/L1316,0)))</f>
        <v>0</v>
      </c>
      <c r="H1317" s="203">
        <f>IF($B$1314="Лікар-педіатр",H1316/L1316,IF($B$1314="Лікар-терапевт","х",IF($B$1314="Лікар загальної практики - сімейний лікар",H1316/L1316,0)))</f>
        <v>0</v>
      </c>
      <c r="I1317" s="203">
        <f>IF($B$1314="Лікар-педіатр","x",IF($B$1314="Лікар-терапевт",I1316/L1316,IF($B$1314="Лікар загальної практики - сімейний лікар",I1316/L1316,0)))</f>
        <v>0</v>
      </c>
      <c r="J1317" s="203">
        <f>IF($B$1314="Лікар-педіатр","x",IF($B$1314="Лікар-терапевт",J1316/L1316,IF($B$1314="Лікар загальної практики - сімейний лікар",J1316/L1316,0)))</f>
        <v>0</v>
      </c>
      <c r="K1317" s="203">
        <f>IF($B$1314="Лікар-педіатр","x",IF($B$1314="Лікар-терапевт",K1316/L1316,IF($B$1314="Лікар загальної практики - сімейний лікар",K1316/L1316,0)))</f>
        <v>0</v>
      </c>
      <c r="L1317" s="203">
        <f>SUM(G1317:K1317)</f>
        <v>0</v>
      </c>
      <c r="M1317" s="930"/>
      <c r="N1317" s="203">
        <f>IF($B$1314="Лікар-педіатр",N1316/S1316,IF($B$1314="Лікар-терапевт","х",IF($B$1314="Лікар загальної практики - сімейний лікар",N1316/S1316,0)))</f>
        <v>0</v>
      </c>
      <c r="O1317" s="203">
        <f>IF($B$1314="Лікар-педіатр",O1316/S1316,IF($B$1314="Лікар-терапевт","х",IF($B$1314="Лікар загальної практики - сімейний лікар",O1316/S1316,0)))</f>
        <v>0</v>
      </c>
      <c r="P1317" s="203">
        <f>IF($B$1314="Лікар-педіатр","x",IF($B$1314="Лікар-терапевт",P1316/S1316,IF($B$1314="Лікар загальної практики - сімейний лікар",P1316/S1316,0)))</f>
        <v>0</v>
      </c>
      <c r="Q1317" s="203">
        <f>IF($B$1314="Лікар-педіатр","x",IF($B$1314="Лікар-терапевт",Q1316/S1316,IF($B$1314="Лікар загальної практики - сімейний лікар",Q1316/S1316,0)))</f>
        <v>0</v>
      </c>
      <c r="R1317" s="203">
        <f>IF($B$1314="Лікар-педіатр","x",IF($B$1314="Лікар-терапевт",R1316/S1316,IF($B$1314="Лікар загальної практики - сімейний лікар",R1316/S1316,0)))</f>
        <v>0</v>
      </c>
      <c r="S1317" s="203">
        <f>SUM(N1317:R1317)</f>
        <v>0</v>
      </c>
      <c r="T1317" s="930"/>
      <c r="U1317" s="203">
        <f>IF($B$1314="Лікар-педіатр",U1316/Z1316,IF($B$1314="Лікар-терапевт","х",IF($B$1314="Лікар загальної практики - сімейний лікар",U1316/Z1316,0)))</f>
        <v>0</v>
      </c>
      <c r="V1317" s="203">
        <f>IF($B$1314="Лікар-педіатр",V1316/Z1316,IF($B$1314="Лікар-терапевт","х",IF($B$1314="Лікар загальної практики - сімейний лікар",V1316/Z1316,0)))</f>
        <v>0</v>
      </c>
      <c r="W1317" s="203">
        <f>IF($B$1314="Лікар-педіатр","x",IF($B$1314="Лікар-терапевт",W1316/Z1316,IF($B$1314="Лікар загальної практики - сімейний лікар",W1316/Z1316,0)))</f>
        <v>0</v>
      </c>
      <c r="X1317" s="203">
        <f>IF($B$1314="Лікар-педіатр","x",IF($B$1314="Лікар-терапевт",X1316/Z1316,IF($B$1314="Лікар загальної практики - сімейний лікар",X1316/Z1316,0)))</f>
        <v>0</v>
      </c>
      <c r="Y1317" s="203">
        <f>IF($B$1314="Лікар-педіатр","x",IF($B$1314="Лікар-терапевт",Y1316/Z1316,IF($B$1314="Лікар загальної практики - сімейний лікар",Y1316/Z1316,0)))</f>
        <v>0</v>
      </c>
      <c r="Z1317" s="203">
        <f>SUM(U1317:Y1317)</f>
        <v>0</v>
      </c>
      <c r="AA1317" s="930"/>
      <c r="AB1317" s="203">
        <f>IF($B$1314="Лікар-педіатр",AB1316/AG1316,IF($B$1314="Лікар-терапевт","х",IF($B$1314="Лікар загальної практики - сімейний лікар",AB1316/AG1316,0)))</f>
        <v>0</v>
      </c>
      <c r="AC1317" s="203">
        <f>IF($B$1314="Лікар-педіатр",AC1316/AG1316,IF($B$1314="Лікар-терапевт","х",IF($B$1314="Лікар загальної практики - сімейний лікар",AC1316/AG1316,0)))</f>
        <v>0</v>
      </c>
      <c r="AD1317" s="203">
        <f>IF($B$1314="Лікар-педіатр","x",IF($B$1314="Лікар-терапевт",AD1316/AG1316,IF($B$1314="Лікар загальної практики - сімейний лікар",AD1316/AG1316,0)))</f>
        <v>0</v>
      </c>
      <c r="AE1317" s="203">
        <f>IF($B$1314="Лікар-педіатр","x",IF($B$1314="Лікар-терапевт",AE1316/AG1316,IF($B$1314="Лікар загальної практики - сімейний лікар",AE1316/AG1316,0)))</f>
        <v>0</v>
      </c>
      <c r="AF1317" s="203">
        <f>IF($B$1314="Лікар-педіатр","x",IF($B$1314="Лікар-терапевт",AF1316/AG1316,IF($B$1314="Лікар загальної практики - сімейний лікар",AF1316/AG1316,0)))</f>
        <v>0</v>
      </c>
      <c r="AG1317" s="203">
        <f>SUM(AB1317:AF1317)</f>
        <v>0</v>
      </c>
      <c r="AH1317" s="930"/>
      <c r="AI1317" s="201"/>
      <c r="AJ1317" s="933"/>
      <c r="AK1317" s="927"/>
      <c r="AL1317" s="927"/>
      <c r="AM1317" s="902"/>
      <c r="AN1317" s="924"/>
      <c r="AO1317" s="924"/>
      <c r="AP1317" s="924"/>
      <c r="AQ1317" s="924"/>
      <c r="AR1317" s="915"/>
    </row>
    <row r="1318" spans="1:44" s="50" customFormat="1" ht="45" hidden="1" customHeight="1" thickBot="1">
      <c r="A1318" s="197"/>
      <c r="B1318" s="893"/>
      <c r="C1318" s="896"/>
      <c r="D1318" s="912"/>
      <c r="E1318" s="909"/>
      <c r="F1318" s="204" t="s">
        <v>585</v>
      </c>
      <c r="G1318" s="205">
        <f>IF($B$1314="Лікар загальної практики - сімейний лікар",AVERAGE(G1314:G1316),IF($B$1314="Лікар-педіатр",AVERAGE(G1314:G1316),IF($B$1314="Лікар-терапевт","х",0)))</f>
        <v>0</v>
      </c>
      <c r="H1318" s="205">
        <f>IF($B$1314="Лікар загальної практики - сімейний лікар",AVERAGE(H1314:H1316),IF($B$1314="Лікар-педіатр",AVERAGE(H1314:H1316),IF($B$1314="Лікар-терапевт","х",0)))</f>
        <v>0</v>
      </c>
      <c r="I1318" s="205">
        <f>IF($B$1314="Лікар загальної практики - сімейний лікар",AVERAGE(I1314:I1316),IF($B$1314="Лікар-педіатр","x",IF($B$1314="Лікар-терапевт",AVERAGE(I1314:I1316),0)))</f>
        <v>0</v>
      </c>
      <c r="J1318" s="205">
        <f>IF($B$1314="Лікар загальної практики - сімейний лікар",AVERAGE(J1314:J1316),IF($B$1314="Лікар-педіатр","x",IF($B$1314="Лікар-терапевт",AVERAGE(J1314:J1316),0)))</f>
        <v>0</v>
      </c>
      <c r="K1318" s="205">
        <f>IF($B$1314="Лікар загальної практики - сімейний лікар",AVERAGE(K1314:K1316),IF($B$1314="Лікар-педіатр","x",IF($B$1314="Лікар-терапевт",AVERAGE(K1314:K1316),0)))</f>
        <v>0</v>
      </c>
      <c r="L1318" s="206">
        <f>SUM(G1318:K1318)</f>
        <v>0</v>
      </c>
      <c r="M1318" s="930"/>
      <c r="N1318" s="205">
        <f>IF($B$1314="Лікар загальної практики - сімейний лікар",AVERAGE(N1314:N1316),IF($B$1314="Лікар-педіатр",AVERAGE(N1314:N1316),IF($B$1314="Лікар-терапевт","х",0)))</f>
        <v>0</v>
      </c>
      <c r="O1318" s="205">
        <f>IF($B$1314="Лікар загальної практики - сімейний лікар",AVERAGE(O1314:O1316),IF($B$1314="Лікар-педіатр",AVERAGE(O1314:O1316),IF($B$1314="Лікар-терапевт","х",0)))</f>
        <v>0</v>
      </c>
      <c r="P1318" s="205">
        <f>IF($B$1314="Лікар загальної практики - сімейний лікар",AVERAGE(P1314:P1316),IF($B$1314="Лікар-педіатр","x",IF($B$1314="Лікар-терапевт",AVERAGE(P1314:P1316),0)))</f>
        <v>0</v>
      </c>
      <c r="Q1318" s="205">
        <f>IF($B$1314="Лікар загальної практики - сімейний лікар",AVERAGE(Q1314:Q1316),IF($B$1314="Лікар-педіатр","x",IF($B$1314="Лікар-терапевт",AVERAGE(Q1314:Q1316),0)))</f>
        <v>0</v>
      </c>
      <c r="R1318" s="205">
        <f>IF($B$1314="Лікар загальної практики - сімейний лікар",AVERAGE(R1314:R1316),IF($B$1314="Лікар-педіатр","x",IF($B$1314="Лікар-терапевт",AVERAGE(R1314:R1316),0)))</f>
        <v>0</v>
      </c>
      <c r="S1318" s="206">
        <f>SUM(N1318:R1318)</f>
        <v>0</v>
      </c>
      <c r="T1318" s="930"/>
      <c r="U1318" s="205">
        <f>IF($B$1314="Лікар загальної практики - сімейний лікар",AVERAGE(U1314:U1316),IF($B$1314="Лікар-педіатр",AVERAGE(U1314:U1316),IF($B$1314="Лікар-терапевт","х",0)))</f>
        <v>0</v>
      </c>
      <c r="V1318" s="205">
        <f>IF($B$1314="Лікар загальної практики - сімейний лікар",AVERAGE(V1314:V1316),IF($B$1314="Лікар-педіатр",AVERAGE(V1314:V1316),IF($B$1314="Лікар-терапевт","х",0)))</f>
        <v>0</v>
      </c>
      <c r="W1318" s="205">
        <f>IF($B$1314="Лікар загальної практики - сімейний лікар",AVERAGE(W1314:W1316),IF($B$1314="Лікар-педіатр","x",IF($B$1314="Лікар-терапевт",AVERAGE(W1314:W1316),0)))</f>
        <v>0</v>
      </c>
      <c r="X1318" s="205">
        <f>IF($B$1314="Лікар загальної практики - сімейний лікар",AVERAGE(X1314:X1316),IF($B$1314="Лікар-педіатр","x",IF($B$1314="Лікар-терапевт",AVERAGE(X1314:X1316),0)))</f>
        <v>0</v>
      </c>
      <c r="Y1318" s="205">
        <f>IF($B$1314="Лікар загальної практики - сімейний лікар",AVERAGE(Y1314:Y1316),IF($B$1314="Лікар-педіатр","x",IF($B$1314="Лікар-терапевт",AVERAGE(Y1314:Y1316),0)))</f>
        <v>0</v>
      </c>
      <c r="Z1318" s="206">
        <f>SUM(U1318:Y1318)</f>
        <v>0</v>
      </c>
      <c r="AA1318" s="930"/>
      <c r="AB1318" s="205">
        <f>IF($B$1314="Лікар загальної практики - сімейний лікар",AVERAGE(AB1314:AB1316),IF($B$1314="Лікар-педіатр",AVERAGE(AB1314:AB1316),IF($B$1314="Лікар-терапевт","х",0)))</f>
        <v>0</v>
      </c>
      <c r="AC1318" s="205">
        <f>IF($B$1314="Лікар загальної практики - сімейний лікар",AVERAGE(AC1314:AC1316),IF($B$1314="Лікар-педіатр",AVERAGE(AC1314:AC1316),IF($B$1314="Лікар-терапевт","х",0)))</f>
        <v>0</v>
      </c>
      <c r="AD1318" s="205">
        <f>IF($B$1314="Лікар загальної практики - сімейний лікар",AVERAGE(AD1314:AD1316),IF($B$1314="Лікар-педіатр","x",IF($B$1314="Лікар-терапевт",AVERAGE(AD1314:AD1316),0)))</f>
        <v>0</v>
      </c>
      <c r="AE1318" s="205">
        <f>IF($B$1314="Лікар загальної практики - сімейний лікар",AVERAGE(AE1314:AE1316),IF($B$1314="Лікар-педіатр","x",IF($B$1314="Лікар-терапевт",AVERAGE(AE1314:AE1316),0)))</f>
        <v>0</v>
      </c>
      <c r="AF1318" s="205">
        <f>IF($B$1314="Лікар загальної практики - сімейний лікар",AVERAGE(AF1314:AF1316),IF($B$1314="Лікар-педіатр","x",IF($B$1314="Лікар-терапевт",AVERAGE(AF1314:AF1316),0)))</f>
        <v>0</v>
      </c>
      <c r="AG1318" s="206">
        <f>SUM(AB1318:AF1318)</f>
        <v>0</v>
      </c>
      <c r="AH1318" s="930"/>
      <c r="AI1318" s="201"/>
      <c r="AJ1318" s="933"/>
      <c r="AK1318" s="927"/>
      <c r="AL1318" s="927"/>
      <c r="AM1318" s="903"/>
      <c r="AN1318" s="925"/>
      <c r="AO1318" s="925"/>
      <c r="AP1318" s="925"/>
      <c r="AQ1318" s="925"/>
      <c r="AR1318" s="916"/>
    </row>
    <row r="1319" spans="1:44" s="50" customFormat="1" ht="40.5" hidden="1">
      <c r="A1319" s="197"/>
      <c r="B1319" s="893"/>
      <c r="C1319" s="896"/>
      <c r="D1319" s="912"/>
      <c r="E1319" s="909"/>
      <c r="F1319" s="237" t="str">
        <f ca="1">IF(B1314="Лікар-педіатр",Законод!$C$17,IF(B1314="Лікар загальної практики - сімейний лікар",Законод!$C$21,IF(B1314="Лікар-терапевт",Законод!$C$25,"х")))</f>
        <v>х</v>
      </c>
      <c r="G1319" s="208">
        <f ca="1">IF($B$1314="Лікар загальної практики - сімейний лікар",IF(L1318&lt;=Законод!$C$22,G1318,Законод!$C$22*'01_Доходи'!G1317),IF($B$1314="Лікар-педіатр",IF(L1318&lt;=Законод!$C$18,G1318,Законод!$C$18*'01_Доходи'!G1317),IF($B$1314="Лікар-терапевт","x",0)))</f>
        <v>0</v>
      </c>
      <c r="H1319" s="208">
        <f ca="1">IF($B$1314="Лікар загальної практики - сімейний лікар",IF(L1318&lt;=Законод!$C$22,H1318,Законод!$C$22*'01_Доходи'!H1317),IF($B$1314="Лікар-педіатр",IF(L1318&lt;=Законод!$C$18,H1318,Законод!$C$18*'01_Доходи'!H1317),IF($B$1314="Лікар-терапевт","x",0)))</f>
        <v>0</v>
      </c>
      <c r="I1319" s="208">
        <f ca="1">IF($B$1314="Лікар загальної практики - сімейний лікар",IF(L1318&lt;=Законод!$C$22,I1318,Законод!$C$22*'01_Доходи'!I1317),IF($B$1314="Лікар-педіатр","x",IF($B$1314="Лікар-терапевт",IF(L1318&lt;=Законод!$C$26,I1318,Законод!$C$26*'01_Доходи'!I1317),0)))</f>
        <v>0</v>
      </c>
      <c r="J1319" s="208">
        <f ca="1">IF($B$1314="Лікар загальної практики - сімейний лікар",IF(L1318&lt;=Законод!$C$22,J1318,Законод!$C$22*'01_Доходи'!J1317),IF($B$1314="Лікар-педіатр","x",IF($B$1314="Лікар-терапевт",IF(L1318&lt;=Законод!$C$26,J1318,Законод!$C$26*'01_Доходи'!J1317),0)))</f>
        <v>0</v>
      </c>
      <c r="K1319" s="208">
        <f ca="1">IF($B$1314="Лікар загальної практики - сімейний лікар",IF(L1318&lt;=Законод!$C$22,K1318,Законод!$C$22*'01_Доходи'!K1317),IF($B$1314="Лікар-педіатр","x",IF($B$1314="Лікар-терапевт",IF(L1318&lt;=Законод!$C$26,K1318,Законод!$C$26*'01_Доходи'!K1317),0)))</f>
        <v>0</v>
      </c>
      <c r="L1319" s="209">
        <f ca="1">SUM(G1319:K1319)</f>
        <v>0</v>
      </c>
      <c r="M1319" s="930"/>
      <c r="N1319" s="208">
        <f ca="1">IF($B$1314="Лікар загальної практики - сімейний лікар",IF(S1318&lt;=Законод!$C$22,N1318,Законод!$C$22*'01_Доходи'!N1317),IF($B$1314="Лікар-педіатр",IF(S1318&lt;=Законод!$C$18,N1318,Законод!$C$18*'01_Доходи'!N1317),IF($B$1314="Лікар-терапевт","x",0)))</f>
        <v>0</v>
      </c>
      <c r="O1319" s="208">
        <f ca="1">IF($B$1314="Лікар загальної практики - сімейний лікар",IF(S1318&lt;=Законод!$C$22,O1318,Законод!$C$22*'01_Доходи'!O1317),IF($B$1314="Лікар-педіатр",IF(S1318&lt;=Законод!$C$18,O1318,Законод!$C$18*'01_Доходи'!O1317),IF($B$1314="Лікар-терапевт","x",0)))</f>
        <v>0</v>
      </c>
      <c r="P1319" s="208">
        <f ca="1">IF($B$1314="Лікар загальної практики - сімейний лікар",IF(S1318&lt;=Законод!$C$22,P1318,Законод!$C$22*'01_Доходи'!P1317),IF($B$1314="Лікар-педіатр","x",IF($B$1314="Лікар-терапевт",IF(S1318&lt;=Законод!$C$26,P1318,Законод!$C$26*'01_Доходи'!P1317),0)))</f>
        <v>0</v>
      </c>
      <c r="Q1319" s="208">
        <f ca="1">IF($B$1314="Лікар загальної практики - сімейний лікар",IF(S1318&lt;=Законод!$C$22,Q1318,Законод!$C$22*'01_Доходи'!Q1317),IF($B$1314="Лікар-педіатр","x",IF($B$1314="Лікар-терапевт",IF(S1318&lt;=Законод!$C$26,Q1318,Законод!$C$26*'01_Доходи'!Q1317),0)))</f>
        <v>0</v>
      </c>
      <c r="R1319" s="208">
        <f ca="1">IF($B$1314="Лікар загальної практики - сімейний лікар",IF(S1318&lt;=Законод!$C$22,R1318,Законод!$C$22*'01_Доходи'!R1317),IF($B$1314="Лікар-педіатр","x",IF($B$1314="Лікар-терапевт",IF(S1318&lt;=Законод!$C$26,R1318,Законод!$C$26*'01_Доходи'!R1317),0)))</f>
        <v>0</v>
      </c>
      <c r="S1319" s="209">
        <f ca="1">SUM(N1319:R1319)</f>
        <v>0</v>
      </c>
      <c r="T1319" s="930"/>
      <c r="U1319" s="208">
        <f ca="1">IF($B$1314="Лікар загальної практики - сімейний лікар",IF(Z1318&lt;=Законод!$C$22,U1318,Законод!$C$22*'01_Доходи'!U1317),IF($B$1314="Лікар-педіатр",IF(Z1318&lt;=Законод!$C$18,U1318,Законод!$C$18*'01_Доходи'!U1317),IF($B$1314="Лікар-терапевт","x",0)))</f>
        <v>0</v>
      </c>
      <c r="V1319" s="208">
        <f ca="1">IF($B$1314="Лікар загальної практики - сімейний лікар",IF(Z1318&lt;=Законод!$C$22,V1318,Законод!$C$22*'01_Доходи'!V1317),IF($B$1314="Лікар-педіатр",IF(Z1318&lt;=Законод!$C$18,V1318,Законод!$C$18*'01_Доходи'!V1317),IF($B$1314="Лікар-терапевт","x",0)))</f>
        <v>0</v>
      </c>
      <c r="W1319" s="208">
        <f ca="1">IF($B$1314="Лікар загальної практики - сімейний лікар",IF(Z1318&lt;=Законод!$C$22,W1318,Законод!$C$22*'01_Доходи'!W1317),IF($B$1314="Лікар-педіатр","x",IF($B$1314="Лікар-терапевт",IF(Z1318&lt;=Законод!$C$26,W1318,Законод!$C$26*'01_Доходи'!W1317),0)))</f>
        <v>0</v>
      </c>
      <c r="X1319" s="208">
        <f ca="1">IF($B$1314="Лікар загальної практики - сімейний лікар",IF(Z1318&lt;=Законод!$C$22,X1318,Законод!$C$22*'01_Доходи'!X1317),IF($B$1314="Лікар-педіатр","x",IF($B$1314="Лікар-терапевт",IF(Z1318&lt;=Законод!$C$26,X1318,Законод!$C$26*'01_Доходи'!X1317),0)))</f>
        <v>0</v>
      </c>
      <c r="Y1319" s="208">
        <f ca="1">IF($B$1314="Лікар загальної практики - сімейний лікар",IF(Z1318&lt;=Законод!$C$22,Y1318,Законод!$C$22*'01_Доходи'!Y1317),IF($B$1314="Лікар-педіатр","x",IF($B$1314="Лікар-терапевт",IF(Z1318&lt;=Законод!$C$26,Y1318,Законод!$C$26*'01_Доходи'!Y1317),0)))</f>
        <v>0</v>
      </c>
      <c r="Z1319" s="209">
        <f ca="1">SUM(U1319:Y1319)</f>
        <v>0</v>
      </c>
      <c r="AA1319" s="930"/>
      <c r="AB1319" s="208">
        <f ca="1">IF($B$1314="Лікар загальної практики - сімейний лікар",IF(AG1318&lt;=Законод!$C$22,AB1318,Законод!$C$22*'01_Доходи'!AB1317),IF($B$1314="Лікар-педіатр",IF(AG1318&lt;=Законод!$C$18,AB1318,Законод!$C$18*'01_Доходи'!AB1317),IF($B$1314="Лікар-терапевт","x",0)))</f>
        <v>0</v>
      </c>
      <c r="AC1319" s="208">
        <f ca="1">IF($B$1314="Лікар загальної практики - сімейний лікар",IF(AG1318&lt;=Законод!$C$22,AC1318,Законод!$C$22*'01_Доходи'!AC1317),IF($B$1314="Лікар-педіатр",IF(AG1318&lt;=Законод!$C$18,AC1318,Законод!$C$18*'01_Доходи'!AC1317),IF($B$1314="Лікар-терапевт","x",0)))</f>
        <v>0</v>
      </c>
      <c r="AD1319" s="208">
        <f ca="1">IF($B$1314="Лікар загальної практики - сімейний лікар",IF(AG1318&lt;=Законод!$C$22,AD1318,Законод!$C$22*'01_Доходи'!AD1317),IF($B$1314="Лікар-педіатр","x",IF($B$1314="Лікар-терапевт",IF(AG1318&lt;=Законод!$C$26,AD1318,Законод!$C$26*'01_Доходи'!AD1317),0)))</f>
        <v>0</v>
      </c>
      <c r="AE1319" s="208">
        <f ca="1">IF($B$1314="Лікар загальної практики - сімейний лікар",IF(AG1318&lt;=Законод!$C$22,AE1318,Законод!$C$22*'01_Доходи'!AE1317),IF($B$1314="Лікар-педіатр","x",IF($B$1314="Лікар-терапевт",IF(AG1318&lt;=Законод!$C$26,AE1318,Законод!$C$26*'01_Доходи'!AE1317),0)))</f>
        <v>0</v>
      </c>
      <c r="AF1319" s="208">
        <f ca="1">IF($B$1314="Лікар загальної практики - сімейний лікар",IF(AG1318&lt;=Законод!$C$22,AF1318,Законод!$C$22*'01_Доходи'!AF1317),IF($B$1314="Лікар-педіатр","x",IF($B$1314="Лікар-терапевт",IF(AG1318&lt;=Законод!$C$26,AF1318,Законод!$C$26*'01_Доходи'!AF1317),0)))</f>
        <v>0</v>
      </c>
      <c r="AG1319" s="209">
        <f ca="1">SUM(AB1319:AF1319)</f>
        <v>0</v>
      </c>
      <c r="AH1319" s="930"/>
      <c r="AI1319" s="201"/>
      <c r="AJ1319" s="933"/>
      <c r="AK1319" s="927"/>
      <c r="AL1319" s="927"/>
      <c r="AM1319" s="348" t="s">
        <v>374</v>
      </c>
      <c r="AN1319" s="210">
        <f ca="1">IF(B1314="Лікар загальної практики - сімейний лікар",G1319*Законод!$C$11+'01_Доходи'!H1319*Законод!$D$11+'01_Доходи'!I1319*Законод!$E$11+'01_Доходи'!J1319*Законод!$F$11+'01_Доходи'!K1319*Законод!$G$11,IF(B1314="Лікар-педіатр",G1319*Законод!$C$11+'01_Доходи'!H1319*Законод!$D$11,IF(B1314="Лікар-терапевт",'01_Доходи'!I1319*Законод!$E$11+'01_Доходи'!J1319*Законод!$F$11+'01_Доходи'!K1319*Законод!$G$11,0)))</f>
        <v>0</v>
      </c>
      <c r="AO1319" s="210">
        <f ca="1">IF(B1314="Лікар загальної практики - сімейний лікар",N1319*Законод!$C$11+'01_Доходи'!O1319*Законод!$D$11+'01_Доходи'!P1319*Законод!$E$11+'01_Доходи'!Q1319*Законод!$F$11+'01_Доходи'!R1319*Законод!$G$11,IF(B1314="Лікар-педіатр",N1319*Законод!$C$11+'01_Доходи'!O1319*Законод!$D$11,IF(B1314="Лікар-терапевт",'01_Доходи'!P1319*Законод!$E$11+'01_Доходи'!Q1319*Законод!$F$11+'01_Доходи'!R1319*Законод!$G$11,0)))</f>
        <v>0</v>
      </c>
      <c r="AP1319" s="210">
        <f ca="1">IF(B1314="Лікар загальної практики - сімейний лікар",U1319*Законод!$C$11+'01_Доходи'!V1319*Законод!$D$11+'01_Доходи'!W1319*Законод!$E$11+'01_Доходи'!X1319*Законод!$F$11+'01_Доходи'!Y1319*Законод!$G$11,IF(B1314="Лікар-педіатр",U1319*Законод!$C$11+'01_Доходи'!V1319*Законод!$D$11,IF(B1314="Лікар-терапевт",'01_Доходи'!W1319*Законод!$E$11+'01_Доходи'!X1319*Законод!$F$11+'01_Доходи'!Y1319*Законод!$G$11,0)))</f>
        <v>0</v>
      </c>
      <c r="AQ1319" s="210">
        <f ca="1">IF(B1314="Лікар загальної практики - сімейний лікар",AB1319*Законод!$C$11+'01_Доходи'!AC1319*Законод!$D$11+'01_Доходи'!AD1319*Законод!$E$11+'01_Доходи'!AE1319*Законод!$F$11+'01_Доходи'!AF1319*Законод!$G$11,IF(B1314="Лікар-педіатр",AB1319*Законод!$C$11+'01_Доходи'!AC1319*Законод!$D$11,IF(B1314="Лікар-терапевт",'01_Доходи'!AD1319*Законод!$E$11+'01_Доходи'!AE1319*Законод!$F$11+'01_Доходи'!AF1319*Законод!$G$11,0)))</f>
        <v>0</v>
      </c>
      <c r="AR1319" s="211">
        <f t="shared" ref="AR1319:AR1325" si="128">SUM(AN1319:AQ1319)</f>
        <v>0</v>
      </c>
    </row>
    <row r="1320" spans="1:44" s="50" customFormat="1" ht="31.9" hidden="1" customHeight="1">
      <c r="A1320" s="197"/>
      <c r="B1320" s="893"/>
      <c r="C1320" s="896"/>
      <c r="D1320" s="912"/>
      <c r="E1320" s="909"/>
      <c r="F1320" s="238" t="str">
        <f ca="1">IF(B1314="Лікар-педіатр",Законод!$E$17,IF(B1314="Лікар загальної практики - сімейний лікар",Законод!$E$21,IF(B1314="Лікар-терапевт",Законод!$E$25,"х")))</f>
        <v>х</v>
      </c>
      <c r="G1320" s="889" t="s">
        <v>346</v>
      </c>
      <c r="H1320" s="890"/>
      <c r="I1320" s="890"/>
      <c r="J1320" s="890"/>
      <c r="K1320" s="891"/>
      <c r="L1320" s="196">
        <f ca="1">IF($B$1314="Лікар загальної практики - сімейний лікар",IF(L1318&lt;Законод!$C$22,0,(IF(AND(L1318&gt;=Законод!$E$22,L1318&lt;=Законод!$E$23),L1318-Законод!$C$22,IF('01_Доходи'!L1318&gt;=Законод!$F$22,Законод!$E$24,0)))),IF($B$1314="Лікар-педіатр",IF(L1318&lt;Законод!$C$18,0,(IF(AND(L1318&gt;=Законод!$E$18,L1318&lt;=Законод!$E$19),L1318-Законод!$C$18,IF('01_Доходи'!L1318&gt;=Законод!$F$18,Законод!$E$20,0)))),IF($B$1314="Лікар-терапевт",IF(L1318&lt;Законод!$C$26,0,(IF(AND(L1318&gt;=Законод!$E$26,L1318&lt;=Законод!$E$27),L1318-Законод!$C$26,IF('01_Доходи'!L1318&gt;=Законод!$F$26,Законод!$E$28,0)))),0)))</f>
        <v>0</v>
      </c>
      <c r="M1320" s="930"/>
      <c r="N1320" s="889" t="s">
        <v>346</v>
      </c>
      <c r="O1320" s="890"/>
      <c r="P1320" s="890"/>
      <c r="Q1320" s="890"/>
      <c r="R1320" s="891"/>
      <c r="S1320" s="196">
        <f ca="1">IF($B$1314="Лікар загальної практики - сімейний лікар",IF(S1318&lt;Законод!$C$22,0,(IF(AND(S1318&gt;=Законод!$E$22,S1318&lt;=Законод!$E$23),S1318-Законод!$C$22,IF('01_Доходи'!S1318&gt;=Законод!$F$22,Законод!$E$24,0)))),IF($B$1314="Лікар-педіатр",IF(S1318&lt;Законод!$C$18,0,(IF(AND(S1318&gt;=Законод!$E$18,S1318&lt;=Законод!$E$19),S1318-Законод!$C$18,IF('01_Доходи'!S1318&gt;=Законод!$F$18,Законод!$E$20,0)))),IF($B$1314="Лікар-терапевт",IF(S1318&lt;Законод!$C$26,0,(IF(AND(S1318&gt;=Законод!$E$26,S1318&lt;=Законод!$E$27),S1318-Законод!$C$26,IF('01_Доходи'!S1318&gt;=Законод!$F$26,Законод!$E$28,0)))),0)))</f>
        <v>0</v>
      </c>
      <c r="T1320" s="930"/>
      <c r="U1320" s="889" t="s">
        <v>346</v>
      </c>
      <c r="V1320" s="890"/>
      <c r="W1320" s="890"/>
      <c r="X1320" s="890"/>
      <c r="Y1320" s="891"/>
      <c r="Z1320" s="196">
        <f ca="1">IF($B$1314="Лікар загальної практики - сімейний лікар",IF(Z1318&lt;Законод!$C$22,0,(IF(AND(Z1318&gt;=Законод!$E$22,Z1318&lt;=Законод!$E$23),Z1318-Законод!$C$22,IF('01_Доходи'!Z1318&gt;=Законод!$F$22,Законод!$E$24,0)))),IF($B$1314="Лікар-педіатр",IF(Z1318&lt;Законод!$C$18,0,(IF(AND(Z1318&gt;=Законод!$E$18,Z1318&lt;=Законод!$E$19),Z1318-Законод!$C$18,IF('01_Доходи'!Z1318&gt;=Законод!$F$18,Законод!$E$20,0)))),IF($B$1314="Лікар-терапевт",IF(Z1318&lt;Законод!$C$26,0,(IF(AND(Z1318&gt;=Законод!$E$26,Z1318&lt;=Законод!$E$27),Z1318-Законод!$C$26,IF('01_Доходи'!Z1318&gt;=Законод!$F$26,Законод!$E$28,0)))),0)))</f>
        <v>0</v>
      </c>
      <c r="AA1320" s="930"/>
      <c r="AB1320" s="889" t="s">
        <v>346</v>
      </c>
      <c r="AC1320" s="890"/>
      <c r="AD1320" s="890"/>
      <c r="AE1320" s="890"/>
      <c r="AF1320" s="891"/>
      <c r="AG1320" s="196">
        <f ca="1">IF($B$1314="Лікар загальної практики - сімейний лікар",IF(AG1318&lt;Законод!$C$22,0,(IF(AND(AG1318&gt;=Законод!$E$22,AG1318&lt;=Законод!$E$23),AG1318-Законод!$C$22,IF('01_Доходи'!AG1318&gt;=Законод!$F$22,Законод!$E$24,0)))),IF($B$1314="Лікар-педіатр",IF(AG1318&lt;Законод!$C$18,0,(IF(AND(AG1318&gt;=Законод!$E$18,AG1318&lt;=Законод!$E$19),AG1318-Законод!$C$18,IF('01_Доходи'!AG1318&gt;=Законод!$F$18,Законод!$E$20,0)))),IF($B$1314="Лікар-терапевт",IF(AG1318&lt;Законод!$C$26,0,(IF(AND(AG1318&gt;=Законод!$E$26,AG1318&lt;=Законод!$E$27),AG1318-Законод!$C$26,IF('01_Доходи'!AG1318&gt;=Законод!$F$26,Законод!$E$28,0)))),0)))</f>
        <v>0</v>
      </c>
      <c r="AH1320" s="930"/>
      <c r="AI1320" s="201"/>
      <c r="AJ1320" s="933"/>
      <c r="AK1320" s="927"/>
      <c r="AL1320" s="927"/>
      <c r="AM1320" s="898" t="s">
        <v>375</v>
      </c>
      <c r="AN1320" s="210">
        <f ca="1">IF(B1314="Лікар загальної практики - сімейний лікар",L1320*Законод!$C$9/4*Законод!$E$16,IF(B1314="Лікар-педіатр",L1320*Законод!$C$9/4*Законод!$E$16,IF(B1314="Лікар-терапевт",L1320*Законод!$C$9/4*Законод!$E$16,0)))</f>
        <v>0</v>
      </c>
      <c r="AO1320" s="210">
        <f ca="1">IF(B1314="Лікар загальної практики - сімейний лікар",S1320*Законод!$C$9/4*Законод!$E$16,IF(B1314="Лікар-педіатр",S1320*Законод!$C$9/4*Законод!$E$16,IF(B1314="Лікар-терапевт",S1320*Законод!$C$9/4*Законод!$E$16,0)))</f>
        <v>0</v>
      </c>
      <c r="AP1320" s="210">
        <f ca="1">IF(B1314="Лікар загальної практики - сімейний лікар",Z1320*Законод!$C$9/4*Законод!$E$16,IF(B1314="Лікар-педіатр",Z1320*Законод!$C$9/4*Законод!$E$16,IF(B1314="Лікар-терапевт",Z1320*Законод!$C$9/4*Законод!$E$16,0)))</f>
        <v>0</v>
      </c>
      <c r="AQ1320" s="210">
        <f ca="1">IF(B1314="Лікар загальної практики - сімейний лікар",AG1320*Законод!$C$9/4*Законод!$E$16,IF(B1314="Лікар-педіатр",AG1320*Законод!$C$9/4*Законод!$E$16,IF(B1314="Лікар-терапевт",AG1320*Законод!$C$9/4*Законод!$E$16,0)))</f>
        <v>0</v>
      </c>
      <c r="AR1320" s="211">
        <f t="shared" si="128"/>
        <v>0</v>
      </c>
    </row>
    <row r="1321" spans="1:44" s="50" customFormat="1" ht="31.9" hidden="1" customHeight="1">
      <c r="A1321" s="197"/>
      <c r="B1321" s="893"/>
      <c r="C1321" s="896"/>
      <c r="D1321" s="912"/>
      <c r="E1321" s="909"/>
      <c r="F1321" s="238" t="str">
        <f ca="1">IF(B1314="Лікар-педіатр",Законод!$F$17,IF(B1314="Лікар загальної практики - сімейний лікар",Законод!$F$21,IF(B1314="Лікар-терапевт",Законод!$F$25,"х")))</f>
        <v>х</v>
      </c>
      <c r="G1321" s="889" t="s">
        <v>346</v>
      </c>
      <c r="H1321" s="890"/>
      <c r="I1321" s="890"/>
      <c r="J1321" s="890"/>
      <c r="K1321" s="891"/>
      <c r="L1321" s="196">
        <f ca="1">IF($B$1314="Лікар загальної практики - сімейний лікар",IF(L1318&lt;Законод!$C$22,0,(IF(AND(L1318&gt;=Законод!$F$22,L1318&lt;=Законод!$F$23),L1318-Законод!$E$23,IF('01_Доходи'!L1318&gt;=Законод!$G$22,Законод!$F$24,0)))),IF($B$1314="Лікар-педіатр",IF(L1318&lt;Законод!$C$18,0,(IF(AND(L1318&gt;=Законод!$F$18,L1318&lt;=Законод!$F$19),L1318-Законод!$E$19,IF('01_Доходи'!L1318&gt;=Законод!$G$18,Законод!$F$20,0)))),IF($B$1314="Лікар-терапевт",IF(L1318&lt;Законод!$C$26,0,(IF(AND(L1318&gt;=Законод!$F$26,L1318&lt;=Законод!$F$27),L1318-Законод!$E$27,IF('01_Доходи'!L1318&gt;=Законод!$G$26,Законод!$F$28,0)))),0)))</f>
        <v>0</v>
      </c>
      <c r="M1321" s="930"/>
      <c r="N1321" s="889" t="s">
        <v>346</v>
      </c>
      <c r="O1321" s="890"/>
      <c r="P1321" s="890"/>
      <c r="Q1321" s="890"/>
      <c r="R1321" s="891"/>
      <c r="S1321" s="196">
        <f ca="1">IF($B$1314="Лікар загальної практики - сімейний лікар",IF(S1318&lt;Законод!$C$22,0,(IF(AND(S1318&gt;=Законод!$F$22,S1318&lt;=Законод!$F$23),S1318-Законод!$E$23,IF('01_Доходи'!S1318&gt;=Законод!$G$22,Законод!$F$24,0)))),IF($B$1314="Лікар-педіатр",IF(S1318&lt;Законод!$C$18,0,(IF(AND(S1318&gt;=Законод!$F$18,S1318&lt;=Законод!$F$19),S1318-Законод!$E$19,IF('01_Доходи'!S1318&gt;=Законод!$G$18,Законод!$F$20,0)))),IF($B$1314="Лікар-терапевт",IF(S1318&lt;Законод!$C$26,0,(IF(AND(S1318&gt;=Законод!$F$26,S1318&lt;=Законод!$F$27),S1318-Законод!$E$27,IF('01_Доходи'!S1318&gt;=Законод!$G$26,Законод!$F$28,0)))),0)))</f>
        <v>0</v>
      </c>
      <c r="T1321" s="930"/>
      <c r="U1321" s="889" t="s">
        <v>346</v>
      </c>
      <c r="V1321" s="890"/>
      <c r="W1321" s="890"/>
      <c r="X1321" s="890"/>
      <c r="Y1321" s="891"/>
      <c r="Z1321" s="196">
        <f ca="1">IF($B$1314="Лікар загальної практики - сімейний лікар",IF(Z1318&lt;Законод!$C$22,0,(IF(AND(Z1318&gt;=Законод!$F$22,Z1318&lt;=Законод!$F$23),Z1318-Законод!$E$23,IF('01_Доходи'!Z1318&gt;=Законод!$G$22,Законод!$F$24,0)))),IF($B$1314="Лікар-педіатр",IF(Z1318&lt;Законод!$C$18,0,(IF(AND(Z1318&gt;=Законод!$F$18,Z1318&lt;=Законод!$F$19),Z1318-Законод!$E$19,IF('01_Доходи'!Z1318&gt;=Законод!$G$18,Законод!$F$20,0)))),IF($B$1314="Лікар-терапевт",IF(Z1318&lt;Законод!$C$26,0,(IF(AND(Z1318&gt;=Законод!$F$26,Z1318&lt;=Законод!$F$27),Z1318-Законод!$E$27,IF('01_Доходи'!Z1318&gt;=Законод!$G$26,Законод!$F$28,0)))),0)))</f>
        <v>0</v>
      </c>
      <c r="AA1321" s="930"/>
      <c r="AB1321" s="889" t="s">
        <v>346</v>
      </c>
      <c r="AC1321" s="890"/>
      <c r="AD1321" s="890"/>
      <c r="AE1321" s="890"/>
      <c r="AF1321" s="891"/>
      <c r="AG1321" s="196">
        <f ca="1">IF($B$1314="Лікар загальної практики - сімейний лікар",IF(AG1318&lt;Законод!$C$22,0,(IF(AND(AG1318&gt;=Законод!$F$22,AG1318&lt;=Законод!$F$23),AG1318-Законод!$E$23,IF('01_Доходи'!AG1318&gt;=Законод!$G$22,Законод!$F$24,0)))),IF($B$1314="Лікар-педіатр",IF(AG1318&lt;Законод!$C$18,0,(IF(AND(AG1318&gt;=Законод!$F$18,AG1318&lt;=Законод!$F$19),AG1318-Законод!$E$19,IF('01_Доходи'!AG1318&gt;=Законод!$G$18,Законод!$F$20,0)))),IF($B$1314="Лікар-терапевт",IF(AG1318&lt;Законод!$C$26,0,(IF(AND(AG1318&gt;=Законод!$F$26,AG1318&lt;=Законод!$F$27),AG1318-Законод!$E$27,IF('01_Доходи'!AG1318&gt;=Законод!$G$26,Законод!$F$28,0)))),0)))</f>
        <v>0</v>
      </c>
      <c r="AH1321" s="930"/>
      <c r="AI1321" s="201"/>
      <c r="AJ1321" s="933"/>
      <c r="AK1321" s="927"/>
      <c r="AL1321" s="927"/>
      <c r="AM1321" s="899"/>
      <c r="AN1321" s="210">
        <f ca="1">IF(B1314="Лікар загальної практики - сімейний лікар",L1321*Законод!$C$9/4*Законод!$F$16,IF(B1314="Лікар-педіатр",L1321*Законод!$C$9/4*Законод!$F$16,IF(B1314="Лікар-терапевт",L1321*Законод!$C$9/4*Законод!$F$16,0)))</f>
        <v>0</v>
      </c>
      <c r="AO1321" s="210">
        <f ca="1">IF(B1314="Лікар загальної практики - сімейний лікар",S1321*Законод!$C$9/4*Законод!$F$16,IF(B1314="Лікар-педіатр",S1321*Законод!$C$9/4*Законод!$F$16,IF(B1314="Лікар-терапевт",S1321*Законод!$C$9/4*Законод!$F$16,0)))</f>
        <v>0</v>
      </c>
      <c r="AP1321" s="210">
        <f ca="1">IF(B1314="Лікар загальної практики - сімейний лікар",Z1321*Законод!$C$9/4*Законод!$F$16,IF(B1314="Лікар-педіатр",Z1321*Законод!$C$9/4*Законод!$F$16,IF(B1314="Лікар-терапевт",Z1321*Законод!$C$9/4*Законод!$F$16,0)))</f>
        <v>0</v>
      </c>
      <c r="AQ1321" s="210">
        <f ca="1">IF(B1314="Лікар загальної практики - сімейний лікар",AG1321*Законод!$C$9/4*Законод!$F$16,IF(B1314="Лікар-педіатр",AG1321*Законод!$C$9/4*Законод!$F$16,IF(B1314="Лікар-терапевт",AG1321*Законод!$C$9/4*Законод!$F$16,0)))</f>
        <v>0</v>
      </c>
      <c r="AR1321" s="211">
        <f t="shared" si="128"/>
        <v>0</v>
      </c>
    </row>
    <row r="1322" spans="1:44" s="50" customFormat="1" ht="31.9" hidden="1" customHeight="1">
      <c r="A1322" s="197"/>
      <c r="B1322" s="893"/>
      <c r="C1322" s="896"/>
      <c r="D1322" s="912"/>
      <c r="E1322" s="909"/>
      <c r="F1322" s="238" t="str">
        <f ca="1">IF(B1314="Лікар-педіатр",Законод!$G$17,IF(B1314="Лікар загальної практики - сімейний лікар",Законод!$G$21,IF(B1314="Лікар-терапевт",Законод!$G$25,"х")))</f>
        <v>х</v>
      </c>
      <c r="G1322" s="889" t="s">
        <v>346</v>
      </c>
      <c r="H1322" s="890"/>
      <c r="I1322" s="890"/>
      <c r="J1322" s="890"/>
      <c r="K1322" s="891"/>
      <c r="L1322" s="196">
        <f ca="1">IF($B$1314="Лікар загальної практики - сімейний лікар",IF(L1318&lt;Законод!$C$22,0,(IF(AND(L1318&gt;=Законод!$G$22,L1318&lt;=Законод!$G$23),L1318-Законод!$F$23,IF('01_Доходи'!L1318&gt;=Законод!$H$22,Законод!$G$24,0)))),IF($B$1314="Лікар-педіатр",IF(L1318&lt;Законод!$C$18,0,(IF(AND(L1318&gt;=Законод!$G$18,L1318&lt;=Законод!$G$19),L1318-Законод!$F$19,IF('01_Доходи'!L1318&gt;=Законод!$H$18,Законод!$G$20,0)))),IF($B$1314="Лікар-терапевт",IF(L1318&lt;Законод!$C$26,0,(IF(AND(L1318&gt;=Законод!$G$26,L1318&lt;=Законод!$G$27),L1318-Законод!$F$27,IF('01_Доходи'!L1318&gt;=Законод!$H$26,Законод!$G$28,0)))),0)))</f>
        <v>0</v>
      </c>
      <c r="M1322" s="930"/>
      <c r="N1322" s="889" t="s">
        <v>346</v>
      </c>
      <c r="O1322" s="890"/>
      <c r="P1322" s="890"/>
      <c r="Q1322" s="890"/>
      <c r="R1322" s="891"/>
      <c r="S1322" s="196">
        <f ca="1">IF($B$1314="Лікар загальної практики - сімейний лікар",IF(S1318&lt;Законод!$C$22,0,(IF(AND(S1318&gt;=Законод!$G$22,S1318&lt;=Законод!$G$23),S1318-Законод!$F$23,IF('01_Доходи'!S1318&gt;=Законод!$H$22,Законод!$G$24,0)))),IF($B$1314="Лікар-педіатр",IF(S1318&lt;Законод!$C$18,0,(IF(AND(S1318&gt;=Законод!$G$18,S1318&lt;=Законод!$G$19),S1318-Законод!$F$19,IF('01_Доходи'!S1318&gt;=Законод!$H$18,Законод!$G$20,0)))),IF($B$1314="Лікар-терапевт",IF(S1318&lt;Законод!$C$26,0,(IF(AND(S1318&gt;=Законод!$G$26,S1318&lt;=Законод!$G$27),S1318-Законод!$F$27,IF('01_Доходи'!S1318&gt;=Законод!$H$26,Законод!$G$28,0)))),0)))</f>
        <v>0</v>
      </c>
      <c r="T1322" s="930"/>
      <c r="U1322" s="889" t="s">
        <v>346</v>
      </c>
      <c r="V1322" s="890"/>
      <c r="W1322" s="890"/>
      <c r="X1322" s="890"/>
      <c r="Y1322" s="891"/>
      <c r="Z1322" s="196">
        <f ca="1">IF($B$1314="Лікар загальної практики - сімейний лікар",IF(Z1318&lt;Законод!$C$22,0,(IF(AND(Z1318&gt;=Законод!$G$22,Z1318&lt;=Законод!$G$23),Z1318-Законод!$F$23,IF('01_Доходи'!Z1318&gt;=Законод!$H$22,Законод!$G$24,0)))),IF($B$1314="Лікар-педіатр",IF(Z1318&lt;Законод!$C$18,0,(IF(AND(Z1318&gt;=Законод!$G$18,Z1318&lt;=Законод!$G$19),Z1318-Законод!$F$19,IF('01_Доходи'!Z1318&gt;=Законод!$H$18,Законод!$G$20,0)))),IF($B$1314="Лікар-терапевт",IF(Z1318&lt;Законод!$C$26,0,(IF(AND(Z1318&gt;=Законод!$G$26,Z1318&lt;=Законод!$G$27),Z1318-Законод!$F$27,IF('01_Доходи'!Z1318&gt;=Законод!$H$26,Законод!$G$28,0)))),0)))</f>
        <v>0</v>
      </c>
      <c r="AA1322" s="930"/>
      <c r="AB1322" s="889" t="s">
        <v>346</v>
      </c>
      <c r="AC1322" s="890"/>
      <c r="AD1322" s="890"/>
      <c r="AE1322" s="890"/>
      <c r="AF1322" s="891"/>
      <c r="AG1322" s="196">
        <f ca="1">IF($B$1314="Лікар загальної практики - сімейний лікар",IF(AG1318&lt;Законод!$C$22,0,(IF(AND(AG1318&gt;=Законод!$G$22,AG1318&lt;=Законод!$G$23),AG1318-Законод!$F$23,IF('01_Доходи'!AG1318&gt;=Законод!$H$22,Законод!$G$24,0)))),IF($B$1314="Лікар-педіатр",IF(AG1318&lt;Законод!$C$18,0,(IF(AND(AG1318&gt;=Законод!$G$18,AG1318&lt;=Законод!$G$19),AG1318-Законод!$F$19,IF('01_Доходи'!AG1318&gt;=Законод!$H$18,Законод!$G$20,0)))),IF($B$1314="Лікар-терапевт",IF(AG1318&lt;Законод!$C$26,0,(IF(AND(AG1318&gt;=Законод!$G$26,AG1318&lt;=Законод!$G$27),AG1318-Законод!$F$27,IF('01_Доходи'!AG1318&gt;=Законод!$H$26,Законод!$G$28,0)))),0)))</f>
        <v>0</v>
      </c>
      <c r="AH1322" s="930"/>
      <c r="AI1322" s="201"/>
      <c r="AJ1322" s="933"/>
      <c r="AK1322" s="927"/>
      <c r="AL1322" s="927"/>
      <c r="AM1322" s="899"/>
      <c r="AN1322" s="210">
        <f ca="1">IF(B1314="Лікар загальної практики - сімейний лікар",L1322*Законод!$C$9/4*Законод!$G$16,IF(B1314="Лікар-педіатр",L1322*Законод!$C$9/4*Законод!$G$16,IF(B1314="Лікар-терапевт",L1322*Законод!$C$9/4*Законод!$G$16,0)))</f>
        <v>0</v>
      </c>
      <c r="AO1322" s="210">
        <f ca="1">IF(B1314="Лікар загальної практики - сімейний лікар",S1322*Законод!$C$9/4*Законод!$G$16,IF(B1314="Лікар-педіатр",S1322*Законод!$C$9/4*Законод!$G$16,IF(B1314="Лікар-терапевт",S1322*Законод!$C$9/4*Законод!$G$16,0)))</f>
        <v>0</v>
      </c>
      <c r="AP1322" s="210">
        <f ca="1">IF(B1314="Лікар загальної практики - сімейний лікар",Z1322*Законод!$C$9/4*Законод!$G$16,IF(B1314="Лікар-педіатр",Z1322*Законод!$C$9/4*Законод!$G$16,IF(B1314="Лікар-терапевт",Z1322*Законод!$C$9/4*Законод!$G$16,0)))</f>
        <v>0</v>
      </c>
      <c r="AQ1322" s="210">
        <f ca="1">IF(B1314="Лікар загальної практики - сімейний лікар",AG1322*Законод!$C$9/4*Законод!$G$16,IF(B1314="Лікар-педіатр",AG1322*Законод!$C$9/4*Законод!$G$16,IF(B1314="Лікар-терапевт",AG1322*Законод!$C$9/4*Законод!$G$16,0)))</f>
        <v>0</v>
      </c>
      <c r="AR1322" s="211">
        <f t="shared" si="128"/>
        <v>0</v>
      </c>
    </row>
    <row r="1323" spans="1:44" s="50" customFormat="1" ht="31.9" hidden="1" customHeight="1">
      <c r="A1323" s="197"/>
      <c r="B1323" s="893"/>
      <c r="C1323" s="896"/>
      <c r="D1323" s="912"/>
      <c r="E1323" s="909"/>
      <c r="F1323" s="238" t="str">
        <f ca="1">IF(B1314="Лікар-педіатр",Законод!$H$17,IF(B1314="Лікар загальної практики - сімейний лікар",Законод!$H$21,IF(B1314="Лікар-терапевт",Законод!$H$25,"х")))</f>
        <v>х</v>
      </c>
      <c r="G1323" s="889" t="s">
        <v>346</v>
      </c>
      <c r="H1323" s="890"/>
      <c r="I1323" s="890"/>
      <c r="J1323" s="890"/>
      <c r="K1323" s="891"/>
      <c r="L1323" s="196">
        <f ca="1">IF($B$1314="Лікар загальної практики - сімейний лікар",IF(L1318&lt;Законод!$C$22,0,(IF(AND(L1318&gt;=Законод!$H$22,L1318&lt;=Законод!$H$23),L1318-Законод!$G$23,IF('01_Доходи'!L1318&gt;=Законод!$I$22,Законод!$H$24,0)))),IF($B$1314="Лікар-педіатр",IF(L1318&lt;Законод!$C$18,0,(IF(AND(L1318&gt;=Законод!$H$18,L1318&lt;=Законод!$H$19),L1318-Законод!$G$19,IF('01_Доходи'!L1318&gt;=Законод!$I$18,Законод!$H$20,0)))),IF($B$1314="Лікар-терапевт",IF(L1318&lt;Законод!$C$26,0,(IF(AND(L1318&gt;=Законод!$H$26,L1318&lt;=Законод!$H$27),L1318-Законод!$G$27,IF(L1318&gt;=Законод!$I$26,Законод!$H$28,0)))),0)))</f>
        <v>0</v>
      </c>
      <c r="M1323" s="930"/>
      <c r="N1323" s="889" t="s">
        <v>346</v>
      </c>
      <c r="O1323" s="890"/>
      <c r="P1323" s="890"/>
      <c r="Q1323" s="890"/>
      <c r="R1323" s="891"/>
      <c r="S1323" s="196">
        <f ca="1">IF($B$1314="Лікар загальної практики - сімейний лікар",IF(S1318&lt;Законод!$C$22,0,(IF(AND(S1318&gt;=Законод!$H$22,S1318&lt;=Законод!$H$23),S1318-Законод!$G$23,IF('01_Доходи'!S1318&gt;=Законод!$I$22,Законод!$H$24,0)))),IF($B$1314="Лікар-педіатр",IF(S1318&lt;Законод!$C$18,0,(IF(AND(S1318&gt;=Законод!$H$18,S1318&lt;=Законод!$H$19),S1318-Законод!$G$19,IF('01_Доходи'!S1318&gt;=Законод!$I$18,Законод!$H$20,0)))),IF($B$1314="Лікар-терапевт",IF(S1318&lt;Законод!$C$26,0,(IF(AND(S1318&gt;=Законод!$H$26,S1318&lt;=Законод!$H$27),S1318-Законод!$G$27,IF(S1318&gt;=Законод!$I$26,Законод!$H$28,0)))),0)))</f>
        <v>0</v>
      </c>
      <c r="T1323" s="930"/>
      <c r="U1323" s="889" t="s">
        <v>346</v>
      </c>
      <c r="V1323" s="890"/>
      <c r="W1323" s="890"/>
      <c r="X1323" s="890"/>
      <c r="Y1323" s="891"/>
      <c r="Z1323" s="196">
        <f ca="1">IF($B$1314="Лікар загальної практики - сімейний лікар",IF(Z1318&lt;Законод!$C$22,0,(IF(AND(Z1318&gt;=Законод!$H$22,Z1318&lt;=Законод!$H$23),Z1318-Законод!$G$23,IF('01_Доходи'!Z1318&gt;=Законод!$I$22,Законод!$H$24,0)))),IF($B$1314="Лікар-педіатр",IF(Z1318&lt;Законод!$C$18,0,(IF(AND(Z1318&gt;=Законод!$H$18,Z1318&lt;=Законод!$H$19),Z1318-Законод!$G$19,IF('01_Доходи'!Z1318&gt;=Законод!$I$18,Законод!$H$20,0)))),IF($B$1314="Лікар-терапевт",IF(Z1318&lt;Законод!$C$26,0,(IF(AND(Z1318&gt;=Законод!$H$26,Z1318&lt;=Законод!$H$27),Z1318-Законод!$G$27,IF(Z1318&gt;=Законод!$I$26,Законод!$H$28,0)))),0)))</f>
        <v>0</v>
      </c>
      <c r="AA1323" s="930"/>
      <c r="AB1323" s="889" t="s">
        <v>346</v>
      </c>
      <c r="AC1323" s="890"/>
      <c r="AD1323" s="890"/>
      <c r="AE1323" s="890"/>
      <c r="AF1323" s="891"/>
      <c r="AG1323" s="196">
        <f ca="1">IF($B$1314="Лікар загальної практики - сімейний лікар",IF(AG1318&lt;Законод!$C$22,0,(IF(AND(AG1318&gt;=Законод!$H$22,AG1318&lt;=Законод!$H$23),AG1318-Законод!$G$23,IF('01_Доходи'!AG1318&gt;=Законод!$I$22,Законод!$H$24,0)))),IF($B$1314="Лікар-педіатр",IF(AG1318&lt;Законод!$C$18,0,(IF(AND(AG1318&gt;=Законод!$H$18,AG1318&lt;=Законод!$H$19),AG1318-Законод!$G$19,IF('01_Доходи'!AG1318&gt;=Законод!$I$18,Законод!$H$20,0)))),IF($B$1314="Лікар-терапевт",IF(AG1318&lt;Законод!$C$26,0,(IF(AND(AG1318&gt;=Законод!$H$26,AG1318&lt;=Законод!$H$27),AG1318-Законод!$G$27,IF(AG1318&gt;=Законод!$I$26,Законод!$H$28,0)))),0)))</f>
        <v>0</v>
      </c>
      <c r="AH1323" s="930"/>
      <c r="AI1323" s="201"/>
      <c r="AJ1323" s="933"/>
      <c r="AK1323" s="927"/>
      <c r="AL1323" s="927"/>
      <c r="AM1323" s="899"/>
      <c r="AN1323" s="210">
        <f ca="1">IF(B1314="Лікар загальної практики - сімейний лікар",L1323*Законод!$C$9/4*Законод!$H$16,IF(B1314="Лікар-педіатр",L1323*Законод!$C$9/4*Законод!$H$16,IF(B1314="Лікар-терапевт",L1323*Законод!$C$9/4*Законод!$H$16,0)))</f>
        <v>0</v>
      </c>
      <c r="AO1323" s="210">
        <f ca="1">IF(B1314="Лікар загальної практики - сімейний лікар",S1323*Законод!$C$9/4*Законод!$H$16,IF(B1314="Лікар-педіатр",S1323*Законод!$C$9/4*Законод!$H$16,IF(B1314="Лікар-терапевт",S1323*Законод!$C$9/4*Законод!$H$16,0)))</f>
        <v>0</v>
      </c>
      <c r="AP1323" s="210">
        <f ca="1">IF(B1314="Лікар загальної практики - сімейний лікар",Z1323*Законод!$C$9/4*Законод!$H$16,IF(B1314="Лікар-педіатр",Z1323*Законод!$C$9/4*Законод!$H$16,IF(B1314="Лікар-терапевт",Z1323*Законод!$C$9/4*Законод!$H$16,0)))</f>
        <v>0</v>
      </c>
      <c r="AQ1323" s="210">
        <f ca="1">IF(B1314="Лікар загальної практики - сімейний лікар",AG1323*Законод!$C$9/4*Законод!$H$16,IF(B1314="Лікар-педіатр",AG1323*Законод!$C$9/4*Законод!$H$16,IF(B1314="Лікар-терапевт",AG1323*Законод!$C$9/4*Законод!$H$16,0)))</f>
        <v>0</v>
      </c>
      <c r="AR1323" s="211">
        <f t="shared" si="128"/>
        <v>0</v>
      </c>
    </row>
    <row r="1324" spans="1:44" s="50" customFormat="1" ht="31.9" hidden="1" customHeight="1">
      <c r="A1324" s="197"/>
      <c r="B1324" s="893"/>
      <c r="C1324" s="896"/>
      <c r="D1324" s="912"/>
      <c r="E1324" s="909"/>
      <c r="F1324" s="238" t="str">
        <f ca="1">IF(B1314="Лікар-педіатр",Законод!$I$17,IF(B1314="Лікар загальної практики - сімейний лікар",Законод!$I$21,IF(B1314="Лікар-терапевт",Законод!$I$25,"х")))</f>
        <v>х</v>
      </c>
      <c r="G1324" s="889" t="s">
        <v>346</v>
      </c>
      <c r="H1324" s="890"/>
      <c r="I1324" s="890"/>
      <c r="J1324" s="890"/>
      <c r="K1324" s="891"/>
      <c r="L1324" s="196">
        <f ca="1">IF($B$1314="Лікар загальної практики - сімейний лікар",IF(L1318&lt;Законод!$C$22,0,(IF(AND(L1318&gt;=Законод!$I$22,L1318&lt;=Законод!$I$23),L1318-Законод!$H$23,IF('01_Доходи'!L1318&gt;=Законод!$I$22,Законод!$I$24,0)))),IF($B$1314="Лікар-педіатр",IF(L1318&lt;Законод!$C$18,0,(IF(AND(L1318&gt;=Законод!$I$18,L1318&lt;=Законод!$I$19),L1318-Законод!$H$19,IF('01_Доходи'!L1318&gt;=Законод!$I$18,Законод!$H$20,0)))),IF($B$1314="Лікар-терапевт",IF(L1318&lt;Законод!$C$26,0,(IF(AND(L1318&gt;=Законод!$I$26,L1318&lt;=Законод!$I$27),L1318-Законод!$H$27,IF('01_Доходи'!L1318&gt;=Законод!$I$26,Законод!$H$28,0)))),0)))</f>
        <v>0</v>
      </c>
      <c r="M1324" s="930"/>
      <c r="N1324" s="889" t="s">
        <v>346</v>
      </c>
      <c r="O1324" s="890"/>
      <c r="P1324" s="890"/>
      <c r="Q1324" s="890"/>
      <c r="R1324" s="891"/>
      <c r="S1324" s="196">
        <f ca="1">IF($B$1314="Лікар загальної практики - сімейний лікар",IF(S1318&lt;Законод!$C$22,0,(IF(AND(S1318&gt;=Законод!$I$22,S1318&lt;=Законод!$I$23),S1318-Законод!$H$23,IF('01_Доходи'!S1318&gt;=Законод!$I$22,Законод!$I$24,0)))),IF($B$1314="Лікар-педіатр",IF(S1318&lt;Законод!$C$18,0,(IF(AND(S1318&gt;=Законод!$I$18,S1318&lt;=Законод!$I$19),S1318-Законод!$H$19,IF('01_Доходи'!S1318&gt;=Законод!$I$18,Законод!$H$20,0)))),IF($B$1314="Лікар-терапевт",IF(S1318&lt;Законод!$C$26,0,(IF(AND(S1318&gt;=Законод!$I$26,S1318&lt;=Законод!$I$27),S1318-Законод!$H$27,IF('01_Доходи'!S1318&gt;=Законод!$I$26,Законод!$H$28,0)))),0)))</f>
        <v>0</v>
      </c>
      <c r="T1324" s="930"/>
      <c r="U1324" s="889" t="s">
        <v>346</v>
      </c>
      <c r="V1324" s="890"/>
      <c r="W1324" s="890"/>
      <c r="X1324" s="890"/>
      <c r="Y1324" s="891"/>
      <c r="Z1324" s="196">
        <f ca="1">IF($B$1314="Лікар загальної практики - сімейний лікар",IF(Z1318&lt;Законод!$C$22,0,(IF(AND(Z1318&gt;=Законод!$I$22,Z1318&lt;=Законод!$I$23),Z1318-Законод!$H$23,IF('01_Доходи'!Z1318&gt;=Законод!$I$22,Законод!$I$24,0)))),IF($B$1314="Лікар-педіатр",IF(Z1318&lt;Законод!$C$18,0,(IF(AND(Z1318&gt;=Законод!$I$18,Z1318&lt;=Законод!$I$19),Z1318-Законод!$H$19,IF('01_Доходи'!Z1318&gt;=Законод!$I$18,Законод!$H$20,0)))),IF($B$1314="Лікар-терапевт",IF(Z1318&lt;Законод!$C$26,0,(IF(AND(Z1318&gt;=Законод!$I$26,Z1318&lt;=Законод!$I$27),Z1318-Законод!$H$27,IF('01_Доходи'!Z1318&gt;=Законод!$I$26,Законод!$H$28,0)))),0)))</f>
        <v>0</v>
      </c>
      <c r="AA1324" s="930"/>
      <c r="AB1324" s="889" t="s">
        <v>346</v>
      </c>
      <c r="AC1324" s="890"/>
      <c r="AD1324" s="890"/>
      <c r="AE1324" s="890"/>
      <c r="AF1324" s="891"/>
      <c r="AG1324" s="196">
        <f ca="1">IF($B$1314="Лікар загальної практики - сімейний лікар",IF(AG1318&lt;Законод!$C$22,0,(IF(AND(AG1318&gt;=Законод!$I$22,AG1318&lt;=Законод!$I$23),AG1318-Законод!$H$23,IF('01_Доходи'!AG1318&gt;=Законод!$I$22,Законод!$I$24,0)))),IF($B$1314="Лікар-педіатр",IF(AG1318&lt;Законод!$C$18,0,(IF(AND(AG1318&gt;=Законод!$I$18,AG1318&lt;=Законод!$I$19),AG1318-Законод!$H$19,IF('01_Доходи'!AG1318&gt;=Законод!$I$18,Законод!$H$20,0)))),IF($B$1314="Лікар-терапевт",IF(AG1318&lt;Законод!$C$26,0,(IF(AND(AG1318&gt;=Законод!$I$26,AG1318&lt;=Законод!$I$27),AG1318-Законод!$H$27,IF('01_Доходи'!AG1318&gt;=Законод!$I$26,Законод!$H$28,0)))),0)))</f>
        <v>0</v>
      </c>
      <c r="AH1324" s="930"/>
      <c r="AI1324" s="201"/>
      <c r="AJ1324" s="933"/>
      <c r="AK1324" s="927"/>
      <c r="AL1324" s="927"/>
      <c r="AM1324" s="899"/>
      <c r="AN1324" s="210">
        <f ca="1">IF(B1314="Лікар загальної практики - сімейний лікар",L1324*Законод!$C$9/4*Законод!$I$16,IF(B1314="Лікар-педіатр",L1324*Законод!$C$9/4*Законод!$I$16,IF(B1314="Лікар-терапевт",L1324*Законод!$C$9/4*Законод!$I$16,0)))</f>
        <v>0</v>
      </c>
      <c r="AO1324" s="210">
        <f ca="1">IF(B1314="Лікар загальної практики - сімейний лікар",S1324*Законод!$C$9/4*Законод!$I$16,IF(B1314="Лікар-педіатр",S1324*Законод!$C$9/4*Законод!$I$16,IF(B1314="Лікар-терапевт",S1324*Законод!$C$9/4*Законод!$I$16,0)))</f>
        <v>0</v>
      </c>
      <c r="AP1324" s="210">
        <f ca="1">IF(B1314="Лікар загальної практики - сімейний лікар",Z1324*Законод!$C$9/4*Законод!$I$16,IF(B1314="Лікар-педіатр",Z1324*Законод!$C$9/4*Законод!$I$16,IF(B1314="Лікар-терапевт",Z1324*Законод!$C$9/4*Законод!$I$16,0)))</f>
        <v>0</v>
      </c>
      <c r="AQ1324" s="210">
        <f ca="1">IF(B1314="Лікар загальної практики - сімейний лікар",AG1324*Законод!$C$9/4*Законод!$I$16,IF(B1314="Лікар-педіатр",AG1324*Законод!$C$9/4*Законод!$I$16,IF(B1314="Лікар-терапевт",AG1324*Законод!$C$9/4*Законод!$I$16,0)))</f>
        <v>0</v>
      </c>
      <c r="AR1324" s="211">
        <f t="shared" si="128"/>
        <v>0</v>
      </c>
    </row>
    <row r="1325" spans="1:44" s="218" customFormat="1" ht="31.9" hidden="1" customHeight="1" thickBot="1">
      <c r="A1325" s="213"/>
      <c r="B1325" s="894"/>
      <c r="C1325" s="897"/>
      <c r="D1325" s="913"/>
      <c r="E1325" s="910"/>
      <c r="F1325" s="239" t="str">
        <f ca="1">IF(B1314="Лікар-педіатр",Законод!$J$17,IF(B1314="Лікар загальної практики - сімейний лікар",Законод!$J$21,IF(B1314="Лікар-терапевт",Законод!$J$25,"х")))</f>
        <v>х</v>
      </c>
      <c r="G1325" s="935" t="s">
        <v>346</v>
      </c>
      <c r="H1325" s="936"/>
      <c r="I1325" s="936"/>
      <c r="J1325" s="936"/>
      <c r="K1325" s="937"/>
      <c r="L1325" s="196">
        <f ca="1">IF($B$1314="Лікар загальної практики - сімейний лікар",IF(L1318&gt;=Законод!$J$22,'01_Доходи'!L1318-('01_Доходи'!L1319+'01_Доходи'!L1320+'01_Доходи'!L1321+'01_Доходи'!L1322+'01_Доходи'!L1323+'01_Доходи'!L1324),0),IF($B$1314="Лікар-педіатр",IF(L1318&gt;=Законод!$J$18,'01_Доходи'!L1318-('01_Доходи'!L1319+'01_Доходи'!L1320+'01_Доходи'!L1321+'01_Доходи'!L1322+'01_Доходи'!L1323+'01_Доходи'!L1324),0),IF($B$1314="Лікар-терапевт",IF('01_Доходи'!L1318&gt;=Законод!$J$26,L1318-Законод!$I$27,0),0)))</f>
        <v>0</v>
      </c>
      <c r="M1325" s="931"/>
      <c r="N1325" s="935" t="s">
        <v>346</v>
      </c>
      <c r="O1325" s="936"/>
      <c r="P1325" s="936"/>
      <c r="Q1325" s="936"/>
      <c r="R1325" s="937"/>
      <c r="S1325" s="196">
        <f ca="1">IF($B$1314="Лікар загальної практики - сімейний лікар",IF(S1318&gt;=Законод!$J$22,'01_Доходи'!S1318-('01_Доходи'!S1319+'01_Доходи'!S1320+'01_Доходи'!S1321+'01_Доходи'!S1322+'01_Доходи'!S1323+'01_Доходи'!S1324),0),IF($B$1314="Лікар-педіатр",IF(S1318&gt;=Законод!$J$18,'01_Доходи'!S1318-('01_Доходи'!S1319+'01_Доходи'!S1320+'01_Доходи'!S1321+'01_Доходи'!S1322+'01_Доходи'!S1323+'01_Доходи'!S1324),0),IF($B$1314="Лікар-терапевт",IF('01_Доходи'!S1318&gt;=Законод!$J$26,S1318-Законод!$I$27,0),0)))</f>
        <v>0</v>
      </c>
      <c r="T1325" s="931"/>
      <c r="U1325" s="935" t="s">
        <v>346</v>
      </c>
      <c r="V1325" s="936"/>
      <c r="W1325" s="936"/>
      <c r="X1325" s="936"/>
      <c r="Y1325" s="937"/>
      <c r="Z1325" s="196">
        <f ca="1">IF($B$1314="Лікар загальної практики - сімейний лікар",IF(Z1318&gt;=Законод!$J$22,'01_Доходи'!Z1318-('01_Доходи'!Z1319+'01_Доходи'!Z1320+'01_Доходи'!Z1321+'01_Доходи'!Z1322+'01_Доходи'!Z1323+'01_Доходи'!Z1324),0),IF($B$1314="Лікар-педіатр",IF(Z1318&gt;=Законод!$J$18,'01_Доходи'!Z1318-('01_Доходи'!Z1319+'01_Доходи'!Z1320+'01_Доходи'!Z1321+'01_Доходи'!Z1322+'01_Доходи'!Z1323+'01_Доходи'!Z1324),0),IF($B$1314="Лікар-терапевт",IF('01_Доходи'!Z1318&gt;=Законод!$J$26,Z1318-Законод!$I$27,0),0)))</f>
        <v>0</v>
      </c>
      <c r="AA1325" s="931"/>
      <c r="AB1325" s="935" t="s">
        <v>346</v>
      </c>
      <c r="AC1325" s="936"/>
      <c r="AD1325" s="936"/>
      <c r="AE1325" s="936"/>
      <c r="AF1325" s="937"/>
      <c r="AG1325" s="196">
        <f ca="1">IF($B$1314="Лікар загальної практики - сімейний лікар",IF(AG1318&gt;=Законод!$J$22,'01_Доходи'!AG1318-('01_Доходи'!AG1319+'01_Доходи'!AG1320+'01_Доходи'!AG1321+'01_Доходи'!AG1322+'01_Доходи'!AG1323+'01_Доходи'!AG1324),0),IF($B$1314="Лікар-педіатр",IF(AG1318&gt;=Законод!$J$18,'01_Доходи'!AG1318-('01_Доходи'!AG1319+'01_Доходи'!AG1320+'01_Доходи'!AG1321+'01_Доходи'!AG1322+'01_Доходи'!AG1323+'01_Доходи'!AG1324),0),IF($B$1314="Лікар-терапевт",IF('01_Доходи'!AG1318&gt;=Законод!$J$26,AG1318-Законод!$I$27,0),0)))</f>
        <v>0</v>
      </c>
      <c r="AH1325" s="931"/>
      <c r="AI1325" s="215"/>
      <c r="AJ1325" s="934"/>
      <c r="AK1325" s="928"/>
      <c r="AL1325" s="928"/>
      <c r="AM1325" s="900"/>
      <c r="AN1325" s="216">
        <f ca="1">IF(B1314="Лікар загальної практики - сімейний лікар",L1325*Законод!$C$9/4*Законод!$J$16,IF(B1314="Лікар-педіатр",L1325*Законод!$C$9/4*Законод!$J$16,IF(B1314="Лікар-терапевт",L1325*Законод!$C$9/4*Законод!$J$16,0)))</f>
        <v>0</v>
      </c>
      <c r="AO1325" s="216">
        <f ca="1">IF(B1314="Лікар загальної практики - сімейний лікар",S1325*Законод!$C$9/4*Законод!$J$16,IF(B1314="Лікар-педіатр",S1325*Законод!$C$9/4*Законод!$J$16,IF(B1314="Лікар-терапевт",S1325*Законод!$C$9/4*Законод!$J$16,0)))</f>
        <v>0</v>
      </c>
      <c r="AP1325" s="216">
        <f ca="1">IF(B1314="Лікар загальної практики - сімейний лікар",S1325*Законод!$C$9/4*Законод!$J$16,IF(B1314="Лікар-педіатр",S1325*Законод!$C$9/4*Законод!$J$16,IF(B1314="Лікар-терапевт",S1325*Законод!$C$9/4*Законод!$J$16,0)))</f>
        <v>0</v>
      </c>
      <c r="AQ1325" s="216">
        <f ca="1">IF(B1314="Лікар загальної практики - сімейний лікар",AG1325*Законод!$C$9/4*Законод!$J$16,IF(B1314="Лікар-педіатр",AG1325*Законод!$C$9/4*Законод!$J$16,IF(B1314="Лікар-терапевт",AG1325*Законод!$C$9/4*Законод!$J$16,0)))</f>
        <v>0</v>
      </c>
      <c r="AR1325" s="217">
        <f t="shared" si="128"/>
        <v>0</v>
      </c>
    </row>
    <row r="1326" spans="1:44" s="247" customFormat="1" ht="23.45" hidden="1" customHeight="1" thickBot="1">
      <c r="A1326" s="243"/>
      <c r="B1326" s="244"/>
      <c r="C1326" s="244"/>
      <c r="D1326" s="244"/>
      <c r="E1326" s="244"/>
      <c r="F1326" s="245"/>
      <c r="G1326" s="246"/>
      <c r="H1326" s="246"/>
      <c r="L1326" s="248"/>
      <c r="S1326" s="248"/>
      <c r="Z1326" s="248"/>
      <c r="AG1326" s="248"/>
      <c r="AM1326" s="249"/>
      <c r="AR1326" s="250"/>
    </row>
    <row r="1327" spans="1:44" s="191" customFormat="1" ht="24.6" hidden="1" customHeight="1">
      <c r="A1327" s="194">
        <f>A1314+1</f>
        <v>100</v>
      </c>
      <c r="B1327" s="892"/>
      <c r="C1327" s="895"/>
      <c r="D1327" s="911"/>
      <c r="E1327" s="908"/>
      <c r="F1327" s="234" t="s">
        <v>582</v>
      </c>
      <c r="G1327" s="196">
        <f>IF($B$1327="Лікар-педіатр",G1330*L1327,IF($B$1327="Лікар-терапевт","х",IF($B$1327="Лікар загальної практики - сімейний лікар",G1330*L1327,0)))</f>
        <v>0</v>
      </c>
      <c r="H1327" s="196">
        <f>IF($B$1327="Лікар-педіатр",H1330*L1327,IF($B$1327="Лікар-терапевт","х",IF($B$1327="Лікар загальної практики - сімейний лікар",H1330*L1327,0)))</f>
        <v>0</v>
      </c>
      <c r="I1327" s="196">
        <f>IF($B$1327="Лікар-педіатр","x",IF($B$1327="Лікар-терапевт",I1330*L1327,IF($B$1327="Лікар загальної практики - сімейний лікар",I1330*L1327,0)))</f>
        <v>0</v>
      </c>
      <c r="J1327" s="196">
        <f>IF($B$1327="Лікар-педіатр","x",IF($B$1327="Лікар-терапевт",J1330*L1327,IF($B$1327="Лікар загальної практики - сімейний лікар",J1330*L1327,0)))</f>
        <v>0</v>
      </c>
      <c r="K1327" s="196">
        <f>IF($B$1327="Лікар-педіатр","x",IF($B$1327="Лікар-терапевт",K1330*L1327,IF($B$1327="Лікар загальної практики - сімейний лікар",K1330*L1327,0)))</f>
        <v>0</v>
      </c>
      <c r="L1327" s="558"/>
      <c r="M1327" s="929"/>
      <c r="N1327" s="196">
        <f>IF($B$1327="Лікар-педіатр",N1330*S1327,IF($B$1327="Лікар-терапевт","х",IF($B$1327="Лікар загальної практики - сімейний лікар",N1330*S1327,0)))</f>
        <v>0</v>
      </c>
      <c r="O1327" s="196">
        <f>IF($B$1327="Лікар-педіатр",O1330*S1327,IF($B$1327="Лікар-терапевт","х",IF($B$1327="Лікар загальної практики - сімейний лікар",O1330*S1327,0)))</f>
        <v>0</v>
      </c>
      <c r="P1327" s="196">
        <f>IF($B$1327="Лікар-педіатр","x",IF($B$1327="Лікар-терапевт",P1330*S1327,IF($B$1327="Лікар загальної практики - сімейний лікар",P1330*S1327,0)))</f>
        <v>0</v>
      </c>
      <c r="Q1327" s="196">
        <f>IF($B$1327="Лікар-педіатр","x",IF($B$1327="Лікар-терапевт",Q1330*S1327,IF($B$1327="Лікар загальної практики - сімейний лікар",Q1330*S1327,0)))</f>
        <v>0</v>
      </c>
      <c r="R1327" s="196">
        <f>IF($B$1327="Лікар-педіатр","x",IF($B$1327="Лікар-терапевт",R1330*S1327,IF($B$1327="Лікар загальної практики - сімейний лікар",R1330*S1327,0)))</f>
        <v>0</v>
      </c>
      <c r="S1327" s="558"/>
      <c r="T1327" s="929"/>
      <c r="U1327" s="196">
        <f>IF($B$1327="Лікар-педіатр",U1330*Z1327,IF($B$1327="Лікар-терапевт","х",IF($B$1327="Лікар загальної практики - сімейний лікар",U1330*Z1327,0)))</f>
        <v>0</v>
      </c>
      <c r="V1327" s="196">
        <f>IF($B$1327="Лікар-педіатр",V1330*Z1327,IF($B$1327="Лікар-терапевт","х",IF($B$1327="Лікар загальної практики - сімейний лікар",V1330*Z1327,0)))</f>
        <v>0</v>
      </c>
      <c r="W1327" s="196">
        <f>IF($B$1327="Лікар-педіатр","x",IF($B$1327="Лікар-терапевт",W1330*Z1327,IF($B$1327="Лікар загальної практики - сімейний лікар",W1330*Z1327,0)))</f>
        <v>0</v>
      </c>
      <c r="X1327" s="196">
        <f>IF($B$1327="Лікар-педіатр","x",IF($B$1327="Лікар-терапевт",X1330*Z1327,IF($B$1327="Лікар загальної практики - сімейний лікар",X1330*Z1327,0)))</f>
        <v>0</v>
      </c>
      <c r="Y1327" s="196">
        <f>IF($B$1327="Лікар-педіатр","x",IF($B$1327="Лікар-терапевт",Y1330*Z1327,IF($B$1327="Лікар загальної практики - сімейний лікар",Y1330*Z1327,0)))</f>
        <v>0</v>
      </c>
      <c r="Z1327" s="558"/>
      <c r="AA1327" s="929"/>
      <c r="AB1327" s="196">
        <f>IF($B$1327="Лікар-педіатр",AB1330*AG1327,IF($B$1327="Лікар-терапевт","х",IF($B$1327="Лікар загальної практики - сімейний лікар",AB1330*AG1327,0)))</f>
        <v>0</v>
      </c>
      <c r="AC1327" s="196">
        <f>IF($B$1327="Лікар-педіатр",AC1330*AG1327,IF($B$1327="Лікар-терапевт","х",IF($B$1327="Лікар загальної практики - сімейний лікар",AC1330*AG1327,0)))</f>
        <v>0</v>
      </c>
      <c r="AD1327" s="196">
        <f>IF($B$1327="Лікар-педіатр","x",IF($B$1327="Лікар-терапевт",AD1330*AG1327,IF($B$1327="Лікар загальної практики - сімейний лікар",AD1330*AG1327,0)))</f>
        <v>0</v>
      </c>
      <c r="AE1327" s="196">
        <f>IF($B$1327="Лікар-педіатр","x",IF($B$1327="Лікар-терапевт",AE1330*AG1327,IF($B$1327="Лікар загальної практики - сімейний лікар",AE1330*AG1327,0)))</f>
        <v>0</v>
      </c>
      <c r="AF1327" s="196">
        <f>IF($B$1327="Лікар-педіатр","x",IF($B$1327="Лікар-терапевт",AF1330*AG1327,IF($B$1327="Лікар загальної практики - сімейний лікар",AF1330*AG1327,0)))</f>
        <v>0</v>
      </c>
      <c r="AG1327" s="558"/>
      <c r="AH1327" s="929"/>
      <c r="AI1327" s="541">
        <f>A1327</f>
        <v>100</v>
      </c>
      <c r="AJ1327" s="932">
        <f>B1327</f>
        <v>0</v>
      </c>
      <c r="AK1327" s="926">
        <f>C1327</f>
        <v>0</v>
      </c>
      <c r="AL1327" s="926">
        <f>D1327</f>
        <v>0</v>
      </c>
      <c r="AM1327" s="901" t="s">
        <v>785</v>
      </c>
      <c r="AN1327" s="923">
        <f>SUM(AN1332:AN1338)</f>
        <v>0</v>
      </c>
      <c r="AO1327" s="923">
        <f>SUM(AO1332:AO1338)</f>
        <v>0</v>
      </c>
      <c r="AP1327" s="923">
        <f>SUM(AP1332:AP1338)</f>
        <v>0</v>
      </c>
      <c r="AQ1327" s="923">
        <f>SUM(AQ1332:AQ1338)</f>
        <v>0</v>
      </c>
      <c r="AR1327" s="914">
        <f>SUM(AN1327:AQ1331)</f>
        <v>0</v>
      </c>
    </row>
    <row r="1328" spans="1:44" s="50" customFormat="1" ht="28.15" hidden="1" customHeight="1">
      <c r="A1328" s="197"/>
      <c r="B1328" s="893"/>
      <c r="C1328" s="896"/>
      <c r="D1328" s="912"/>
      <c r="E1328" s="909"/>
      <c r="F1328" s="234" t="s">
        <v>583</v>
      </c>
      <c r="G1328" s="196">
        <f>IF($B$1327="Лікар-педіатр",G1330*L1328,IF($B$1327="Лікар-терапевт","х",IF($B$1327="Лікар загальної практики - сімейний лікар",G1330*L1328,0)))</f>
        <v>0</v>
      </c>
      <c r="H1328" s="196">
        <f>IF($B$1327="Лікар-педіатр",H1330*L1328,IF($B$1327="Лікар-терапевт","х",IF($B$1327="Лікар загальної практики - сімейний лікар",H1330*L1328,0)))</f>
        <v>0</v>
      </c>
      <c r="I1328" s="196">
        <f>IF($B$1327="Лікар-педіатр","x",IF($B$1327="Лікар-терапевт",I1330*L1328,IF($B$1327="Лікар загальної практики - сімейний лікар",I1330*L1328,0)))</f>
        <v>0</v>
      </c>
      <c r="J1328" s="196">
        <f>IF($B$1327="Лікар-педіатр","x",IF($B$1327="Лікар-терапевт",J1330*L1328,IF($B$1327="Лікар загальної практики - сімейний лікар",J1330*L1328,0)))</f>
        <v>0</v>
      </c>
      <c r="K1328" s="196">
        <f>IF($B$1327="Лікар-педіатр","x",IF($B$1327="Лікар-терапевт",K1330*L1328,IF($B$1327="Лікар загальної практики - сімейний лікар",K1330*L1328,0)))</f>
        <v>0</v>
      </c>
      <c r="L1328" s="558"/>
      <c r="M1328" s="930"/>
      <c r="N1328" s="196">
        <f>IF($B$1327="Лікар-педіатр",N1330*S1328,IF($B$1327="Лікар-терапевт","х",IF($B$1327="Лікар загальної практики - сімейний лікар",N1330*S1328,0)))</f>
        <v>0</v>
      </c>
      <c r="O1328" s="196">
        <f>IF($B$1327="Лікар-педіатр",O1330*S1328,IF($B$1327="Лікар-терапевт","х",IF($B$1327="Лікар загальної практики - сімейний лікар",O1330*S1328,0)))</f>
        <v>0</v>
      </c>
      <c r="P1328" s="196">
        <f>IF($B$1327="Лікар-педіатр","x",IF($B$1327="Лікар-терапевт",P1330*S1328,IF($B$1327="Лікар загальної практики - сімейний лікар",P1330*S1328,0)))</f>
        <v>0</v>
      </c>
      <c r="Q1328" s="196">
        <f>IF($B$1327="Лікар-педіатр","x",IF($B$1327="Лікар-терапевт",Q1330*S1328,IF($B$1327="Лікар загальної практики - сімейний лікар",Q1330*S1328,0)))</f>
        <v>0</v>
      </c>
      <c r="R1328" s="196">
        <f>IF($B$1327="Лікар-педіатр","x",IF($B$1327="Лікар-терапевт",R1330*S1328,IF($B$1327="Лікар загальної практики - сімейний лікар",R1330*S1328,0)))</f>
        <v>0</v>
      </c>
      <c r="S1328" s="558"/>
      <c r="T1328" s="930"/>
      <c r="U1328" s="196">
        <f>IF($B$1327="Лікар-педіатр",U1330*Z1328,IF($B$1327="Лікар-терапевт","х",IF($B$1327="Лікар загальної практики - сімейний лікар",U1330*Z1328,0)))</f>
        <v>0</v>
      </c>
      <c r="V1328" s="196">
        <f>IF($B$1327="Лікар-педіатр",V1330*Z1328,IF($B$1327="Лікар-терапевт","х",IF($B$1327="Лікар загальної практики - сімейний лікар",V1330*Z1328,0)))</f>
        <v>0</v>
      </c>
      <c r="W1328" s="196">
        <f>IF($B$1327="Лікар-педіатр","x",IF($B$1327="Лікар-терапевт",W1330*Z1328,IF($B$1327="Лікар загальної практики - сімейний лікар",W1330*Z1328,0)))</f>
        <v>0</v>
      </c>
      <c r="X1328" s="196">
        <f>IF($B$1327="Лікар-педіатр","x",IF($B$1327="Лікар-терапевт",X1330*Z1328,IF($B$1327="Лікар загальної практики - сімейний лікар",X1330*Z1328,0)))</f>
        <v>0</v>
      </c>
      <c r="Y1328" s="196">
        <f>IF($B$1327="Лікар-педіатр","x",IF($B$1327="Лікар-терапевт",Y1330*Z1328,IF($B$1327="Лікар загальної практики - сімейний лікар",Y1330*Z1328,0)))</f>
        <v>0</v>
      </c>
      <c r="Z1328" s="558"/>
      <c r="AA1328" s="930"/>
      <c r="AB1328" s="196">
        <f>IF($B$1327="Лікар-педіатр",AB1330*AG1328,IF($B$1327="Лікар-терапевт","х",IF($B$1327="Лікар загальної практики - сімейний лікар",AB1330*AG1328,0)))</f>
        <v>0</v>
      </c>
      <c r="AC1328" s="196">
        <f>IF($B$1327="Лікар-педіатр",AC1330*AG1328,IF($B$1327="Лікар-терапевт","х",IF($B$1327="Лікар загальної практики - сімейний лікар",AC1330*AG1328,0)))</f>
        <v>0</v>
      </c>
      <c r="AD1328" s="196">
        <f>IF($B$1327="Лікар-педіатр","x",IF($B$1327="Лікар-терапевт",AD1330*AG1328,IF($B$1327="Лікар загальної практики - сімейний лікар",AD1330*AG1328,0)))</f>
        <v>0</v>
      </c>
      <c r="AE1328" s="196">
        <f>IF($B$1327="Лікар-педіатр","x",IF($B$1327="Лікар-терапевт",AE1330*AG1328,IF($B$1327="Лікар загальної практики - сімейний лікар",AE1330*AG1328,0)))</f>
        <v>0</v>
      </c>
      <c r="AF1328" s="196">
        <f>IF($B$1327="Лікар-педіатр","x",IF($B$1327="Лікар-терапевт",AF1330*AG1328,IF($B$1327="Лікар загальної практики - сімейний лікар",AF1330*AG1328,0)))</f>
        <v>0</v>
      </c>
      <c r="AG1328" s="558"/>
      <c r="AH1328" s="930"/>
      <c r="AI1328" s="198"/>
      <c r="AJ1328" s="933"/>
      <c r="AK1328" s="927"/>
      <c r="AL1328" s="927"/>
      <c r="AM1328" s="902"/>
      <c r="AN1328" s="924"/>
      <c r="AO1328" s="924"/>
      <c r="AP1328" s="924"/>
      <c r="AQ1328" s="924"/>
      <c r="AR1328" s="915"/>
    </row>
    <row r="1329" spans="1:44" s="90" customFormat="1" ht="31.15" hidden="1" customHeight="1">
      <c r="A1329" s="240"/>
      <c r="B1329" s="893"/>
      <c r="C1329" s="896"/>
      <c r="D1329" s="912"/>
      <c r="E1329" s="909"/>
      <c r="F1329" s="241" t="s">
        <v>584</v>
      </c>
      <c r="G1329" s="199">
        <f>IF(B1327="Лікар загальної практики - сімейний лікар"," ",IF(B1327="Лікар-педіатр"," ",IF(B1327="Лікар-терапевт","х",0)))</f>
        <v>0</v>
      </c>
      <c r="H1329" s="199">
        <f>IF(B1327="Лікар загальної практики - сімейний лікар"," ",IF(B1327="Лікар-педіатр"," ",IF(B1327="Лікар-терапевт","х",0)))</f>
        <v>0</v>
      </c>
      <c r="I1329" s="199">
        <f>IF(B1327="Лікар загальної практики - сімейний лікар"," ",IF(B1327="Лікар-педіатр","х",IF(B1327="Лікар-терапевт"," ",0)))</f>
        <v>0</v>
      </c>
      <c r="J1329" s="199">
        <f>IF(B1327="Лікар загальної практики - сімейний лікар"," ",IF(B1327="Лікар-педіатр","х",IF(B1327="Лікар-терапевт"," ",0)))</f>
        <v>0</v>
      </c>
      <c r="K1329" s="199">
        <f>IF(B1327="Лікар загальної практики - сімейний лікар"," ",IF(B1327="Лікар-педіатр","х",IF(B1327="Лікар-терапевт"," ",0)))</f>
        <v>0</v>
      </c>
      <c r="L1329" s="200">
        <f>SUM(G1329:K1329)</f>
        <v>0</v>
      </c>
      <c r="M1329" s="930"/>
      <c r="N1329" s="199">
        <f>IF(B1327="Лікар загальної практики - сімейний лікар"," ",IF(B1327="Лікар-педіатр"," ",IF(B1327="Лікар-терапевт","х",0)))</f>
        <v>0</v>
      </c>
      <c r="O1329" s="199">
        <f>IF(B1327="Лікар загальної практики - сімейний лікар"," ",IF(B1327="Лікар-педіатр"," ",IF(B1327="Лікар-терапевт","х",0)))</f>
        <v>0</v>
      </c>
      <c r="P1329" s="199">
        <f>IF(B1327="Лікар загальної практики - сімейний лікар"," ",IF(B1327="Лікар-педіатр","х",IF(B1327="Лікар-терапевт"," ",0)))</f>
        <v>0</v>
      </c>
      <c r="Q1329" s="199">
        <f>IF(B1327="Лікар загальної практики - сімейний лікар"," ",IF(B1327="Лікар-педіатр","х",IF(B1327="Лікар-терапевт"," ",0)))</f>
        <v>0</v>
      </c>
      <c r="R1329" s="199">
        <f>IF(B1327="Лікар загальної практики - сімейний лікар"," ",IF(B1327="Лікар-педіатр","х",IF(B1327="Лікар-терапевт"," ",0)))</f>
        <v>0</v>
      </c>
      <c r="S1329" s="200">
        <f>SUM(N1329:R1329)</f>
        <v>0</v>
      </c>
      <c r="T1329" s="930"/>
      <c r="U1329" s="199">
        <f>IF(B1327="Лікар загальної практики - сімейний лікар"," ",IF(B1327="Лікар-педіатр"," ",IF(B1327="Лікар-терапевт","х",0)))</f>
        <v>0</v>
      </c>
      <c r="V1329" s="199">
        <f>IF(B1327="Лікар загальної практики - сімейний лікар"," ",IF(B1327="Лікар-педіатр"," ",IF(B1327="Лікар-терапевт","х",0)))</f>
        <v>0</v>
      </c>
      <c r="W1329" s="199">
        <f>IF(B1327="Лікар загальної практики - сімейний лікар"," ",IF(B1327="Лікар-педіатр","х",IF(B1327="Лікар-терапевт"," ",0)))</f>
        <v>0</v>
      </c>
      <c r="X1329" s="199">
        <f>IF(B1327="Лікар загальної практики - сімейний лікар"," ",IF(B1327="Лікар-педіатр","х",IF(B1327="Лікар-терапевт"," ",0)))</f>
        <v>0</v>
      </c>
      <c r="Y1329" s="199">
        <f>IF(B1327="Лікар загальної практики - сімейний лікар"," ",IF(B1327="Лікар-педіатр","х",IF(B1327="Лікар-терапевт"," ",0)))</f>
        <v>0</v>
      </c>
      <c r="Z1329" s="200">
        <f>SUM(U1329:Y1329)</f>
        <v>0</v>
      </c>
      <c r="AA1329" s="930"/>
      <c r="AB1329" s="199">
        <f>IF(B1327="Лікар загальної практики - сімейний лікар"," ",IF(B1327="Лікар-педіатр"," ",IF(B1327="Лікар-терапевт","х",0)))</f>
        <v>0</v>
      </c>
      <c r="AC1329" s="199">
        <f>IF(B1327="Лікар загальної практики - сімейний лікар"," ",IF(B1327="Лікар-педіатр"," ",IF(B1327="Лікар-терапевт","х",0)))</f>
        <v>0</v>
      </c>
      <c r="AD1329" s="199">
        <f>IF(B1327="Лікар загальної практики - сімейний лікар"," ",IF(B1327="Лікар-педіатр","х",IF(B1327="Лікар-терапевт"," ",0)))</f>
        <v>0</v>
      </c>
      <c r="AE1329" s="199">
        <f>IF(B1327="Лікар загальної практики - сімейний лікар"," ",IF(B1327="Лікар-педіатр","х",IF(B1327="Лікар-терапевт"," ",0)))</f>
        <v>0</v>
      </c>
      <c r="AF1329" s="199">
        <f>IF(B1327="Лікар загальної практики - сімейний лікар"," ",IF(B1327="Лікар-педіатр","х",IF(B1327="Лікар-терапевт"," ",0)))</f>
        <v>0</v>
      </c>
      <c r="AG1329" s="200">
        <f>SUM(AB1329:AF1329)</f>
        <v>0</v>
      </c>
      <c r="AH1329" s="930"/>
      <c r="AI1329" s="242"/>
      <c r="AJ1329" s="933"/>
      <c r="AK1329" s="927"/>
      <c r="AL1329" s="927"/>
      <c r="AM1329" s="902"/>
      <c r="AN1329" s="924"/>
      <c r="AO1329" s="924"/>
      <c r="AP1329" s="924"/>
      <c r="AQ1329" s="924"/>
      <c r="AR1329" s="915"/>
    </row>
    <row r="1330" spans="1:44" s="50" customFormat="1" ht="31.9" hidden="1" customHeight="1" thickBot="1">
      <c r="A1330" s="197"/>
      <c r="B1330" s="893"/>
      <c r="C1330" s="896"/>
      <c r="D1330" s="912"/>
      <c r="E1330" s="909"/>
      <c r="F1330" s="236" t="s">
        <v>349</v>
      </c>
      <c r="G1330" s="203">
        <f>IF($B$1327="Лікар-педіатр",G1329/L1329,IF($B$1327="Лікар-терапевт","х",IF($B$1327="Лікар загальної практики - сімейний лікар",G1329/L1329,0)))</f>
        <v>0</v>
      </c>
      <c r="H1330" s="203">
        <f>IF($B$1327="Лікар-педіатр",H1329/L1329,IF($B$1327="Лікар-терапевт","х",IF($B$1327="Лікар загальної практики - сімейний лікар",H1329/L1329,0)))</f>
        <v>0</v>
      </c>
      <c r="I1330" s="203">
        <f>IF($B$1327="Лікар-педіатр","x",IF($B$1327="Лікар-терапевт",I1329/L1329,IF($B$1327="Лікар загальної практики - сімейний лікар",I1329/L1329,0)))</f>
        <v>0</v>
      </c>
      <c r="J1330" s="203">
        <f>IF($B$1327="Лікар-педіатр","x",IF($B$1327="Лікар-терапевт",J1329/L1329,IF($B$1327="Лікар загальної практики - сімейний лікар",J1329/L1329,0)))</f>
        <v>0</v>
      </c>
      <c r="K1330" s="203">
        <f>IF($B$1327="Лікар-педіатр","x",IF($B$1327="Лікар-терапевт",K1329/L1329,IF($B$1327="Лікар загальної практики - сімейний лікар",K1329/L1329,0)))</f>
        <v>0</v>
      </c>
      <c r="L1330" s="203">
        <f>SUM(G1330:K1330)</f>
        <v>0</v>
      </c>
      <c r="M1330" s="930"/>
      <c r="N1330" s="203">
        <f>IF($B$1327="Лікар-педіатр",N1329/S1329,IF($B$1327="Лікар-терапевт","х",IF($B$1327="Лікар загальної практики - сімейний лікар",N1329/S1329,0)))</f>
        <v>0</v>
      </c>
      <c r="O1330" s="203">
        <f>IF($B$1327="Лікар-педіатр",O1329/S1329,IF($B$1327="Лікар-терапевт","х",IF($B$1327="Лікар загальної практики - сімейний лікар",O1329/S1329,0)))</f>
        <v>0</v>
      </c>
      <c r="P1330" s="203">
        <f>IF($B$1327="Лікар-педіатр","x",IF($B$1327="Лікар-терапевт",P1329/S1329,IF($B$1327="Лікар загальної практики - сімейний лікар",P1329/S1329,0)))</f>
        <v>0</v>
      </c>
      <c r="Q1330" s="203">
        <f>IF($B$1327="Лікар-педіатр","x",IF($B$1327="Лікар-терапевт",Q1329/S1329,IF($B$1327="Лікар загальної практики - сімейний лікар",Q1329/S1329,0)))</f>
        <v>0</v>
      </c>
      <c r="R1330" s="203">
        <f>IF($B$1327="Лікар-педіатр","x",IF($B$1327="Лікар-терапевт",R1329/S1329,IF($B$1327="Лікар загальної практики - сімейний лікар",R1329/S1329,0)))</f>
        <v>0</v>
      </c>
      <c r="S1330" s="203">
        <f>SUM(N1330:R1330)</f>
        <v>0</v>
      </c>
      <c r="T1330" s="930"/>
      <c r="U1330" s="203">
        <f>IF($B$1327="Лікар-педіатр",U1329/Z1329,IF($B$1327="Лікар-терапевт","х",IF($B$1327="Лікар загальної практики - сімейний лікар",U1329/Z1329,0)))</f>
        <v>0</v>
      </c>
      <c r="V1330" s="203">
        <f>IF($B$1327="Лікар-педіатр",V1329/Z1329,IF($B$1327="Лікар-терапевт","х",IF($B$1327="Лікар загальної практики - сімейний лікар",V1329/Z1329,0)))</f>
        <v>0</v>
      </c>
      <c r="W1330" s="203">
        <f>IF($B$1327="Лікар-педіатр","x",IF($B$1327="Лікар-терапевт",W1329/Z1329,IF($B$1327="Лікар загальної практики - сімейний лікар",W1329/Z1329,0)))</f>
        <v>0</v>
      </c>
      <c r="X1330" s="203">
        <f>IF($B$1327="Лікар-педіатр","x",IF($B$1327="Лікар-терапевт",X1329/Z1329,IF($B$1327="Лікар загальної практики - сімейний лікар",X1329/Z1329,0)))</f>
        <v>0</v>
      </c>
      <c r="Y1330" s="203">
        <f>IF($B$1327="Лікар-педіатр","x",IF($B$1327="Лікар-терапевт",Y1329/Z1329,IF($B$1327="Лікар загальної практики - сімейний лікар",Y1329/Z1329,0)))</f>
        <v>0</v>
      </c>
      <c r="Z1330" s="203">
        <f>SUM(U1330:Y1330)</f>
        <v>0</v>
      </c>
      <c r="AA1330" s="930"/>
      <c r="AB1330" s="203">
        <f>IF($B$1327="Лікар-педіатр",AB1329/AG1329,IF($B$1327="Лікар-терапевт","х",IF($B$1327="Лікар загальної практики - сімейний лікар",AB1329/AG1329,0)))</f>
        <v>0</v>
      </c>
      <c r="AC1330" s="203">
        <f>IF($B$1327="Лікар-педіатр",AC1329/AG1329,IF($B$1327="Лікар-терапевт","х",IF($B$1327="Лікар загальної практики - сімейний лікар",AC1329/AG1329,0)))</f>
        <v>0</v>
      </c>
      <c r="AD1330" s="203">
        <f>IF($B$1327="Лікар-педіатр","x",IF($B$1327="Лікар-терапевт",AD1329/AG1329,IF($B$1327="Лікар загальної практики - сімейний лікар",AD1329/AG1329,0)))</f>
        <v>0</v>
      </c>
      <c r="AE1330" s="203">
        <f>IF($B$1327="Лікар-педіатр","x",IF($B$1327="Лікар-терапевт",AE1329/AG1329,IF($B$1327="Лікар загальної практики - сімейний лікар",AE1329/AG1329,0)))</f>
        <v>0</v>
      </c>
      <c r="AF1330" s="203">
        <f>IF($B$1327="Лікар-педіатр","x",IF($B$1327="Лікар-терапевт",AF1329/AG1329,IF($B$1327="Лікар загальної практики - сімейний лікар",AF1329/AG1329,0)))</f>
        <v>0</v>
      </c>
      <c r="AG1330" s="203">
        <f>SUM(AB1330:AF1330)</f>
        <v>0</v>
      </c>
      <c r="AH1330" s="930"/>
      <c r="AI1330" s="201"/>
      <c r="AJ1330" s="933"/>
      <c r="AK1330" s="927"/>
      <c r="AL1330" s="927"/>
      <c r="AM1330" s="902"/>
      <c r="AN1330" s="924"/>
      <c r="AO1330" s="924"/>
      <c r="AP1330" s="924"/>
      <c r="AQ1330" s="924"/>
      <c r="AR1330" s="915"/>
    </row>
    <row r="1331" spans="1:44" s="50" customFormat="1" ht="45" hidden="1" customHeight="1" thickBot="1">
      <c r="A1331" s="197"/>
      <c r="B1331" s="893"/>
      <c r="C1331" s="896"/>
      <c r="D1331" s="912"/>
      <c r="E1331" s="909"/>
      <c r="F1331" s="204" t="s">
        <v>585</v>
      </c>
      <c r="G1331" s="205">
        <f>IF($B$1327="Лікар загальної практики - сімейний лікар",AVERAGE(G1327:G1329),IF($B$1327="Лікар-педіатр",AVERAGE(G1327:G1329),IF($B$1327="Лікар-терапевт","х",0)))</f>
        <v>0</v>
      </c>
      <c r="H1331" s="205">
        <f>IF($B$1327="Лікар загальної практики - сімейний лікар",AVERAGE(H1327:H1329),IF($B$1327="Лікар-педіатр",AVERAGE(H1327:H1329),IF($B$1327="Лікар-терапевт","х",0)))</f>
        <v>0</v>
      </c>
      <c r="I1331" s="205">
        <f>IF($B$1327="Лікар загальної практики - сімейний лікар",AVERAGE(I1327:I1329),IF($B$1327="Лікар-педіатр","x",IF($B$1327="Лікар-терапевт",AVERAGE(I1327:I1329),0)))</f>
        <v>0</v>
      </c>
      <c r="J1331" s="205">
        <f>IF($B$1327="Лікар загальної практики - сімейний лікар",AVERAGE(J1327:J1329),IF($B$1327="Лікар-педіатр","x",IF($B$1327="Лікар-терапевт",AVERAGE(J1327:J1329),0)))</f>
        <v>0</v>
      </c>
      <c r="K1331" s="205">
        <f>IF($B$1327="Лікар загальної практики - сімейний лікар",AVERAGE(K1327:K1329),IF($B$1327="Лікар-педіатр","x",IF($B$1327="Лікар-терапевт",AVERAGE(K1327:K1329),0)))</f>
        <v>0</v>
      </c>
      <c r="L1331" s="206">
        <f>SUM(G1331:K1331)</f>
        <v>0</v>
      </c>
      <c r="M1331" s="930"/>
      <c r="N1331" s="205">
        <f>IF($B$1327="Лікар загальної практики - сімейний лікар",AVERAGE(N1327:N1329),IF($B$1327="Лікар-педіатр",AVERAGE(N1327:N1329),IF($B$1327="Лікар-терапевт","х",0)))</f>
        <v>0</v>
      </c>
      <c r="O1331" s="205">
        <f>IF($B$1327="Лікар загальної практики - сімейний лікар",AVERAGE(O1327:O1329),IF($B$1327="Лікар-педіатр",AVERAGE(O1327:O1329),IF($B$1327="Лікар-терапевт","х",0)))</f>
        <v>0</v>
      </c>
      <c r="P1331" s="205">
        <f>IF($B$1327="Лікар загальної практики - сімейний лікар",AVERAGE(P1327:P1329),IF($B$1327="Лікар-педіатр","x",IF($B$1327="Лікар-терапевт",AVERAGE(P1327:P1329),0)))</f>
        <v>0</v>
      </c>
      <c r="Q1331" s="205">
        <f>IF($B$1327="Лікар загальної практики - сімейний лікар",AVERAGE(Q1327:Q1329),IF($B$1327="Лікар-педіатр","x",IF($B$1327="Лікар-терапевт",AVERAGE(Q1327:Q1329),0)))</f>
        <v>0</v>
      </c>
      <c r="R1331" s="205">
        <f>IF($B$1327="Лікар загальної практики - сімейний лікар",AVERAGE(R1327:R1329),IF($B$1327="Лікар-педіатр","x",IF($B$1327="Лікар-терапевт",AVERAGE(R1327:R1329),0)))</f>
        <v>0</v>
      </c>
      <c r="S1331" s="206">
        <f>SUM(N1331:R1331)</f>
        <v>0</v>
      </c>
      <c r="T1331" s="930"/>
      <c r="U1331" s="205">
        <f>IF($B$1327="Лікар загальної практики - сімейний лікар",AVERAGE(U1327:U1329),IF($B$1327="Лікар-педіатр",AVERAGE(U1327:U1329),IF($B$1327="Лікар-терапевт","х",0)))</f>
        <v>0</v>
      </c>
      <c r="V1331" s="205">
        <f>IF($B$1327="Лікар загальної практики - сімейний лікар",AVERAGE(V1327:V1329),IF($B$1327="Лікар-педіатр",AVERAGE(V1327:V1329),IF($B$1327="Лікар-терапевт","х",0)))</f>
        <v>0</v>
      </c>
      <c r="W1331" s="205">
        <f>IF($B$1327="Лікар загальної практики - сімейний лікар",AVERAGE(W1327:W1329),IF($B$1327="Лікар-педіатр","x",IF($B$1327="Лікар-терапевт",AVERAGE(W1327:W1329),0)))</f>
        <v>0</v>
      </c>
      <c r="X1331" s="205">
        <f>IF($B$1327="Лікар загальної практики - сімейний лікар",AVERAGE(X1327:X1329),IF($B$1327="Лікар-педіатр","x",IF($B$1327="Лікар-терапевт",AVERAGE(X1327:X1329),0)))</f>
        <v>0</v>
      </c>
      <c r="Y1331" s="205">
        <f>IF($B$1327="Лікар загальної практики - сімейний лікар",AVERAGE(Y1327:Y1329),IF($B$1327="Лікар-педіатр","x",IF($B$1327="Лікар-терапевт",AVERAGE(Y1327:Y1329),0)))</f>
        <v>0</v>
      </c>
      <c r="Z1331" s="206">
        <f>SUM(U1331:Y1331)</f>
        <v>0</v>
      </c>
      <c r="AA1331" s="930"/>
      <c r="AB1331" s="205">
        <f>IF($B$1327="Лікар загальної практики - сімейний лікар",AVERAGE(AB1327:AB1329),IF($B$1327="Лікар-педіатр",AVERAGE(AB1327:AB1329),IF($B$1327="Лікар-терапевт","х",0)))</f>
        <v>0</v>
      </c>
      <c r="AC1331" s="205">
        <f>IF($B$1327="Лікар загальної практики - сімейний лікар",AVERAGE(AC1327:AC1329),IF($B$1327="Лікар-педіатр",AVERAGE(AC1327:AC1329),IF($B$1327="Лікар-терапевт","х",0)))</f>
        <v>0</v>
      </c>
      <c r="AD1331" s="205">
        <f>IF($B$1327="Лікар загальної практики - сімейний лікар",AVERAGE(AD1327:AD1329),IF($B$1327="Лікар-педіатр","x",IF($B$1327="Лікар-терапевт",AVERAGE(AD1327:AD1329),0)))</f>
        <v>0</v>
      </c>
      <c r="AE1331" s="205">
        <f>IF($B$1327="Лікар загальної практики - сімейний лікар",AVERAGE(AE1327:AE1329),IF($B$1327="Лікар-педіатр","x",IF($B$1327="Лікар-терапевт",AVERAGE(AE1327:AE1329),0)))</f>
        <v>0</v>
      </c>
      <c r="AF1331" s="205">
        <f>IF($B$1327="Лікар загальної практики - сімейний лікар",AVERAGE(AF1327:AF1329),IF($B$1327="Лікар-педіатр","x",IF($B$1327="Лікар-терапевт",AVERAGE(AF1327:AF1329),0)))</f>
        <v>0</v>
      </c>
      <c r="AG1331" s="206">
        <f>SUM(AB1331:AF1331)</f>
        <v>0</v>
      </c>
      <c r="AH1331" s="930"/>
      <c r="AI1331" s="201"/>
      <c r="AJ1331" s="933"/>
      <c r="AK1331" s="927"/>
      <c r="AL1331" s="927"/>
      <c r="AM1331" s="903"/>
      <c r="AN1331" s="925"/>
      <c r="AO1331" s="925"/>
      <c r="AP1331" s="925"/>
      <c r="AQ1331" s="925"/>
      <c r="AR1331" s="916"/>
    </row>
    <row r="1332" spans="1:44" s="50" customFormat="1" ht="40.5" hidden="1">
      <c r="A1332" s="197"/>
      <c r="B1332" s="893"/>
      <c r="C1332" s="896"/>
      <c r="D1332" s="912"/>
      <c r="E1332" s="909"/>
      <c r="F1332" s="237" t="str">
        <f ca="1">IF(B1327="Лікар-педіатр",Законод!$C$17,IF(B1327="Лікар загальної практики - сімейний лікар",Законод!$C$21,IF(B1327="Лікар-терапевт",Законод!$C$25,"х")))</f>
        <v>х</v>
      </c>
      <c r="G1332" s="208">
        <f ca="1">IF($B$1327="Лікар загальної практики - сімейний лікар",IF(L1331&lt;=Законод!$C$22,G1331,Законод!$C$22*'01_Доходи'!G1330),IF($B$1327="Лікар-педіатр",IF(L1331&lt;=Законод!$C$18,G1331,Законод!$C$18*'01_Доходи'!G1330),IF($B$1327="Лікар-терапевт","x",0)))</f>
        <v>0</v>
      </c>
      <c r="H1332" s="208">
        <f ca="1">IF($B$1327="Лікар загальної практики - сімейний лікар",IF(L1331&lt;=Законод!$C$22,H1331,Законод!$C$22*'01_Доходи'!H1330),IF($B$1327="Лікар-педіатр",IF(L1331&lt;=Законод!$C$18,H1331,Законод!$C$18*'01_Доходи'!H1330),IF($B$1327="Лікар-терапевт","x",0)))</f>
        <v>0</v>
      </c>
      <c r="I1332" s="208">
        <f ca="1">IF($B$1327="Лікар загальної практики - сімейний лікар",IF(L1331&lt;=Законод!$C$22,I1331,Законод!$C$22*'01_Доходи'!I1330),IF($B$1327="Лікар-педіатр","x",IF($B$1327="Лікар-терапевт",IF(L1331&lt;=Законод!$C$26,I1331,Законод!$C$26*'01_Доходи'!I1330),0)))</f>
        <v>0</v>
      </c>
      <c r="J1332" s="208">
        <f ca="1">IF($B$1327="Лікар загальної практики - сімейний лікар",IF(L1331&lt;=Законод!$C$22,J1331,Законод!$C$22*'01_Доходи'!J1330),IF($B$1327="Лікар-педіатр","x",IF($B$1327="Лікар-терапевт",IF(L1331&lt;=Законод!$C$26,J1331,Законод!$C$26*'01_Доходи'!J1330),0)))</f>
        <v>0</v>
      </c>
      <c r="K1332" s="208">
        <f ca="1">IF($B$1327="Лікар загальної практики - сімейний лікар",IF(L1331&lt;=Законод!$C$22,K1331,Законод!$C$22*'01_Доходи'!K1330),IF($B$1327="Лікар-педіатр","x",IF($B$1327="Лікар-терапевт",IF(L1331&lt;=Законод!$C$26,K1331,Законод!$C$26*'01_Доходи'!K1330),0)))</f>
        <v>0</v>
      </c>
      <c r="L1332" s="209">
        <f ca="1">SUM(G1332:K1332)</f>
        <v>0</v>
      </c>
      <c r="M1332" s="930"/>
      <c r="N1332" s="208">
        <f ca="1">IF($B$1327="Лікар загальної практики - сімейний лікар",IF(S1331&lt;=Законод!$C$22,N1331,Законод!$C$22*'01_Доходи'!N1330),IF($B$1327="Лікар-педіатр",IF(S1331&lt;=Законод!$C$18,N1331,Законод!$C$18*'01_Доходи'!N1330),IF($B$1327="Лікар-терапевт","x",0)))</f>
        <v>0</v>
      </c>
      <c r="O1332" s="208">
        <f ca="1">IF($B$1327="Лікар загальної практики - сімейний лікар",IF(S1331&lt;=Законод!$C$22,O1331,Законод!$C$22*'01_Доходи'!O1330),IF($B$1327="Лікар-педіатр",IF(S1331&lt;=Законод!$C$18,O1331,Законод!$C$18*'01_Доходи'!O1330),IF($B$1327="Лікар-терапевт","x",0)))</f>
        <v>0</v>
      </c>
      <c r="P1332" s="208">
        <f ca="1">IF($B$1327="Лікар загальної практики - сімейний лікар",IF(S1331&lt;=Законод!$C$22,P1331,Законод!$C$22*'01_Доходи'!P1330),IF($B$1327="Лікар-педіатр","x",IF($B$1327="Лікар-терапевт",IF(S1331&lt;=Законод!$C$26,P1331,Законод!$C$26*'01_Доходи'!P1330),0)))</f>
        <v>0</v>
      </c>
      <c r="Q1332" s="208">
        <f ca="1">IF($B$1327="Лікар загальної практики - сімейний лікар",IF(S1331&lt;=Законод!$C$22,Q1331,Законод!$C$22*'01_Доходи'!Q1330),IF($B$1327="Лікар-педіатр","x",IF($B$1327="Лікар-терапевт",IF(S1331&lt;=Законод!$C$26,Q1331,Законод!$C$26*'01_Доходи'!Q1330),0)))</f>
        <v>0</v>
      </c>
      <c r="R1332" s="208">
        <f ca="1">IF($B$1327="Лікар загальної практики - сімейний лікар",IF(S1331&lt;=Законод!$C$22,R1331,Законод!$C$22*'01_Доходи'!R1330),IF($B$1327="Лікар-педіатр","x",IF($B$1327="Лікар-терапевт",IF(S1331&lt;=Законод!$C$26,R1331,Законод!$C$26*'01_Доходи'!R1330),0)))</f>
        <v>0</v>
      </c>
      <c r="S1332" s="209">
        <f ca="1">SUM(N1332:R1332)</f>
        <v>0</v>
      </c>
      <c r="T1332" s="930"/>
      <c r="U1332" s="208">
        <f ca="1">IF($B$1327="Лікар загальної практики - сімейний лікар",IF(Z1331&lt;=Законод!$C$22,U1331,Законод!$C$22*'01_Доходи'!U1330),IF($B$1327="Лікар-педіатр",IF(Z1331&lt;=Законод!$C$18,U1331,Законод!$C$18*'01_Доходи'!U1330),IF($B$1327="Лікар-терапевт","x",0)))</f>
        <v>0</v>
      </c>
      <c r="V1332" s="208">
        <f ca="1">IF($B$1327="Лікар загальної практики - сімейний лікар",IF(Z1331&lt;=Законод!$C$22,V1331,Законод!$C$22*'01_Доходи'!V1330),IF($B$1327="Лікар-педіатр",IF(Z1331&lt;=Законод!$C$18,V1331,Законод!$C$18*'01_Доходи'!V1330),IF($B$1327="Лікар-терапевт","x",0)))</f>
        <v>0</v>
      </c>
      <c r="W1332" s="208">
        <f ca="1">IF($B$1327="Лікар загальної практики - сімейний лікар",IF(Z1331&lt;=Законод!$C$22,W1331,Законод!$C$22*'01_Доходи'!W1330),IF($B$1327="Лікар-педіатр","x",IF($B$1327="Лікар-терапевт",IF(Z1331&lt;=Законод!$C$26,W1331,Законод!$C$26*'01_Доходи'!W1330),0)))</f>
        <v>0</v>
      </c>
      <c r="X1332" s="208">
        <f ca="1">IF($B$1327="Лікар загальної практики - сімейний лікар",IF(Z1331&lt;=Законод!$C$22,X1331,Законод!$C$22*'01_Доходи'!X1330),IF($B$1327="Лікар-педіатр","x",IF($B$1327="Лікар-терапевт",IF(Z1331&lt;=Законод!$C$26,X1331,Законод!$C$26*'01_Доходи'!X1330),0)))</f>
        <v>0</v>
      </c>
      <c r="Y1332" s="208">
        <f ca="1">IF($B$1327="Лікар загальної практики - сімейний лікар",IF(Z1331&lt;=Законод!$C$22,Y1331,Законод!$C$22*'01_Доходи'!Y1330),IF($B$1327="Лікар-педіатр","x",IF($B$1327="Лікар-терапевт",IF(Z1331&lt;=Законод!$C$26,Y1331,Законод!$C$26*'01_Доходи'!Y1330),0)))</f>
        <v>0</v>
      </c>
      <c r="Z1332" s="209">
        <f ca="1">SUM(U1332:Y1332)</f>
        <v>0</v>
      </c>
      <c r="AA1332" s="930"/>
      <c r="AB1332" s="208">
        <f ca="1">IF($B$1327="Лікар загальної практики - сімейний лікар",IF(AG1331&lt;=Законод!$C$22,AB1331,Законод!$C$22*'01_Доходи'!AB1330),IF($B$1327="Лікар-педіатр",IF(AG1331&lt;=Законод!$C$18,AB1331,Законод!$C$18*'01_Доходи'!AB1330),IF($B$1327="Лікар-терапевт","x",0)))</f>
        <v>0</v>
      </c>
      <c r="AC1332" s="208">
        <f ca="1">IF($B$1327="Лікар загальної практики - сімейний лікар",IF(AG1331&lt;=Законод!$C$22,AC1331,Законод!$C$22*'01_Доходи'!AC1330),IF($B$1327="Лікар-педіатр",IF(AG1331&lt;=Законод!$C$18,AC1331,Законод!$C$18*'01_Доходи'!AC1330),IF($B$1327="Лікар-терапевт","x",0)))</f>
        <v>0</v>
      </c>
      <c r="AD1332" s="208">
        <f ca="1">IF($B$1327="Лікар загальної практики - сімейний лікар",IF(AG1331&lt;=Законод!$C$22,AD1331,Законод!$C$22*'01_Доходи'!AD1330),IF($B$1327="Лікар-педіатр","x",IF($B$1327="Лікар-терапевт",IF(AG1331&lt;=Законод!$C$26,AD1331,Законод!$C$26*'01_Доходи'!AD1330),0)))</f>
        <v>0</v>
      </c>
      <c r="AE1332" s="208">
        <f ca="1">IF($B$1327="Лікар загальної практики - сімейний лікар",IF(AG1331&lt;=Законод!$C$22,AE1331,Законод!$C$22*'01_Доходи'!AE1330),IF($B$1327="Лікар-педіатр","x",IF($B$1327="Лікар-терапевт",IF(AG1331&lt;=Законод!$C$26,AE1331,Законод!$C$26*'01_Доходи'!AE1330),0)))</f>
        <v>0</v>
      </c>
      <c r="AF1332" s="208">
        <f ca="1">IF($B$1327="Лікар загальної практики - сімейний лікар",IF(AG1331&lt;=Законод!$C$22,AF1331,Законод!$C$22*'01_Доходи'!AF1330),IF($B$1327="Лікар-педіатр","x",IF($B$1327="Лікар-терапевт",IF(AG1331&lt;=Законод!$C$26,AF1331,Законод!$C$26*'01_Доходи'!AF1330),0)))</f>
        <v>0</v>
      </c>
      <c r="AG1332" s="209">
        <f ca="1">SUM(AB1332:AF1332)</f>
        <v>0</v>
      </c>
      <c r="AH1332" s="930"/>
      <c r="AI1332" s="201"/>
      <c r="AJ1332" s="933"/>
      <c r="AK1332" s="927"/>
      <c r="AL1332" s="927"/>
      <c r="AM1332" s="348" t="s">
        <v>374</v>
      </c>
      <c r="AN1332" s="210">
        <f ca="1">IF(B1327="Лікар загальної практики - сімейний лікар",G1332*Законод!$C$11+'01_Доходи'!H1332*Законод!$D$11+'01_Доходи'!I1332*Законод!$E$11+'01_Доходи'!J1332*Законод!$F$11+'01_Доходи'!K1332*Законод!$G$11,IF(B1327="Лікар-педіатр",G1332*Законод!$C$11+'01_Доходи'!H1332*Законод!$D$11,IF(B1327="Лікар-терапевт",'01_Доходи'!I1332*Законод!$E$11+'01_Доходи'!J1332*Законод!$F$11+'01_Доходи'!K1332*Законод!$G$11,0)))</f>
        <v>0</v>
      </c>
      <c r="AO1332" s="210">
        <f ca="1">IF(B1327="Лікар загальної практики - сімейний лікар",N1332*Законод!$C$11+'01_Доходи'!O1332*Законод!$D$11+'01_Доходи'!P1332*Законод!$E$11+'01_Доходи'!Q1332*Законод!$F$11+'01_Доходи'!R1332*Законод!$G$11,IF(B1327="Лікар-педіатр",N1332*Законод!$C$11+'01_Доходи'!O1332*Законод!$D$11,IF(B1327="Лікар-терапевт",'01_Доходи'!P1332*Законод!$E$11+'01_Доходи'!Q1332*Законод!$F$11+'01_Доходи'!R1332*Законод!$G$11,0)))</f>
        <v>0</v>
      </c>
      <c r="AP1332" s="210">
        <f ca="1">IF(B1327="Лікар загальної практики - сімейний лікар",U1332*Законод!$C$11+'01_Доходи'!V1332*Законод!$D$11+'01_Доходи'!W1332*Законод!$E$11+'01_Доходи'!X1332*Законод!$F$11+'01_Доходи'!Y1332*Законод!$G$11,IF(B1327="Лікар-педіатр",U1332*Законод!$C$11+'01_Доходи'!V1332*Законод!$D$11,IF(B1327="Лікар-терапевт",'01_Доходи'!W1332*Законод!$E$11+'01_Доходи'!X1332*Законод!$F$11+'01_Доходи'!Y1332*Законод!$G$11,0)))</f>
        <v>0</v>
      </c>
      <c r="AQ1332" s="210">
        <f ca="1">IF(B1327="Лікар загальної практики - сімейний лікар",AB1332*Законод!$C$11+'01_Доходи'!AC1332*Законод!$D$11+'01_Доходи'!AD1332*Законод!$E$11+'01_Доходи'!AE1332*Законод!$F$11+'01_Доходи'!AF1332*Законод!$G$11,IF(B1327="Лікар-педіатр",AB1332*Законод!$C$11+'01_Доходи'!AC1332*Законод!$D$11,IF(B1327="Лікар-терапевт",'01_Доходи'!AD1332*Законод!$E$11+'01_Доходи'!AE1332*Законод!$F$11+'01_Доходи'!AF1332*Законод!$G$11,0)))</f>
        <v>0</v>
      </c>
      <c r="AR1332" s="211">
        <f t="shared" ref="AR1332:AR1338" si="129">SUM(AN1332:AQ1332)</f>
        <v>0</v>
      </c>
    </row>
    <row r="1333" spans="1:44" s="50" customFormat="1" ht="31.9" hidden="1" customHeight="1">
      <c r="A1333" s="197"/>
      <c r="B1333" s="893"/>
      <c r="C1333" s="896"/>
      <c r="D1333" s="912"/>
      <c r="E1333" s="909"/>
      <c r="F1333" s="238" t="str">
        <f ca="1">IF(B1327="Лікар-педіатр",Законод!$E$17,IF(B1327="Лікар загальної практики - сімейний лікар",Законод!$E$21,IF(B1327="Лікар-терапевт",Законод!$E$25,"х")))</f>
        <v>х</v>
      </c>
      <c r="G1333" s="889" t="s">
        <v>346</v>
      </c>
      <c r="H1333" s="890"/>
      <c r="I1333" s="890"/>
      <c r="J1333" s="890"/>
      <c r="K1333" s="891"/>
      <c r="L1333" s="196">
        <f ca="1">IF($B$1327="Лікар загальної практики - сімейний лікар",IF(L1331&lt;Законод!$C$22,0,(IF(AND(L1331&gt;=Законод!$E$22,L1331&lt;=Законод!$E$23),L1331-Законод!$C$22,IF('01_Доходи'!L1331&gt;=Законод!$F$22,Законод!$E$24,0)))),IF($B$1327="Лікар-педіатр",IF(L1331&lt;Законод!$C$18,0,(IF(AND(L1331&gt;=Законод!$E$18,L1331&lt;=Законод!$E$19),L1331-Законод!$C$18,IF('01_Доходи'!L1331&gt;=Законод!$F$18,Законод!$E$20,0)))),IF($B$1327="Лікар-терапевт",IF(L1331&lt;Законод!$C$26,0,(IF(AND(L1331&gt;=Законод!$E$26,L1331&lt;=Законод!$E$27),L1331-Законод!$C$26,IF('01_Доходи'!L1331&gt;=Законод!$F$26,Законод!$E$28,0)))),0)))</f>
        <v>0</v>
      </c>
      <c r="M1333" s="930"/>
      <c r="N1333" s="889" t="s">
        <v>346</v>
      </c>
      <c r="O1333" s="890"/>
      <c r="P1333" s="890"/>
      <c r="Q1333" s="890"/>
      <c r="R1333" s="891"/>
      <c r="S1333" s="196">
        <f ca="1">IF($B$1327="Лікар загальної практики - сімейний лікар",IF(S1331&lt;Законод!$C$22,0,(IF(AND(S1331&gt;=Законод!$E$22,S1331&lt;=Законод!$E$23),S1331-Законод!$C$22,IF('01_Доходи'!S1331&gt;=Законод!$F$22,Законод!$E$24,0)))),IF($B$1327="Лікар-педіатр",IF(S1331&lt;Законод!$C$18,0,(IF(AND(S1331&gt;=Законод!$E$18,S1331&lt;=Законод!$E$19),S1331-Законод!$C$18,IF('01_Доходи'!S1331&gt;=Законод!$F$18,Законод!$E$20,0)))),IF($B$1327="Лікар-терапевт",IF(S1331&lt;Законод!$C$26,0,(IF(AND(S1331&gt;=Законод!$E$26,S1331&lt;=Законод!$E$27),S1331-Законод!$C$26,IF('01_Доходи'!S1331&gt;=Законод!$F$26,Законод!$E$28,0)))),0)))</f>
        <v>0</v>
      </c>
      <c r="T1333" s="930"/>
      <c r="U1333" s="889" t="s">
        <v>346</v>
      </c>
      <c r="V1333" s="890"/>
      <c r="W1333" s="890"/>
      <c r="X1333" s="890"/>
      <c r="Y1333" s="891"/>
      <c r="Z1333" s="196">
        <f ca="1">IF($B$1327="Лікар загальної практики - сімейний лікар",IF(Z1331&lt;Законод!$C$22,0,(IF(AND(Z1331&gt;=Законод!$E$22,Z1331&lt;=Законод!$E$23),Z1331-Законод!$C$22,IF('01_Доходи'!Z1331&gt;=Законод!$F$22,Законод!$E$24,0)))),IF($B$1327="Лікар-педіатр",IF(Z1331&lt;Законод!$C$18,0,(IF(AND(Z1331&gt;=Законод!$E$18,Z1331&lt;=Законод!$E$19),Z1331-Законод!$C$18,IF('01_Доходи'!Z1331&gt;=Законод!$F$18,Законод!$E$20,0)))),IF($B$1327="Лікар-терапевт",IF(Z1331&lt;Законод!$C$26,0,(IF(AND(Z1331&gt;=Законод!$E$26,Z1331&lt;=Законод!$E$27),Z1331-Законод!$C$26,IF('01_Доходи'!Z1331&gt;=Законод!$F$26,Законод!$E$28,0)))),0)))</f>
        <v>0</v>
      </c>
      <c r="AA1333" s="930"/>
      <c r="AB1333" s="889" t="s">
        <v>346</v>
      </c>
      <c r="AC1333" s="890"/>
      <c r="AD1333" s="890"/>
      <c r="AE1333" s="890"/>
      <c r="AF1333" s="891"/>
      <c r="AG1333" s="196">
        <f ca="1">IF($B$1327="Лікар загальної практики - сімейний лікар",IF(AG1331&lt;Законод!$C$22,0,(IF(AND(AG1331&gt;=Законод!$E$22,AG1331&lt;=Законод!$E$23),AG1331-Законод!$C$22,IF('01_Доходи'!AG1331&gt;=Законод!$F$22,Законод!$E$24,0)))),IF($B$1327="Лікар-педіатр",IF(AG1331&lt;Законод!$C$18,0,(IF(AND(AG1331&gt;=Законод!$E$18,AG1331&lt;=Законод!$E$19),AG1331-Законод!$C$18,IF('01_Доходи'!AG1331&gt;=Законод!$F$18,Законод!$E$20,0)))),IF($B$1327="Лікар-терапевт",IF(AG1331&lt;Законод!$C$26,0,(IF(AND(AG1331&gt;=Законод!$E$26,AG1331&lt;=Законод!$E$27),AG1331-Законод!$C$26,IF('01_Доходи'!AG1331&gt;=Законод!$F$26,Законод!$E$28,0)))),0)))</f>
        <v>0</v>
      </c>
      <c r="AH1333" s="930"/>
      <c r="AI1333" s="201"/>
      <c r="AJ1333" s="933"/>
      <c r="AK1333" s="927"/>
      <c r="AL1333" s="927"/>
      <c r="AM1333" s="898" t="s">
        <v>375</v>
      </c>
      <c r="AN1333" s="210">
        <f ca="1">IF(B1327="Лікар загальної практики - сімейний лікар",L1333*Законод!$C$9/4*Законод!$E$16,IF(B1327="Лікар-педіатр",L1333*Законод!$C$9/4*Законод!$E$16,IF(B1327="Лікар-терапевт",L1333*Законод!$C$9/4*Законод!$E$16,0)))</f>
        <v>0</v>
      </c>
      <c r="AO1333" s="210">
        <f ca="1">IF(B1327="Лікар загальної практики - сімейний лікар",S1333*Законод!$C$9/4*Законод!$E$16,IF(B1327="Лікар-педіатр",S1333*Законод!$C$9/4*Законод!$E$16,IF(B1327="Лікар-терапевт",S1333*Законод!$C$9/4*Законод!$E$16,0)))</f>
        <v>0</v>
      </c>
      <c r="AP1333" s="210">
        <f ca="1">IF(B1327="Лікар загальної практики - сімейний лікар",Z1333*Законод!$C$9/4*Законод!$E$16,IF(B1327="Лікар-педіатр",Z1333*Законод!$C$9/4*Законод!$E$16,IF(B1327="Лікар-терапевт",Z1333*Законод!$C$9/4*Законод!$E$16,0)))</f>
        <v>0</v>
      </c>
      <c r="AQ1333" s="210">
        <f ca="1">IF(B1327="Лікар загальної практики - сімейний лікар",AG1333*Законод!$C$9/4*Законод!$E$16,IF(B1327="Лікар-педіатр",AG1333*Законод!$C$9/4*Законод!$E$16,IF(B1327="Лікар-терапевт",AG1333*Законод!$C$9/4*Законод!$E$16,0)))</f>
        <v>0</v>
      </c>
      <c r="AR1333" s="211">
        <f t="shared" si="129"/>
        <v>0</v>
      </c>
    </row>
    <row r="1334" spans="1:44" s="50" customFormat="1" ht="31.9" hidden="1" customHeight="1">
      <c r="A1334" s="197"/>
      <c r="B1334" s="893"/>
      <c r="C1334" s="896"/>
      <c r="D1334" s="912"/>
      <c r="E1334" s="909"/>
      <c r="F1334" s="238" t="str">
        <f ca="1">IF(B1327="Лікар-педіатр",Законод!$F$17,IF(B1327="Лікар загальної практики - сімейний лікар",Законод!$F$21,IF(B1327="Лікар-терапевт",Законод!$F$25,"х")))</f>
        <v>х</v>
      </c>
      <c r="G1334" s="889" t="s">
        <v>346</v>
      </c>
      <c r="H1334" s="890"/>
      <c r="I1334" s="890"/>
      <c r="J1334" s="890"/>
      <c r="K1334" s="891"/>
      <c r="L1334" s="196">
        <f ca="1">IF($B$1327="Лікар загальної практики - сімейний лікар",IF(L1331&lt;Законод!$C$22,0,(IF(AND(L1331&gt;=Законод!$F$22,L1331&lt;=Законод!$F$23),L1331-Законод!$E$23,IF('01_Доходи'!L1331&gt;=Законод!$G$22,Законод!$F$24,0)))),IF($B$1327="Лікар-педіатр",IF(L1331&lt;Законод!$C$18,0,(IF(AND(L1331&gt;=Законод!$F$18,L1331&lt;=Законод!$F$19),L1331-Законод!$E$19,IF('01_Доходи'!L1331&gt;=Законод!$G$18,Законод!$F$20,0)))),IF($B$1327="Лікар-терапевт",IF(L1331&lt;Законод!$C$26,0,(IF(AND(L1331&gt;=Законод!$F$26,L1331&lt;=Законод!$F$27),L1331-Законод!$E$27,IF('01_Доходи'!L1331&gt;=Законод!$G$26,Законод!$F$28,0)))),0)))</f>
        <v>0</v>
      </c>
      <c r="M1334" s="930"/>
      <c r="N1334" s="889" t="s">
        <v>346</v>
      </c>
      <c r="O1334" s="890"/>
      <c r="P1334" s="890"/>
      <c r="Q1334" s="890"/>
      <c r="R1334" s="891"/>
      <c r="S1334" s="196">
        <f ca="1">IF($B$1327="Лікар загальної практики - сімейний лікар",IF(S1331&lt;Законод!$C$22,0,(IF(AND(S1331&gt;=Законод!$F$22,S1331&lt;=Законод!$F$23),S1331-Законод!$E$23,IF('01_Доходи'!S1331&gt;=Законод!$G$22,Законод!$F$24,0)))),IF($B$1327="Лікар-педіатр",IF(S1331&lt;Законод!$C$18,0,(IF(AND(S1331&gt;=Законод!$F$18,S1331&lt;=Законод!$F$19),S1331-Законод!$E$19,IF('01_Доходи'!S1331&gt;=Законод!$G$18,Законод!$F$20,0)))),IF($B$1327="Лікар-терапевт",IF(S1331&lt;Законод!$C$26,0,(IF(AND(S1331&gt;=Законод!$F$26,S1331&lt;=Законод!$F$27),S1331-Законод!$E$27,IF('01_Доходи'!S1331&gt;=Законод!$G$26,Законод!$F$28,0)))),0)))</f>
        <v>0</v>
      </c>
      <c r="T1334" s="930"/>
      <c r="U1334" s="889" t="s">
        <v>346</v>
      </c>
      <c r="V1334" s="890"/>
      <c r="W1334" s="890"/>
      <c r="X1334" s="890"/>
      <c r="Y1334" s="891"/>
      <c r="Z1334" s="196">
        <f ca="1">IF($B$1327="Лікар загальної практики - сімейний лікар",IF(Z1331&lt;Законод!$C$22,0,(IF(AND(Z1331&gt;=Законод!$F$22,Z1331&lt;=Законод!$F$23),Z1331-Законод!$E$23,IF('01_Доходи'!Z1331&gt;=Законод!$G$22,Законод!$F$24,0)))),IF($B$1327="Лікар-педіатр",IF(Z1331&lt;Законод!$C$18,0,(IF(AND(Z1331&gt;=Законод!$F$18,Z1331&lt;=Законод!$F$19),Z1331-Законод!$E$19,IF('01_Доходи'!Z1331&gt;=Законод!$G$18,Законод!$F$20,0)))),IF($B$1327="Лікар-терапевт",IF(Z1331&lt;Законод!$C$26,0,(IF(AND(Z1331&gt;=Законод!$F$26,Z1331&lt;=Законод!$F$27),Z1331-Законод!$E$27,IF('01_Доходи'!Z1331&gt;=Законод!$G$26,Законод!$F$28,0)))),0)))</f>
        <v>0</v>
      </c>
      <c r="AA1334" s="930"/>
      <c r="AB1334" s="889" t="s">
        <v>346</v>
      </c>
      <c r="AC1334" s="890"/>
      <c r="AD1334" s="890"/>
      <c r="AE1334" s="890"/>
      <c r="AF1334" s="891"/>
      <c r="AG1334" s="196">
        <f ca="1">IF($B$1327="Лікар загальної практики - сімейний лікар",IF(AG1331&lt;Законод!$C$22,0,(IF(AND(AG1331&gt;=Законод!$F$22,AG1331&lt;=Законод!$F$23),AG1331-Законод!$E$23,IF('01_Доходи'!AG1331&gt;=Законод!$G$22,Законод!$F$24,0)))),IF($B$1327="Лікар-педіатр",IF(AG1331&lt;Законод!$C$18,0,(IF(AND(AG1331&gt;=Законод!$F$18,AG1331&lt;=Законод!$F$19),AG1331-Законод!$E$19,IF('01_Доходи'!AG1331&gt;=Законод!$G$18,Законод!$F$20,0)))),IF($B$1327="Лікар-терапевт",IF(AG1331&lt;Законод!$C$26,0,(IF(AND(AG1331&gt;=Законод!$F$26,AG1331&lt;=Законод!$F$27),AG1331-Законод!$E$27,IF('01_Доходи'!AG1331&gt;=Законод!$G$26,Законод!$F$28,0)))),0)))</f>
        <v>0</v>
      </c>
      <c r="AH1334" s="930"/>
      <c r="AI1334" s="201"/>
      <c r="AJ1334" s="933"/>
      <c r="AK1334" s="927"/>
      <c r="AL1334" s="927"/>
      <c r="AM1334" s="899"/>
      <c r="AN1334" s="210">
        <f ca="1">IF(B1327="Лікар загальної практики - сімейний лікар",L1334*Законод!$C$9/4*Законод!$F$16,IF(B1327="Лікар-педіатр",L1334*Законод!$C$9/4*Законод!$F$16,IF(B1327="Лікар-терапевт",L1334*Законод!$C$9/4*Законод!$F$16,0)))</f>
        <v>0</v>
      </c>
      <c r="AO1334" s="210">
        <f ca="1">IF(B1327="Лікар загальної практики - сімейний лікар",S1334*Законод!$C$9/4*Законод!$F$16,IF(B1327="Лікар-педіатр",S1334*Законод!$C$9/4*Законод!$F$16,IF(B1327="Лікар-терапевт",S1334*Законод!$C$9/4*Законод!$F$16,0)))</f>
        <v>0</v>
      </c>
      <c r="AP1334" s="210">
        <f ca="1">IF(B1327="Лікар загальної практики - сімейний лікар",Z1334*Законод!$C$9/4*Законод!$F$16,IF(B1327="Лікар-педіатр",Z1334*Законод!$C$9/4*Законод!$F$16,IF(B1327="Лікар-терапевт",Z1334*Законод!$C$9/4*Законод!$F$16,0)))</f>
        <v>0</v>
      </c>
      <c r="AQ1334" s="210">
        <f ca="1">IF(B1327="Лікар загальної практики - сімейний лікар",AG1334*Законод!$C$9/4*Законод!$F$16,IF(B1327="Лікар-педіатр",AG1334*Законод!$C$9/4*Законод!$F$16,IF(B1327="Лікар-терапевт",AG1334*Законод!$C$9/4*Законод!$F$16,0)))</f>
        <v>0</v>
      </c>
      <c r="AR1334" s="211">
        <f t="shared" si="129"/>
        <v>0</v>
      </c>
    </row>
    <row r="1335" spans="1:44" s="50" customFormat="1" ht="31.9" hidden="1" customHeight="1">
      <c r="A1335" s="197"/>
      <c r="B1335" s="893"/>
      <c r="C1335" s="896"/>
      <c r="D1335" s="912"/>
      <c r="E1335" s="909"/>
      <c r="F1335" s="238" t="str">
        <f ca="1">IF(B1327="Лікар-педіатр",Законод!$G$17,IF(B1327="Лікар загальної практики - сімейний лікар",Законод!$G$21,IF(B1327="Лікар-терапевт",Законод!$G$25,"х")))</f>
        <v>х</v>
      </c>
      <c r="G1335" s="889" t="s">
        <v>346</v>
      </c>
      <c r="H1335" s="890"/>
      <c r="I1335" s="890"/>
      <c r="J1335" s="890"/>
      <c r="K1335" s="891"/>
      <c r="L1335" s="196">
        <f ca="1">IF($B$1327="Лікар загальної практики - сімейний лікар",IF(L1331&lt;Законод!$C$22,0,(IF(AND(L1331&gt;=Законод!$G$22,L1331&lt;=Законод!$G$23),L1331-Законод!$F$23,IF('01_Доходи'!L1331&gt;=Законод!$H$22,Законод!$G$24,0)))),IF($B$1327="Лікар-педіатр",IF(L1331&lt;Законод!$C$18,0,(IF(AND(L1331&gt;=Законод!$G$18,L1331&lt;=Законод!$G$19),L1331-Законод!$F$19,IF('01_Доходи'!L1331&gt;=Законод!$H$18,Законод!$G$20,0)))),IF($B$1327="Лікар-терапевт",IF(L1331&lt;Законод!$C$26,0,(IF(AND(L1331&gt;=Законод!$G$26,L1331&lt;=Законод!$G$27),L1331-Законод!$F$27,IF('01_Доходи'!L1331&gt;=Законод!$H$26,Законод!$G$28,0)))),0)))</f>
        <v>0</v>
      </c>
      <c r="M1335" s="930"/>
      <c r="N1335" s="889" t="s">
        <v>346</v>
      </c>
      <c r="O1335" s="890"/>
      <c r="P1335" s="890"/>
      <c r="Q1335" s="890"/>
      <c r="R1335" s="891"/>
      <c r="S1335" s="196">
        <f ca="1">IF($B$1327="Лікар загальної практики - сімейний лікар",IF(S1331&lt;Законод!$C$22,0,(IF(AND(S1331&gt;=Законод!$G$22,S1331&lt;=Законод!$G$23),S1331-Законод!$F$23,IF('01_Доходи'!S1331&gt;=Законод!$H$22,Законод!$G$24,0)))),IF($B$1327="Лікар-педіатр",IF(S1331&lt;Законод!$C$18,0,(IF(AND(S1331&gt;=Законод!$G$18,S1331&lt;=Законод!$G$19),S1331-Законод!$F$19,IF('01_Доходи'!S1331&gt;=Законод!$H$18,Законод!$G$20,0)))),IF($B$1327="Лікар-терапевт",IF(S1331&lt;Законод!$C$26,0,(IF(AND(S1331&gt;=Законод!$G$26,S1331&lt;=Законод!$G$27),S1331-Законод!$F$27,IF('01_Доходи'!S1331&gt;=Законод!$H$26,Законод!$G$28,0)))),0)))</f>
        <v>0</v>
      </c>
      <c r="T1335" s="930"/>
      <c r="U1335" s="889" t="s">
        <v>346</v>
      </c>
      <c r="V1335" s="890"/>
      <c r="W1335" s="890"/>
      <c r="X1335" s="890"/>
      <c r="Y1335" s="891"/>
      <c r="Z1335" s="196">
        <f ca="1">IF($B$1327="Лікар загальної практики - сімейний лікар",IF(Z1331&lt;Законод!$C$22,0,(IF(AND(Z1331&gt;=Законод!$G$22,Z1331&lt;=Законод!$G$23),Z1331-Законод!$F$23,IF('01_Доходи'!Z1331&gt;=Законод!$H$22,Законод!$G$24,0)))),IF($B$1327="Лікар-педіатр",IF(Z1331&lt;Законод!$C$18,0,(IF(AND(Z1331&gt;=Законод!$G$18,Z1331&lt;=Законод!$G$19),Z1331-Законод!$F$19,IF('01_Доходи'!Z1331&gt;=Законод!$H$18,Законод!$G$20,0)))),IF($B$1327="Лікар-терапевт",IF(Z1331&lt;Законод!$C$26,0,(IF(AND(Z1331&gt;=Законод!$G$26,Z1331&lt;=Законод!$G$27),Z1331-Законод!$F$27,IF('01_Доходи'!Z1331&gt;=Законод!$H$26,Законод!$G$28,0)))),0)))</f>
        <v>0</v>
      </c>
      <c r="AA1335" s="930"/>
      <c r="AB1335" s="889" t="s">
        <v>346</v>
      </c>
      <c r="AC1335" s="890"/>
      <c r="AD1335" s="890"/>
      <c r="AE1335" s="890"/>
      <c r="AF1335" s="891"/>
      <c r="AG1335" s="196">
        <f ca="1">IF($B$1327="Лікар загальної практики - сімейний лікар",IF(AG1331&lt;Законод!$C$22,0,(IF(AND(AG1331&gt;=Законод!$G$22,AG1331&lt;=Законод!$G$23),AG1331-Законод!$F$23,IF('01_Доходи'!AG1331&gt;=Законод!$H$22,Законод!$G$24,0)))),IF($B$1327="Лікар-педіатр",IF(AG1331&lt;Законод!$C$18,0,(IF(AND(AG1331&gt;=Законод!$G$18,AG1331&lt;=Законод!$G$19),AG1331-Законод!$F$19,IF('01_Доходи'!AG1331&gt;=Законод!$H$18,Законод!$G$20,0)))),IF($B$1327="Лікар-терапевт",IF(AG1331&lt;Законод!$C$26,0,(IF(AND(AG1331&gt;=Законод!$G$26,AG1331&lt;=Законод!$G$27),AG1331-Законод!$F$27,IF('01_Доходи'!AG1331&gt;=Законод!$H$26,Законод!$G$28,0)))),0)))</f>
        <v>0</v>
      </c>
      <c r="AH1335" s="930"/>
      <c r="AI1335" s="201"/>
      <c r="AJ1335" s="933"/>
      <c r="AK1335" s="927"/>
      <c r="AL1335" s="927"/>
      <c r="AM1335" s="899"/>
      <c r="AN1335" s="210">
        <f ca="1">IF(B1327="Лікар загальної практики - сімейний лікар",L1335*Законод!$C$9/4*Законод!$G$16,IF(B1327="Лікар-педіатр",L1335*Законод!$C$9/4*Законод!$G$16,IF(B1327="Лікар-терапевт",L1335*Законод!$C$9/4*Законод!$G$16,0)))</f>
        <v>0</v>
      </c>
      <c r="AO1335" s="210">
        <f ca="1">IF(B1327="Лікар загальної практики - сімейний лікар",S1335*Законод!$C$9/4*Законод!$G$16,IF(B1327="Лікар-педіатр",S1335*Законод!$C$9/4*Законод!$G$16,IF(B1327="Лікар-терапевт",S1335*Законод!$C$9/4*Законод!$G$16,0)))</f>
        <v>0</v>
      </c>
      <c r="AP1335" s="210">
        <f ca="1">IF(B1327="Лікар загальної практики - сімейний лікар",Z1335*Законод!$C$9/4*Законод!$G$16,IF(B1327="Лікар-педіатр",Z1335*Законод!$C$9/4*Законод!$G$16,IF(B1327="Лікар-терапевт",Z1335*Законод!$C$9/4*Законод!$G$16,0)))</f>
        <v>0</v>
      </c>
      <c r="AQ1335" s="210">
        <f ca="1">IF(B1327="Лікар загальної практики - сімейний лікар",AG1335*Законод!$C$9/4*Законод!$G$16,IF(B1327="Лікар-педіатр",AG1335*Законод!$C$9/4*Законод!$G$16,IF(B1327="Лікар-терапевт",AG1335*Законод!$C$9/4*Законод!$G$16,0)))</f>
        <v>0</v>
      </c>
      <c r="AR1335" s="211">
        <f t="shared" si="129"/>
        <v>0</v>
      </c>
    </row>
    <row r="1336" spans="1:44" s="50" customFormat="1" ht="31.9" hidden="1" customHeight="1">
      <c r="A1336" s="197"/>
      <c r="B1336" s="893"/>
      <c r="C1336" s="896"/>
      <c r="D1336" s="912"/>
      <c r="E1336" s="909"/>
      <c r="F1336" s="238" t="str">
        <f ca="1">IF(B1327="Лікар-педіатр",Законод!$H$17,IF(B1327="Лікар загальної практики - сімейний лікар",Законод!$H$21,IF(B1327="Лікар-терапевт",Законод!$H$25,"х")))</f>
        <v>х</v>
      </c>
      <c r="G1336" s="889" t="s">
        <v>346</v>
      </c>
      <c r="H1336" s="890"/>
      <c r="I1336" s="890"/>
      <c r="J1336" s="890"/>
      <c r="K1336" s="891"/>
      <c r="L1336" s="196">
        <f ca="1">IF($B$1327="Лікар загальної практики - сімейний лікар",IF(L1331&lt;Законод!$C$22,0,(IF(AND(L1331&gt;=Законод!$H$22,L1331&lt;=Законод!$H$23),L1331-Законод!$G$23,IF('01_Доходи'!L1331&gt;=Законод!$I$22,Законод!$H$24,0)))),IF($B$1327="Лікар-педіатр",IF(L1331&lt;Законод!$C$18,0,(IF(AND(L1331&gt;=Законод!$H$18,L1331&lt;=Законод!$H$19),L1331-Законод!$G$19,IF('01_Доходи'!L1331&gt;=Законод!$I$18,Законод!$H$20,0)))),IF($B$1327="Лікар-терапевт",IF(L1331&lt;Законод!$C$26,0,(IF(AND(L1331&gt;=Законод!$H$26,L1331&lt;=Законод!$H$27),L1331-Законод!$G$27,IF(L1331&gt;=Законод!$I$26,Законод!$H$28,0)))),0)))</f>
        <v>0</v>
      </c>
      <c r="M1336" s="930"/>
      <c r="N1336" s="889" t="s">
        <v>346</v>
      </c>
      <c r="O1336" s="890"/>
      <c r="P1336" s="890"/>
      <c r="Q1336" s="890"/>
      <c r="R1336" s="891"/>
      <c r="S1336" s="196">
        <f ca="1">IF($B$1327="Лікар загальної практики - сімейний лікар",IF(S1331&lt;Законод!$C$22,0,(IF(AND(S1331&gt;=Законод!$H$22,S1331&lt;=Законод!$H$23),S1331-Законод!$G$23,IF('01_Доходи'!S1331&gt;=Законод!$I$22,Законод!$H$24,0)))),IF($B$1327="Лікар-педіатр",IF(S1331&lt;Законод!$C$18,0,(IF(AND(S1331&gt;=Законод!$H$18,S1331&lt;=Законод!$H$19),S1331-Законод!$G$19,IF('01_Доходи'!S1331&gt;=Законод!$I$18,Законод!$H$20,0)))),IF($B$1327="Лікар-терапевт",IF(S1331&lt;Законод!$C$26,0,(IF(AND(S1331&gt;=Законод!$H$26,S1331&lt;=Законод!$H$27),S1331-Законод!$G$27,IF(S1331&gt;=Законод!$I$26,Законод!$H$28,0)))),0)))</f>
        <v>0</v>
      </c>
      <c r="T1336" s="930"/>
      <c r="U1336" s="889" t="s">
        <v>346</v>
      </c>
      <c r="V1336" s="890"/>
      <c r="W1336" s="890"/>
      <c r="X1336" s="890"/>
      <c r="Y1336" s="891"/>
      <c r="Z1336" s="196">
        <f ca="1">IF($B$1327="Лікар загальної практики - сімейний лікар",IF(Z1331&lt;Законод!$C$22,0,(IF(AND(Z1331&gt;=Законод!$H$22,Z1331&lt;=Законод!$H$23),Z1331-Законод!$G$23,IF('01_Доходи'!Z1331&gt;=Законод!$I$22,Законод!$H$24,0)))),IF($B$1327="Лікар-педіатр",IF(Z1331&lt;Законод!$C$18,0,(IF(AND(Z1331&gt;=Законод!$H$18,Z1331&lt;=Законод!$H$19),Z1331-Законод!$G$19,IF('01_Доходи'!Z1331&gt;=Законод!$I$18,Законод!$H$20,0)))),IF($B$1327="Лікар-терапевт",IF(Z1331&lt;Законод!$C$26,0,(IF(AND(Z1331&gt;=Законод!$H$26,Z1331&lt;=Законод!$H$27),Z1331-Законод!$G$27,IF(Z1331&gt;=Законод!$I$26,Законод!$H$28,0)))),0)))</f>
        <v>0</v>
      </c>
      <c r="AA1336" s="930"/>
      <c r="AB1336" s="889" t="s">
        <v>346</v>
      </c>
      <c r="AC1336" s="890"/>
      <c r="AD1336" s="890"/>
      <c r="AE1336" s="890"/>
      <c r="AF1336" s="891"/>
      <c r="AG1336" s="196">
        <f ca="1">IF($B$1327="Лікар загальної практики - сімейний лікар",IF(AG1331&lt;Законод!$C$22,0,(IF(AND(AG1331&gt;=Законод!$H$22,AG1331&lt;=Законод!$H$23),AG1331-Законод!$G$23,IF('01_Доходи'!AG1331&gt;=Законод!$I$22,Законод!$H$24,0)))),IF($B$1327="Лікар-педіатр",IF(AG1331&lt;Законод!$C$18,0,(IF(AND(AG1331&gt;=Законод!$H$18,AG1331&lt;=Законод!$H$19),AG1331-Законод!$G$19,IF('01_Доходи'!AG1331&gt;=Законод!$I$18,Законод!$H$20,0)))),IF($B$1327="Лікар-терапевт",IF(AG1331&lt;Законод!$C$26,0,(IF(AND(AG1331&gt;=Законод!$H$26,AG1331&lt;=Законод!$H$27),AG1331-Законод!$G$27,IF(AG1331&gt;=Законод!$I$26,Законод!$H$28,0)))),0)))</f>
        <v>0</v>
      </c>
      <c r="AH1336" s="930"/>
      <c r="AI1336" s="201"/>
      <c r="AJ1336" s="933"/>
      <c r="AK1336" s="927"/>
      <c r="AL1336" s="927"/>
      <c r="AM1336" s="899"/>
      <c r="AN1336" s="210">
        <f ca="1">IF(B1327="Лікар загальної практики - сімейний лікар",L1336*Законод!$C$9/4*Законод!$H$16,IF(B1327="Лікар-педіатр",L1336*Законод!$C$9/4*Законод!$H$16,IF(B1327="Лікар-терапевт",L1336*Законод!$C$9/4*Законод!$H$16,0)))</f>
        <v>0</v>
      </c>
      <c r="AO1336" s="210">
        <f ca="1">IF(B1327="Лікар загальної практики - сімейний лікар",S1336*Законод!$C$9/4*Законод!$H$16,IF(B1327="Лікар-педіатр",S1336*Законод!$C$9/4*Законод!$H$16,IF(B1327="Лікар-терапевт",S1336*Законод!$C$9/4*Законод!$H$16,0)))</f>
        <v>0</v>
      </c>
      <c r="AP1336" s="210">
        <f ca="1">IF(B1327="Лікар загальної практики - сімейний лікар",Z1336*Законод!$C$9/4*Законод!$H$16,IF(B1327="Лікар-педіатр",Z1336*Законод!$C$9/4*Законод!$H$16,IF(B1327="Лікар-терапевт",Z1336*Законод!$C$9/4*Законод!$H$16,0)))</f>
        <v>0</v>
      </c>
      <c r="AQ1336" s="210">
        <f ca="1">IF(B1327="Лікар загальної практики - сімейний лікар",AG1336*Законод!$C$9/4*Законод!$H$16,IF(B1327="Лікар-педіатр",AG1336*Законод!$C$9/4*Законод!$H$16,IF(B1327="Лікар-терапевт",AG1336*Законод!$C$9/4*Законод!$H$16,0)))</f>
        <v>0</v>
      </c>
      <c r="AR1336" s="211">
        <f t="shared" si="129"/>
        <v>0</v>
      </c>
    </row>
    <row r="1337" spans="1:44" s="50" customFormat="1" ht="31.9" hidden="1" customHeight="1">
      <c r="A1337" s="197"/>
      <c r="B1337" s="893"/>
      <c r="C1337" s="896"/>
      <c r="D1337" s="912"/>
      <c r="E1337" s="909"/>
      <c r="F1337" s="238" t="str">
        <f ca="1">IF(B1327="Лікар-педіатр",Законод!$I$17,IF(B1327="Лікар загальної практики - сімейний лікар",Законод!$I$21,IF(B1327="Лікар-терапевт",Законод!$I$25,"х")))</f>
        <v>х</v>
      </c>
      <c r="G1337" s="889" t="s">
        <v>346</v>
      </c>
      <c r="H1337" s="890"/>
      <c r="I1337" s="890"/>
      <c r="J1337" s="890"/>
      <c r="K1337" s="891"/>
      <c r="L1337" s="196">
        <f ca="1">IF($B$1327="Лікар загальної практики - сімейний лікар",IF(L1331&lt;Законод!$C$22,0,(IF(AND(L1331&gt;=Законод!$I$22,L1331&lt;=Законод!$I$23),L1331-Законод!$H$23,IF('01_Доходи'!L1331&gt;=Законод!$I$22,Законод!$I$24,0)))),IF($B$1327="Лікар-педіатр",IF(L1331&lt;Законод!$C$18,0,(IF(AND(L1331&gt;=Законод!$I$18,L1331&lt;=Законод!$I$19),L1331-Законод!$H$19,IF('01_Доходи'!L1331&gt;=Законод!$I$18,Законод!$H$20,0)))),IF($B$1327="Лікар-терапевт",IF(L1331&lt;Законод!$C$26,0,(IF(AND(L1331&gt;=Законод!$I$26,L1331&lt;=Законод!$I$27),L1331-Законод!$H$27,IF('01_Доходи'!L1331&gt;=Законод!$I$26,Законод!$H$28,0)))),0)))</f>
        <v>0</v>
      </c>
      <c r="M1337" s="930"/>
      <c r="N1337" s="889" t="s">
        <v>346</v>
      </c>
      <c r="O1337" s="890"/>
      <c r="P1337" s="890"/>
      <c r="Q1337" s="890"/>
      <c r="R1337" s="891"/>
      <c r="S1337" s="196">
        <f ca="1">IF($B$1327="Лікар загальної практики - сімейний лікар",IF(S1331&lt;Законод!$C$22,0,(IF(AND(S1331&gt;=Законод!$I$22,S1331&lt;=Законод!$I$23),S1331-Законод!$H$23,IF('01_Доходи'!S1331&gt;=Законод!$I$22,Законод!$I$24,0)))),IF($B$1327="Лікар-педіатр",IF(S1331&lt;Законод!$C$18,0,(IF(AND(S1331&gt;=Законод!$I$18,S1331&lt;=Законод!$I$19),S1331-Законод!$H$19,IF('01_Доходи'!S1331&gt;=Законод!$I$18,Законод!$H$20,0)))),IF($B$1327="Лікар-терапевт",IF(S1331&lt;Законод!$C$26,0,(IF(AND(S1331&gt;=Законод!$I$26,S1331&lt;=Законод!$I$27),S1331-Законод!$H$27,IF('01_Доходи'!S1331&gt;=Законод!$I$26,Законод!$H$28,0)))),0)))</f>
        <v>0</v>
      </c>
      <c r="T1337" s="930"/>
      <c r="U1337" s="889" t="s">
        <v>346</v>
      </c>
      <c r="V1337" s="890"/>
      <c r="W1337" s="890"/>
      <c r="X1337" s="890"/>
      <c r="Y1337" s="891"/>
      <c r="Z1337" s="196">
        <f ca="1">IF($B$1327="Лікар загальної практики - сімейний лікар",IF(Z1331&lt;Законод!$C$22,0,(IF(AND(Z1331&gt;=Законод!$I$22,Z1331&lt;=Законод!$I$23),Z1331-Законод!$H$23,IF('01_Доходи'!Z1331&gt;=Законод!$I$22,Законод!$I$24,0)))),IF($B$1327="Лікар-педіатр",IF(Z1331&lt;Законод!$C$18,0,(IF(AND(Z1331&gt;=Законод!$I$18,Z1331&lt;=Законод!$I$19),Z1331-Законод!$H$19,IF('01_Доходи'!Z1331&gt;=Законод!$I$18,Законод!$H$20,0)))),IF($B$1327="Лікар-терапевт",IF(Z1331&lt;Законод!$C$26,0,(IF(AND(Z1331&gt;=Законод!$I$26,Z1331&lt;=Законод!$I$27),Z1331-Законод!$H$27,IF('01_Доходи'!Z1331&gt;=Законод!$I$26,Законод!$H$28,0)))),0)))</f>
        <v>0</v>
      </c>
      <c r="AA1337" s="930"/>
      <c r="AB1337" s="889" t="s">
        <v>346</v>
      </c>
      <c r="AC1337" s="890"/>
      <c r="AD1337" s="890"/>
      <c r="AE1337" s="890"/>
      <c r="AF1337" s="891"/>
      <c r="AG1337" s="196">
        <f ca="1">IF($B$1327="Лікар загальної практики - сімейний лікар",IF(AG1331&lt;Законод!$C$22,0,(IF(AND(AG1331&gt;=Законод!$I$22,AG1331&lt;=Законод!$I$23),AG1331-Законод!$H$23,IF('01_Доходи'!AG1331&gt;=Законод!$I$22,Законод!$I$24,0)))),IF($B$1327="Лікар-педіатр",IF(AG1331&lt;Законод!$C$18,0,(IF(AND(AG1331&gt;=Законод!$I$18,AG1331&lt;=Законод!$I$19),AG1331-Законод!$H$19,IF('01_Доходи'!AG1331&gt;=Законод!$I$18,Законод!$H$20,0)))),IF($B$1327="Лікар-терапевт",IF(AG1331&lt;Законод!$C$26,0,(IF(AND(AG1331&gt;=Законод!$I$26,AG1331&lt;=Законод!$I$27),AG1331-Законод!$H$27,IF('01_Доходи'!AG1331&gt;=Законод!$I$26,Законод!$H$28,0)))),0)))</f>
        <v>0</v>
      </c>
      <c r="AH1337" s="930"/>
      <c r="AI1337" s="201"/>
      <c r="AJ1337" s="933"/>
      <c r="AK1337" s="927"/>
      <c r="AL1337" s="927"/>
      <c r="AM1337" s="899"/>
      <c r="AN1337" s="210">
        <f ca="1">IF(B1327="Лікар загальної практики - сімейний лікар",L1337*Законод!$C$9/4*Законод!$I$16,IF(B1327="Лікар-педіатр",L1337*Законод!$C$9/4*Законод!$I$16,IF(B1327="Лікар-терапевт",L1337*Законод!$C$9/4*Законод!$I$16,0)))</f>
        <v>0</v>
      </c>
      <c r="AO1337" s="210">
        <f ca="1">IF(B1327="Лікар загальної практики - сімейний лікар",S1337*Законод!$C$9/4*Законод!$I$16,IF(B1327="Лікар-педіатр",S1337*Законод!$C$9/4*Законод!$I$16,IF(B1327="Лікар-терапевт",S1337*Законод!$C$9/4*Законод!$I$16,0)))</f>
        <v>0</v>
      </c>
      <c r="AP1337" s="210">
        <f ca="1">IF(B1327="Лікар загальної практики - сімейний лікар",Z1337*Законод!$C$9/4*Законод!$I$16,IF(B1327="Лікар-педіатр",Z1337*Законод!$C$9/4*Законод!$I$16,IF(B1327="Лікар-терапевт",Z1337*Законод!$C$9/4*Законод!$I$16,0)))</f>
        <v>0</v>
      </c>
      <c r="AQ1337" s="210">
        <f ca="1">IF(B1327="Лікар загальної практики - сімейний лікар",AG1337*Законод!$C$9/4*Законод!$I$16,IF(B1327="Лікар-педіатр",AG1337*Законод!$C$9/4*Законод!$I$16,IF(B1327="Лікар-терапевт",AG1337*Законод!$C$9/4*Законод!$I$16,0)))</f>
        <v>0</v>
      </c>
      <c r="AR1337" s="211">
        <f t="shared" si="129"/>
        <v>0</v>
      </c>
    </row>
    <row r="1338" spans="1:44" s="218" customFormat="1" ht="31.9" hidden="1" customHeight="1" thickBot="1">
      <c r="A1338" s="213"/>
      <c r="B1338" s="894"/>
      <c r="C1338" s="897"/>
      <c r="D1338" s="913"/>
      <c r="E1338" s="910"/>
      <c r="F1338" s="239" t="str">
        <f ca="1">IF(B1327="Лікар-педіатр",Законод!$J$17,IF(B1327="Лікар загальної практики - сімейний лікар",Законод!$J$21,IF(B1327="Лікар-терапевт",Законод!$J$25,"х")))</f>
        <v>х</v>
      </c>
      <c r="G1338" s="935" t="s">
        <v>346</v>
      </c>
      <c r="H1338" s="936"/>
      <c r="I1338" s="936"/>
      <c r="J1338" s="936"/>
      <c r="K1338" s="937"/>
      <c r="L1338" s="196">
        <f ca="1">IF($B$1327="Лікар загальної практики - сімейний лікар",IF(L1331&gt;=Законод!$J$22,'01_Доходи'!L1331-('01_Доходи'!L1332+'01_Доходи'!L1333+'01_Доходи'!L1334+'01_Доходи'!L1335+'01_Доходи'!L1336+'01_Доходи'!L1337),0),IF($B$1327="Лікар-педіатр",IF(L1331&gt;=Законод!$J$18,'01_Доходи'!L1331-('01_Доходи'!L1332+'01_Доходи'!L1333+'01_Доходи'!L1334+'01_Доходи'!L1335+'01_Доходи'!L1336+'01_Доходи'!L1337),0),IF($B$1327="Лікар-терапевт",IF('01_Доходи'!L1331&gt;=Законод!$J$26,L1331-Законод!$I$27,0),0)))</f>
        <v>0</v>
      </c>
      <c r="M1338" s="931"/>
      <c r="N1338" s="935" t="s">
        <v>346</v>
      </c>
      <c r="O1338" s="936"/>
      <c r="P1338" s="936"/>
      <c r="Q1338" s="936"/>
      <c r="R1338" s="937"/>
      <c r="S1338" s="196">
        <f ca="1">IF($B$1327="Лікар загальної практики - сімейний лікар",IF(S1331&gt;=Законод!$J$22,'01_Доходи'!S1331-('01_Доходи'!S1332+'01_Доходи'!S1333+'01_Доходи'!S1334+'01_Доходи'!S1335+'01_Доходи'!S1336+'01_Доходи'!S1337),0),IF($B$1327="Лікар-педіатр",IF(S1331&gt;=Законод!$J$18,'01_Доходи'!S1331-('01_Доходи'!S1332+'01_Доходи'!S1333+'01_Доходи'!S1334+'01_Доходи'!S1335+'01_Доходи'!S1336+'01_Доходи'!S1337),0),IF($B$1327="Лікар-терапевт",IF('01_Доходи'!S1331&gt;=Законод!$J$26,S1331-Законод!$I$27,0),0)))</f>
        <v>0</v>
      </c>
      <c r="T1338" s="931"/>
      <c r="U1338" s="935" t="s">
        <v>346</v>
      </c>
      <c r="V1338" s="936"/>
      <c r="W1338" s="936"/>
      <c r="X1338" s="936"/>
      <c r="Y1338" s="937"/>
      <c r="Z1338" s="196">
        <f ca="1">IF($B$1327="Лікар загальної практики - сімейний лікар",IF(Z1331&gt;=Законод!$J$22,'01_Доходи'!Z1331-('01_Доходи'!Z1332+'01_Доходи'!Z1333+'01_Доходи'!Z1334+'01_Доходи'!Z1335+'01_Доходи'!Z1336+'01_Доходи'!Z1337),0),IF($B$1327="Лікар-педіатр",IF(Z1331&gt;=Законод!$J$18,'01_Доходи'!Z1331-('01_Доходи'!Z1332+'01_Доходи'!Z1333+'01_Доходи'!Z1334+'01_Доходи'!Z1335+'01_Доходи'!Z1336+'01_Доходи'!Z1337),0),IF($B$1327="Лікар-терапевт",IF('01_Доходи'!Z1331&gt;=Законод!$J$26,Z1331-Законод!$I$27,0),0)))</f>
        <v>0</v>
      </c>
      <c r="AA1338" s="931"/>
      <c r="AB1338" s="935" t="s">
        <v>346</v>
      </c>
      <c r="AC1338" s="936"/>
      <c r="AD1338" s="936"/>
      <c r="AE1338" s="936"/>
      <c r="AF1338" s="937"/>
      <c r="AG1338" s="196">
        <f ca="1">IF($B$1327="Лікар загальної практики - сімейний лікар",IF(AG1331&gt;=Законод!$J$22,'01_Доходи'!AG1331-('01_Доходи'!AG1332+'01_Доходи'!AG1333+'01_Доходи'!AG1334+'01_Доходи'!AG1335+'01_Доходи'!AG1336+'01_Доходи'!AG1337),0),IF($B$1327="Лікар-педіатр",IF(AG1331&gt;=Законод!$J$18,'01_Доходи'!AG1331-('01_Доходи'!AG1332+'01_Доходи'!AG1333+'01_Доходи'!AG1334+'01_Доходи'!AG1335+'01_Доходи'!AG1336+'01_Доходи'!AG1337),0),IF($B$1327="Лікар-терапевт",IF('01_Доходи'!AG1331&gt;=Законод!$J$26,AG1331-Законод!$I$27,0),0)))</f>
        <v>0</v>
      </c>
      <c r="AH1338" s="931"/>
      <c r="AI1338" s="215"/>
      <c r="AJ1338" s="934"/>
      <c r="AK1338" s="928"/>
      <c r="AL1338" s="928"/>
      <c r="AM1338" s="900"/>
      <c r="AN1338" s="216">
        <f ca="1">IF(B1327="Лікар загальної практики - сімейний лікар",L1338*Законод!$C$9/4*Законод!$J$16,IF(B1327="Лікар-педіатр",L1338*Законод!$C$9/4*Законод!$J$16,IF(B1327="Лікар-терапевт",L1338*Законод!$C$9/4*Законод!$J$16,0)))</f>
        <v>0</v>
      </c>
      <c r="AO1338" s="216">
        <f ca="1">IF(B1327="Лікар загальної практики - сімейний лікар",S1338*Законод!$C$9/4*Законод!$J$16,IF(B1327="Лікар-педіатр",S1338*Законод!$C$9/4*Законод!$J$16,IF(B1327="Лікар-терапевт",S1338*Законод!$C$9/4*Законод!$J$16,0)))</f>
        <v>0</v>
      </c>
      <c r="AP1338" s="216">
        <f ca="1">IF(B1327="Лікар загальної практики - сімейний лікар",S1338*Законод!$C$9/4*Законод!$J$16,IF(B1327="Лікар-педіатр",S1338*Законод!$C$9/4*Законод!$J$16,IF(B1327="Лікар-терапевт",S1338*Законод!$C$9/4*Законод!$J$16,0)))</f>
        <v>0</v>
      </c>
      <c r="AQ1338" s="216">
        <f ca="1">IF(B1327="Лікар загальної практики - сімейний лікар",AG1338*Законод!$C$9/4*Законод!$J$16,IF(B1327="Лікар-педіатр",AG1338*Законод!$C$9/4*Законод!$J$16,IF(B1327="Лікар-терапевт",AG1338*Законод!$C$9/4*Законод!$J$16,0)))</f>
        <v>0</v>
      </c>
      <c r="AR1338" s="217">
        <f t="shared" si="129"/>
        <v>0</v>
      </c>
    </row>
    <row r="1339" spans="1:44" s="218" customFormat="1" ht="31.9" customHeight="1">
      <c r="A1339" s="213"/>
      <c r="B1339" s="251"/>
      <c r="C1339" s="252"/>
      <c r="D1339" s="253"/>
      <c r="E1339" s="253"/>
      <c r="F1339" s="254"/>
      <c r="G1339" s="255">
        <f>#VALUE!</f>
        <v>1642.2838776613303</v>
      </c>
      <c r="H1339" s="255">
        <f>#VALUE!</f>
        <v>4993.7551322094896</v>
      </c>
      <c r="I1339" s="255">
        <f>#VALUE!</f>
        <v>8163.0960999198287</v>
      </c>
      <c r="J1339" s="255">
        <f>#VALUE!</f>
        <v>10240.467543468245</v>
      </c>
      <c r="K1339" s="255">
        <f>#VALUE!</f>
        <v>4632.397346741106</v>
      </c>
      <c r="L1339" s="256"/>
      <c r="M1339" s="257"/>
      <c r="N1339" s="255">
        <f>#VALUE!</f>
        <v>1636.950544327997</v>
      </c>
      <c r="O1339" s="255">
        <f>#VALUE!</f>
        <v>4993.7551322094896</v>
      </c>
      <c r="P1339" s="255">
        <f>#VALUE!</f>
        <v>8163.0960999198287</v>
      </c>
      <c r="Q1339" s="255">
        <f>#VALUE!</f>
        <v>10240.467543468245</v>
      </c>
      <c r="R1339" s="255">
        <f>#VALUE!</f>
        <v>4632.397346741106</v>
      </c>
      <c r="S1339" s="256"/>
      <c r="T1339" s="257"/>
      <c r="U1339" s="255">
        <f>#VALUE!</f>
        <v>1637.6819571865444</v>
      </c>
      <c r="V1339" s="255">
        <f>#VALUE!</f>
        <v>4995.327217125382</v>
      </c>
      <c r="W1339" s="255">
        <f>#VALUE!</f>
        <v>8165.8256880733943</v>
      </c>
      <c r="X1339" s="255">
        <f>#VALUE!</f>
        <v>10243.642201834862</v>
      </c>
      <c r="Y1339" s="255">
        <f>#VALUE!</f>
        <v>4633.5229357798162</v>
      </c>
      <c r="Z1339" s="256"/>
      <c r="AA1339" s="257"/>
      <c r="AB1339" s="255">
        <f>#VALUE!</f>
        <v>1620</v>
      </c>
      <c r="AC1339" s="255">
        <f>#VALUE!</f>
        <v>4986</v>
      </c>
      <c r="AD1339" s="255">
        <f>#VALUE!</f>
        <v>8171</v>
      </c>
      <c r="AE1339" s="255">
        <f>#VALUE!</f>
        <v>10235</v>
      </c>
      <c r="AF1339" s="255">
        <f>#VALUE!</f>
        <v>4676</v>
      </c>
      <c r="AG1339" s="256"/>
      <c r="AH1339" s="257"/>
      <c r="AI1339" s="215"/>
      <c r="AJ1339" s="258"/>
      <c r="AK1339" s="258"/>
      <c r="AL1339" s="258"/>
      <c r="AM1339" s="259"/>
      <c r="AN1339" s="260">
        <f>AN40+AN53+AN66+AN79+AN92+AN105+AN118+AN131+AN144+AN157+AN170+AN183+AN196+AN209+AN222+AN235+AN248+AN261+AN274+AN287+AN300+AN313+AN326+AN339+AN352+AN365+AN378+AN391+AN404+AN417+AN430+AN443+AN456+AN469+AN482+AN495+AN508+AN521+AN534+AN547+AN560+AN573+AN586+AN599+AN612+AN625+AN638+AN651+AN664+AN677+AN690+AN703+AN716+AN729+AN742+AN755+AN768+AN781+AN794+AN807+AN820+AN833+AN846+AN859+AN872+AN885+AN898+AN911+AN924+AN937+AN950+AN963+AN976+AN989+AN1002+AN1015+AN1028+AN1041+AN1054+AN1067+AN1080+AN1093+AN1106+AN1119+AN1132+AN1145+AN1158+AN1171+AN1184+AN1197+AN1210+AN1223+AN1236+AN1249+AN1262+AN1275+AN1288+AN1301+AN1314+AN1327</f>
        <v>5514231.0240491508</v>
      </c>
      <c r="AO1339" s="260">
        <f>AO40+AO53+AO66+AO79+AO92+AO105+AO118+AO131+AO144+AO157+AO170+AO183+AO196+AO209+AO222+AO235+AO248+AO261+AO274+AO287+AO300+AO313+AO326+AO339+AO352+AO365+AO378+AO391+AO404+AO417+AO430+AO443+AO456+AO469+AO482+AO495+AO508+AO521+AO534+AO547+AO560+AO573+AO586+AO599+AO612+AO625+AO638+AO651+AO664+AO677+AO690+AO703+AO716+AO729+AO742+AO755+AO768+AO781+AO794+AO807+AO820+AO833+AO846+AO859+AO872+AO885+AO898+AO911+AO924+AO937+AO950+AO963+AO976+AO989+AO1002+AO1015+AO1028+AO1041+AO1054+AO1067+AO1080+AO1093+AO1106+AO1119+AO1132+AO1145+AO1158+AO1171+AO1184+AO1197+AO1210+AO1223+AO1236+AO1249+AO1262+AO1275+AO1288+AO1301+AO1314+AO1327</f>
        <v>5511645.5677158171</v>
      </c>
      <c r="AP1339" s="260">
        <f>AP40+AP53+AP66+AP79+AP92+AP105+AP118+AP131+AP144+AP157+AP170+AP183+AP196+AP209+AP222+AP235+AP248+AP261+AP274+AP287+AP300+AP313+AP326+AP339+AP352+AP365+AP378+AP391+AP404+AP417+AP430+AP443+AP456+AP469+AP482+AP495+AP508+AP521+AP534+AP547+AP560+AP573+AP586+AP599+AP612+AP625+AP638+AP651+AP664+AP677+AP690+AP703+AP716+AP729+AP742+AP755+AP768+AP781+AP794+AP807+AP820+AP833+AP846+AP859+AP872+AP885+AP898+AP911+AP924+AP937+AP950+AP963+AP976+AP989+AP1002+AP1015+AP1028+AP1041+AP1054+AP1067+AP1080+AP1093+AP1106+AP1119+AP1132+AP1145+AP1158+AP1171+AP1184+AP1197+AP1210+AP1223+AP1236+AP1249+AP1262+AP1275+AP1288+AP1301+AP1314+AP1327</f>
        <v>5513484.1466221679</v>
      </c>
      <c r="AQ1339" s="260">
        <f>AQ40+AQ53+AQ66+AQ79+AQ92+AQ105+AQ118+AQ131+AQ144+AQ157+AQ170+AQ183+AQ196+AQ209+AQ222+AQ235+AQ248+AQ261+AQ274+AQ287+AQ300+AQ313+AQ326+AQ339+AQ352+AQ365+AQ378+AQ391+AQ404+AQ417+AQ430+AQ443+AQ456+AQ469+AQ482+AQ495+AQ508+AQ521+AQ534+AQ547+AQ560+AQ573+AQ586+AQ599+AQ612+AQ625+AQ638+AQ651+AQ664+AQ677+AQ690+AQ703+AQ716+AQ729+AQ742+AQ755+AQ768+AQ781+AQ794+AQ807+AQ820+AQ833+AQ846+AQ859+AQ872+AQ885+AQ898+AQ911+AQ924+AQ937+AQ950+AQ963+AQ976+AQ989+AQ1002+AQ1015+AQ1028+AQ1041+AQ1054+AQ1067+AQ1080+AQ1093+AQ1106+AQ1119+AQ1132+AQ1145+AQ1158+AQ1171+AQ1184+AQ1197+AQ1210+AQ1223+AQ1236+AQ1249+AQ1262+AQ1275+AQ1288+AQ1301+AQ1314+AQ1327</f>
        <v>5510702.4272283698</v>
      </c>
      <c r="AR1339" s="260">
        <f>AR40+AR53+AR66+AR79+AR92+AR105+AR118+AR131+AR144+AR157+AR170+AR183+AR196+AR209+AR222+AR235+AR248+AR261+AR274+AR287+AR300+AR313+AR326+AR339+AR352+AR365+AR378+AR391+AR404+AR417+AR430+AR443+AR456+AR469+AR482+AR495+AR508+AR521+AR534+AR547+AR560+AR573+AR586+AR599+AR612+AR625+AR638+AR651+AR664+AR677+AR690+AR703+AR716+AR729+AR742+AR755+AR768+AR781+AR794+AR807+AR820+AR833+AR846+AR859+AR872+AR885+AR898+AR911+AR924+AR937+AR950+AR963+AR976+AR989+AR1002+AR1015+AR1028+AR1041+AR1054+AR1067+AR1080+AR1093+AR1106+AR1119+AR1132+AR1145+AR1158+AR1171+AR1184+AR1197+AR1210+AR1223+AR1236+AR1249+AR1262+AR1275+AR1288+AR1301+AR1314+AR1327</f>
        <v>22050063.165615506</v>
      </c>
    </row>
    <row r="1340" spans="1:44" s="218" customFormat="1" ht="31.9" customHeight="1">
      <c r="A1340" s="213"/>
      <c r="B1340" s="251"/>
      <c r="C1340" s="252"/>
      <c r="D1340" s="253"/>
      <c r="E1340" s="253"/>
      <c r="F1340" s="254"/>
      <c r="G1340" s="255">
        <f>#VALUE!</f>
        <v>0</v>
      </c>
      <c r="H1340" s="255">
        <f>#VALUE!</f>
        <v>0</v>
      </c>
      <c r="I1340" s="255">
        <f>#VALUE!</f>
        <v>0</v>
      </c>
      <c r="J1340" s="255">
        <f>#VALUE!</f>
        <v>0</v>
      </c>
      <c r="K1340" s="255">
        <f>#VALUE!</f>
        <v>0</v>
      </c>
      <c r="L1340" s="256"/>
      <c r="M1340" s="257"/>
      <c r="N1340" s="255">
        <f>#VALUE!</f>
        <v>0</v>
      </c>
      <c r="O1340" s="255">
        <f>#VALUE!</f>
        <v>0</v>
      </c>
      <c r="P1340" s="255">
        <f>#VALUE!</f>
        <v>0</v>
      </c>
      <c r="Q1340" s="255">
        <f>#VALUE!</f>
        <v>0</v>
      </c>
      <c r="R1340" s="255">
        <f>#VALUE!</f>
        <v>0</v>
      </c>
      <c r="S1340" s="256"/>
      <c r="T1340" s="257"/>
      <c r="U1340" s="255">
        <f>#VALUE!</f>
        <v>0</v>
      </c>
      <c r="V1340" s="255">
        <f>#VALUE!</f>
        <v>0</v>
      </c>
      <c r="W1340" s="255">
        <f>#VALUE!</f>
        <v>0</v>
      </c>
      <c r="X1340" s="255">
        <f>#VALUE!</f>
        <v>0</v>
      </c>
      <c r="Y1340" s="255">
        <f>#VALUE!</f>
        <v>0</v>
      </c>
      <c r="Z1340" s="256"/>
      <c r="AA1340" s="257"/>
      <c r="AB1340" s="255">
        <f>#VALUE!</f>
        <v>0</v>
      </c>
      <c r="AC1340" s="255">
        <f>#VALUE!</f>
        <v>0</v>
      </c>
      <c r="AD1340" s="255">
        <f>#VALUE!</f>
        <v>0</v>
      </c>
      <c r="AE1340" s="255">
        <f>#VALUE!</f>
        <v>0</v>
      </c>
      <c r="AF1340" s="255">
        <f>#VALUE!</f>
        <v>0</v>
      </c>
      <c r="AG1340" s="256"/>
      <c r="AH1340" s="257"/>
      <c r="AI1340" s="215"/>
      <c r="AJ1340" s="258"/>
      <c r="AK1340" s="258"/>
      <c r="AL1340" s="258"/>
      <c r="AM1340" s="259"/>
      <c r="AN1340" s="260"/>
      <c r="AO1340" s="260"/>
      <c r="AP1340" s="260"/>
      <c r="AQ1340" s="260"/>
      <c r="AR1340" s="261"/>
    </row>
    <row r="1341" spans="1:44" s="268" customFormat="1" ht="31.9" customHeight="1">
      <c r="A1341" s="262"/>
      <c r="B1341" s="263"/>
      <c r="C1341" s="264"/>
      <c r="D1341" s="260"/>
      <c r="E1341" s="260"/>
      <c r="F1341" s="265"/>
      <c r="G1341" s="255" t="e">
        <f>#VALUE!</f>
        <v>#VALUE!</v>
      </c>
      <c r="H1341" s="255" t="e">
        <f>#VALUE!</f>
        <v>#VALUE!</v>
      </c>
      <c r="I1341" s="255" t="e">
        <f>#VALUE!</f>
        <v>#VALUE!</v>
      </c>
      <c r="J1341" s="255" t="e">
        <f>#VALUE!</f>
        <v>#VALUE!</v>
      </c>
      <c r="K1341" s="255" t="e">
        <f>#VALUE!</f>
        <v>#VALUE!</v>
      </c>
      <c r="L1341" s="256"/>
      <c r="M1341" s="265"/>
      <c r="N1341" s="255" t="e">
        <f>#VALUE!</f>
        <v>#VALUE!</v>
      </c>
      <c r="O1341" s="255" t="e">
        <f>#VALUE!</f>
        <v>#VALUE!</v>
      </c>
      <c r="P1341" s="255" t="e">
        <f>#VALUE!</f>
        <v>#VALUE!</v>
      </c>
      <c r="Q1341" s="255" t="e">
        <f>#VALUE!</f>
        <v>#VALUE!</v>
      </c>
      <c r="R1341" s="255" t="e">
        <f>#VALUE!</f>
        <v>#VALUE!</v>
      </c>
      <c r="S1341" s="256"/>
      <c r="T1341" s="265"/>
      <c r="U1341" s="255" t="e">
        <f>#VALUE!</f>
        <v>#VALUE!</v>
      </c>
      <c r="V1341" s="255" t="e">
        <f>#VALUE!</f>
        <v>#VALUE!</v>
      </c>
      <c r="W1341" s="255" t="e">
        <f>#VALUE!</f>
        <v>#VALUE!</v>
      </c>
      <c r="X1341" s="255" t="e">
        <f>#VALUE!</f>
        <v>#VALUE!</v>
      </c>
      <c r="Y1341" s="255" t="e">
        <f>#VALUE!</f>
        <v>#VALUE!</v>
      </c>
      <c r="Z1341" s="256"/>
      <c r="AA1341" s="265"/>
      <c r="AB1341" s="255" t="e">
        <f>#VALUE!</f>
        <v>#VALUE!</v>
      </c>
      <c r="AC1341" s="255" t="e">
        <f>#VALUE!</f>
        <v>#VALUE!</v>
      </c>
      <c r="AD1341" s="255" t="e">
        <f>#VALUE!</f>
        <v>#VALUE!</v>
      </c>
      <c r="AE1341" s="255" t="e">
        <f>#VALUE!</f>
        <v>#VALUE!</v>
      </c>
      <c r="AF1341" s="255" t="e">
        <f>#VALUE!</f>
        <v>#VALUE!</v>
      </c>
      <c r="AG1341" s="256"/>
      <c r="AH1341" s="265"/>
      <c r="AI1341" s="266"/>
      <c r="AJ1341" s="267"/>
      <c r="AK1341" s="267"/>
      <c r="AL1341" s="267"/>
      <c r="AM1341" s="264"/>
      <c r="AN1341" s="260"/>
      <c r="AO1341" s="260"/>
      <c r="AP1341" s="260"/>
      <c r="AQ1341" s="260"/>
      <c r="AR1341" s="261"/>
    </row>
    <row r="1342" spans="1:44" s="268" customFormat="1" ht="31.9" customHeight="1">
      <c r="A1342" s="262"/>
      <c r="B1342" s="263"/>
      <c r="C1342" s="264"/>
      <c r="D1342" s="260"/>
      <c r="E1342" s="260"/>
      <c r="F1342" s="265"/>
      <c r="G1342" s="255" t="e">
        <f>#VALUE!</f>
        <v>#VALUE!</v>
      </c>
      <c r="H1342" s="255" t="e">
        <f>#VALUE!</f>
        <v>#VALUE!</v>
      </c>
      <c r="I1342" s="255" t="e">
        <f>#VALUE!</f>
        <v>#VALUE!</v>
      </c>
      <c r="J1342" s="255" t="e">
        <f>#VALUE!</f>
        <v>#VALUE!</v>
      </c>
      <c r="K1342" s="255" t="e">
        <f>#VALUE!</f>
        <v>#VALUE!</v>
      </c>
      <c r="L1342" s="256"/>
      <c r="M1342" s="265"/>
      <c r="N1342" s="255" t="e">
        <f>#VALUE!</f>
        <v>#VALUE!</v>
      </c>
      <c r="O1342" s="255" t="e">
        <f>#VALUE!</f>
        <v>#VALUE!</v>
      </c>
      <c r="P1342" s="255" t="e">
        <f>#VALUE!</f>
        <v>#VALUE!</v>
      </c>
      <c r="Q1342" s="255" t="e">
        <f>#VALUE!</f>
        <v>#VALUE!</v>
      </c>
      <c r="R1342" s="255" t="e">
        <f>#VALUE!</f>
        <v>#VALUE!</v>
      </c>
      <c r="S1342" s="256"/>
      <c r="T1342" s="265"/>
      <c r="U1342" s="255" t="e">
        <f>#VALUE!</f>
        <v>#VALUE!</v>
      </c>
      <c r="V1342" s="255" t="e">
        <f>#VALUE!</f>
        <v>#VALUE!</v>
      </c>
      <c r="W1342" s="255" t="e">
        <f>#VALUE!</f>
        <v>#VALUE!</v>
      </c>
      <c r="X1342" s="255" t="e">
        <f>#VALUE!</f>
        <v>#VALUE!</v>
      </c>
      <c r="Y1342" s="255" t="e">
        <f>#VALUE!</f>
        <v>#VALUE!</v>
      </c>
      <c r="Z1342" s="256"/>
      <c r="AA1342" s="265"/>
      <c r="AB1342" s="255" t="e">
        <f>#VALUE!</f>
        <v>#VALUE!</v>
      </c>
      <c r="AC1342" s="255" t="e">
        <f>#VALUE!</f>
        <v>#VALUE!</v>
      </c>
      <c r="AD1342" s="255" t="e">
        <f>#VALUE!</f>
        <v>#VALUE!</v>
      </c>
      <c r="AE1342" s="255" t="e">
        <f>#VALUE!</f>
        <v>#VALUE!</v>
      </c>
      <c r="AF1342" s="255" t="e">
        <f>#VALUE!</f>
        <v>#VALUE!</v>
      </c>
      <c r="AG1342" s="256"/>
      <c r="AH1342" s="265"/>
      <c r="AI1342" s="266"/>
      <c r="AJ1342" s="267"/>
      <c r="AK1342" s="267"/>
      <c r="AL1342" s="267"/>
      <c r="AM1342" s="264"/>
      <c r="AN1342" s="260"/>
      <c r="AO1342" s="260"/>
      <c r="AP1342" s="260"/>
      <c r="AQ1342" s="260"/>
      <c r="AR1342" s="261"/>
    </row>
    <row r="1343" spans="1:44" s="218" customFormat="1" ht="31.9" customHeight="1">
      <c r="A1343" s="213"/>
      <c r="B1343" s="251"/>
      <c r="C1343" s="252"/>
      <c r="D1343" s="253"/>
      <c r="E1343" s="75"/>
      <c r="F1343" s="254"/>
      <c r="G1343" s="269"/>
      <c r="H1343" s="269"/>
      <c r="I1343" s="269"/>
      <c r="J1343" s="269"/>
      <c r="K1343" s="269"/>
      <c r="L1343" s="256"/>
      <c r="M1343" s="257"/>
      <c r="N1343" s="269"/>
      <c r="O1343" s="269"/>
      <c r="P1343" s="269"/>
      <c r="Q1343" s="269"/>
      <c r="R1343" s="269"/>
      <c r="S1343" s="256"/>
      <c r="T1343" s="257"/>
      <c r="U1343" s="269"/>
      <c r="V1343" s="269"/>
      <c r="W1343" s="269"/>
      <c r="X1343" s="269"/>
      <c r="Y1343" s="269"/>
      <c r="Z1343" s="256"/>
      <c r="AA1343" s="257"/>
      <c r="AB1343" s="269"/>
      <c r="AC1343" s="269"/>
      <c r="AD1343" s="269"/>
      <c r="AE1343" s="269"/>
      <c r="AF1343" s="269"/>
      <c r="AG1343" s="256"/>
      <c r="AH1343" s="257"/>
      <c r="AI1343" s="215"/>
      <c r="AJ1343" s="258"/>
      <c r="AK1343" s="258"/>
      <c r="AL1343" s="258"/>
      <c r="AM1343" s="259"/>
      <c r="AN1343" s="270"/>
      <c r="AO1343" s="270"/>
      <c r="AP1343" s="270"/>
      <c r="AQ1343" s="270"/>
      <c r="AR1343" s="271"/>
    </row>
    <row r="1344" spans="1:44" s="218" customFormat="1" ht="117" customHeight="1">
      <c r="A1344" s="213"/>
      <c r="B1344" s="251"/>
      <c r="C1344" s="252"/>
      <c r="D1344" s="253"/>
      <c r="E1344" s="253"/>
      <c r="F1344" s="254"/>
      <c r="G1344" s="269"/>
      <c r="H1344" s="269"/>
      <c r="I1344" s="269"/>
      <c r="J1344" s="269"/>
      <c r="K1344" s="269"/>
      <c r="L1344" s="256"/>
      <c r="M1344" s="257"/>
      <c r="N1344" s="269"/>
      <c r="O1344" s="269"/>
      <c r="P1344" s="269"/>
      <c r="Q1344" s="269"/>
      <c r="R1344" s="269"/>
      <c r="S1344" s="256"/>
      <c r="T1344" s="257"/>
      <c r="U1344" s="269"/>
      <c r="V1344" s="269"/>
      <c r="W1344" s="269"/>
      <c r="X1344" s="269"/>
      <c r="Y1344" s="269"/>
      <c r="Z1344" s="256"/>
      <c r="AA1344" s="257"/>
      <c r="AB1344" s="269"/>
      <c r="AC1344" s="269"/>
      <c r="AD1344" s="269"/>
      <c r="AE1344" s="269"/>
      <c r="AF1344" s="269"/>
      <c r="AG1344" s="256"/>
      <c r="AH1344" s="257"/>
      <c r="AI1344" s="215"/>
      <c r="AJ1344" s="258"/>
      <c r="AK1344" s="258"/>
      <c r="AL1344" s="258"/>
      <c r="AM1344" s="259"/>
      <c r="AN1344" s="270"/>
      <c r="AO1344" s="270"/>
      <c r="AP1344" s="270"/>
      <c r="AQ1344" s="270"/>
      <c r="AR1344" s="271"/>
    </row>
    <row r="1345" spans="1:44" s="218" customFormat="1" ht="31.9" customHeight="1">
      <c r="A1345" s="213"/>
      <c r="B1345" s="251"/>
      <c r="C1345" s="252"/>
      <c r="D1345" s="253"/>
      <c r="E1345" s="253"/>
      <c r="F1345" s="254"/>
      <c r="G1345" s="269"/>
      <c r="H1345" s="269"/>
      <c r="I1345" s="269"/>
      <c r="J1345" s="269"/>
      <c r="K1345" s="269"/>
      <c r="L1345" s="256"/>
      <c r="M1345" s="257"/>
      <c r="N1345" s="269"/>
      <c r="O1345" s="269"/>
      <c r="P1345" s="269"/>
      <c r="Q1345" s="269"/>
      <c r="R1345" s="269"/>
      <c r="S1345" s="256"/>
      <c r="T1345" s="257"/>
      <c r="U1345" s="269"/>
      <c r="V1345" s="269"/>
      <c r="W1345" s="269"/>
      <c r="X1345" s="269"/>
      <c r="Y1345" s="269"/>
      <c r="Z1345" s="256"/>
      <c r="AA1345" s="257"/>
      <c r="AB1345" s="269"/>
      <c r="AC1345" s="269"/>
      <c r="AD1345" s="269"/>
      <c r="AE1345" s="269"/>
      <c r="AF1345" s="269"/>
      <c r="AG1345" s="256"/>
      <c r="AH1345" s="257"/>
      <c r="AI1345" s="215"/>
      <c r="AJ1345" s="258"/>
      <c r="AK1345" s="258"/>
      <c r="AL1345" s="258"/>
      <c r="AM1345" s="259"/>
      <c r="AN1345" s="270"/>
      <c r="AO1345" s="270"/>
      <c r="AP1345" s="270"/>
      <c r="AQ1345" s="270"/>
      <c r="AR1345" s="271"/>
    </row>
    <row r="1346" spans="1:44" s="619" customFormat="1" ht="31.9" customHeight="1">
      <c r="A1346" s="609"/>
      <c r="B1346" s="641"/>
      <c r="C1346" s="641"/>
      <c r="D1346" s="641"/>
      <c r="E1346" s="641"/>
      <c r="F1346" s="610"/>
      <c r="G1346" s="611"/>
      <c r="H1346" s="611"/>
      <c r="I1346" s="611"/>
      <c r="J1346" s="611"/>
      <c r="K1346" s="611"/>
      <c r="L1346" s="612"/>
      <c r="M1346" s="613"/>
      <c r="N1346" s="611"/>
      <c r="O1346" s="611"/>
      <c r="P1346" s="611"/>
      <c r="Q1346" s="611"/>
      <c r="R1346" s="611"/>
      <c r="S1346" s="612"/>
      <c r="T1346" s="613"/>
      <c r="U1346" s="611"/>
      <c r="V1346" s="611"/>
      <c r="W1346" s="611"/>
      <c r="X1346" s="611"/>
      <c r="Y1346" s="611"/>
      <c r="Z1346" s="612"/>
      <c r="AA1346" s="613"/>
      <c r="AB1346" s="611"/>
      <c r="AC1346" s="611"/>
      <c r="AD1346" s="611"/>
      <c r="AE1346" s="611"/>
      <c r="AF1346" s="611"/>
      <c r="AG1346" s="612"/>
      <c r="AH1346" s="613"/>
      <c r="AI1346" s="614"/>
      <c r="AJ1346" s="615"/>
      <c r="AK1346" s="615"/>
      <c r="AL1346" s="615"/>
      <c r="AM1346" s="616"/>
      <c r="AN1346" s="617"/>
      <c r="AO1346" s="617"/>
      <c r="AP1346" s="617"/>
      <c r="AQ1346" s="617"/>
      <c r="AR1346" s="618"/>
    </row>
    <row r="1347" spans="1:44" s="619" customFormat="1" ht="21" customHeight="1">
      <c r="A1347" s="609"/>
      <c r="B1347" s="620"/>
      <c r="C1347" s="621"/>
      <c r="D1347" s="622"/>
      <c r="E1347" s="622"/>
      <c r="F1347" s="610"/>
      <c r="G1347" s="611"/>
      <c r="H1347" s="611"/>
      <c r="I1347" s="611"/>
      <c r="J1347" s="611"/>
      <c r="K1347" s="611"/>
      <c r="L1347" s="612"/>
      <c r="M1347" s="613"/>
      <c r="N1347" s="611"/>
      <c r="O1347" s="611"/>
      <c r="P1347" s="611"/>
      <c r="Q1347" s="611"/>
      <c r="R1347" s="611"/>
      <c r="S1347" s="612"/>
      <c r="T1347" s="613"/>
      <c r="U1347" s="611"/>
      <c r="V1347" s="611"/>
      <c r="W1347" s="611"/>
      <c r="X1347" s="611"/>
      <c r="Y1347" s="611"/>
      <c r="Z1347" s="612"/>
      <c r="AA1347" s="613"/>
      <c r="AB1347" s="611"/>
      <c r="AC1347" s="611"/>
      <c r="AD1347" s="611"/>
      <c r="AE1347" s="611"/>
      <c r="AF1347" s="611"/>
      <c r="AG1347" s="612"/>
      <c r="AH1347" s="613"/>
      <c r="AI1347" s="614"/>
      <c r="AJ1347" s="615"/>
      <c r="AK1347" s="615"/>
      <c r="AL1347" s="615"/>
      <c r="AM1347" s="616"/>
      <c r="AN1347" s="617"/>
      <c r="AO1347" s="617"/>
      <c r="AP1347" s="617"/>
      <c r="AQ1347" s="617"/>
      <c r="AR1347" s="618"/>
    </row>
    <row r="1348" spans="1:44" s="627" customFormat="1" ht="23.45" customHeight="1">
      <c r="A1348" s="623"/>
      <c r="B1348" s="624"/>
      <c r="C1348" s="624"/>
      <c r="D1348" s="624"/>
      <c r="E1348" s="624"/>
      <c r="F1348" s="625"/>
      <c r="G1348" s="626"/>
      <c r="H1348" s="626"/>
      <c r="L1348" s="628"/>
      <c r="S1348" s="628"/>
      <c r="Z1348" s="628"/>
      <c r="AG1348" s="628"/>
      <c r="AM1348" s="629"/>
      <c r="AR1348" s="630"/>
    </row>
    <row r="1349" spans="1:44" s="637" customFormat="1" ht="58.15" customHeight="1">
      <c r="A1349" s="631"/>
      <c r="B1349" s="642"/>
      <c r="C1349" s="642"/>
      <c r="D1349" s="642"/>
      <c r="E1349" s="632"/>
      <c r="F1349" s="633"/>
      <c r="G1349" s="633"/>
      <c r="H1349" s="625"/>
      <c r="I1349" s="625"/>
      <c r="J1349" s="634"/>
      <c r="K1349" s="634"/>
      <c r="L1349" s="635"/>
      <c r="M1349" s="636"/>
      <c r="N1349" s="636"/>
      <c r="O1349" s="636"/>
      <c r="P1349" s="636"/>
      <c r="S1349" s="638"/>
      <c r="Z1349" s="638"/>
      <c r="AG1349" s="638"/>
      <c r="AM1349" s="639"/>
      <c r="AR1349" s="640"/>
    </row>
    <row r="1353" spans="1:44" ht="64.900000000000006" customHeight="1">
      <c r="B1353" s="1049" t="s">
        <v>787</v>
      </c>
      <c r="C1353" s="1049"/>
      <c r="D1353" s="1049"/>
      <c r="E1353" s="1049"/>
      <c r="F1353" s="1049"/>
      <c r="G1353" s="1049"/>
      <c r="H1353" s="1049"/>
    </row>
    <row r="1354" spans="1:44" ht="17.25" thickBot="1">
      <c r="B1354" s="277"/>
      <c r="C1354" s="277"/>
      <c r="D1354" s="277"/>
      <c r="E1354" s="277"/>
      <c r="F1354" s="277"/>
      <c r="G1354" s="277"/>
    </row>
    <row r="1355" spans="1:44" ht="37.9" customHeight="1" thickBot="1">
      <c r="B1355" s="1060" t="s">
        <v>196</v>
      </c>
      <c r="C1355" s="1061"/>
      <c r="D1355" s="278" t="s">
        <v>379</v>
      </c>
      <c r="E1355" s="278" t="s">
        <v>380</v>
      </c>
      <c r="F1355" s="278" t="s">
        <v>381</v>
      </c>
      <c r="G1355" s="278" t="s">
        <v>382</v>
      </c>
      <c r="H1355" s="279" t="s">
        <v>383</v>
      </c>
      <c r="J1355" s="1074"/>
      <c r="K1355" s="1074"/>
      <c r="L1355" s="1074"/>
      <c r="M1355" s="1074"/>
    </row>
    <row r="1356" spans="1:44" ht="88.9" customHeight="1" thickBot="1">
      <c r="B1356" s="1062" t="s">
        <v>17</v>
      </c>
      <c r="C1356" s="1063"/>
      <c r="D1356" s="280">
        <f>D1357+D1358+D1359+D1360</f>
        <v>1069827.48</v>
      </c>
      <c r="E1356" s="280">
        <f>E1357+E1358+E1359+E1360</f>
        <v>673317.81</v>
      </c>
      <c r="F1356" s="280">
        <f>F1357+F1358+F1359+F1360</f>
        <v>866306</v>
      </c>
      <c r="G1356" s="280">
        <f>G1357+G1358+G1359+G1360</f>
        <v>1014047.56</v>
      </c>
      <c r="H1356" s="281">
        <f t="shared" ref="H1356:H1363" si="130">SUM(D1356:G1356)</f>
        <v>3623498.85</v>
      </c>
      <c r="I1356" s="282"/>
      <c r="J1356" s="283"/>
      <c r="N1356" s="751"/>
      <c r="O1356" s="751"/>
      <c r="P1356" s="751"/>
      <c r="Q1356" s="751"/>
      <c r="R1356" s="752"/>
      <c r="S1356" s="753"/>
    </row>
    <row r="1357" spans="1:44" ht="117" customHeight="1" thickBot="1">
      <c r="B1357" s="1052" t="s">
        <v>151</v>
      </c>
      <c r="C1357" s="1053"/>
      <c r="D1357" s="284">
        <f>(77904.27+32214.08+2984.29+114212.18+1536.84+949.37+324.45+100000)+192762</f>
        <v>522887.48</v>
      </c>
      <c r="E1357" s="284">
        <f>(36176.91+4635.12+2097.89+8155.31+443.98+949.35+343.25+43072)+30504</f>
        <v>126377.81</v>
      </c>
      <c r="F1357" s="284">
        <f>(43359.04+2097.88+648.89+949.35+271.84+101250+51000)+119789</f>
        <v>319366</v>
      </c>
      <c r="G1357" s="284">
        <f>(88554.58+29648.21+2097.86+96320.88+1367.14+1079.44+324.45+110000)+137715</f>
        <v>467107.56000000006</v>
      </c>
      <c r="H1357" s="281">
        <f t="shared" si="130"/>
        <v>1435738.85</v>
      </c>
      <c r="I1357" s="282"/>
      <c r="J1357" s="732"/>
      <c r="L1357" s="140" t="s">
        <v>126</v>
      </c>
      <c r="N1357" s="751"/>
      <c r="O1357" s="751"/>
      <c r="P1357" s="751"/>
      <c r="Q1357" s="751"/>
      <c r="R1357" s="752"/>
      <c r="S1357" s="753"/>
    </row>
    <row r="1358" spans="1:44" ht="135.75" customHeight="1">
      <c r="B1358" s="1052" t="s">
        <v>153</v>
      </c>
      <c r="C1358" s="1053"/>
      <c r="D1358" s="284">
        <v>169320</v>
      </c>
      <c r="E1358" s="284">
        <v>169320</v>
      </c>
      <c r="F1358" s="284">
        <v>169320</v>
      </c>
      <c r="G1358" s="284">
        <v>169320</v>
      </c>
      <c r="H1358" s="281">
        <f t="shared" si="130"/>
        <v>677280</v>
      </c>
      <c r="I1358" s="282"/>
    </row>
    <row r="1359" spans="1:44" ht="156" customHeight="1">
      <c r="B1359" s="1052" t="s">
        <v>120</v>
      </c>
      <c r="C1359" s="1053"/>
      <c r="D1359" s="284">
        <v>106320</v>
      </c>
      <c r="E1359" s="284">
        <v>106320</v>
      </c>
      <c r="F1359" s="284">
        <v>106320</v>
      </c>
      <c r="G1359" s="284">
        <v>106320</v>
      </c>
      <c r="H1359" s="285">
        <f t="shared" si="130"/>
        <v>425280</v>
      </c>
      <c r="I1359" s="282"/>
    </row>
    <row r="1360" spans="1:44" ht="150" customHeight="1">
      <c r="B1360" s="1052" t="s">
        <v>121</v>
      </c>
      <c r="C1360" s="1053"/>
      <c r="D1360" s="284">
        <v>271300</v>
      </c>
      <c r="E1360" s="284">
        <v>271300</v>
      </c>
      <c r="F1360" s="284">
        <v>271300</v>
      </c>
      <c r="G1360" s="284">
        <v>271300</v>
      </c>
      <c r="H1360" s="285">
        <f t="shared" si="130"/>
        <v>1085200</v>
      </c>
      <c r="I1360" s="282"/>
    </row>
    <row r="1361" spans="1:44" ht="30.6" customHeight="1">
      <c r="B1361" s="1054" t="s">
        <v>274</v>
      </c>
      <c r="C1361" s="1055"/>
      <c r="D1361" s="284">
        <v>0</v>
      </c>
      <c r="E1361" s="284">
        <v>0</v>
      </c>
      <c r="F1361" s="284">
        <v>0</v>
      </c>
      <c r="G1361" s="284">
        <v>0</v>
      </c>
      <c r="H1361" s="285">
        <f t="shared" si="130"/>
        <v>0</v>
      </c>
      <c r="I1361" s="282"/>
    </row>
    <row r="1362" spans="1:44" ht="28.9" customHeight="1">
      <c r="B1362" s="1054" t="s">
        <v>274</v>
      </c>
      <c r="C1362" s="1055"/>
      <c r="D1362" s="284">
        <v>0</v>
      </c>
      <c r="E1362" s="284">
        <v>0</v>
      </c>
      <c r="F1362" s="284">
        <v>0</v>
      </c>
      <c r="G1362" s="284">
        <v>0</v>
      </c>
      <c r="H1362" s="285">
        <f t="shared" si="130"/>
        <v>0</v>
      </c>
      <c r="I1362" s="282"/>
    </row>
    <row r="1363" spans="1:44" ht="85.9" customHeight="1">
      <c r="B1363" s="1056" t="s">
        <v>376</v>
      </c>
      <c r="C1363" s="1057"/>
      <c r="D1363" s="284">
        <v>0</v>
      </c>
      <c r="E1363" s="284">
        <v>0</v>
      </c>
      <c r="F1363" s="284">
        <v>0</v>
      </c>
      <c r="G1363" s="284">
        <v>0</v>
      </c>
      <c r="H1363" s="285">
        <f t="shared" si="130"/>
        <v>0</v>
      </c>
      <c r="I1363" s="282"/>
    </row>
    <row r="1364" spans="1:44" ht="103.9" customHeight="1">
      <c r="B1364" s="1056" t="s">
        <v>377</v>
      </c>
      <c r="C1364" s="1057"/>
      <c r="D1364" s="284">
        <v>0</v>
      </c>
      <c r="E1364" s="284">
        <v>0</v>
      </c>
      <c r="F1364" s="284">
        <v>0</v>
      </c>
      <c r="G1364" s="284">
        <v>0</v>
      </c>
      <c r="H1364" s="285">
        <f t="shared" ref="H1364:H1370" si="131">SUM(D1364:G1364)</f>
        <v>0</v>
      </c>
      <c r="I1364" s="282"/>
    </row>
    <row r="1365" spans="1:44" ht="87.6" customHeight="1">
      <c r="B1365" s="1056" t="s">
        <v>485</v>
      </c>
      <c r="C1365" s="1057"/>
      <c r="D1365" s="284">
        <v>28935</v>
      </c>
      <c r="E1365" s="284">
        <v>28935</v>
      </c>
      <c r="F1365" s="284">
        <v>28935</v>
      </c>
      <c r="G1365" s="284">
        <v>28935</v>
      </c>
      <c r="H1365" s="285">
        <f t="shared" si="131"/>
        <v>115740</v>
      </c>
      <c r="I1365" s="282"/>
    </row>
    <row r="1366" spans="1:44" s="140" customFormat="1" ht="87.6" customHeight="1">
      <c r="A1366" s="286"/>
      <c r="B1366" s="1050" t="s">
        <v>452</v>
      </c>
      <c r="C1366" s="1051"/>
      <c r="D1366" s="284">
        <v>980</v>
      </c>
      <c r="E1366" s="284">
        <v>935</v>
      </c>
      <c r="F1366" s="284">
        <v>1000</v>
      </c>
      <c r="G1366" s="284">
        <v>1000</v>
      </c>
      <c r="H1366" s="285">
        <f t="shared" si="131"/>
        <v>3915</v>
      </c>
      <c r="I1366" s="282"/>
      <c r="J1366" s="137"/>
      <c r="AR1366" s="287"/>
    </row>
    <row r="1367" spans="1:44" s="140" customFormat="1" ht="87.6" customHeight="1">
      <c r="A1367" s="286"/>
      <c r="B1367" s="1050" t="s">
        <v>453</v>
      </c>
      <c r="C1367" s="1051"/>
      <c r="D1367" s="284">
        <v>0</v>
      </c>
      <c r="E1367" s="284">
        <v>0</v>
      </c>
      <c r="F1367" s="284">
        <v>0</v>
      </c>
      <c r="G1367" s="284">
        <v>5000</v>
      </c>
      <c r="H1367" s="285">
        <f t="shared" si="131"/>
        <v>5000</v>
      </c>
      <c r="I1367" s="288"/>
      <c r="J1367" s="137"/>
      <c r="AR1367" s="287"/>
    </row>
    <row r="1368" spans="1:44" ht="46.9" customHeight="1">
      <c r="B1368" s="1056" t="s">
        <v>378</v>
      </c>
      <c r="C1368" s="1057"/>
      <c r="D1368" s="284">
        <v>0</v>
      </c>
      <c r="E1368" s="284">
        <v>0</v>
      </c>
      <c r="F1368" s="284">
        <v>0</v>
      </c>
      <c r="G1368" s="284">
        <v>0</v>
      </c>
      <c r="H1368" s="285">
        <f t="shared" si="131"/>
        <v>0</v>
      </c>
      <c r="I1368" s="282"/>
    </row>
    <row r="1369" spans="1:44" ht="73.900000000000006" customHeight="1">
      <c r="B1369" s="1056" t="s">
        <v>124</v>
      </c>
      <c r="C1369" s="1057"/>
      <c r="D1369" s="284">
        <v>38161.68</v>
      </c>
      <c r="E1369" s="284">
        <v>29629.599999999999</v>
      </c>
      <c r="F1369" s="284">
        <v>7238.29</v>
      </c>
      <c r="G1369" s="284">
        <v>45500</v>
      </c>
      <c r="H1369" s="285">
        <f t="shared" si="131"/>
        <v>120529.56999999999</v>
      </c>
      <c r="I1369" s="282"/>
    </row>
    <row r="1370" spans="1:44" ht="73.900000000000006" customHeight="1">
      <c r="B1370" s="1050" t="s">
        <v>125</v>
      </c>
      <c r="C1370" s="1051"/>
      <c r="D1370" s="284">
        <v>36138</v>
      </c>
      <c r="E1370" s="284">
        <v>36138</v>
      </c>
      <c r="F1370" s="284">
        <v>36138</v>
      </c>
      <c r="G1370" s="284">
        <v>36138</v>
      </c>
      <c r="H1370" s="285">
        <f t="shared" si="131"/>
        <v>144552</v>
      </c>
      <c r="I1370" s="289"/>
    </row>
    <row r="1371" spans="1:44" ht="52.9" customHeight="1" thickBot="1">
      <c r="B1371" s="1058" t="s">
        <v>388</v>
      </c>
      <c r="C1371" s="1059"/>
      <c r="D1371" s="290">
        <f>D1356+D1363+D1364+D1365+D1366+D1367+D1368+D1369+D1370</f>
        <v>1174042.1599999999</v>
      </c>
      <c r="E1371" s="290">
        <f>E1356+E1363+E1364+E1365+E1366+E1367+E1368+E1369+E1370</f>
        <v>768955.41</v>
      </c>
      <c r="F1371" s="290">
        <f>F1356+F1363+F1364+F1365+F1366+F1367+F1368+F1369+F1370</f>
        <v>939617.29</v>
      </c>
      <c r="G1371" s="290">
        <f>G1356+G1363+G1364+G1365+G1366+G1367+G1368+G1369+G1370</f>
        <v>1130620.56</v>
      </c>
      <c r="H1371" s="291">
        <f>SUM(D1371:G1371)</f>
        <v>4013235.42</v>
      </c>
    </row>
  </sheetData>
  <mergeCells count="4315">
    <mergeCell ref="AM267:AM272"/>
    <mergeCell ref="AM261:AM265"/>
    <mergeCell ref="AM241:AM246"/>
    <mergeCell ref="AM443:AM447"/>
    <mergeCell ref="AM417:AM421"/>
    <mergeCell ref="AM228:AM233"/>
    <mergeCell ref="AM215:AM220"/>
    <mergeCell ref="AM202:AM207"/>
    <mergeCell ref="AM189:AM194"/>
    <mergeCell ref="AM345:AM350"/>
    <mergeCell ref="AM332:AM337"/>
    <mergeCell ref="AM319:AM324"/>
    <mergeCell ref="AM306:AM311"/>
    <mergeCell ref="AM917:AM922"/>
    <mergeCell ref="AM904:AM909"/>
    <mergeCell ref="AM891:AM896"/>
    <mergeCell ref="AM911:AM915"/>
    <mergeCell ref="AM176:AM181"/>
    <mergeCell ref="AM163:AM168"/>
    <mergeCell ref="AM527:AM532"/>
    <mergeCell ref="AM514:AM519"/>
    <mergeCell ref="AM501:AM506"/>
    <mergeCell ref="AM488:AM493"/>
    <mergeCell ref="AM618:AM623"/>
    <mergeCell ref="AM826:AM831"/>
    <mergeCell ref="AM696:AM701"/>
    <mergeCell ref="AM683:AM688"/>
    <mergeCell ref="AM670:AM675"/>
    <mergeCell ref="AM878:AM883"/>
    <mergeCell ref="AM865:AM870"/>
    <mergeCell ref="AM852:AM857"/>
    <mergeCell ref="AM839:AM844"/>
    <mergeCell ref="AM846:AM850"/>
    <mergeCell ref="AM605:AM610"/>
    <mergeCell ref="AM787:AM792"/>
    <mergeCell ref="AM774:AM779"/>
    <mergeCell ref="AM761:AM766"/>
    <mergeCell ref="AM748:AM753"/>
    <mergeCell ref="AM735:AM740"/>
    <mergeCell ref="AM722:AM727"/>
    <mergeCell ref="AM703:AM707"/>
    <mergeCell ref="AM690:AM694"/>
    <mergeCell ref="AM657:AM662"/>
    <mergeCell ref="AM592:AM597"/>
    <mergeCell ref="AM579:AM584"/>
    <mergeCell ref="AM566:AM571"/>
    <mergeCell ref="B1327:B1338"/>
    <mergeCell ref="C1327:C1338"/>
    <mergeCell ref="D1327:D1338"/>
    <mergeCell ref="E1327:E1338"/>
    <mergeCell ref="B1314:B1325"/>
    <mergeCell ref="C1314:C1325"/>
    <mergeCell ref="D1314:D1325"/>
    <mergeCell ref="E1314:E1325"/>
    <mergeCell ref="M1314:M1325"/>
    <mergeCell ref="AM1320:AM1325"/>
    <mergeCell ref="AM1307:AM1312"/>
    <mergeCell ref="G1323:K1323"/>
    <mergeCell ref="N1323:R1323"/>
    <mergeCell ref="U1323:Y1323"/>
    <mergeCell ref="G1324:K1324"/>
    <mergeCell ref="N1324:R1324"/>
    <mergeCell ref="AJ1301:AJ1312"/>
    <mergeCell ref="AM1294:AM1299"/>
    <mergeCell ref="AM1281:AM1286"/>
    <mergeCell ref="AM1268:AM1273"/>
    <mergeCell ref="AM1255:AM1260"/>
    <mergeCell ref="AM1288:AM1292"/>
    <mergeCell ref="AM1262:AM1266"/>
    <mergeCell ref="AM1242:AM1247"/>
    <mergeCell ref="AM1229:AM1234"/>
    <mergeCell ref="AA1314:AA1325"/>
    <mergeCell ref="AH1314:AH1325"/>
    <mergeCell ref="AJ1314:AJ1325"/>
    <mergeCell ref="AK1314:AK1325"/>
    <mergeCell ref="AL1314:AL1325"/>
    <mergeCell ref="AM1314:AM1318"/>
    <mergeCell ref="AB1323:AF1323"/>
    <mergeCell ref="AH1301:AH1312"/>
    <mergeCell ref="AN1327:AN1331"/>
    <mergeCell ref="U1336:Y1336"/>
    <mergeCell ref="AB1336:AF1336"/>
    <mergeCell ref="AM1333:AM1338"/>
    <mergeCell ref="AA1327:AA1338"/>
    <mergeCell ref="U1338:Y1338"/>
    <mergeCell ref="AB1338:AF1338"/>
    <mergeCell ref="AL1327:AL1338"/>
    <mergeCell ref="AM1327:AM1331"/>
    <mergeCell ref="U1337:Y1337"/>
    <mergeCell ref="AJ1327:AJ1338"/>
    <mergeCell ref="AK1327:AK1338"/>
    <mergeCell ref="AH1288:AH1299"/>
    <mergeCell ref="AJ1288:AJ1299"/>
    <mergeCell ref="AK1288:AK1299"/>
    <mergeCell ref="AL1288:AL1299"/>
    <mergeCell ref="AK1301:AK1312"/>
    <mergeCell ref="AL1301:AL1312"/>
    <mergeCell ref="AB1334:AF1334"/>
    <mergeCell ref="G1325:K1325"/>
    <mergeCell ref="AN1288:AN1292"/>
    <mergeCell ref="U1299:Y1299"/>
    <mergeCell ref="AB1299:AF1299"/>
    <mergeCell ref="G1335:K1335"/>
    <mergeCell ref="N1335:R1335"/>
    <mergeCell ref="U1335:Y1335"/>
    <mergeCell ref="AB1335:AF1335"/>
    <mergeCell ref="AH1327:AH1338"/>
    <mergeCell ref="AM1060:AM1065"/>
    <mergeCell ref="AM1067:AM1071"/>
    <mergeCell ref="AM1080:AM1084"/>
    <mergeCell ref="AM1093:AM1097"/>
    <mergeCell ref="G1336:K1336"/>
    <mergeCell ref="N1336:R1336"/>
    <mergeCell ref="U1324:Y1324"/>
    <mergeCell ref="AB1324:AF1324"/>
    <mergeCell ref="AB1325:AF1325"/>
    <mergeCell ref="G1334:K1334"/>
    <mergeCell ref="AM1184:AM1188"/>
    <mergeCell ref="AM1047:AM1052"/>
    <mergeCell ref="AM1034:AM1039"/>
    <mergeCell ref="AM1021:AM1026"/>
    <mergeCell ref="AM1008:AM1013"/>
    <mergeCell ref="AM1015:AM1019"/>
    <mergeCell ref="AM1028:AM1032"/>
    <mergeCell ref="AM1041:AM1045"/>
    <mergeCell ref="AM1099:AM1104"/>
    <mergeCell ref="AM1086:AM1091"/>
    <mergeCell ref="N1320:R1320"/>
    <mergeCell ref="U1320:Y1320"/>
    <mergeCell ref="AB1320:AF1320"/>
    <mergeCell ref="AM1164:AM1169"/>
    <mergeCell ref="AM1151:AM1156"/>
    <mergeCell ref="AM1138:AM1143"/>
    <mergeCell ref="AM1145:AM1149"/>
    <mergeCell ref="AM1216:AM1221"/>
    <mergeCell ref="AM1203:AM1208"/>
    <mergeCell ref="AM1190:AM1195"/>
    <mergeCell ref="AP1314:AP1318"/>
    <mergeCell ref="AQ1314:AQ1318"/>
    <mergeCell ref="AR1314:AR1318"/>
    <mergeCell ref="AM1112:AM1117"/>
    <mergeCell ref="T1314:T1325"/>
    <mergeCell ref="G1333:K1333"/>
    <mergeCell ref="N1333:R1333"/>
    <mergeCell ref="U1333:Y1333"/>
    <mergeCell ref="AB1333:AF1333"/>
    <mergeCell ref="G1320:K1320"/>
    <mergeCell ref="G1322:K1322"/>
    <mergeCell ref="N1322:R1322"/>
    <mergeCell ref="U1322:Y1322"/>
    <mergeCell ref="AB1322:AF1322"/>
    <mergeCell ref="G1321:K1321"/>
    <mergeCell ref="N1321:R1321"/>
    <mergeCell ref="U1321:Y1321"/>
    <mergeCell ref="AB1321:AF1321"/>
    <mergeCell ref="G1338:K1338"/>
    <mergeCell ref="N1338:R1338"/>
    <mergeCell ref="G1337:K1337"/>
    <mergeCell ref="N1337:R1337"/>
    <mergeCell ref="AQ1327:AQ1331"/>
    <mergeCell ref="AR1327:AR1331"/>
    <mergeCell ref="AO1327:AO1331"/>
    <mergeCell ref="AP1327:AP1331"/>
    <mergeCell ref="N1334:R1334"/>
    <mergeCell ref="U1334:Y1334"/>
    <mergeCell ref="AB1337:AF1337"/>
    <mergeCell ref="U1325:Y1325"/>
    <mergeCell ref="AO1301:AO1305"/>
    <mergeCell ref="AP1301:AP1305"/>
    <mergeCell ref="AB1312:AF1312"/>
    <mergeCell ref="M1327:M1338"/>
    <mergeCell ref="T1327:T1338"/>
    <mergeCell ref="N1325:R1325"/>
    <mergeCell ref="AN1314:AN1318"/>
    <mergeCell ref="AO1314:AO1318"/>
    <mergeCell ref="AQ1301:AQ1305"/>
    <mergeCell ref="AR1301:AR1305"/>
    <mergeCell ref="G1307:K1307"/>
    <mergeCell ref="N1307:R1307"/>
    <mergeCell ref="U1307:Y1307"/>
    <mergeCell ref="AB1307:AF1307"/>
    <mergeCell ref="AM1301:AM1305"/>
    <mergeCell ref="AN1301:AN1305"/>
    <mergeCell ref="G1309:K1309"/>
    <mergeCell ref="N1309:R1309"/>
    <mergeCell ref="U1309:Y1309"/>
    <mergeCell ref="AB1309:AF1309"/>
    <mergeCell ref="G1308:K1308"/>
    <mergeCell ref="N1308:R1308"/>
    <mergeCell ref="U1308:Y1308"/>
    <mergeCell ref="AB1308:AF1308"/>
    <mergeCell ref="G1312:K1312"/>
    <mergeCell ref="N1312:R1312"/>
    <mergeCell ref="U1312:Y1312"/>
    <mergeCell ref="G1310:K1310"/>
    <mergeCell ref="N1310:R1310"/>
    <mergeCell ref="U1310:Y1310"/>
    <mergeCell ref="N1311:R1311"/>
    <mergeCell ref="U1311:Y1311"/>
    <mergeCell ref="AB1311:AF1311"/>
    <mergeCell ref="M1301:M1312"/>
    <mergeCell ref="T1301:T1312"/>
    <mergeCell ref="AA1301:AA1312"/>
    <mergeCell ref="AB1310:AF1310"/>
    <mergeCell ref="U1296:Y1296"/>
    <mergeCell ref="B1288:B1299"/>
    <mergeCell ref="C1288:C1299"/>
    <mergeCell ref="D1288:D1299"/>
    <mergeCell ref="E1288:E1299"/>
    <mergeCell ref="B1301:B1312"/>
    <mergeCell ref="C1301:C1312"/>
    <mergeCell ref="D1301:D1312"/>
    <mergeCell ref="E1301:E1312"/>
    <mergeCell ref="G1311:K1311"/>
    <mergeCell ref="AO1288:AO1292"/>
    <mergeCell ref="G1295:K1295"/>
    <mergeCell ref="N1295:R1295"/>
    <mergeCell ref="U1295:Y1295"/>
    <mergeCell ref="AB1295:AF1295"/>
    <mergeCell ref="G1296:K1296"/>
    <mergeCell ref="N1296:R1296"/>
    <mergeCell ref="M1288:M1299"/>
    <mergeCell ref="T1288:T1299"/>
    <mergeCell ref="AA1288:AA1299"/>
    <mergeCell ref="G1294:K1294"/>
    <mergeCell ref="N1294:R1294"/>
    <mergeCell ref="U1294:Y1294"/>
    <mergeCell ref="AB1294:AF1294"/>
    <mergeCell ref="AB1298:AF1298"/>
    <mergeCell ref="G1299:K1299"/>
    <mergeCell ref="N1299:R1299"/>
    <mergeCell ref="G1298:K1298"/>
    <mergeCell ref="N1298:R1298"/>
    <mergeCell ref="U1298:Y1298"/>
    <mergeCell ref="AQ1275:AQ1279"/>
    <mergeCell ref="AR1275:AR1279"/>
    <mergeCell ref="AB1296:AF1296"/>
    <mergeCell ref="G1297:K1297"/>
    <mergeCell ref="N1297:R1297"/>
    <mergeCell ref="U1297:Y1297"/>
    <mergeCell ref="AB1297:AF1297"/>
    <mergeCell ref="AP1288:AP1292"/>
    <mergeCell ref="AQ1288:AQ1292"/>
    <mergeCell ref="AR1288:AR1292"/>
    <mergeCell ref="G1281:K1281"/>
    <mergeCell ref="N1281:R1281"/>
    <mergeCell ref="U1281:Y1281"/>
    <mergeCell ref="AB1281:AF1281"/>
    <mergeCell ref="AO1275:AO1279"/>
    <mergeCell ref="AP1275:AP1279"/>
    <mergeCell ref="AM1275:AM1279"/>
    <mergeCell ref="AN1275:AN1279"/>
    <mergeCell ref="G1284:K1284"/>
    <mergeCell ref="N1284:R1284"/>
    <mergeCell ref="U1284:Y1284"/>
    <mergeCell ref="AB1284:AF1284"/>
    <mergeCell ref="G1283:K1283"/>
    <mergeCell ref="N1283:R1283"/>
    <mergeCell ref="U1283:Y1283"/>
    <mergeCell ref="AB1283:AF1283"/>
    <mergeCell ref="AA1275:AA1286"/>
    <mergeCell ref="G1286:K1286"/>
    <mergeCell ref="N1286:R1286"/>
    <mergeCell ref="U1286:Y1286"/>
    <mergeCell ref="AK1275:AK1286"/>
    <mergeCell ref="AL1275:AL1286"/>
    <mergeCell ref="G1282:K1282"/>
    <mergeCell ref="N1282:R1282"/>
    <mergeCell ref="U1282:Y1282"/>
    <mergeCell ref="AB1282:AF1282"/>
    <mergeCell ref="AO1262:AO1266"/>
    <mergeCell ref="AP1262:AP1266"/>
    <mergeCell ref="AQ1262:AQ1266"/>
    <mergeCell ref="AR1262:AR1266"/>
    <mergeCell ref="G1285:K1285"/>
    <mergeCell ref="N1285:R1285"/>
    <mergeCell ref="U1285:Y1285"/>
    <mergeCell ref="AB1285:AF1285"/>
    <mergeCell ref="M1275:M1286"/>
    <mergeCell ref="T1275:T1286"/>
    <mergeCell ref="U1269:Y1269"/>
    <mergeCell ref="AB1269:AF1269"/>
    <mergeCell ref="G1268:K1268"/>
    <mergeCell ref="N1268:R1268"/>
    <mergeCell ref="U1268:Y1268"/>
    <mergeCell ref="AB1268:AF1268"/>
    <mergeCell ref="U1271:Y1271"/>
    <mergeCell ref="AL1262:AL1273"/>
    <mergeCell ref="U1273:Y1273"/>
    <mergeCell ref="AB1273:AF1273"/>
    <mergeCell ref="G1270:K1270"/>
    <mergeCell ref="N1270:R1270"/>
    <mergeCell ref="U1270:Y1270"/>
    <mergeCell ref="AB1270:AF1270"/>
    <mergeCell ref="G1269:K1269"/>
    <mergeCell ref="N1269:R1269"/>
    <mergeCell ref="AN1262:AN1266"/>
    <mergeCell ref="G1272:K1272"/>
    <mergeCell ref="N1272:R1272"/>
    <mergeCell ref="U1272:Y1272"/>
    <mergeCell ref="AB1272:AF1272"/>
    <mergeCell ref="M1262:M1273"/>
    <mergeCell ref="T1262:T1273"/>
    <mergeCell ref="AA1262:AA1273"/>
    <mergeCell ref="G1273:K1273"/>
    <mergeCell ref="N1273:R1273"/>
    <mergeCell ref="AJ1275:AJ1286"/>
    <mergeCell ref="B1249:B1260"/>
    <mergeCell ref="C1249:C1260"/>
    <mergeCell ref="D1249:D1260"/>
    <mergeCell ref="E1249:E1260"/>
    <mergeCell ref="M1249:M1260"/>
    <mergeCell ref="T1249:T1260"/>
    <mergeCell ref="AA1249:AA1260"/>
    <mergeCell ref="B1275:B1286"/>
    <mergeCell ref="C1275:C1286"/>
    <mergeCell ref="B1262:B1273"/>
    <mergeCell ref="C1262:C1273"/>
    <mergeCell ref="D1262:D1273"/>
    <mergeCell ref="E1262:E1273"/>
    <mergeCell ref="AB1286:AF1286"/>
    <mergeCell ref="AH1275:AH1286"/>
    <mergeCell ref="D1275:D1286"/>
    <mergeCell ref="E1275:E1286"/>
    <mergeCell ref="G1271:K1271"/>
    <mergeCell ref="N1271:R1271"/>
    <mergeCell ref="U1256:Y1256"/>
    <mergeCell ref="U1260:Y1260"/>
    <mergeCell ref="AB1260:AF1260"/>
    <mergeCell ref="AH1249:AH1260"/>
    <mergeCell ref="AJ1249:AJ1260"/>
    <mergeCell ref="AB1256:AF1256"/>
    <mergeCell ref="AO1249:AO1253"/>
    <mergeCell ref="G1260:K1260"/>
    <mergeCell ref="N1260:R1260"/>
    <mergeCell ref="AK1249:AK1260"/>
    <mergeCell ref="AB1271:AF1271"/>
    <mergeCell ref="AH1262:AH1273"/>
    <mergeCell ref="AJ1262:AJ1273"/>
    <mergeCell ref="AK1262:AK1273"/>
    <mergeCell ref="G1256:K1256"/>
    <mergeCell ref="N1256:R1256"/>
    <mergeCell ref="AP1249:AP1253"/>
    <mergeCell ref="AQ1249:AQ1253"/>
    <mergeCell ref="AR1249:AR1253"/>
    <mergeCell ref="G1255:K1255"/>
    <mergeCell ref="N1255:R1255"/>
    <mergeCell ref="U1255:Y1255"/>
    <mergeCell ref="AB1255:AF1255"/>
    <mergeCell ref="AL1249:AL1260"/>
    <mergeCell ref="AM1249:AM1253"/>
    <mergeCell ref="AN1249:AN1253"/>
    <mergeCell ref="U1258:Y1258"/>
    <mergeCell ref="AB1258:AF1258"/>
    <mergeCell ref="G1257:K1257"/>
    <mergeCell ref="N1257:R1257"/>
    <mergeCell ref="U1257:Y1257"/>
    <mergeCell ref="AB1257:AF1257"/>
    <mergeCell ref="AH1236:AH1247"/>
    <mergeCell ref="AJ1236:AJ1247"/>
    <mergeCell ref="AK1236:AK1247"/>
    <mergeCell ref="AL1236:AL1247"/>
    <mergeCell ref="G1259:K1259"/>
    <mergeCell ref="N1259:R1259"/>
    <mergeCell ref="U1259:Y1259"/>
    <mergeCell ref="AB1259:AF1259"/>
    <mergeCell ref="G1258:K1258"/>
    <mergeCell ref="N1258:R1258"/>
    <mergeCell ref="AQ1236:AQ1240"/>
    <mergeCell ref="AR1236:AR1240"/>
    <mergeCell ref="G1242:K1242"/>
    <mergeCell ref="N1242:R1242"/>
    <mergeCell ref="U1242:Y1242"/>
    <mergeCell ref="AB1242:AF1242"/>
    <mergeCell ref="AM1236:AM1240"/>
    <mergeCell ref="AN1236:AN1240"/>
    <mergeCell ref="AO1236:AO1240"/>
    <mergeCell ref="AP1236:AP1240"/>
    <mergeCell ref="U1244:Y1244"/>
    <mergeCell ref="AB1244:AF1244"/>
    <mergeCell ref="G1243:K1243"/>
    <mergeCell ref="N1243:R1243"/>
    <mergeCell ref="U1243:Y1243"/>
    <mergeCell ref="AB1243:AF1243"/>
    <mergeCell ref="T1236:T1247"/>
    <mergeCell ref="AA1236:AA1247"/>
    <mergeCell ref="G1246:K1246"/>
    <mergeCell ref="N1246:R1246"/>
    <mergeCell ref="U1246:Y1246"/>
    <mergeCell ref="AB1246:AF1246"/>
    <mergeCell ref="G1245:K1245"/>
    <mergeCell ref="N1245:R1245"/>
    <mergeCell ref="U1245:Y1245"/>
    <mergeCell ref="AB1245:AF1245"/>
    <mergeCell ref="U1247:Y1247"/>
    <mergeCell ref="AB1247:AF1247"/>
    <mergeCell ref="N1234:R1234"/>
    <mergeCell ref="U1234:Y1234"/>
    <mergeCell ref="AB1234:AF1234"/>
    <mergeCell ref="B1236:B1247"/>
    <mergeCell ref="C1236:C1247"/>
    <mergeCell ref="D1236:D1247"/>
    <mergeCell ref="E1236:E1247"/>
    <mergeCell ref="M1236:M1247"/>
    <mergeCell ref="B1223:B1234"/>
    <mergeCell ref="C1223:C1234"/>
    <mergeCell ref="D1223:D1234"/>
    <mergeCell ref="E1223:E1234"/>
    <mergeCell ref="G1247:K1247"/>
    <mergeCell ref="N1247:R1247"/>
    <mergeCell ref="G1244:K1244"/>
    <mergeCell ref="N1244:R1244"/>
    <mergeCell ref="AH1223:AH1234"/>
    <mergeCell ref="AJ1223:AJ1234"/>
    <mergeCell ref="AK1223:AK1234"/>
    <mergeCell ref="AL1223:AL1234"/>
    <mergeCell ref="M1223:M1234"/>
    <mergeCell ref="T1223:T1234"/>
    <mergeCell ref="AA1223:AA1234"/>
    <mergeCell ref="AQ1223:AQ1227"/>
    <mergeCell ref="AR1223:AR1227"/>
    <mergeCell ref="G1229:K1229"/>
    <mergeCell ref="N1229:R1229"/>
    <mergeCell ref="U1229:Y1229"/>
    <mergeCell ref="AB1229:AF1229"/>
    <mergeCell ref="AM1223:AM1227"/>
    <mergeCell ref="AN1223:AN1227"/>
    <mergeCell ref="AO1223:AO1227"/>
    <mergeCell ref="AP1223:AP1227"/>
    <mergeCell ref="G1231:K1231"/>
    <mergeCell ref="N1231:R1231"/>
    <mergeCell ref="U1231:Y1231"/>
    <mergeCell ref="AB1231:AF1231"/>
    <mergeCell ref="G1230:K1230"/>
    <mergeCell ref="N1230:R1230"/>
    <mergeCell ref="U1230:Y1230"/>
    <mergeCell ref="AB1230:AF1230"/>
    <mergeCell ref="G1233:K1233"/>
    <mergeCell ref="N1233:R1233"/>
    <mergeCell ref="U1233:Y1233"/>
    <mergeCell ref="AB1233:AF1233"/>
    <mergeCell ref="G1232:K1232"/>
    <mergeCell ref="N1232:R1232"/>
    <mergeCell ref="U1232:Y1232"/>
    <mergeCell ref="AB1232:AF1232"/>
    <mergeCell ref="G1234:K1234"/>
    <mergeCell ref="AK1002:AK1013"/>
    <mergeCell ref="AL1002:AL1013"/>
    <mergeCell ref="AM1002:AM1006"/>
    <mergeCell ref="AK1210:AK1221"/>
    <mergeCell ref="AL1210:AL1221"/>
    <mergeCell ref="AM1210:AM1214"/>
    <mergeCell ref="G1216:K1216"/>
    <mergeCell ref="N1216:R1216"/>
    <mergeCell ref="U1216:Y1216"/>
    <mergeCell ref="AA1210:AA1221"/>
    <mergeCell ref="AH1210:AH1221"/>
    <mergeCell ref="AJ1210:AJ1221"/>
    <mergeCell ref="AN1002:AN1006"/>
    <mergeCell ref="AO1002:AO1006"/>
    <mergeCell ref="AP1002:AP1006"/>
    <mergeCell ref="AB1220:AF1220"/>
    <mergeCell ref="AB1221:AF1221"/>
    <mergeCell ref="AM1125:AM1130"/>
    <mergeCell ref="AM1132:AM1136"/>
    <mergeCell ref="AN1210:AN1214"/>
    <mergeCell ref="AO1210:AO1214"/>
    <mergeCell ref="AP1210:AP1214"/>
    <mergeCell ref="AQ1210:AQ1214"/>
    <mergeCell ref="AR1002:AR1006"/>
    <mergeCell ref="B1210:B1221"/>
    <mergeCell ref="C1210:C1221"/>
    <mergeCell ref="D1210:D1221"/>
    <mergeCell ref="E1210:E1221"/>
    <mergeCell ref="M1210:M1221"/>
    <mergeCell ref="G1010:K1010"/>
    <mergeCell ref="N1010:R1010"/>
    <mergeCell ref="U1010:Y1010"/>
    <mergeCell ref="AB1010:AF1010"/>
    <mergeCell ref="AB1216:AF1216"/>
    <mergeCell ref="G1217:K1217"/>
    <mergeCell ref="N1217:R1217"/>
    <mergeCell ref="U1217:Y1217"/>
    <mergeCell ref="AB1217:AF1217"/>
    <mergeCell ref="T1210:T1221"/>
    <mergeCell ref="N1012:R1012"/>
    <mergeCell ref="U1012:Y1012"/>
    <mergeCell ref="AB1012:AF1012"/>
    <mergeCell ref="G1011:K1011"/>
    <mergeCell ref="N1011:R1011"/>
    <mergeCell ref="U1011:Y1011"/>
    <mergeCell ref="AB1011:AF1011"/>
    <mergeCell ref="U998:Y998"/>
    <mergeCell ref="G1221:K1221"/>
    <mergeCell ref="N1221:R1221"/>
    <mergeCell ref="U1221:Y1221"/>
    <mergeCell ref="G1013:K1013"/>
    <mergeCell ref="N1013:R1013"/>
    <mergeCell ref="U1013:Y1013"/>
    <mergeCell ref="G1219:K1219"/>
    <mergeCell ref="N1219:R1219"/>
    <mergeCell ref="U1219:Y1219"/>
    <mergeCell ref="G1220:K1220"/>
    <mergeCell ref="N1220:R1220"/>
    <mergeCell ref="U1220:Y1220"/>
    <mergeCell ref="AB1013:AF1013"/>
    <mergeCell ref="G1218:K1218"/>
    <mergeCell ref="N1218:R1218"/>
    <mergeCell ref="U1218:Y1218"/>
    <mergeCell ref="AB1218:AF1218"/>
    <mergeCell ref="G1022:K1022"/>
    <mergeCell ref="N1022:R1022"/>
    <mergeCell ref="AB999:AF999"/>
    <mergeCell ref="G1000:K1000"/>
    <mergeCell ref="N1000:R1000"/>
    <mergeCell ref="U1000:Y1000"/>
    <mergeCell ref="AB1000:AF1000"/>
    <mergeCell ref="AB1219:AF1219"/>
    <mergeCell ref="U1022:Y1022"/>
    <mergeCell ref="AB1022:AF1022"/>
    <mergeCell ref="G1023:K1023"/>
    <mergeCell ref="G1012:K1012"/>
    <mergeCell ref="AH1002:AH1013"/>
    <mergeCell ref="AO989:AO993"/>
    <mergeCell ref="AP989:AP993"/>
    <mergeCell ref="AQ989:AQ993"/>
    <mergeCell ref="AM995:AM1000"/>
    <mergeCell ref="AK989:AK1000"/>
    <mergeCell ref="AL989:AL1000"/>
    <mergeCell ref="AM989:AM993"/>
    <mergeCell ref="AN989:AN993"/>
    <mergeCell ref="AQ1002:AQ1006"/>
    <mergeCell ref="AB1009:AF1009"/>
    <mergeCell ref="AR1210:AR1214"/>
    <mergeCell ref="AR989:AR993"/>
    <mergeCell ref="B1002:B1013"/>
    <mergeCell ref="C1002:C1013"/>
    <mergeCell ref="D1002:D1013"/>
    <mergeCell ref="E1002:E1013"/>
    <mergeCell ref="M1002:M1013"/>
    <mergeCell ref="T1002:T1013"/>
    <mergeCell ref="AA1002:AA1013"/>
    <mergeCell ref="T989:T1000"/>
    <mergeCell ref="AA989:AA1000"/>
    <mergeCell ref="AJ1002:AJ1013"/>
    <mergeCell ref="G1008:K1008"/>
    <mergeCell ref="N1008:R1008"/>
    <mergeCell ref="U1008:Y1008"/>
    <mergeCell ref="AB1008:AF1008"/>
    <mergeCell ref="G1009:K1009"/>
    <mergeCell ref="N1009:R1009"/>
    <mergeCell ref="U1009:Y1009"/>
    <mergeCell ref="U996:Y996"/>
    <mergeCell ref="AB996:AF996"/>
    <mergeCell ref="AP976:AP980"/>
    <mergeCell ref="AQ976:AQ980"/>
    <mergeCell ref="AR976:AR980"/>
    <mergeCell ref="B989:B1000"/>
    <mergeCell ref="C989:C1000"/>
    <mergeCell ref="D989:D1000"/>
    <mergeCell ref="E989:E1000"/>
    <mergeCell ref="M989:M1000"/>
    <mergeCell ref="U997:Y997"/>
    <mergeCell ref="AB997:AF997"/>
    <mergeCell ref="AH989:AH1000"/>
    <mergeCell ref="AJ989:AJ1000"/>
    <mergeCell ref="G995:K995"/>
    <mergeCell ref="N995:R995"/>
    <mergeCell ref="U995:Y995"/>
    <mergeCell ref="AB995:AF995"/>
    <mergeCell ref="G996:K996"/>
    <mergeCell ref="N996:R996"/>
    <mergeCell ref="N982:R982"/>
    <mergeCell ref="G983:K983"/>
    <mergeCell ref="N983:R983"/>
    <mergeCell ref="G985:K985"/>
    <mergeCell ref="G997:K997"/>
    <mergeCell ref="N997:R997"/>
    <mergeCell ref="AK976:AK987"/>
    <mergeCell ref="AB973:AF973"/>
    <mergeCell ref="AK963:AK974"/>
    <mergeCell ref="AB998:AF998"/>
    <mergeCell ref="G999:K999"/>
    <mergeCell ref="N999:R999"/>
    <mergeCell ref="U999:Y999"/>
    <mergeCell ref="G998:K998"/>
    <mergeCell ref="N998:R998"/>
    <mergeCell ref="G984:K984"/>
    <mergeCell ref="AL976:AL987"/>
    <mergeCell ref="AM976:AM980"/>
    <mergeCell ref="AN976:AN980"/>
    <mergeCell ref="AO976:AO980"/>
    <mergeCell ref="AM982:AM987"/>
    <mergeCell ref="G974:K974"/>
    <mergeCell ref="N974:R974"/>
    <mergeCell ref="U974:Y974"/>
    <mergeCell ref="AB974:AF974"/>
    <mergeCell ref="U987:Y987"/>
    <mergeCell ref="B976:B987"/>
    <mergeCell ref="C976:C987"/>
    <mergeCell ref="D976:D987"/>
    <mergeCell ref="E976:E987"/>
    <mergeCell ref="AO963:AO967"/>
    <mergeCell ref="AP963:AP967"/>
    <mergeCell ref="AM969:AM974"/>
    <mergeCell ref="AL963:AL974"/>
    <mergeCell ref="AM963:AM967"/>
    <mergeCell ref="AN963:AN967"/>
    <mergeCell ref="AH976:AH987"/>
    <mergeCell ref="AJ976:AJ987"/>
    <mergeCell ref="U982:Y982"/>
    <mergeCell ref="AB982:AF982"/>
    <mergeCell ref="U983:Y983"/>
    <mergeCell ref="AB983:AF983"/>
    <mergeCell ref="U984:Y984"/>
    <mergeCell ref="AB984:AF984"/>
    <mergeCell ref="AB987:AF987"/>
    <mergeCell ref="AB985:AF985"/>
    <mergeCell ref="G986:K986"/>
    <mergeCell ref="N986:R986"/>
    <mergeCell ref="U986:Y986"/>
    <mergeCell ref="AB986:AF986"/>
    <mergeCell ref="T976:T987"/>
    <mergeCell ref="AA976:AA987"/>
    <mergeCell ref="N984:R984"/>
    <mergeCell ref="M976:M987"/>
    <mergeCell ref="G982:K982"/>
    <mergeCell ref="AQ950:AQ954"/>
    <mergeCell ref="AR950:AR954"/>
    <mergeCell ref="M963:M974"/>
    <mergeCell ref="T963:T974"/>
    <mergeCell ref="AA963:AA974"/>
    <mergeCell ref="AH963:AH974"/>
    <mergeCell ref="AJ963:AJ974"/>
    <mergeCell ref="AQ963:AQ967"/>
    <mergeCell ref="AR963:AR967"/>
    <mergeCell ref="AB970:AF970"/>
    <mergeCell ref="B963:B974"/>
    <mergeCell ref="C963:C974"/>
    <mergeCell ref="D963:D974"/>
    <mergeCell ref="E963:E974"/>
    <mergeCell ref="G987:K987"/>
    <mergeCell ref="N987:R987"/>
    <mergeCell ref="G969:K969"/>
    <mergeCell ref="N985:R985"/>
    <mergeCell ref="U985:Y985"/>
    <mergeCell ref="AB972:AF972"/>
    <mergeCell ref="G971:K971"/>
    <mergeCell ref="N971:R971"/>
    <mergeCell ref="U971:Y971"/>
    <mergeCell ref="AB971:AF971"/>
    <mergeCell ref="N969:R969"/>
    <mergeCell ref="U969:Y969"/>
    <mergeCell ref="AB969:AF969"/>
    <mergeCell ref="G970:K970"/>
    <mergeCell ref="N970:R970"/>
    <mergeCell ref="G961:K961"/>
    <mergeCell ref="N961:R961"/>
    <mergeCell ref="U961:Y961"/>
    <mergeCell ref="G972:K972"/>
    <mergeCell ref="N972:R972"/>
    <mergeCell ref="U972:Y972"/>
    <mergeCell ref="U970:Y970"/>
    <mergeCell ref="AK950:AK961"/>
    <mergeCell ref="AL950:AL961"/>
    <mergeCell ref="AM950:AM954"/>
    <mergeCell ref="AN950:AN954"/>
    <mergeCell ref="AM956:AM961"/>
    <mergeCell ref="G973:K973"/>
    <mergeCell ref="N973:R973"/>
    <mergeCell ref="U973:Y973"/>
    <mergeCell ref="N959:R959"/>
    <mergeCell ref="U959:Y959"/>
    <mergeCell ref="U946:Y946"/>
    <mergeCell ref="AO950:AO954"/>
    <mergeCell ref="AP950:AP954"/>
    <mergeCell ref="AK937:AK948"/>
    <mergeCell ref="AL937:AL948"/>
    <mergeCell ref="AM937:AM941"/>
    <mergeCell ref="AN937:AN941"/>
    <mergeCell ref="AO937:AO941"/>
    <mergeCell ref="AP937:AP941"/>
    <mergeCell ref="AM943:AM948"/>
    <mergeCell ref="N948:R948"/>
    <mergeCell ref="U948:Y948"/>
    <mergeCell ref="AB948:AF948"/>
    <mergeCell ref="AB946:AF946"/>
    <mergeCell ref="G947:K947"/>
    <mergeCell ref="N947:R947"/>
    <mergeCell ref="U947:Y947"/>
    <mergeCell ref="AB947:AF947"/>
    <mergeCell ref="G946:K946"/>
    <mergeCell ref="N946:R946"/>
    <mergeCell ref="AB959:AF959"/>
    <mergeCell ref="G960:K960"/>
    <mergeCell ref="N960:R960"/>
    <mergeCell ref="U960:Y960"/>
    <mergeCell ref="AB960:AF960"/>
    <mergeCell ref="AB944:AF944"/>
    <mergeCell ref="G945:K945"/>
    <mergeCell ref="N945:R945"/>
    <mergeCell ref="U945:Y945"/>
    <mergeCell ref="AB945:AF945"/>
    <mergeCell ref="AB961:AF961"/>
    <mergeCell ref="B950:B961"/>
    <mergeCell ref="C950:C961"/>
    <mergeCell ref="D950:D961"/>
    <mergeCell ref="E950:E961"/>
    <mergeCell ref="M950:M961"/>
    <mergeCell ref="T950:T961"/>
    <mergeCell ref="AA950:AA961"/>
    <mergeCell ref="G958:K958"/>
    <mergeCell ref="N958:R958"/>
    <mergeCell ref="AH950:AH961"/>
    <mergeCell ref="AJ950:AJ961"/>
    <mergeCell ref="G956:K956"/>
    <mergeCell ref="N956:R956"/>
    <mergeCell ref="U956:Y956"/>
    <mergeCell ref="AB956:AF956"/>
    <mergeCell ref="G957:K957"/>
    <mergeCell ref="N957:R957"/>
    <mergeCell ref="U957:Y957"/>
    <mergeCell ref="AB957:AF957"/>
    <mergeCell ref="U958:Y958"/>
    <mergeCell ref="AB958:AF958"/>
    <mergeCell ref="G959:K959"/>
    <mergeCell ref="U934:Y934"/>
    <mergeCell ref="AB934:AF934"/>
    <mergeCell ref="G935:K935"/>
    <mergeCell ref="N935:R935"/>
    <mergeCell ref="U935:Y935"/>
    <mergeCell ref="AB935:AF935"/>
    <mergeCell ref="M937:M948"/>
    <mergeCell ref="B937:B948"/>
    <mergeCell ref="C937:C948"/>
    <mergeCell ref="D937:D948"/>
    <mergeCell ref="E937:E948"/>
    <mergeCell ref="AO924:AO928"/>
    <mergeCell ref="AP924:AP928"/>
    <mergeCell ref="AK924:AK935"/>
    <mergeCell ref="AL924:AL935"/>
    <mergeCell ref="AM924:AM928"/>
    <mergeCell ref="AN924:AN928"/>
    <mergeCell ref="G943:K943"/>
    <mergeCell ref="N943:R943"/>
    <mergeCell ref="U943:Y943"/>
    <mergeCell ref="AB943:AF943"/>
    <mergeCell ref="G944:K944"/>
    <mergeCell ref="N944:R944"/>
    <mergeCell ref="U944:Y944"/>
    <mergeCell ref="T937:T948"/>
    <mergeCell ref="AA937:AA948"/>
    <mergeCell ref="G948:K948"/>
    <mergeCell ref="AQ937:AQ941"/>
    <mergeCell ref="AR937:AR941"/>
    <mergeCell ref="AP911:AP915"/>
    <mergeCell ref="AQ911:AQ915"/>
    <mergeCell ref="AR911:AR915"/>
    <mergeCell ref="AH937:AH948"/>
    <mergeCell ref="AJ937:AJ948"/>
    <mergeCell ref="AQ924:AQ928"/>
    <mergeCell ref="AR924:AR928"/>
    <mergeCell ref="AM930:AM935"/>
    <mergeCell ref="AH924:AH935"/>
    <mergeCell ref="N932:R932"/>
    <mergeCell ref="U932:Y932"/>
    <mergeCell ref="AB932:AF932"/>
    <mergeCell ref="B924:B935"/>
    <mergeCell ref="C924:C935"/>
    <mergeCell ref="D924:D935"/>
    <mergeCell ref="E924:E935"/>
    <mergeCell ref="AJ924:AJ935"/>
    <mergeCell ref="G930:K930"/>
    <mergeCell ref="N930:R930"/>
    <mergeCell ref="U930:Y930"/>
    <mergeCell ref="AB930:AF930"/>
    <mergeCell ref="G931:K931"/>
    <mergeCell ref="N931:R931"/>
    <mergeCell ref="U931:Y931"/>
    <mergeCell ref="AB931:AF931"/>
    <mergeCell ref="G932:K932"/>
    <mergeCell ref="G920:K920"/>
    <mergeCell ref="N920:R920"/>
    <mergeCell ref="G922:K922"/>
    <mergeCell ref="N922:R922"/>
    <mergeCell ref="G933:K933"/>
    <mergeCell ref="N933:R933"/>
    <mergeCell ref="M924:M935"/>
    <mergeCell ref="G921:K921"/>
    <mergeCell ref="N921:R921"/>
    <mergeCell ref="U921:Y921"/>
    <mergeCell ref="AB921:AF921"/>
    <mergeCell ref="G934:K934"/>
    <mergeCell ref="N934:R934"/>
    <mergeCell ref="U933:Y933"/>
    <mergeCell ref="AB933:AF933"/>
    <mergeCell ref="T924:T935"/>
    <mergeCell ref="AA924:AA935"/>
    <mergeCell ref="AJ898:AJ909"/>
    <mergeCell ref="U922:Y922"/>
    <mergeCell ref="AB922:AF922"/>
    <mergeCell ref="AK911:AK922"/>
    <mergeCell ref="AL911:AL922"/>
    <mergeCell ref="U920:Y920"/>
    <mergeCell ref="AB920:AF920"/>
    <mergeCell ref="U904:Y904"/>
    <mergeCell ref="AB904:AF904"/>
    <mergeCell ref="AN911:AN915"/>
    <mergeCell ref="AO911:AO915"/>
    <mergeCell ref="AB909:AF909"/>
    <mergeCell ref="AK898:AK909"/>
    <mergeCell ref="AL898:AL909"/>
    <mergeCell ref="AM898:AM902"/>
    <mergeCell ref="AN898:AN902"/>
    <mergeCell ref="AO898:AO902"/>
    <mergeCell ref="U906:Y906"/>
    <mergeCell ref="AB906:AF906"/>
    <mergeCell ref="G905:K905"/>
    <mergeCell ref="N905:R905"/>
    <mergeCell ref="U905:Y905"/>
    <mergeCell ref="AB905:AF905"/>
    <mergeCell ref="AH911:AH922"/>
    <mergeCell ref="AJ911:AJ922"/>
    <mergeCell ref="G906:K906"/>
    <mergeCell ref="N906:R906"/>
    <mergeCell ref="AP898:AP902"/>
    <mergeCell ref="AQ898:AQ902"/>
    <mergeCell ref="M898:M909"/>
    <mergeCell ref="T898:T909"/>
    <mergeCell ref="AA898:AA909"/>
    <mergeCell ref="AH898:AH909"/>
    <mergeCell ref="U917:Y917"/>
    <mergeCell ref="AB917:AF917"/>
    <mergeCell ref="AR898:AR902"/>
    <mergeCell ref="B911:B922"/>
    <mergeCell ref="C911:C922"/>
    <mergeCell ref="D911:D922"/>
    <mergeCell ref="E911:E922"/>
    <mergeCell ref="M911:M922"/>
    <mergeCell ref="T911:T922"/>
    <mergeCell ref="AA911:AA922"/>
    <mergeCell ref="U919:Y919"/>
    <mergeCell ref="AB919:AF919"/>
    <mergeCell ref="G918:K918"/>
    <mergeCell ref="N918:R918"/>
    <mergeCell ref="U918:Y918"/>
    <mergeCell ref="AB918:AF918"/>
    <mergeCell ref="B898:B909"/>
    <mergeCell ref="C898:C909"/>
    <mergeCell ref="D898:D909"/>
    <mergeCell ref="E898:E909"/>
    <mergeCell ref="G919:K919"/>
    <mergeCell ref="N919:R919"/>
    <mergeCell ref="G917:K917"/>
    <mergeCell ref="N917:R917"/>
    <mergeCell ref="G904:K904"/>
    <mergeCell ref="N904:R904"/>
    <mergeCell ref="G908:K908"/>
    <mergeCell ref="N908:R908"/>
    <mergeCell ref="U908:Y908"/>
    <mergeCell ref="AB908:AF908"/>
    <mergeCell ref="G907:K907"/>
    <mergeCell ref="N907:R907"/>
    <mergeCell ref="U907:Y907"/>
    <mergeCell ref="AB907:AF907"/>
    <mergeCell ref="AL885:AL896"/>
    <mergeCell ref="AJ885:AJ896"/>
    <mergeCell ref="G909:K909"/>
    <mergeCell ref="N909:R909"/>
    <mergeCell ref="U909:Y909"/>
    <mergeCell ref="AB894:AF894"/>
    <mergeCell ref="G895:K895"/>
    <mergeCell ref="N895:R895"/>
    <mergeCell ref="U895:Y895"/>
    <mergeCell ref="AB895:AF895"/>
    <mergeCell ref="AR885:AR889"/>
    <mergeCell ref="AM872:AM876"/>
    <mergeCell ref="AN872:AN876"/>
    <mergeCell ref="AO872:AO876"/>
    <mergeCell ref="AP872:AP876"/>
    <mergeCell ref="AQ872:AQ876"/>
    <mergeCell ref="AR872:AR876"/>
    <mergeCell ref="AM885:AM889"/>
    <mergeCell ref="AN885:AN889"/>
    <mergeCell ref="AO885:AO889"/>
    <mergeCell ref="AH885:AH896"/>
    <mergeCell ref="B885:B896"/>
    <mergeCell ref="C885:C896"/>
    <mergeCell ref="D885:D896"/>
    <mergeCell ref="E885:E896"/>
    <mergeCell ref="AQ885:AQ889"/>
    <mergeCell ref="AP885:AP889"/>
    <mergeCell ref="U896:Y896"/>
    <mergeCell ref="AB896:AF896"/>
    <mergeCell ref="AK885:AK896"/>
    <mergeCell ref="G891:K891"/>
    <mergeCell ref="N891:R891"/>
    <mergeCell ref="U891:Y891"/>
    <mergeCell ref="AB891:AF891"/>
    <mergeCell ref="M885:M896"/>
    <mergeCell ref="T885:T896"/>
    <mergeCell ref="AA885:AA896"/>
    <mergeCell ref="G896:K896"/>
    <mergeCell ref="N896:R896"/>
    <mergeCell ref="N893:R893"/>
    <mergeCell ref="U893:Y893"/>
    <mergeCell ref="AB893:AF893"/>
    <mergeCell ref="G892:K892"/>
    <mergeCell ref="N892:R892"/>
    <mergeCell ref="U892:Y892"/>
    <mergeCell ref="AB892:AF892"/>
    <mergeCell ref="G880:K880"/>
    <mergeCell ref="G894:K894"/>
    <mergeCell ref="N894:R894"/>
    <mergeCell ref="U894:Y894"/>
    <mergeCell ref="N880:R880"/>
    <mergeCell ref="U880:Y880"/>
    <mergeCell ref="G882:K882"/>
    <mergeCell ref="N882:R882"/>
    <mergeCell ref="U882:Y882"/>
    <mergeCell ref="G893:K893"/>
    <mergeCell ref="AB882:AF882"/>
    <mergeCell ref="G883:K883"/>
    <mergeCell ref="N883:R883"/>
    <mergeCell ref="U883:Y883"/>
    <mergeCell ref="AB883:AF883"/>
    <mergeCell ref="AB880:AF880"/>
    <mergeCell ref="G881:K881"/>
    <mergeCell ref="N881:R881"/>
    <mergeCell ref="U881:Y881"/>
    <mergeCell ref="AB881:AF881"/>
    <mergeCell ref="U870:Y870"/>
    <mergeCell ref="AB870:AF870"/>
    <mergeCell ref="AK859:AK870"/>
    <mergeCell ref="AL859:AL870"/>
    <mergeCell ref="G878:K878"/>
    <mergeCell ref="N878:R878"/>
    <mergeCell ref="AN859:AN863"/>
    <mergeCell ref="AO859:AO863"/>
    <mergeCell ref="AP859:AP863"/>
    <mergeCell ref="AQ859:AQ863"/>
    <mergeCell ref="AK872:AK883"/>
    <mergeCell ref="AL872:AL883"/>
    <mergeCell ref="AM859:AM863"/>
    <mergeCell ref="AR859:AR863"/>
    <mergeCell ref="B872:B883"/>
    <mergeCell ref="C872:C883"/>
    <mergeCell ref="D872:D883"/>
    <mergeCell ref="E872:E883"/>
    <mergeCell ref="M872:M883"/>
    <mergeCell ref="T872:T883"/>
    <mergeCell ref="AA872:AA883"/>
    <mergeCell ref="AH872:AH883"/>
    <mergeCell ref="AJ872:AJ883"/>
    <mergeCell ref="AH859:AH870"/>
    <mergeCell ref="AJ859:AJ870"/>
    <mergeCell ref="U878:Y878"/>
    <mergeCell ref="AB878:AF878"/>
    <mergeCell ref="G879:K879"/>
    <mergeCell ref="N879:R879"/>
    <mergeCell ref="U879:Y879"/>
    <mergeCell ref="AB879:AF879"/>
    <mergeCell ref="G870:K870"/>
    <mergeCell ref="N870:R870"/>
    <mergeCell ref="G865:K865"/>
    <mergeCell ref="N865:R865"/>
    <mergeCell ref="U865:Y865"/>
    <mergeCell ref="AB865:AF865"/>
    <mergeCell ref="AR846:AR850"/>
    <mergeCell ref="B859:B870"/>
    <mergeCell ref="C859:C870"/>
    <mergeCell ref="D859:D870"/>
    <mergeCell ref="E859:E870"/>
    <mergeCell ref="M859:M870"/>
    <mergeCell ref="G867:K867"/>
    <mergeCell ref="N867:R867"/>
    <mergeCell ref="U867:Y867"/>
    <mergeCell ref="AB867:AF867"/>
    <mergeCell ref="G866:K866"/>
    <mergeCell ref="N866:R866"/>
    <mergeCell ref="U866:Y866"/>
    <mergeCell ref="AB866:AF866"/>
    <mergeCell ref="T859:T870"/>
    <mergeCell ref="AA859:AA870"/>
    <mergeCell ref="G869:K869"/>
    <mergeCell ref="N869:R869"/>
    <mergeCell ref="U869:Y869"/>
    <mergeCell ref="AB869:AF869"/>
    <mergeCell ref="G868:K868"/>
    <mergeCell ref="N868:R868"/>
    <mergeCell ref="U868:Y868"/>
    <mergeCell ref="AB868:AF868"/>
    <mergeCell ref="U855:Y855"/>
    <mergeCell ref="AB855:AF855"/>
    <mergeCell ref="AN846:AN850"/>
    <mergeCell ref="AO846:AO850"/>
    <mergeCell ref="AK846:AK857"/>
    <mergeCell ref="AH846:AH857"/>
    <mergeCell ref="AJ846:AJ857"/>
    <mergeCell ref="AB852:AF852"/>
    <mergeCell ref="AB853:AF853"/>
    <mergeCell ref="U854:Y854"/>
    <mergeCell ref="AP846:AP850"/>
    <mergeCell ref="AQ846:AQ850"/>
    <mergeCell ref="AL833:AL844"/>
    <mergeCell ref="AM833:AM837"/>
    <mergeCell ref="AN833:AN837"/>
    <mergeCell ref="AO833:AO837"/>
    <mergeCell ref="AP833:AP837"/>
    <mergeCell ref="AQ833:AQ837"/>
    <mergeCell ref="AL846:AL857"/>
    <mergeCell ref="U840:Y840"/>
    <mergeCell ref="AB840:AF840"/>
    <mergeCell ref="G844:K844"/>
    <mergeCell ref="N844:R844"/>
    <mergeCell ref="U844:Y844"/>
    <mergeCell ref="AB844:AF844"/>
    <mergeCell ref="G843:K843"/>
    <mergeCell ref="N843:R843"/>
    <mergeCell ref="U843:Y843"/>
    <mergeCell ref="AB843:AF843"/>
    <mergeCell ref="U839:Y839"/>
    <mergeCell ref="AB839:AF839"/>
    <mergeCell ref="G840:K840"/>
    <mergeCell ref="AK833:AK844"/>
    <mergeCell ref="N841:R841"/>
    <mergeCell ref="U841:Y841"/>
    <mergeCell ref="AB841:AF841"/>
    <mergeCell ref="AH833:AH844"/>
    <mergeCell ref="AJ833:AJ844"/>
    <mergeCell ref="N840:R840"/>
    <mergeCell ref="N853:R853"/>
    <mergeCell ref="U853:Y853"/>
    <mergeCell ref="G854:K854"/>
    <mergeCell ref="N854:R854"/>
    <mergeCell ref="G842:K842"/>
    <mergeCell ref="N842:R842"/>
    <mergeCell ref="U842:Y842"/>
    <mergeCell ref="T846:T857"/>
    <mergeCell ref="AA846:AA857"/>
    <mergeCell ref="G852:K852"/>
    <mergeCell ref="N852:R852"/>
    <mergeCell ref="G841:K841"/>
    <mergeCell ref="G856:K856"/>
    <mergeCell ref="N856:R856"/>
    <mergeCell ref="U856:Y856"/>
    <mergeCell ref="U852:Y852"/>
    <mergeCell ref="G853:K853"/>
    <mergeCell ref="B846:B857"/>
    <mergeCell ref="C846:C857"/>
    <mergeCell ref="D846:D857"/>
    <mergeCell ref="E846:E857"/>
    <mergeCell ref="AB856:AF856"/>
    <mergeCell ref="G857:K857"/>
    <mergeCell ref="N857:R857"/>
    <mergeCell ref="U857:Y857"/>
    <mergeCell ref="AB857:AF857"/>
    <mergeCell ref="M846:M857"/>
    <mergeCell ref="AB854:AF854"/>
    <mergeCell ref="G855:K855"/>
    <mergeCell ref="N855:R855"/>
    <mergeCell ref="AB830:AF830"/>
    <mergeCell ref="G831:K831"/>
    <mergeCell ref="N831:R831"/>
    <mergeCell ref="U831:Y831"/>
    <mergeCell ref="AB831:AF831"/>
    <mergeCell ref="M833:M844"/>
    <mergeCell ref="T833:T844"/>
    <mergeCell ref="AQ820:AQ824"/>
    <mergeCell ref="AR820:AR824"/>
    <mergeCell ref="AK820:AK831"/>
    <mergeCell ref="AL820:AL831"/>
    <mergeCell ref="AM820:AM824"/>
    <mergeCell ref="AN820:AN824"/>
    <mergeCell ref="B833:B844"/>
    <mergeCell ref="C833:C844"/>
    <mergeCell ref="D833:D844"/>
    <mergeCell ref="E833:E844"/>
    <mergeCell ref="AO820:AO824"/>
    <mergeCell ref="AP820:AP824"/>
    <mergeCell ref="AB842:AF842"/>
    <mergeCell ref="AA833:AA844"/>
    <mergeCell ref="G839:K839"/>
    <mergeCell ref="N839:R839"/>
    <mergeCell ref="AR833:AR837"/>
    <mergeCell ref="AQ807:AQ811"/>
    <mergeCell ref="AR807:AR811"/>
    <mergeCell ref="B820:B831"/>
    <mergeCell ref="C820:C831"/>
    <mergeCell ref="D820:D831"/>
    <mergeCell ref="E820:E831"/>
    <mergeCell ref="M820:M831"/>
    <mergeCell ref="T820:T831"/>
    <mergeCell ref="AA820:AA831"/>
    <mergeCell ref="AH820:AH831"/>
    <mergeCell ref="AJ820:AJ831"/>
    <mergeCell ref="G826:K826"/>
    <mergeCell ref="N826:R826"/>
    <mergeCell ref="U826:Y826"/>
    <mergeCell ref="AB826:AF826"/>
    <mergeCell ref="G827:K827"/>
    <mergeCell ref="N827:R827"/>
    <mergeCell ref="U827:Y827"/>
    <mergeCell ref="AB827:AF827"/>
    <mergeCell ref="U818:Y818"/>
    <mergeCell ref="G829:K829"/>
    <mergeCell ref="N829:R829"/>
    <mergeCell ref="U829:Y829"/>
    <mergeCell ref="AB829:AF829"/>
    <mergeCell ref="G828:K828"/>
    <mergeCell ref="N828:R828"/>
    <mergeCell ref="U828:Y828"/>
    <mergeCell ref="AB828:AF828"/>
    <mergeCell ref="U817:Y817"/>
    <mergeCell ref="AB817:AF817"/>
    <mergeCell ref="G816:K816"/>
    <mergeCell ref="G830:K830"/>
    <mergeCell ref="N830:R830"/>
    <mergeCell ref="U830:Y830"/>
    <mergeCell ref="N816:R816"/>
    <mergeCell ref="U816:Y816"/>
    <mergeCell ref="G818:K818"/>
    <mergeCell ref="N818:R818"/>
    <mergeCell ref="AB818:AF818"/>
    <mergeCell ref="AK807:AK818"/>
    <mergeCell ref="AL807:AL818"/>
    <mergeCell ref="AM807:AM811"/>
    <mergeCell ref="AM813:AM818"/>
    <mergeCell ref="AJ807:AJ818"/>
    <mergeCell ref="AB816:AF816"/>
    <mergeCell ref="AN807:AN811"/>
    <mergeCell ref="AO807:AO811"/>
    <mergeCell ref="AP807:AP811"/>
    <mergeCell ref="AK794:AK805"/>
    <mergeCell ref="AL794:AL805"/>
    <mergeCell ref="AM794:AM798"/>
    <mergeCell ref="AN794:AN798"/>
    <mergeCell ref="AO794:AO798"/>
    <mergeCell ref="AP794:AP798"/>
    <mergeCell ref="AM800:AM805"/>
    <mergeCell ref="AB805:AF805"/>
    <mergeCell ref="AB803:AF803"/>
    <mergeCell ref="G804:K804"/>
    <mergeCell ref="N804:R804"/>
    <mergeCell ref="U804:Y804"/>
    <mergeCell ref="AB804:AF804"/>
    <mergeCell ref="G803:K803"/>
    <mergeCell ref="N803:R803"/>
    <mergeCell ref="U803:Y803"/>
    <mergeCell ref="B807:B818"/>
    <mergeCell ref="C807:C818"/>
    <mergeCell ref="D807:D818"/>
    <mergeCell ref="E807:E818"/>
    <mergeCell ref="M807:M818"/>
    <mergeCell ref="T807:T818"/>
    <mergeCell ref="G817:K817"/>
    <mergeCell ref="N817:R817"/>
    <mergeCell ref="G813:K813"/>
    <mergeCell ref="N813:R813"/>
    <mergeCell ref="U813:Y813"/>
    <mergeCell ref="AB813:AF813"/>
    <mergeCell ref="AQ794:AQ798"/>
    <mergeCell ref="AR794:AR798"/>
    <mergeCell ref="AA807:AA818"/>
    <mergeCell ref="AH807:AH818"/>
    <mergeCell ref="G805:K805"/>
    <mergeCell ref="N805:R805"/>
    <mergeCell ref="G815:K815"/>
    <mergeCell ref="N815:R815"/>
    <mergeCell ref="U815:Y815"/>
    <mergeCell ref="AB815:AF815"/>
    <mergeCell ref="G814:K814"/>
    <mergeCell ref="N814:R814"/>
    <mergeCell ref="U814:Y814"/>
    <mergeCell ref="AB814:AF814"/>
    <mergeCell ref="G791:K791"/>
    <mergeCell ref="N791:R791"/>
    <mergeCell ref="U791:Y791"/>
    <mergeCell ref="AB791:AF791"/>
    <mergeCell ref="AB801:AF801"/>
    <mergeCell ref="G802:K802"/>
    <mergeCell ref="N802:R802"/>
    <mergeCell ref="U802:Y802"/>
    <mergeCell ref="AB802:AF802"/>
    <mergeCell ref="M794:M805"/>
    <mergeCell ref="U792:Y792"/>
    <mergeCell ref="AB792:AF792"/>
    <mergeCell ref="M781:M792"/>
    <mergeCell ref="T781:T792"/>
    <mergeCell ref="AA781:AA792"/>
    <mergeCell ref="N789:R789"/>
    <mergeCell ref="U789:Y789"/>
    <mergeCell ref="AB789:AF789"/>
    <mergeCell ref="B794:B805"/>
    <mergeCell ref="C794:C805"/>
    <mergeCell ref="D794:D805"/>
    <mergeCell ref="E794:E805"/>
    <mergeCell ref="AN781:AN785"/>
    <mergeCell ref="AO781:AO785"/>
    <mergeCell ref="AJ781:AJ792"/>
    <mergeCell ref="AK781:AK792"/>
    <mergeCell ref="AL781:AL792"/>
    <mergeCell ref="AM781:AM785"/>
    <mergeCell ref="G800:K800"/>
    <mergeCell ref="N800:R800"/>
    <mergeCell ref="U800:Y800"/>
    <mergeCell ref="AB800:AF800"/>
    <mergeCell ref="G801:K801"/>
    <mergeCell ref="N801:R801"/>
    <mergeCell ref="U801:Y801"/>
    <mergeCell ref="T794:T805"/>
    <mergeCell ref="AA794:AA805"/>
    <mergeCell ref="U805:Y805"/>
    <mergeCell ref="AP768:AP772"/>
    <mergeCell ref="AQ768:AQ772"/>
    <mergeCell ref="AR768:AR772"/>
    <mergeCell ref="AR781:AR785"/>
    <mergeCell ref="AH794:AH805"/>
    <mergeCell ref="AJ794:AJ805"/>
    <mergeCell ref="AP781:AP785"/>
    <mergeCell ref="AQ781:AQ785"/>
    <mergeCell ref="N788:R788"/>
    <mergeCell ref="U788:Y788"/>
    <mergeCell ref="AB788:AF788"/>
    <mergeCell ref="G789:K789"/>
    <mergeCell ref="B781:B792"/>
    <mergeCell ref="C781:C792"/>
    <mergeCell ref="D781:D792"/>
    <mergeCell ref="E781:E792"/>
    <mergeCell ref="G792:K792"/>
    <mergeCell ref="N792:R792"/>
    <mergeCell ref="G790:K790"/>
    <mergeCell ref="N790:R790"/>
    <mergeCell ref="U790:Y790"/>
    <mergeCell ref="AB790:AF790"/>
    <mergeCell ref="AH781:AH792"/>
    <mergeCell ref="G787:K787"/>
    <mergeCell ref="N787:R787"/>
    <mergeCell ref="U787:Y787"/>
    <mergeCell ref="AB787:AF787"/>
    <mergeCell ref="G788:K788"/>
    <mergeCell ref="U778:Y778"/>
    <mergeCell ref="AB778:AF778"/>
    <mergeCell ref="G777:K777"/>
    <mergeCell ref="N777:R777"/>
    <mergeCell ref="U777:Y777"/>
    <mergeCell ref="AB777:AF777"/>
    <mergeCell ref="AK768:AK779"/>
    <mergeCell ref="AL768:AL779"/>
    <mergeCell ref="AM768:AM772"/>
    <mergeCell ref="AN768:AN772"/>
    <mergeCell ref="G779:K779"/>
    <mergeCell ref="N779:R779"/>
    <mergeCell ref="U779:Y779"/>
    <mergeCell ref="AB779:AF779"/>
    <mergeCell ref="G778:K778"/>
    <mergeCell ref="N778:R778"/>
    <mergeCell ref="AO768:AO772"/>
    <mergeCell ref="AB766:AF766"/>
    <mergeCell ref="AK755:AK766"/>
    <mergeCell ref="AL755:AL766"/>
    <mergeCell ref="AM755:AM759"/>
    <mergeCell ref="AN755:AN759"/>
    <mergeCell ref="AO755:AO759"/>
    <mergeCell ref="AJ755:AJ766"/>
    <mergeCell ref="AH768:AH779"/>
    <mergeCell ref="AJ768:AJ779"/>
    <mergeCell ref="G762:K762"/>
    <mergeCell ref="N762:R762"/>
    <mergeCell ref="U762:Y762"/>
    <mergeCell ref="AB762:AF762"/>
    <mergeCell ref="G761:K761"/>
    <mergeCell ref="N761:R761"/>
    <mergeCell ref="U761:Y761"/>
    <mergeCell ref="AB761:AF761"/>
    <mergeCell ref="AR755:AR759"/>
    <mergeCell ref="B768:B779"/>
    <mergeCell ref="C768:C779"/>
    <mergeCell ref="D768:D779"/>
    <mergeCell ref="E768:E779"/>
    <mergeCell ref="M768:M779"/>
    <mergeCell ref="T768:T779"/>
    <mergeCell ref="AA768:AA779"/>
    <mergeCell ref="G763:K763"/>
    <mergeCell ref="N763:R763"/>
    <mergeCell ref="G774:K774"/>
    <mergeCell ref="N774:R774"/>
    <mergeCell ref="U774:Y774"/>
    <mergeCell ref="AB774:AF774"/>
    <mergeCell ref="AP755:AP759"/>
    <mergeCell ref="AQ755:AQ759"/>
    <mergeCell ref="U763:Y763"/>
    <mergeCell ref="AB763:AF763"/>
    <mergeCell ref="M755:M766"/>
    <mergeCell ref="T755:T766"/>
    <mergeCell ref="G776:K776"/>
    <mergeCell ref="N776:R776"/>
    <mergeCell ref="U776:Y776"/>
    <mergeCell ref="AB776:AF776"/>
    <mergeCell ref="G775:K775"/>
    <mergeCell ref="N775:R775"/>
    <mergeCell ref="U775:Y775"/>
    <mergeCell ref="AB775:AF775"/>
    <mergeCell ref="U765:Y765"/>
    <mergeCell ref="AB765:AF765"/>
    <mergeCell ref="G766:K766"/>
    <mergeCell ref="B755:B766"/>
    <mergeCell ref="C755:C766"/>
    <mergeCell ref="D755:D766"/>
    <mergeCell ref="E755:E766"/>
    <mergeCell ref="AA755:AA766"/>
    <mergeCell ref="N766:R766"/>
    <mergeCell ref="U766:Y766"/>
    <mergeCell ref="N752:R752"/>
    <mergeCell ref="U752:Y752"/>
    <mergeCell ref="AB752:AF752"/>
    <mergeCell ref="AH755:AH766"/>
    <mergeCell ref="G764:K764"/>
    <mergeCell ref="N764:R764"/>
    <mergeCell ref="U764:Y764"/>
    <mergeCell ref="AB764:AF764"/>
    <mergeCell ref="G765:K765"/>
    <mergeCell ref="N765:R765"/>
    <mergeCell ref="AR742:AR746"/>
    <mergeCell ref="AK742:AK753"/>
    <mergeCell ref="AL742:AL753"/>
    <mergeCell ref="AM742:AM746"/>
    <mergeCell ref="AN742:AN746"/>
    <mergeCell ref="G753:K753"/>
    <mergeCell ref="N753:R753"/>
    <mergeCell ref="U753:Y753"/>
    <mergeCell ref="AB753:AF753"/>
    <mergeCell ref="G752:K752"/>
    <mergeCell ref="AN729:AN733"/>
    <mergeCell ref="AO729:AO733"/>
    <mergeCell ref="AP729:AP733"/>
    <mergeCell ref="AQ729:AQ733"/>
    <mergeCell ref="AO742:AO746"/>
    <mergeCell ref="AP742:AP746"/>
    <mergeCell ref="AQ742:AQ746"/>
    <mergeCell ref="AR729:AR733"/>
    <mergeCell ref="B742:B753"/>
    <mergeCell ref="C742:C753"/>
    <mergeCell ref="D742:D753"/>
    <mergeCell ref="E742:E753"/>
    <mergeCell ref="M742:M753"/>
    <mergeCell ref="T742:T753"/>
    <mergeCell ref="AA742:AA753"/>
    <mergeCell ref="AH742:AH753"/>
    <mergeCell ref="AJ742:AJ753"/>
    <mergeCell ref="G749:K749"/>
    <mergeCell ref="N749:R749"/>
    <mergeCell ref="U749:Y749"/>
    <mergeCell ref="AB749:AF749"/>
    <mergeCell ref="G748:K748"/>
    <mergeCell ref="N748:R748"/>
    <mergeCell ref="U748:Y748"/>
    <mergeCell ref="AB748:AF748"/>
    <mergeCell ref="G737:K737"/>
    <mergeCell ref="N737:R737"/>
    <mergeCell ref="G751:K751"/>
    <mergeCell ref="N751:R751"/>
    <mergeCell ref="U751:Y751"/>
    <mergeCell ref="AB751:AF751"/>
    <mergeCell ref="G750:K750"/>
    <mergeCell ref="N750:R750"/>
    <mergeCell ref="U750:Y750"/>
    <mergeCell ref="AB750:AF750"/>
    <mergeCell ref="G739:K739"/>
    <mergeCell ref="N739:R739"/>
    <mergeCell ref="U739:Y739"/>
    <mergeCell ref="AB739:AF739"/>
    <mergeCell ref="U737:Y737"/>
    <mergeCell ref="AB737:AF737"/>
    <mergeCell ref="G738:K738"/>
    <mergeCell ref="N738:R738"/>
    <mergeCell ref="U738:Y738"/>
    <mergeCell ref="AB738:AF738"/>
    <mergeCell ref="G740:K740"/>
    <mergeCell ref="N740:R740"/>
    <mergeCell ref="U740:Y740"/>
    <mergeCell ref="AB740:AF740"/>
    <mergeCell ref="M729:M740"/>
    <mergeCell ref="T729:T740"/>
    <mergeCell ref="AA729:AA740"/>
    <mergeCell ref="G735:K735"/>
    <mergeCell ref="N735:R735"/>
    <mergeCell ref="U735:Y735"/>
    <mergeCell ref="AK729:AK740"/>
    <mergeCell ref="AL729:AL740"/>
    <mergeCell ref="AM729:AM733"/>
    <mergeCell ref="AB726:AF726"/>
    <mergeCell ref="AJ716:AJ727"/>
    <mergeCell ref="AK716:AK727"/>
    <mergeCell ref="AL716:AL727"/>
    <mergeCell ref="AM716:AM720"/>
    <mergeCell ref="AH729:AH740"/>
    <mergeCell ref="AJ729:AJ740"/>
    <mergeCell ref="B729:B740"/>
    <mergeCell ref="C729:C740"/>
    <mergeCell ref="D729:D740"/>
    <mergeCell ref="E729:E740"/>
    <mergeCell ref="AN716:AN720"/>
    <mergeCell ref="AO716:AO720"/>
    <mergeCell ref="G727:K727"/>
    <mergeCell ref="N727:R727"/>
    <mergeCell ref="U727:Y727"/>
    <mergeCell ref="AB727:AF727"/>
    <mergeCell ref="AA716:AA727"/>
    <mergeCell ref="AH716:AH727"/>
    <mergeCell ref="AB735:AF735"/>
    <mergeCell ref="G736:K736"/>
    <mergeCell ref="N736:R736"/>
    <mergeCell ref="U736:Y736"/>
    <mergeCell ref="AB736:AF736"/>
    <mergeCell ref="N722:R722"/>
    <mergeCell ref="U722:Y722"/>
    <mergeCell ref="AB722:AF722"/>
    <mergeCell ref="AR716:AR720"/>
    <mergeCell ref="AB714:AF714"/>
    <mergeCell ref="B716:B727"/>
    <mergeCell ref="C716:C727"/>
    <mergeCell ref="D716:D727"/>
    <mergeCell ref="E716:E727"/>
    <mergeCell ref="M716:M727"/>
    <mergeCell ref="U714:Y714"/>
    <mergeCell ref="N714:R714"/>
    <mergeCell ref="G714:K714"/>
    <mergeCell ref="G724:K724"/>
    <mergeCell ref="N724:R724"/>
    <mergeCell ref="U724:Y724"/>
    <mergeCell ref="G723:K723"/>
    <mergeCell ref="N723:R723"/>
    <mergeCell ref="U723:Y723"/>
    <mergeCell ref="G722:K722"/>
    <mergeCell ref="G726:K726"/>
    <mergeCell ref="N726:R726"/>
    <mergeCell ref="U726:Y726"/>
    <mergeCell ref="G725:K725"/>
    <mergeCell ref="N725:R725"/>
    <mergeCell ref="U725:Y725"/>
    <mergeCell ref="T716:T727"/>
    <mergeCell ref="AB711:AF711"/>
    <mergeCell ref="AO703:AO707"/>
    <mergeCell ref="AP703:AP707"/>
    <mergeCell ref="AQ703:AQ707"/>
    <mergeCell ref="AR703:AR707"/>
    <mergeCell ref="AB725:AF725"/>
    <mergeCell ref="AB724:AF724"/>
    <mergeCell ref="AB723:AF723"/>
    <mergeCell ref="AP716:AP720"/>
    <mergeCell ref="AQ716:AQ720"/>
    <mergeCell ref="AJ703:AJ714"/>
    <mergeCell ref="AK703:AK714"/>
    <mergeCell ref="AL703:AL714"/>
    <mergeCell ref="G709:K709"/>
    <mergeCell ref="N709:R709"/>
    <mergeCell ref="U709:Y709"/>
    <mergeCell ref="AB709:AF709"/>
    <mergeCell ref="M703:M714"/>
    <mergeCell ref="T703:T714"/>
    <mergeCell ref="AA703:AA714"/>
    <mergeCell ref="AB712:AF712"/>
    <mergeCell ref="N713:R713"/>
    <mergeCell ref="U713:Y713"/>
    <mergeCell ref="AB713:AF713"/>
    <mergeCell ref="AN703:AN707"/>
    <mergeCell ref="N710:R710"/>
    <mergeCell ref="U710:Y710"/>
    <mergeCell ref="AB710:AF710"/>
    <mergeCell ref="AM709:AM714"/>
    <mergeCell ref="AH703:AH714"/>
    <mergeCell ref="B690:B701"/>
    <mergeCell ref="C690:C701"/>
    <mergeCell ref="D690:D701"/>
    <mergeCell ref="E690:E701"/>
    <mergeCell ref="N712:R712"/>
    <mergeCell ref="U712:Y712"/>
    <mergeCell ref="N711:R711"/>
    <mergeCell ref="U711:Y711"/>
    <mergeCell ref="G697:K697"/>
    <mergeCell ref="G698:K698"/>
    <mergeCell ref="B703:B714"/>
    <mergeCell ref="C703:C714"/>
    <mergeCell ref="D703:D714"/>
    <mergeCell ref="E703:E714"/>
    <mergeCell ref="G710:K710"/>
    <mergeCell ref="G711:K711"/>
    <mergeCell ref="G712:K712"/>
    <mergeCell ref="G713:K713"/>
    <mergeCell ref="U700:Y700"/>
    <mergeCell ref="AB700:AF700"/>
    <mergeCell ref="G699:K699"/>
    <mergeCell ref="N699:R699"/>
    <mergeCell ref="N698:R698"/>
    <mergeCell ref="U699:Y699"/>
    <mergeCell ref="AO690:AO694"/>
    <mergeCell ref="AP690:AP694"/>
    <mergeCell ref="AQ690:AQ694"/>
    <mergeCell ref="AR690:AR694"/>
    <mergeCell ref="G701:K701"/>
    <mergeCell ref="N701:R701"/>
    <mergeCell ref="U701:Y701"/>
    <mergeCell ref="AB701:AF701"/>
    <mergeCell ref="AB699:AF699"/>
    <mergeCell ref="G700:K700"/>
    <mergeCell ref="G696:K696"/>
    <mergeCell ref="N696:R696"/>
    <mergeCell ref="U696:Y696"/>
    <mergeCell ref="AB696:AF696"/>
    <mergeCell ref="M690:M701"/>
    <mergeCell ref="T690:T701"/>
    <mergeCell ref="AA690:AA701"/>
    <mergeCell ref="U698:Y698"/>
    <mergeCell ref="AB698:AF698"/>
    <mergeCell ref="N700:R700"/>
    <mergeCell ref="U687:Y687"/>
    <mergeCell ref="AB687:AF687"/>
    <mergeCell ref="AN690:AN694"/>
    <mergeCell ref="N697:R697"/>
    <mergeCell ref="U697:Y697"/>
    <mergeCell ref="AB697:AF697"/>
    <mergeCell ref="AH690:AH701"/>
    <mergeCell ref="AJ690:AJ701"/>
    <mergeCell ref="AK690:AK701"/>
    <mergeCell ref="AL690:AL701"/>
    <mergeCell ref="AK677:AK688"/>
    <mergeCell ref="AL677:AL688"/>
    <mergeCell ref="AM677:AM681"/>
    <mergeCell ref="AN677:AN681"/>
    <mergeCell ref="G688:K688"/>
    <mergeCell ref="N688:R688"/>
    <mergeCell ref="U688:Y688"/>
    <mergeCell ref="AB688:AF688"/>
    <mergeCell ref="G687:K687"/>
    <mergeCell ref="N687:R687"/>
    <mergeCell ref="AO677:AO681"/>
    <mergeCell ref="AP677:AP681"/>
    <mergeCell ref="B677:B688"/>
    <mergeCell ref="C677:C688"/>
    <mergeCell ref="D677:D688"/>
    <mergeCell ref="E677:E688"/>
    <mergeCell ref="M677:M688"/>
    <mergeCell ref="T677:T688"/>
    <mergeCell ref="AA677:AA688"/>
    <mergeCell ref="AH677:AH688"/>
    <mergeCell ref="AJ677:AJ688"/>
    <mergeCell ref="G683:K683"/>
    <mergeCell ref="N683:R683"/>
    <mergeCell ref="U683:Y683"/>
    <mergeCell ref="AB683:AF683"/>
    <mergeCell ref="G684:K684"/>
    <mergeCell ref="N684:R684"/>
    <mergeCell ref="U684:Y684"/>
    <mergeCell ref="AB684:AF684"/>
    <mergeCell ref="G685:K685"/>
    <mergeCell ref="N685:R685"/>
    <mergeCell ref="U685:Y685"/>
    <mergeCell ref="AB685:AF685"/>
    <mergeCell ref="G686:K686"/>
    <mergeCell ref="N686:R686"/>
    <mergeCell ref="U686:Y686"/>
    <mergeCell ref="AB686:AF686"/>
    <mergeCell ref="AH664:AH675"/>
    <mergeCell ref="AJ664:AJ675"/>
    <mergeCell ref="G670:K670"/>
    <mergeCell ref="AK664:AK675"/>
    <mergeCell ref="AL664:AL675"/>
    <mergeCell ref="AM664:AM668"/>
    <mergeCell ref="AB674:AF674"/>
    <mergeCell ref="G675:K675"/>
    <mergeCell ref="N675:R675"/>
    <mergeCell ref="U675:Y675"/>
    <mergeCell ref="B664:B675"/>
    <mergeCell ref="C664:C675"/>
    <mergeCell ref="D664:D675"/>
    <mergeCell ref="E664:E675"/>
    <mergeCell ref="AO664:AO668"/>
    <mergeCell ref="G674:K674"/>
    <mergeCell ref="N674:R674"/>
    <mergeCell ref="U674:Y674"/>
    <mergeCell ref="M664:M675"/>
    <mergeCell ref="T664:T675"/>
    <mergeCell ref="N670:R670"/>
    <mergeCell ref="U670:Y670"/>
    <mergeCell ref="AB670:AF670"/>
    <mergeCell ref="G671:K671"/>
    <mergeCell ref="N671:R671"/>
    <mergeCell ref="U671:Y671"/>
    <mergeCell ref="AB671:AF671"/>
    <mergeCell ref="AA664:AA675"/>
    <mergeCell ref="AB675:AF675"/>
    <mergeCell ref="G673:K673"/>
    <mergeCell ref="N673:R673"/>
    <mergeCell ref="U673:Y673"/>
    <mergeCell ref="AB673:AF673"/>
    <mergeCell ref="G672:K672"/>
    <mergeCell ref="N672:R672"/>
    <mergeCell ref="U672:Y672"/>
    <mergeCell ref="AB672:AF672"/>
    <mergeCell ref="AB661:AF661"/>
    <mergeCell ref="G662:K662"/>
    <mergeCell ref="N662:R662"/>
    <mergeCell ref="U662:Y662"/>
    <mergeCell ref="AB662:AF662"/>
    <mergeCell ref="M651:M662"/>
    <mergeCell ref="T651:T662"/>
    <mergeCell ref="AA651:AA662"/>
    <mergeCell ref="AP651:AP655"/>
    <mergeCell ref="AP664:AP668"/>
    <mergeCell ref="AQ664:AQ668"/>
    <mergeCell ref="AK651:AK662"/>
    <mergeCell ref="AL651:AL662"/>
    <mergeCell ref="AM651:AM655"/>
    <mergeCell ref="AN651:AN655"/>
    <mergeCell ref="AN664:AN668"/>
    <mergeCell ref="AO638:AO642"/>
    <mergeCell ref="AP638:AP642"/>
    <mergeCell ref="AQ638:AQ642"/>
    <mergeCell ref="AR638:AR642"/>
    <mergeCell ref="AR664:AR668"/>
    <mergeCell ref="AQ677:AQ681"/>
    <mergeCell ref="AR677:AR681"/>
    <mergeCell ref="AQ651:AQ655"/>
    <mergeCell ref="AR651:AR655"/>
    <mergeCell ref="AO651:AO655"/>
    <mergeCell ref="G658:K658"/>
    <mergeCell ref="N658:R658"/>
    <mergeCell ref="U658:Y658"/>
    <mergeCell ref="AB658:AF658"/>
    <mergeCell ref="B651:B662"/>
    <mergeCell ref="C651:C662"/>
    <mergeCell ref="D651:D662"/>
    <mergeCell ref="E651:E662"/>
    <mergeCell ref="N661:R661"/>
    <mergeCell ref="U661:Y661"/>
    <mergeCell ref="G659:K659"/>
    <mergeCell ref="N659:R659"/>
    <mergeCell ref="U659:Y659"/>
    <mergeCell ref="AB659:AF659"/>
    <mergeCell ref="AH651:AH662"/>
    <mergeCell ref="AJ651:AJ662"/>
    <mergeCell ref="G657:K657"/>
    <mergeCell ref="N657:R657"/>
    <mergeCell ref="U657:Y657"/>
    <mergeCell ref="AB657:AF657"/>
    <mergeCell ref="G660:K660"/>
    <mergeCell ref="AB645:AF645"/>
    <mergeCell ref="G646:K646"/>
    <mergeCell ref="N660:R660"/>
    <mergeCell ref="U660:Y660"/>
    <mergeCell ref="AB660:AF660"/>
    <mergeCell ref="N647:R647"/>
    <mergeCell ref="U647:Y647"/>
    <mergeCell ref="AB647:AF647"/>
    <mergeCell ref="G648:K648"/>
    <mergeCell ref="G661:K661"/>
    <mergeCell ref="N649:R649"/>
    <mergeCell ref="U649:Y649"/>
    <mergeCell ref="AB649:AF649"/>
    <mergeCell ref="M638:M649"/>
    <mergeCell ref="T638:T649"/>
    <mergeCell ref="AA638:AA649"/>
    <mergeCell ref="U646:Y646"/>
    <mergeCell ref="AB646:AF646"/>
    <mergeCell ref="G647:K647"/>
    <mergeCell ref="G636:K636"/>
    <mergeCell ref="N636:R636"/>
    <mergeCell ref="U636:Y636"/>
    <mergeCell ref="AB636:AF636"/>
    <mergeCell ref="G635:K635"/>
    <mergeCell ref="N635:R635"/>
    <mergeCell ref="AK638:AK649"/>
    <mergeCell ref="AL638:AL649"/>
    <mergeCell ref="AM638:AM642"/>
    <mergeCell ref="AN638:AN642"/>
    <mergeCell ref="U635:Y635"/>
    <mergeCell ref="AB635:AF635"/>
    <mergeCell ref="AM644:AM649"/>
    <mergeCell ref="AM631:AM636"/>
    <mergeCell ref="AO625:AO629"/>
    <mergeCell ref="AP625:AP629"/>
    <mergeCell ref="AQ625:AQ629"/>
    <mergeCell ref="AR625:AR629"/>
    <mergeCell ref="AK625:AK636"/>
    <mergeCell ref="AL625:AL636"/>
    <mergeCell ref="AM625:AM629"/>
    <mergeCell ref="AN625:AN629"/>
    <mergeCell ref="G645:K645"/>
    <mergeCell ref="N645:R645"/>
    <mergeCell ref="U645:Y645"/>
    <mergeCell ref="N646:R646"/>
    <mergeCell ref="B638:B649"/>
    <mergeCell ref="C638:C649"/>
    <mergeCell ref="D638:D649"/>
    <mergeCell ref="E638:E649"/>
    <mergeCell ref="N648:R648"/>
    <mergeCell ref="U648:Y648"/>
    <mergeCell ref="AB648:AF648"/>
    <mergeCell ref="G649:K649"/>
    <mergeCell ref="AH638:AH649"/>
    <mergeCell ref="AJ638:AJ649"/>
    <mergeCell ref="G644:K644"/>
    <mergeCell ref="N644:R644"/>
    <mergeCell ref="U644:Y644"/>
    <mergeCell ref="AB644:AF644"/>
    <mergeCell ref="AP612:AP616"/>
    <mergeCell ref="AQ612:AQ616"/>
    <mergeCell ref="AR612:AR616"/>
    <mergeCell ref="B625:B636"/>
    <mergeCell ref="C625:C636"/>
    <mergeCell ref="D625:D636"/>
    <mergeCell ref="E625:E636"/>
    <mergeCell ref="M625:M636"/>
    <mergeCell ref="T625:T636"/>
    <mergeCell ref="AA625:AA636"/>
    <mergeCell ref="AH625:AH636"/>
    <mergeCell ref="AJ625:AJ636"/>
    <mergeCell ref="G631:K631"/>
    <mergeCell ref="N631:R631"/>
    <mergeCell ref="U631:Y631"/>
    <mergeCell ref="AB631:AF631"/>
    <mergeCell ref="G632:K632"/>
    <mergeCell ref="N632:R632"/>
    <mergeCell ref="U632:Y632"/>
    <mergeCell ref="AB632:AF632"/>
    <mergeCell ref="G634:K634"/>
    <mergeCell ref="N634:R634"/>
    <mergeCell ref="U634:Y634"/>
    <mergeCell ref="AB634:AF634"/>
    <mergeCell ref="G633:K633"/>
    <mergeCell ref="N633:R633"/>
    <mergeCell ref="U633:Y633"/>
    <mergeCell ref="AB633:AF633"/>
    <mergeCell ref="U622:Y622"/>
    <mergeCell ref="AB622:AF622"/>
    <mergeCell ref="G621:K621"/>
    <mergeCell ref="N621:R621"/>
    <mergeCell ref="U621:Y621"/>
    <mergeCell ref="AB621:AF621"/>
    <mergeCell ref="AK612:AK623"/>
    <mergeCell ref="AL612:AL623"/>
    <mergeCell ref="AM612:AM616"/>
    <mergeCell ref="AN612:AN616"/>
    <mergeCell ref="G623:K623"/>
    <mergeCell ref="N623:R623"/>
    <mergeCell ref="U623:Y623"/>
    <mergeCell ref="AB623:AF623"/>
    <mergeCell ref="G622:K622"/>
    <mergeCell ref="N622:R622"/>
    <mergeCell ref="U605:Y605"/>
    <mergeCell ref="AB605:AF605"/>
    <mergeCell ref="AO612:AO616"/>
    <mergeCell ref="AB610:AF610"/>
    <mergeCell ref="AK599:AK610"/>
    <mergeCell ref="AL599:AL610"/>
    <mergeCell ref="AM599:AM603"/>
    <mergeCell ref="AN599:AN603"/>
    <mergeCell ref="AO599:AO603"/>
    <mergeCell ref="AJ599:AJ610"/>
    <mergeCell ref="U607:Y607"/>
    <mergeCell ref="AB607:AF607"/>
    <mergeCell ref="G606:K606"/>
    <mergeCell ref="N606:R606"/>
    <mergeCell ref="U606:Y606"/>
    <mergeCell ref="AB606:AF606"/>
    <mergeCell ref="AH612:AH623"/>
    <mergeCell ref="AJ612:AJ623"/>
    <mergeCell ref="G607:K607"/>
    <mergeCell ref="N607:R607"/>
    <mergeCell ref="AP599:AP603"/>
    <mergeCell ref="AQ599:AQ603"/>
    <mergeCell ref="M599:M610"/>
    <mergeCell ref="T599:T610"/>
    <mergeCell ref="AA599:AA610"/>
    <mergeCell ref="AH599:AH610"/>
    <mergeCell ref="U618:Y618"/>
    <mergeCell ref="AB618:AF618"/>
    <mergeCell ref="AR599:AR603"/>
    <mergeCell ref="B612:B623"/>
    <mergeCell ref="C612:C623"/>
    <mergeCell ref="D612:D623"/>
    <mergeCell ref="E612:E623"/>
    <mergeCell ref="M612:M623"/>
    <mergeCell ref="T612:T623"/>
    <mergeCell ref="AA612:AA623"/>
    <mergeCell ref="U620:Y620"/>
    <mergeCell ref="AB620:AF620"/>
    <mergeCell ref="G619:K619"/>
    <mergeCell ref="N619:R619"/>
    <mergeCell ref="U619:Y619"/>
    <mergeCell ref="AB619:AF619"/>
    <mergeCell ref="B599:B610"/>
    <mergeCell ref="C599:C610"/>
    <mergeCell ref="D599:D610"/>
    <mergeCell ref="E599:E610"/>
    <mergeCell ref="G620:K620"/>
    <mergeCell ref="N620:R620"/>
    <mergeCell ref="G618:K618"/>
    <mergeCell ref="N618:R618"/>
    <mergeCell ref="G605:K605"/>
    <mergeCell ref="N605:R605"/>
    <mergeCell ref="G609:K609"/>
    <mergeCell ref="N609:R609"/>
    <mergeCell ref="U609:Y609"/>
    <mergeCell ref="AB609:AF609"/>
    <mergeCell ref="G608:K608"/>
    <mergeCell ref="N608:R608"/>
    <mergeCell ref="U608:Y608"/>
    <mergeCell ref="AB608:AF608"/>
    <mergeCell ref="AL586:AL597"/>
    <mergeCell ref="AJ586:AJ597"/>
    <mergeCell ref="G610:K610"/>
    <mergeCell ref="N610:R610"/>
    <mergeCell ref="U610:Y610"/>
    <mergeCell ref="AB595:AF595"/>
    <mergeCell ref="G596:K596"/>
    <mergeCell ref="N596:R596"/>
    <mergeCell ref="U596:Y596"/>
    <mergeCell ref="AB596:AF596"/>
    <mergeCell ref="AR586:AR590"/>
    <mergeCell ref="AM573:AM577"/>
    <mergeCell ref="AN573:AN577"/>
    <mergeCell ref="AO573:AO577"/>
    <mergeCell ref="AP573:AP577"/>
    <mergeCell ref="AQ573:AQ577"/>
    <mergeCell ref="AR573:AR577"/>
    <mergeCell ref="AM586:AM590"/>
    <mergeCell ref="AN586:AN590"/>
    <mergeCell ref="AO586:AO590"/>
    <mergeCell ref="AH586:AH597"/>
    <mergeCell ref="B586:B597"/>
    <mergeCell ref="C586:C597"/>
    <mergeCell ref="D586:D597"/>
    <mergeCell ref="E586:E597"/>
    <mergeCell ref="AQ586:AQ590"/>
    <mergeCell ref="AP586:AP590"/>
    <mergeCell ref="U597:Y597"/>
    <mergeCell ref="AB597:AF597"/>
    <mergeCell ref="AK586:AK597"/>
    <mergeCell ref="G592:K592"/>
    <mergeCell ref="N592:R592"/>
    <mergeCell ref="U592:Y592"/>
    <mergeCell ref="AB592:AF592"/>
    <mergeCell ref="M586:M597"/>
    <mergeCell ref="T586:T597"/>
    <mergeCell ref="AA586:AA597"/>
    <mergeCell ref="G597:K597"/>
    <mergeCell ref="N597:R597"/>
    <mergeCell ref="N594:R594"/>
    <mergeCell ref="U594:Y594"/>
    <mergeCell ref="AB594:AF594"/>
    <mergeCell ref="G593:K593"/>
    <mergeCell ref="N593:R593"/>
    <mergeCell ref="U593:Y593"/>
    <mergeCell ref="AB593:AF593"/>
    <mergeCell ref="G581:K581"/>
    <mergeCell ref="G595:K595"/>
    <mergeCell ref="N595:R595"/>
    <mergeCell ref="U595:Y595"/>
    <mergeCell ref="N581:R581"/>
    <mergeCell ref="U581:Y581"/>
    <mergeCell ref="G583:K583"/>
    <mergeCell ref="N583:R583"/>
    <mergeCell ref="U583:Y583"/>
    <mergeCell ref="G594:K594"/>
    <mergeCell ref="G579:K579"/>
    <mergeCell ref="AB583:AF583"/>
    <mergeCell ref="G584:K584"/>
    <mergeCell ref="N584:R584"/>
    <mergeCell ref="U584:Y584"/>
    <mergeCell ref="AB584:AF584"/>
    <mergeCell ref="AB581:AF581"/>
    <mergeCell ref="G582:K582"/>
    <mergeCell ref="N582:R582"/>
    <mergeCell ref="U582:Y582"/>
    <mergeCell ref="N571:R571"/>
    <mergeCell ref="U571:Y571"/>
    <mergeCell ref="AB571:AF571"/>
    <mergeCell ref="AK560:AK571"/>
    <mergeCell ref="AL560:AL571"/>
    <mergeCell ref="AJ573:AJ584"/>
    <mergeCell ref="AB582:AF582"/>
    <mergeCell ref="AM560:AM564"/>
    <mergeCell ref="AN560:AN564"/>
    <mergeCell ref="AO560:AO564"/>
    <mergeCell ref="AP560:AP564"/>
    <mergeCell ref="AK573:AK584"/>
    <mergeCell ref="AL573:AL584"/>
    <mergeCell ref="AQ560:AQ564"/>
    <mergeCell ref="AR560:AR564"/>
    <mergeCell ref="B573:B584"/>
    <mergeCell ref="C573:C584"/>
    <mergeCell ref="D573:D584"/>
    <mergeCell ref="E573:E584"/>
    <mergeCell ref="M573:M584"/>
    <mergeCell ref="T573:T584"/>
    <mergeCell ref="AA573:AA584"/>
    <mergeCell ref="AH573:AH584"/>
    <mergeCell ref="AH560:AH571"/>
    <mergeCell ref="AJ560:AJ571"/>
    <mergeCell ref="N579:R579"/>
    <mergeCell ref="U579:Y579"/>
    <mergeCell ref="AB579:AF579"/>
    <mergeCell ref="G580:K580"/>
    <mergeCell ref="N580:R580"/>
    <mergeCell ref="U580:Y580"/>
    <mergeCell ref="AB580:AF580"/>
    <mergeCell ref="G571:K571"/>
    <mergeCell ref="G566:K566"/>
    <mergeCell ref="N566:R566"/>
    <mergeCell ref="U566:Y566"/>
    <mergeCell ref="AB566:AF566"/>
    <mergeCell ref="AR547:AR551"/>
    <mergeCell ref="B560:B571"/>
    <mergeCell ref="C560:C571"/>
    <mergeCell ref="D560:D571"/>
    <mergeCell ref="E560:E571"/>
    <mergeCell ref="M560:M571"/>
    <mergeCell ref="G568:K568"/>
    <mergeCell ref="N568:R568"/>
    <mergeCell ref="U568:Y568"/>
    <mergeCell ref="AB568:AF568"/>
    <mergeCell ref="G567:K567"/>
    <mergeCell ref="N567:R567"/>
    <mergeCell ref="U567:Y567"/>
    <mergeCell ref="AB567:AF567"/>
    <mergeCell ref="T560:T571"/>
    <mergeCell ref="AA560:AA571"/>
    <mergeCell ref="G570:K570"/>
    <mergeCell ref="N570:R570"/>
    <mergeCell ref="U570:Y570"/>
    <mergeCell ref="AB570:AF570"/>
    <mergeCell ref="G569:K569"/>
    <mergeCell ref="N569:R569"/>
    <mergeCell ref="U569:Y569"/>
    <mergeCell ref="AB569:AF569"/>
    <mergeCell ref="U556:Y556"/>
    <mergeCell ref="AB556:AF556"/>
    <mergeCell ref="G557:K557"/>
    <mergeCell ref="N557:R557"/>
    <mergeCell ref="U557:Y557"/>
    <mergeCell ref="AB557:AF557"/>
    <mergeCell ref="AN547:AN551"/>
    <mergeCell ref="G558:K558"/>
    <mergeCell ref="N558:R558"/>
    <mergeCell ref="U558:Y558"/>
    <mergeCell ref="AB558:AF558"/>
    <mergeCell ref="M547:M558"/>
    <mergeCell ref="T547:T558"/>
    <mergeCell ref="AA547:AA558"/>
    <mergeCell ref="G555:K555"/>
    <mergeCell ref="N555:R555"/>
    <mergeCell ref="AO547:AO551"/>
    <mergeCell ref="AP547:AP551"/>
    <mergeCell ref="AQ547:AQ551"/>
    <mergeCell ref="AL534:AL545"/>
    <mergeCell ref="AM534:AM538"/>
    <mergeCell ref="AN534:AN538"/>
    <mergeCell ref="AO534:AO538"/>
    <mergeCell ref="AP534:AP538"/>
    <mergeCell ref="AQ534:AQ538"/>
    <mergeCell ref="AL547:AL558"/>
    <mergeCell ref="AR534:AR538"/>
    <mergeCell ref="G545:K545"/>
    <mergeCell ref="N545:R545"/>
    <mergeCell ref="U545:Y545"/>
    <mergeCell ref="AB545:AF545"/>
    <mergeCell ref="M534:M545"/>
    <mergeCell ref="G544:K544"/>
    <mergeCell ref="N544:R544"/>
    <mergeCell ref="U544:Y544"/>
    <mergeCell ref="AB544:AF544"/>
    <mergeCell ref="B547:B558"/>
    <mergeCell ref="C547:C558"/>
    <mergeCell ref="D547:D558"/>
    <mergeCell ref="E547:E558"/>
    <mergeCell ref="AK534:AK545"/>
    <mergeCell ref="AM553:AM558"/>
    <mergeCell ref="AM540:AM545"/>
    <mergeCell ref="AK547:AK558"/>
    <mergeCell ref="AM547:AM551"/>
    <mergeCell ref="U555:Y555"/>
    <mergeCell ref="AH547:AH558"/>
    <mergeCell ref="AJ547:AJ558"/>
    <mergeCell ref="G553:K553"/>
    <mergeCell ref="N553:R553"/>
    <mergeCell ref="U553:Y553"/>
    <mergeCell ref="AB553:AF553"/>
    <mergeCell ref="G554:K554"/>
    <mergeCell ref="N554:R554"/>
    <mergeCell ref="U554:Y554"/>
    <mergeCell ref="AB554:AF554"/>
    <mergeCell ref="AB555:AF555"/>
    <mergeCell ref="G556:K556"/>
    <mergeCell ref="N556:R556"/>
    <mergeCell ref="G542:K542"/>
    <mergeCell ref="N542:R542"/>
    <mergeCell ref="U542:Y542"/>
    <mergeCell ref="AB542:AF542"/>
    <mergeCell ref="G543:K543"/>
    <mergeCell ref="N543:R543"/>
    <mergeCell ref="U543:Y543"/>
    <mergeCell ref="AB543:AF543"/>
    <mergeCell ref="N531:R531"/>
    <mergeCell ref="U531:Y531"/>
    <mergeCell ref="AB531:AF531"/>
    <mergeCell ref="T534:T545"/>
    <mergeCell ref="AA534:AA545"/>
    <mergeCell ref="AP521:AP525"/>
    <mergeCell ref="AQ521:AQ525"/>
    <mergeCell ref="AJ521:AJ532"/>
    <mergeCell ref="AK521:AK532"/>
    <mergeCell ref="AL521:AL532"/>
    <mergeCell ref="AM521:AM525"/>
    <mergeCell ref="B534:B545"/>
    <mergeCell ref="C534:C545"/>
    <mergeCell ref="D534:D545"/>
    <mergeCell ref="E534:E545"/>
    <mergeCell ref="AN521:AN525"/>
    <mergeCell ref="AO521:AO525"/>
    <mergeCell ref="G532:K532"/>
    <mergeCell ref="N532:R532"/>
    <mergeCell ref="U532:Y532"/>
    <mergeCell ref="AB532:AF532"/>
    <mergeCell ref="AH534:AH545"/>
    <mergeCell ref="AJ534:AJ545"/>
    <mergeCell ref="G540:K540"/>
    <mergeCell ref="N540:R540"/>
    <mergeCell ref="U540:Y540"/>
    <mergeCell ref="AB540:AF540"/>
    <mergeCell ref="G541:K541"/>
    <mergeCell ref="N541:R541"/>
    <mergeCell ref="U541:Y541"/>
    <mergeCell ref="AB541:AF541"/>
    <mergeCell ref="AQ508:AQ512"/>
    <mergeCell ref="AR508:AR512"/>
    <mergeCell ref="AR521:AR525"/>
    <mergeCell ref="B521:B532"/>
    <mergeCell ref="C521:C532"/>
    <mergeCell ref="D521:D532"/>
    <mergeCell ref="E521:E532"/>
    <mergeCell ref="M521:M532"/>
    <mergeCell ref="T521:T532"/>
    <mergeCell ref="AA521:AA532"/>
    <mergeCell ref="AH521:AH532"/>
    <mergeCell ref="G527:K527"/>
    <mergeCell ref="N527:R527"/>
    <mergeCell ref="U527:Y527"/>
    <mergeCell ref="AB527:AF527"/>
    <mergeCell ref="G528:K528"/>
    <mergeCell ref="N528:R528"/>
    <mergeCell ref="U528:Y528"/>
    <mergeCell ref="AB528:AF528"/>
    <mergeCell ref="G529:K529"/>
    <mergeCell ref="N529:R529"/>
    <mergeCell ref="U529:Y529"/>
    <mergeCell ref="AB529:AF529"/>
    <mergeCell ref="G530:K530"/>
    <mergeCell ref="N530:R530"/>
    <mergeCell ref="U530:Y530"/>
    <mergeCell ref="AB530:AF530"/>
    <mergeCell ref="G531:K531"/>
    <mergeCell ref="N517:R517"/>
    <mergeCell ref="U517:Y517"/>
    <mergeCell ref="AB517:AF517"/>
    <mergeCell ref="G518:K518"/>
    <mergeCell ref="N518:R518"/>
    <mergeCell ref="U518:Y518"/>
    <mergeCell ref="AB518:AF518"/>
    <mergeCell ref="G519:K519"/>
    <mergeCell ref="N519:R519"/>
    <mergeCell ref="AN508:AN512"/>
    <mergeCell ref="AO508:AO512"/>
    <mergeCell ref="AP508:AP512"/>
    <mergeCell ref="AK495:AK506"/>
    <mergeCell ref="AL495:AL506"/>
    <mergeCell ref="AM495:AM499"/>
    <mergeCell ref="AN495:AN499"/>
    <mergeCell ref="AO495:AO499"/>
    <mergeCell ref="AP495:AP499"/>
    <mergeCell ref="AM508:AM512"/>
    <mergeCell ref="U506:Y506"/>
    <mergeCell ref="AB506:AF506"/>
    <mergeCell ref="AB504:AF504"/>
    <mergeCell ref="G505:K505"/>
    <mergeCell ref="N505:R505"/>
    <mergeCell ref="U505:Y505"/>
    <mergeCell ref="AB505:AF505"/>
    <mergeCell ref="G504:K504"/>
    <mergeCell ref="N504:R504"/>
    <mergeCell ref="U504:Y504"/>
    <mergeCell ref="AK508:AK519"/>
    <mergeCell ref="AL508:AL519"/>
    <mergeCell ref="AJ508:AJ519"/>
    <mergeCell ref="AB502:AF502"/>
    <mergeCell ref="G503:K503"/>
    <mergeCell ref="N503:R503"/>
    <mergeCell ref="U503:Y503"/>
    <mergeCell ref="AB503:AF503"/>
    <mergeCell ref="G506:K506"/>
    <mergeCell ref="N506:R506"/>
    <mergeCell ref="AH508:AH519"/>
    <mergeCell ref="B508:B519"/>
    <mergeCell ref="C508:C519"/>
    <mergeCell ref="D508:D519"/>
    <mergeCell ref="E508:E519"/>
    <mergeCell ref="U519:Y519"/>
    <mergeCell ref="AB519:AF519"/>
    <mergeCell ref="G514:K514"/>
    <mergeCell ref="N514:R514"/>
    <mergeCell ref="U514:Y514"/>
    <mergeCell ref="AB514:AF514"/>
    <mergeCell ref="M508:M519"/>
    <mergeCell ref="T508:T519"/>
    <mergeCell ref="AA508:AA519"/>
    <mergeCell ref="G516:K516"/>
    <mergeCell ref="N516:R516"/>
    <mergeCell ref="U516:Y516"/>
    <mergeCell ref="AB516:AF516"/>
    <mergeCell ref="G515:K515"/>
    <mergeCell ref="N515:R515"/>
    <mergeCell ref="U515:Y515"/>
    <mergeCell ref="AB515:AF515"/>
    <mergeCell ref="G517:K517"/>
    <mergeCell ref="U492:Y492"/>
    <mergeCell ref="AB492:AF492"/>
    <mergeCell ref="G493:K493"/>
    <mergeCell ref="N493:R493"/>
    <mergeCell ref="U493:Y493"/>
    <mergeCell ref="AB493:AF493"/>
    <mergeCell ref="M495:M506"/>
    <mergeCell ref="T495:T506"/>
    <mergeCell ref="AA495:AA506"/>
    <mergeCell ref="B495:B506"/>
    <mergeCell ref="C495:C506"/>
    <mergeCell ref="D495:D506"/>
    <mergeCell ref="E495:E506"/>
    <mergeCell ref="AO482:AO486"/>
    <mergeCell ref="AP482:AP486"/>
    <mergeCell ref="AK482:AK493"/>
    <mergeCell ref="AL482:AL493"/>
    <mergeCell ref="AM482:AM486"/>
    <mergeCell ref="AN482:AN486"/>
    <mergeCell ref="G501:K501"/>
    <mergeCell ref="N501:R501"/>
    <mergeCell ref="U501:Y501"/>
    <mergeCell ref="AB501:AF501"/>
    <mergeCell ref="G502:K502"/>
    <mergeCell ref="N502:R502"/>
    <mergeCell ref="U502:Y502"/>
    <mergeCell ref="AQ495:AQ499"/>
    <mergeCell ref="AR495:AR499"/>
    <mergeCell ref="AP469:AP473"/>
    <mergeCell ref="AQ469:AQ473"/>
    <mergeCell ref="AR469:AR473"/>
    <mergeCell ref="AH495:AH506"/>
    <mergeCell ref="AJ495:AJ506"/>
    <mergeCell ref="AQ482:AQ486"/>
    <mergeCell ref="AR482:AR486"/>
    <mergeCell ref="AM469:AM473"/>
    <mergeCell ref="AH482:AH493"/>
    <mergeCell ref="N490:R490"/>
    <mergeCell ref="U490:Y490"/>
    <mergeCell ref="AB490:AF490"/>
    <mergeCell ref="B482:B493"/>
    <mergeCell ref="C482:C493"/>
    <mergeCell ref="D482:D493"/>
    <mergeCell ref="E482:E493"/>
    <mergeCell ref="AJ482:AJ493"/>
    <mergeCell ref="G488:K488"/>
    <mergeCell ref="N488:R488"/>
    <mergeCell ref="U488:Y488"/>
    <mergeCell ref="AB488:AF488"/>
    <mergeCell ref="G489:K489"/>
    <mergeCell ref="N489:R489"/>
    <mergeCell ref="U489:Y489"/>
    <mergeCell ref="AB489:AF489"/>
    <mergeCell ref="G490:K490"/>
    <mergeCell ref="G478:K478"/>
    <mergeCell ref="N478:R478"/>
    <mergeCell ref="G480:K480"/>
    <mergeCell ref="N480:R480"/>
    <mergeCell ref="G491:K491"/>
    <mergeCell ref="N491:R491"/>
    <mergeCell ref="M482:M493"/>
    <mergeCell ref="G479:K479"/>
    <mergeCell ref="N479:R479"/>
    <mergeCell ref="U479:Y479"/>
    <mergeCell ref="AB479:AF479"/>
    <mergeCell ref="G492:K492"/>
    <mergeCell ref="N492:R492"/>
    <mergeCell ref="U491:Y491"/>
    <mergeCell ref="AB491:AF491"/>
    <mergeCell ref="T482:T493"/>
    <mergeCell ref="AA482:AA493"/>
    <mergeCell ref="AJ456:AJ467"/>
    <mergeCell ref="U480:Y480"/>
    <mergeCell ref="AB480:AF480"/>
    <mergeCell ref="AK469:AK480"/>
    <mergeCell ref="AL469:AL480"/>
    <mergeCell ref="U478:Y478"/>
    <mergeCell ref="AB478:AF478"/>
    <mergeCell ref="U462:Y462"/>
    <mergeCell ref="AB462:AF462"/>
    <mergeCell ref="AN469:AN473"/>
    <mergeCell ref="AO469:AO473"/>
    <mergeCell ref="AB467:AF467"/>
    <mergeCell ref="AK456:AK467"/>
    <mergeCell ref="AL456:AL467"/>
    <mergeCell ref="AM456:AM460"/>
    <mergeCell ref="AN456:AN460"/>
    <mergeCell ref="AO456:AO460"/>
    <mergeCell ref="U464:Y464"/>
    <mergeCell ref="AB464:AF464"/>
    <mergeCell ref="G463:K463"/>
    <mergeCell ref="N463:R463"/>
    <mergeCell ref="U463:Y463"/>
    <mergeCell ref="AB463:AF463"/>
    <mergeCell ref="AH469:AH480"/>
    <mergeCell ref="AJ469:AJ480"/>
    <mergeCell ref="G464:K464"/>
    <mergeCell ref="N464:R464"/>
    <mergeCell ref="AP456:AP460"/>
    <mergeCell ref="AQ456:AQ460"/>
    <mergeCell ref="M456:M467"/>
    <mergeCell ref="T456:T467"/>
    <mergeCell ref="AA456:AA467"/>
    <mergeCell ref="AH456:AH467"/>
    <mergeCell ref="U475:Y475"/>
    <mergeCell ref="AB475:AF475"/>
    <mergeCell ref="AR456:AR460"/>
    <mergeCell ref="B469:B480"/>
    <mergeCell ref="C469:C480"/>
    <mergeCell ref="D469:D480"/>
    <mergeCell ref="E469:E480"/>
    <mergeCell ref="M469:M480"/>
    <mergeCell ref="T469:T480"/>
    <mergeCell ref="AA469:AA480"/>
    <mergeCell ref="U477:Y477"/>
    <mergeCell ref="AB477:AF477"/>
    <mergeCell ref="G476:K476"/>
    <mergeCell ref="N476:R476"/>
    <mergeCell ref="U476:Y476"/>
    <mergeCell ref="AB476:AF476"/>
    <mergeCell ref="B456:B467"/>
    <mergeCell ref="C456:C467"/>
    <mergeCell ref="D456:D467"/>
    <mergeCell ref="E456:E467"/>
    <mergeCell ref="G477:K477"/>
    <mergeCell ref="N477:R477"/>
    <mergeCell ref="G475:K475"/>
    <mergeCell ref="N475:R475"/>
    <mergeCell ref="G462:K462"/>
    <mergeCell ref="N462:R462"/>
    <mergeCell ref="G466:K466"/>
    <mergeCell ref="N466:R466"/>
    <mergeCell ref="U466:Y466"/>
    <mergeCell ref="AB466:AF466"/>
    <mergeCell ref="G465:K465"/>
    <mergeCell ref="N465:R465"/>
    <mergeCell ref="U465:Y465"/>
    <mergeCell ref="AB465:AF465"/>
    <mergeCell ref="AJ443:AJ454"/>
    <mergeCell ref="G467:K467"/>
    <mergeCell ref="N467:R467"/>
    <mergeCell ref="U467:Y467"/>
    <mergeCell ref="AB452:AF452"/>
    <mergeCell ref="G453:K453"/>
    <mergeCell ref="N453:R453"/>
    <mergeCell ref="U453:Y453"/>
    <mergeCell ref="AB453:AF453"/>
    <mergeCell ref="G454:K454"/>
    <mergeCell ref="AQ430:AQ434"/>
    <mergeCell ref="AR430:AR434"/>
    <mergeCell ref="AN443:AN447"/>
    <mergeCell ref="AO443:AO447"/>
    <mergeCell ref="AP443:AP447"/>
    <mergeCell ref="AQ443:AQ447"/>
    <mergeCell ref="AH443:AH454"/>
    <mergeCell ref="B443:B454"/>
    <mergeCell ref="C443:C454"/>
    <mergeCell ref="D443:D454"/>
    <mergeCell ref="E443:E454"/>
    <mergeCell ref="AR443:AR447"/>
    <mergeCell ref="U454:Y454"/>
    <mergeCell ref="AB454:AF454"/>
    <mergeCell ref="AK443:AK454"/>
    <mergeCell ref="AL443:AL454"/>
    <mergeCell ref="G449:K449"/>
    <mergeCell ref="N449:R449"/>
    <mergeCell ref="U449:Y449"/>
    <mergeCell ref="AB449:AF449"/>
    <mergeCell ref="M443:M454"/>
    <mergeCell ref="T443:T454"/>
    <mergeCell ref="AA443:AA454"/>
    <mergeCell ref="N454:R454"/>
    <mergeCell ref="N451:R451"/>
    <mergeCell ref="U451:Y451"/>
    <mergeCell ref="AB451:AF451"/>
    <mergeCell ref="G450:K450"/>
    <mergeCell ref="N450:R450"/>
    <mergeCell ref="U450:Y450"/>
    <mergeCell ref="AB450:AF450"/>
    <mergeCell ref="G438:K438"/>
    <mergeCell ref="G452:K452"/>
    <mergeCell ref="N452:R452"/>
    <mergeCell ref="U452:Y452"/>
    <mergeCell ref="N438:R438"/>
    <mergeCell ref="U438:Y438"/>
    <mergeCell ref="G440:K440"/>
    <mergeCell ref="N440:R440"/>
    <mergeCell ref="U440:Y440"/>
    <mergeCell ref="G451:K451"/>
    <mergeCell ref="AB440:AF440"/>
    <mergeCell ref="G441:K441"/>
    <mergeCell ref="N441:R441"/>
    <mergeCell ref="U441:Y441"/>
    <mergeCell ref="AB441:AF441"/>
    <mergeCell ref="AB438:AF438"/>
    <mergeCell ref="G439:K439"/>
    <mergeCell ref="N439:R439"/>
    <mergeCell ref="U439:Y439"/>
    <mergeCell ref="AB439:AF439"/>
    <mergeCell ref="N428:R428"/>
    <mergeCell ref="U428:Y428"/>
    <mergeCell ref="AB428:AF428"/>
    <mergeCell ref="AK417:AK428"/>
    <mergeCell ref="AL417:AL428"/>
    <mergeCell ref="G436:K436"/>
    <mergeCell ref="N436:R436"/>
    <mergeCell ref="AN417:AN421"/>
    <mergeCell ref="AO417:AO421"/>
    <mergeCell ref="AP417:AP421"/>
    <mergeCell ref="AQ417:AQ421"/>
    <mergeCell ref="AK430:AK441"/>
    <mergeCell ref="AL430:AL441"/>
    <mergeCell ref="AM430:AM434"/>
    <mergeCell ref="AN430:AN434"/>
    <mergeCell ref="AO430:AO434"/>
    <mergeCell ref="AP430:AP434"/>
    <mergeCell ref="AR417:AR421"/>
    <mergeCell ref="B430:B441"/>
    <mergeCell ref="C430:C441"/>
    <mergeCell ref="D430:D441"/>
    <mergeCell ref="E430:E441"/>
    <mergeCell ref="M430:M441"/>
    <mergeCell ref="T430:T441"/>
    <mergeCell ref="AA430:AA441"/>
    <mergeCell ref="AH430:AH441"/>
    <mergeCell ref="AJ430:AJ441"/>
    <mergeCell ref="U436:Y436"/>
    <mergeCell ref="AB436:AF436"/>
    <mergeCell ref="G437:K437"/>
    <mergeCell ref="N437:R437"/>
    <mergeCell ref="U437:Y437"/>
    <mergeCell ref="AB437:AF437"/>
    <mergeCell ref="AA417:AA428"/>
    <mergeCell ref="AH417:AH428"/>
    <mergeCell ref="N425:R425"/>
    <mergeCell ref="U425:Y425"/>
    <mergeCell ref="AB425:AF425"/>
    <mergeCell ref="B417:B428"/>
    <mergeCell ref="C417:C428"/>
    <mergeCell ref="D417:D428"/>
    <mergeCell ref="E417:E428"/>
    <mergeCell ref="G428:K428"/>
    <mergeCell ref="AJ417:AJ428"/>
    <mergeCell ref="G423:K423"/>
    <mergeCell ref="N423:R423"/>
    <mergeCell ref="U423:Y423"/>
    <mergeCell ref="AB423:AF423"/>
    <mergeCell ref="G424:K424"/>
    <mergeCell ref="N424:R424"/>
    <mergeCell ref="U424:Y424"/>
    <mergeCell ref="AB424:AF424"/>
    <mergeCell ref="G425:K425"/>
    <mergeCell ref="G427:K427"/>
    <mergeCell ref="N427:R427"/>
    <mergeCell ref="U427:Y427"/>
    <mergeCell ref="AB427:AF427"/>
    <mergeCell ref="G426:K426"/>
    <mergeCell ref="N426:R426"/>
    <mergeCell ref="U426:Y426"/>
    <mergeCell ref="AB426:AF426"/>
    <mergeCell ref="M417:M428"/>
    <mergeCell ref="T417:T428"/>
    <mergeCell ref="AA404:AA415"/>
    <mergeCell ref="AH404:AH415"/>
    <mergeCell ref="G415:K415"/>
    <mergeCell ref="N415:R415"/>
    <mergeCell ref="U415:Y415"/>
    <mergeCell ref="AB415:AF415"/>
    <mergeCell ref="G414:K414"/>
    <mergeCell ref="N414:R414"/>
    <mergeCell ref="U414:Y414"/>
    <mergeCell ref="AB414:AF414"/>
    <mergeCell ref="AB411:AF411"/>
    <mergeCell ref="G412:K412"/>
    <mergeCell ref="AK404:AK415"/>
    <mergeCell ref="AL404:AL415"/>
    <mergeCell ref="B404:B415"/>
    <mergeCell ref="C404:C415"/>
    <mergeCell ref="D404:D415"/>
    <mergeCell ref="E404:E415"/>
    <mergeCell ref="M404:M415"/>
    <mergeCell ref="T404:T415"/>
    <mergeCell ref="AB412:AF412"/>
    <mergeCell ref="G413:K413"/>
    <mergeCell ref="N413:R413"/>
    <mergeCell ref="AJ404:AJ415"/>
    <mergeCell ref="G410:K410"/>
    <mergeCell ref="N410:R410"/>
    <mergeCell ref="U410:Y410"/>
    <mergeCell ref="AB410:AF410"/>
    <mergeCell ref="G411:K411"/>
    <mergeCell ref="N411:R411"/>
    <mergeCell ref="B391:B402"/>
    <mergeCell ref="C391:C402"/>
    <mergeCell ref="D391:D402"/>
    <mergeCell ref="E391:E402"/>
    <mergeCell ref="N412:R412"/>
    <mergeCell ref="U412:Y412"/>
    <mergeCell ref="U411:Y411"/>
    <mergeCell ref="AA391:AA402"/>
    <mergeCell ref="AH391:AH402"/>
    <mergeCell ref="N401:R401"/>
    <mergeCell ref="U401:Y401"/>
    <mergeCell ref="AB401:AF401"/>
    <mergeCell ref="N399:R399"/>
    <mergeCell ref="U399:Y399"/>
    <mergeCell ref="AB399:AF399"/>
    <mergeCell ref="AJ391:AJ402"/>
    <mergeCell ref="G397:K397"/>
    <mergeCell ref="N397:R397"/>
    <mergeCell ref="U397:Y397"/>
    <mergeCell ref="AB397:AF397"/>
    <mergeCell ref="G398:K398"/>
    <mergeCell ref="N398:R398"/>
    <mergeCell ref="U398:Y398"/>
    <mergeCell ref="AB398:AF398"/>
    <mergeCell ref="G401:K401"/>
    <mergeCell ref="G400:K400"/>
    <mergeCell ref="N400:R400"/>
    <mergeCell ref="U400:Y400"/>
    <mergeCell ref="AB400:AF400"/>
    <mergeCell ref="G402:K402"/>
    <mergeCell ref="N402:R402"/>
    <mergeCell ref="U402:Y402"/>
    <mergeCell ref="AB402:AF402"/>
    <mergeCell ref="M391:M402"/>
    <mergeCell ref="T391:T402"/>
    <mergeCell ref="AR378:AR382"/>
    <mergeCell ref="AK378:AK389"/>
    <mergeCell ref="AL378:AL389"/>
    <mergeCell ref="AM378:AM382"/>
    <mergeCell ref="AN378:AN382"/>
    <mergeCell ref="AB388:AF388"/>
    <mergeCell ref="AB389:AF389"/>
    <mergeCell ref="AP404:AP408"/>
    <mergeCell ref="AQ404:AQ408"/>
    <mergeCell ref="AP391:AP395"/>
    <mergeCell ref="AQ391:AQ395"/>
    <mergeCell ref="AO378:AO382"/>
    <mergeCell ref="AP378:AP382"/>
    <mergeCell ref="AQ378:AQ382"/>
    <mergeCell ref="AR404:AR408"/>
    <mergeCell ref="U413:Y413"/>
    <mergeCell ref="AB413:AF413"/>
    <mergeCell ref="AL391:AL402"/>
    <mergeCell ref="AM391:AM395"/>
    <mergeCell ref="AN391:AN395"/>
    <mergeCell ref="AO391:AO395"/>
    <mergeCell ref="AR391:AR395"/>
    <mergeCell ref="AN404:AN408"/>
    <mergeCell ref="AO404:AO408"/>
    <mergeCell ref="B378:B389"/>
    <mergeCell ref="C378:C389"/>
    <mergeCell ref="D378:D389"/>
    <mergeCell ref="E378:E389"/>
    <mergeCell ref="AK391:AK402"/>
    <mergeCell ref="G399:K399"/>
    <mergeCell ref="G389:K389"/>
    <mergeCell ref="N389:R389"/>
    <mergeCell ref="U389:Y389"/>
    <mergeCell ref="M378:M389"/>
    <mergeCell ref="AH378:AH389"/>
    <mergeCell ref="AJ378:AJ389"/>
    <mergeCell ref="G384:K384"/>
    <mergeCell ref="N384:R384"/>
    <mergeCell ref="U384:Y384"/>
    <mergeCell ref="AB384:AF384"/>
    <mergeCell ref="G385:K385"/>
    <mergeCell ref="N385:R385"/>
    <mergeCell ref="U385:Y385"/>
    <mergeCell ref="AB385:AF385"/>
    <mergeCell ref="U386:Y386"/>
    <mergeCell ref="AB386:AF386"/>
    <mergeCell ref="G387:K387"/>
    <mergeCell ref="N387:R387"/>
    <mergeCell ref="U387:Y387"/>
    <mergeCell ref="AB387:AF387"/>
    <mergeCell ref="T378:T389"/>
    <mergeCell ref="AA378:AA389"/>
    <mergeCell ref="G386:K386"/>
    <mergeCell ref="N386:R386"/>
    <mergeCell ref="G388:K388"/>
    <mergeCell ref="N388:R388"/>
    <mergeCell ref="U388:Y388"/>
    <mergeCell ref="G363:K363"/>
    <mergeCell ref="N363:R363"/>
    <mergeCell ref="U363:Y363"/>
    <mergeCell ref="G376:K376"/>
    <mergeCell ref="N376:R376"/>
    <mergeCell ref="U376:Y376"/>
    <mergeCell ref="G371:K371"/>
    <mergeCell ref="AB363:AF363"/>
    <mergeCell ref="AB359:AF359"/>
    <mergeCell ref="G360:K360"/>
    <mergeCell ref="N360:R360"/>
    <mergeCell ref="U360:Y360"/>
    <mergeCell ref="AB360:AF360"/>
    <mergeCell ref="G361:K361"/>
    <mergeCell ref="N361:R361"/>
    <mergeCell ref="U361:Y361"/>
    <mergeCell ref="G362:K362"/>
    <mergeCell ref="AB374:AF374"/>
    <mergeCell ref="G375:K375"/>
    <mergeCell ref="N375:R375"/>
    <mergeCell ref="AQ365:AQ369"/>
    <mergeCell ref="N374:R374"/>
    <mergeCell ref="U374:Y374"/>
    <mergeCell ref="U375:Y375"/>
    <mergeCell ref="AB375:AF375"/>
    <mergeCell ref="AH365:AH376"/>
    <mergeCell ref="AJ365:AJ376"/>
    <mergeCell ref="G350:K350"/>
    <mergeCell ref="N350:R350"/>
    <mergeCell ref="U350:Y350"/>
    <mergeCell ref="AB350:AF350"/>
    <mergeCell ref="G349:K349"/>
    <mergeCell ref="N349:R349"/>
    <mergeCell ref="AO339:AO343"/>
    <mergeCell ref="AP339:AP343"/>
    <mergeCell ref="AQ339:AQ343"/>
    <mergeCell ref="AR339:AR343"/>
    <mergeCell ref="AK339:AK350"/>
    <mergeCell ref="AL339:AL350"/>
    <mergeCell ref="AM339:AM343"/>
    <mergeCell ref="AN339:AN343"/>
    <mergeCell ref="G346:K346"/>
    <mergeCell ref="AB376:AF376"/>
    <mergeCell ref="M365:M376"/>
    <mergeCell ref="T365:T376"/>
    <mergeCell ref="AA365:AA376"/>
    <mergeCell ref="N371:R371"/>
    <mergeCell ref="U371:Y371"/>
    <mergeCell ref="AB371:AF371"/>
    <mergeCell ref="U349:Y349"/>
    <mergeCell ref="AB349:AF349"/>
    <mergeCell ref="AH339:AH350"/>
    <mergeCell ref="G372:K372"/>
    <mergeCell ref="N372:R372"/>
    <mergeCell ref="U372:Y372"/>
    <mergeCell ref="AP326:AP330"/>
    <mergeCell ref="AJ339:AJ350"/>
    <mergeCell ref="G345:K345"/>
    <mergeCell ref="N345:R345"/>
    <mergeCell ref="U345:Y345"/>
    <mergeCell ref="AB345:AF345"/>
    <mergeCell ref="AB347:AF347"/>
    <mergeCell ref="AQ326:AQ330"/>
    <mergeCell ref="AR326:AR330"/>
    <mergeCell ref="B339:B350"/>
    <mergeCell ref="C339:C350"/>
    <mergeCell ref="D339:D350"/>
    <mergeCell ref="E339:E350"/>
    <mergeCell ref="M339:M350"/>
    <mergeCell ref="T339:T350"/>
    <mergeCell ref="AA339:AA350"/>
    <mergeCell ref="G348:K348"/>
    <mergeCell ref="N348:R348"/>
    <mergeCell ref="U348:Y348"/>
    <mergeCell ref="AB348:AF348"/>
    <mergeCell ref="N346:R346"/>
    <mergeCell ref="U346:Y346"/>
    <mergeCell ref="AB346:AF346"/>
    <mergeCell ref="G347:K347"/>
    <mergeCell ref="N347:R347"/>
    <mergeCell ref="U347:Y347"/>
    <mergeCell ref="U336:Y336"/>
    <mergeCell ref="AB336:AF336"/>
    <mergeCell ref="G335:K335"/>
    <mergeCell ref="N335:R335"/>
    <mergeCell ref="U335:Y335"/>
    <mergeCell ref="AB335:AF335"/>
    <mergeCell ref="AK326:AK337"/>
    <mergeCell ref="AL326:AL337"/>
    <mergeCell ref="AM326:AM330"/>
    <mergeCell ref="AN326:AN330"/>
    <mergeCell ref="G337:K337"/>
    <mergeCell ref="N337:R337"/>
    <mergeCell ref="U337:Y337"/>
    <mergeCell ref="AB337:AF337"/>
    <mergeCell ref="G336:K336"/>
    <mergeCell ref="N336:R336"/>
    <mergeCell ref="U319:Y319"/>
    <mergeCell ref="AB319:AF319"/>
    <mergeCell ref="AO326:AO330"/>
    <mergeCell ref="AB324:AF324"/>
    <mergeCell ref="AK313:AK324"/>
    <mergeCell ref="AL313:AL324"/>
    <mergeCell ref="AM313:AM317"/>
    <mergeCell ref="AN313:AN317"/>
    <mergeCell ref="AO313:AO317"/>
    <mergeCell ref="AJ313:AJ324"/>
    <mergeCell ref="U321:Y321"/>
    <mergeCell ref="AB321:AF321"/>
    <mergeCell ref="G320:K320"/>
    <mergeCell ref="N320:R320"/>
    <mergeCell ref="U320:Y320"/>
    <mergeCell ref="AB320:AF320"/>
    <mergeCell ref="AH326:AH337"/>
    <mergeCell ref="AJ326:AJ337"/>
    <mergeCell ref="G321:K321"/>
    <mergeCell ref="N321:R321"/>
    <mergeCell ref="AP313:AP317"/>
    <mergeCell ref="AQ313:AQ317"/>
    <mergeCell ref="M313:M324"/>
    <mergeCell ref="T313:T324"/>
    <mergeCell ref="AA313:AA324"/>
    <mergeCell ref="AH313:AH324"/>
    <mergeCell ref="U332:Y332"/>
    <mergeCell ref="AB332:AF332"/>
    <mergeCell ref="AR313:AR317"/>
    <mergeCell ref="B326:B337"/>
    <mergeCell ref="C326:C337"/>
    <mergeCell ref="D326:D337"/>
    <mergeCell ref="E326:E337"/>
    <mergeCell ref="M326:M337"/>
    <mergeCell ref="T326:T337"/>
    <mergeCell ref="AA326:AA337"/>
    <mergeCell ref="U334:Y334"/>
    <mergeCell ref="AB334:AF334"/>
    <mergeCell ref="G333:K333"/>
    <mergeCell ref="N333:R333"/>
    <mergeCell ref="U333:Y333"/>
    <mergeCell ref="AB333:AF333"/>
    <mergeCell ref="B313:B324"/>
    <mergeCell ref="C313:C324"/>
    <mergeCell ref="D313:D324"/>
    <mergeCell ref="E313:E324"/>
    <mergeCell ref="G334:K334"/>
    <mergeCell ref="N334:R334"/>
    <mergeCell ref="G332:K332"/>
    <mergeCell ref="N332:R332"/>
    <mergeCell ref="G319:K319"/>
    <mergeCell ref="N319:R319"/>
    <mergeCell ref="G323:K323"/>
    <mergeCell ref="N323:R323"/>
    <mergeCell ref="U323:Y323"/>
    <mergeCell ref="AB323:AF323"/>
    <mergeCell ref="G322:K322"/>
    <mergeCell ref="N322:R322"/>
    <mergeCell ref="U322:Y322"/>
    <mergeCell ref="AB322:AF322"/>
    <mergeCell ref="AL300:AL311"/>
    <mergeCell ref="AJ300:AJ311"/>
    <mergeCell ref="G324:K324"/>
    <mergeCell ref="N324:R324"/>
    <mergeCell ref="U324:Y324"/>
    <mergeCell ref="AB309:AF309"/>
    <mergeCell ref="G310:K310"/>
    <mergeCell ref="N310:R310"/>
    <mergeCell ref="U310:Y310"/>
    <mergeCell ref="AB310:AF310"/>
    <mergeCell ref="AR300:AR304"/>
    <mergeCell ref="AM287:AM291"/>
    <mergeCell ref="AN287:AN291"/>
    <mergeCell ref="AO287:AO291"/>
    <mergeCell ref="AP287:AP291"/>
    <mergeCell ref="AQ287:AQ291"/>
    <mergeCell ref="AR287:AR291"/>
    <mergeCell ref="AM300:AM304"/>
    <mergeCell ref="AN300:AN304"/>
    <mergeCell ref="AO300:AO304"/>
    <mergeCell ref="AH300:AH311"/>
    <mergeCell ref="B300:B311"/>
    <mergeCell ref="C300:C311"/>
    <mergeCell ref="D300:D311"/>
    <mergeCell ref="E300:E311"/>
    <mergeCell ref="AQ300:AQ304"/>
    <mergeCell ref="AP300:AP304"/>
    <mergeCell ref="U311:Y311"/>
    <mergeCell ref="AB311:AF311"/>
    <mergeCell ref="AK300:AK311"/>
    <mergeCell ref="G306:K306"/>
    <mergeCell ref="N306:R306"/>
    <mergeCell ref="U306:Y306"/>
    <mergeCell ref="AB306:AF306"/>
    <mergeCell ref="M300:M311"/>
    <mergeCell ref="T300:T311"/>
    <mergeCell ref="AA300:AA311"/>
    <mergeCell ref="G311:K311"/>
    <mergeCell ref="N311:R311"/>
    <mergeCell ref="N308:R308"/>
    <mergeCell ref="U308:Y308"/>
    <mergeCell ref="AB308:AF308"/>
    <mergeCell ref="G307:K307"/>
    <mergeCell ref="N307:R307"/>
    <mergeCell ref="U307:Y307"/>
    <mergeCell ref="AB307:AF307"/>
    <mergeCell ref="G295:K295"/>
    <mergeCell ref="G309:K309"/>
    <mergeCell ref="N309:R309"/>
    <mergeCell ref="U309:Y309"/>
    <mergeCell ref="N295:R295"/>
    <mergeCell ref="U295:Y295"/>
    <mergeCell ref="G297:K297"/>
    <mergeCell ref="N297:R297"/>
    <mergeCell ref="U297:Y297"/>
    <mergeCell ref="G308:K308"/>
    <mergeCell ref="G293:K293"/>
    <mergeCell ref="AB297:AF297"/>
    <mergeCell ref="G298:K298"/>
    <mergeCell ref="N298:R298"/>
    <mergeCell ref="U298:Y298"/>
    <mergeCell ref="AB298:AF298"/>
    <mergeCell ref="AB295:AF295"/>
    <mergeCell ref="G296:K296"/>
    <mergeCell ref="N296:R296"/>
    <mergeCell ref="U296:Y296"/>
    <mergeCell ref="N285:R285"/>
    <mergeCell ref="U285:Y285"/>
    <mergeCell ref="AB285:AF285"/>
    <mergeCell ref="AK274:AK285"/>
    <mergeCell ref="AL274:AL285"/>
    <mergeCell ref="AJ287:AJ298"/>
    <mergeCell ref="AB296:AF296"/>
    <mergeCell ref="AM274:AM278"/>
    <mergeCell ref="AN274:AN278"/>
    <mergeCell ref="AO274:AO278"/>
    <mergeCell ref="AP274:AP278"/>
    <mergeCell ref="AK287:AK298"/>
    <mergeCell ref="AL287:AL298"/>
    <mergeCell ref="AM293:AM298"/>
    <mergeCell ref="AM280:AM285"/>
    <mergeCell ref="AQ274:AQ278"/>
    <mergeCell ref="AR274:AR278"/>
    <mergeCell ref="B287:B298"/>
    <mergeCell ref="C287:C298"/>
    <mergeCell ref="D287:D298"/>
    <mergeCell ref="E287:E298"/>
    <mergeCell ref="M287:M298"/>
    <mergeCell ref="T287:T298"/>
    <mergeCell ref="AA287:AA298"/>
    <mergeCell ref="AH287:AH298"/>
    <mergeCell ref="AH274:AH285"/>
    <mergeCell ref="AJ274:AJ285"/>
    <mergeCell ref="N293:R293"/>
    <mergeCell ref="U293:Y293"/>
    <mergeCell ref="AB293:AF293"/>
    <mergeCell ref="G294:K294"/>
    <mergeCell ref="N294:R294"/>
    <mergeCell ref="U294:Y294"/>
    <mergeCell ref="AB294:AF294"/>
    <mergeCell ref="G285:K285"/>
    <mergeCell ref="G280:K280"/>
    <mergeCell ref="N280:R280"/>
    <mergeCell ref="U280:Y280"/>
    <mergeCell ref="AB280:AF280"/>
    <mergeCell ref="AR261:AR265"/>
    <mergeCell ref="B274:B285"/>
    <mergeCell ref="C274:C285"/>
    <mergeCell ref="D274:D285"/>
    <mergeCell ref="E274:E285"/>
    <mergeCell ref="M274:M285"/>
    <mergeCell ref="G282:K282"/>
    <mergeCell ref="N282:R282"/>
    <mergeCell ref="U282:Y282"/>
    <mergeCell ref="AB282:AF282"/>
    <mergeCell ref="G281:K281"/>
    <mergeCell ref="N281:R281"/>
    <mergeCell ref="U281:Y281"/>
    <mergeCell ref="AB281:AF281"/>
    <mergeCell ref="T274:T285"/>
    <mergeCell ref="AA274:AA285"/>
    <mergeCell ref="G284:K284"/>
    <mergeCell ref="N284:R284"/>
    <mergeCell ref="U284:Y284"/>
    <mergeCell ref="AB284:AF284"/>
    <mergeCell ref="G283:K283"/>
    <mergeCell ref="N283:R283"/>
    <mergeCell ref="U283:Y283"/>
    <mergeCell ref="AB283:AF283"/>
    <mergeCell ref="U270:Y270"/>
    <mergeCell ref="AB270:AF270"/>
    <mergeCell ref="AN261:AN265"/>
    <mergeCell ref="AO261:AO265"/>
    <mergeCell ref="AK261:AK272"/>
    <mergeCell ref="AH261:AH272"/>
    <mergeCell ref="AJ261:AJ272"/>
    <mergeCell ref="AB267:AF267"/>
    <mergeCell ref="AB268:AF268"/>
    <mergeCell ref="U269:Y269"/>
    <mergeCell ref="AB258:AF258"/>
    <mergeCell ref="AP261:AP265"/>
    <mergeCell ref="AQ261:AQ265"/>
    <mergeCell ref="AL248:AL259"/>
    <mergeCell ref="AM248:AM252"/>
    <mergeCell ref="AN248:AN252"/>
    <mergeCell ref="AO248:AO252"/>
    <mergeCell ref="AP248:AP252"/>
    <mergeCell ref="AQ248:AQ252"/>
    <mergeCell ref="AL261:AL272"/>
    <mergeCell ref="N255:R255"/>
    <mergeCell ref="U255:Y255"/>
    <mergeCell ref="AB255:AF255"/>
    <mergeCell ref="G259:K259"/>
    <mergeCell ref="N259:R259"/>
    <mergeCell ref="U259:Y259"/>
    <mergeCell ref="AB259:AF259"/>
    <mergeCell ref="G258:K258"/>
    <mergeCell ref="N258:R258"/>
    <mergeCell ref="U258:Y258"/>
    <mergeCell ref="U254:Y254"/>
    <mergeCell ref="AB254:AF254"/>
    <mergeCell ref="G255:K255"/>
    <mergeCell ref="AK248:AK259"/>
    <mergeCell ref="AM254:AM259"/>
    <mergeCell ref="N256:R256"/>
    <mergeCell ref="U256:Y256"/>
    <mergeCell ref="AB256:AF256"/>
    <mergeCell ref="AH248:AH259"/>
    <mergeCell ref="AJ248:AJ259"/>
    <mergeCell ref="N268:R268"/>
    <mergeCell ref="U268:Y268"/>
    <mergeCell ref="G269:K269"/>
    <mergeCell ref="N269:R269"/>
    <mergeCell ref="G257:K257"/>
    <mergeCell ref="N257:R257"/>
    <mergeCell ref="U257:Y257"/>
    <mergeCell ref="T261:T272"/>
    <mergeCell ref="AA261:AA272"/>
    <mergeCell ref="G267:K267"/>
    <mergeCell ref="N267:R267"/>
    <mergeCell ref="G256:K256"/>
    <mergeCell ref="G271:K271"/>
    <mergeCell ref="N271:R271"/>
    <mergeCell ref="U271:Y271"/>
    <mergeCell ref="U267:Y267"/>
    <mergeCell ref="G268:K268"/>
    <mergeCell ref="B261:B272"/>
    <mergeCell ref="C261:C272"/>
    <mergeCell ref="D261:D272"/>
    <mergeCell ref="E261:E272"/>
    <mergeCell ref="AB271:AF271"/>
    <mergeCell ref="G272:K272"/>
    <mergeCell ref="N272:R272"/>
    <mergeCell ref="U272:Y272"/>
    <mergeCell ref="AB272:AF272"/>
    <mergeCell ref="M261:M272"/>
    <mergeCell ref="AB269:AF269"/>
    <mergeCell ref="G270:K270"/>
    <mergeCell ref="N270:R270"/>
    <mergeCell ref="AB245:AF245"/>
    <mergeCell ref="G246:K246"/>
    <mergeCell ref="N246:R246"/>
    <mergeCell ref="U246:Y246"/>
    <mergeCell ref="AB246:AF246"/>
    <mergeCell ref="M248:M259"/>
    <mergeCell ref="T248:T259"/>
    <mergeCell ref="AQ235:AQ239"/>
    <mergeCell ref="AR235:AR239"/>
    <mergeCell ref="AK235:AK246"/>
    <mergeCell ref="AL235:AL246"/>
    <mergeCell ref="AM235:AM239"/>
    <mergeCell ref="AN235:AN239"/>
    <mergeCell ref="B248:B259"/>
    <mergeCell ref="C248:C259"/>
    <mergeCell ref="D248:D259"/>
    <mergeCell ref="E248:E259"/>
    <mergeCell ref="AO235:AO239"/>
    <mergeCell ref="AP235:AP239"/>
    <mergeCell ref="AB257:AF257"/>
    <mergeCell ref="AA248:AA259"/>
    <mergeCell ref="G254:K254"/>
    <mergeCell ref="N254:R254"/>
    <mergeCell ref="AR248:AR252"/>
    <mergeCell ref="AQ222:AQ226"/>
    <mergeCell ref="AR222:AR226"/>
    <mergeCell ref="B235:B246"/>
    <mergeCell ref="C235:C246"/>
    <mergeCell ref="D235:D246"/>
    <mergeCell ref="E235:E246"/>
    <mergeCell ref="M235:M246"/>
    <mergeCell ref="T235:T246"/>
    <mergeCell ref="AA235:AA246"/>
    <mergeCell ref="AH235:AH246"/>
    <mergeCell ref="AJ235:AJ246"/>
    <mergeCell ref="G241:K241"/>
    <mergeCell ref="N241:R241"/>
    <mergeCell ref="U241:Y241"/>
    <mergeCell ref="AB241:AF241"/>
    <mergeCell ref="G242:K242"/>
    <mergeCell ref="N242:R242"/>
    <mergeCell ref="U242:Y242"/>
    <mergeCell ref="AB242:AF242"/>
    <mergeCell ref="U233:Y233"/>
    <mergeCell ref="G244:K244"/>
    <mergeCell ref="N244:R244"/>
    <mergeCell ref="U244:Y244"/>
    <mergeCell ref="AB244:AF244"/>
    <mergeCell ref="G243:K243"/>
    <mergeCell ref="N243:R243"/>
    <mergeCell ref="U243:Y243"/>
    <mergeCell ref="AB243:AF243"/>
    <mergeCell ref="AL222:AL233"/>
    <mergeCell ref="AM222:AM226"/>
    <mergeCell ref="AN222:AN226"/>
    <mergeCell ref="G245:K245"/>
    <mergeCell ref="N245:R245"/>
    <mergeCell ref="U245:Y245"/>
    <mergeCell ref="N231:R231"/>
    <mergeCell ref="U231:Y231"/>
    <mergeCell ref="G233:K233"/>
    <mergeCell ref="N233:R233"/>
    <mergeCell ref="U218:Y218"/>
    <mergeCell ref="AO222:AO226"/>
    <mergeCell ref="AP222:AP226"/>
    <mergeCell ref="AK209:AK220"/>
    <mergeCell ref="AL209:AL220"/>
    <mergeCell ref="AM209:AM213"/>
    <mergeCell ref="AN209:AN213"/>
    <mergeCell ref="AO209:AO213"/>
    <mergeCell ref="AP209:AP213"/>
    <mergeCell ref="AK222:AK233"/>
    <mergeCell ref="N220:R220"/>
    <mergeCell ref="U220:Y220"/>
    <mergeCell ref="AB220:AF220"/>
    <mergeCell ref="AB218:AF218"/>
    <mergeCell ref="G219:K219"/>
    <mergeCell ref="N219:R219"/>
    <mergeCell ref="U219:Y219"/>
    <mergeCell ref="AB219:AF219"/>
    <mergeCell ref="G218:K218"/>
    <mergeCell ref="N218:R218"/>
    <mergeCell ref="AB231:AF231"/>
    <mergeCell ref="G232:K232"/>
    <mergeCell ref="N232:R232"/>
    <mergeCell ref="U232:Y232"/>
    <mergeCell ref="AB232:AF232"/>
    <mergeCell ref="AB216:AF216"/>
    <mergeCell ref="G217:K217"/>
    <mergeCell ref="N217:R217"/>
    <mergeCell ref="U217:Y217"/>
    <mergeCell ref="AB217:AF217"/>
    <mergeCell ref="AB233:AF233"/>
    <mergeCell ref="B222:B233"/>
    <mergeCell ref="C222:C233"/>
    <mergeCell ref="D222:D233"/>
    <mergeCell ref="E222:E233"/>
    <mergeCell ref="M222:M233"/>
    <mergeCell ref="T222:T233"/>
    <mergeCell ref="AA222:AA233"/>
    <mergeCell ref="G230:K230"/>
    <mergeCell ref="N230:R230"/>
    <mergeCell ref="AH222:AH233"/>
    <mergeCell ref="AJ222:AJ233"/>
    <mergeCell ref="G228:K228"/>
    <mergeCell ref="N228:R228"/>
    <mergeCell ref="U228:Y228"/>
    <mergeCell ref="AB228:AF228"/>
    <mergeCell ref="G229:K229"/>
    <mergeCell ref="N229:R229"/>
    <mergeCell ref="U229:Y229"/>
    <mergeCell ref="AB229:AF229"/>
    <mergeCell ref="U230:Y230"/>
    <mergeCell ref="AB230:AF230"/>
    <mergeCell ref="G231:K231"/>
    <mergeCell ref="U206:Y206"/>
    <mergeCell ref="AB206:AF206"/>
    <mergeCell ref="G207:K207"/>
    <mergeCell ref="N207:R207"/>
    <mergeCell ref="U207:Y207"/>
    <mergeCell ref="AB207:AF207"/>
    <mergeCell ref="M209:M220"/>
    <mergeCell ref="B209:B220"/>
    <mergeCell ref="C209:C220"/>
    <mergeCell ref="D209:D220"/>
    <mergeCell ref="E209:E220"/>
    <mergeCell ref="AO196:AO200"/>
    <mergeCell ref="AP196:AP200"/>
    <mergeCell ref="AK196:AK207"/>
    <mergeCell ref="AL196:AL207"/>
    <mergeCell ref="AM196:AM200"/>
    <mergeCell ref="AN196:AN200"/>
    <mergeCell ref="G215:K215"/>
    <mergeCell ref="N215:R215"/>
    <mergeCell ref="U215:Y215"/>
    <mergeCell ref="AB215:AF215"/>
    <mergeCell ref="G216:K216"/>
    <mergeCell ref="N216:R216"/>
    <mergeCell ref="U216:Y216"/>
    <mergeCell ref="T209:T220"/>
    <mergeCell ref="AA209:AA220"/>
    <mergeCell ref="G220:K220"/>
    <mergeCell ref="AQ209:AQ213"/>
    <mergeCell ref="AR209:AR213"/>
    <mergeCell ref="AP183:AP187"/>
    <mergeCell ref="AQ183:AQ187"/>
    <mergeCell ref="AR183:AR187"/>
    <mergeCell ref="AH209:AH220"/>
    <mergeCell ref="AJ209:AJ220"/>
    <mergeCell ref="AQ196:AQ200"/>
    <mergeCell ref="AR196:AR200"/>
    <mergeCell ref="AH196:AH207"/>
    <mergeCell ref="N204:R204"/>
    <mergeCell ref="U204:Y204"/>
    <mergeCell ref="AB204:AF204"/>
    <mergeCell ref="B196:B207"/>
    <mergeCell ref="C196:C207"/>
    <mergeCell ref="D196:D207"/>
    <mergeCell ref="E196:E207"/>
    <mergeCell ref="AJ196:AJ207"/>
    <mergeCell ref="G202:K202"/>
    <mergeCell ref="N202:R202"/>
    <mergeCell ref="U202:Y202"/>
    <mergeCell ref="AB202:AF202"/>
    <mergeCell ref="G203:K203"/>
    <mergeCell ref="N203:R203"/>
    <mergeCell ref="U203:Y203"/>
    <mergeCell ref="AB203:AF203"/>
    <mergeCell ref="G204:K204"/>
    <mergeCell ref="G192:K192"/>
    <mergeCell ref="N192:R192"/>
    <mergeCell ref="G194:K194"/>
    <mergeCell ref="N194:R194"/>
    <mergeCell ref="G205:K205"/>
    <mergeCell ref="N205:R205"/>
    <mergeCell ref="M196:M207"/>
    <mergeCell ref="G193:K193"/>
    <mergeCell ref="N193:R193"/>
    <mergeCell ref="U193:Y193"/>
    <mergeCell ref="AB193:AF193"/>
    <mergeCell ref="G206:K206"/>
    <mergeCell ref="N206:R206"/>
    <mergeCell ref="U205:Y205"/>
    <mergeCell ref="AB205:AF205"/>
    <mergeCell ref="T196:T207"/>
    <mergeCell ref="AA196:AA207"/>
    <mergeCell ref="U194:Y194"/>
    <mergeCell ref="AB194:AF194"/>
    <mergeCell ref="AK183:AK194"/>
    <mergeCell ref="AL183:AL194"/>
    <mergeCell ref="U192:Y192"/>
    <mergeCell ref="AB192:AF192"/>
    <mergeCell ref="AM183:AM187"/>
    <mergeCell ref="AN183:AN187"/>
    <mergeCell ref="AO183:AO187"/>
    <mergeCell ref="AB181:AF181"/>
    <mergeCell ref="AK170:AK181"/>
    <mergeCell ref="AL170:AL181"/>
    <mergeCell ref="AM170:AM174"/>
    <mergeCell ref="AN170:AN174"/>
    <mergeCell ref="AO170:AO174"/>
    <mergeCell ref="AJ170:AJ181"/>
    <mergeCell ref="AB178:AF178"/>
    <mergeCell ref="G177:K177"/>
    <mergeCell ref="N177:R177"/>
    <mergeCell ref="U177:Y177"/>
    <mergeCell ref="AB177:AF177"/>
    <mergeCell ref="G176:K176"/>
    <mergeCell ref="N176:R176"/>
    <mergeCell ref="U176:Y176"/>
    <mergeCell ref="AB176:AF176"/>
    <mergeCell ref="AH183:AH194"/>
    <mergeCell ref="AJ183:AJ194"/>
    <mergeCell ref="G178:K178"/>
    <mergeCell ref="N178:R178"/>
    <mergeCell ref="AP170:AP174"/>
    <mergeCell ref="AQ170:AQ174"/>
    <mergeCell ref="M170:M181"/>
    <mergeCell ref="T170:T181"/>
    <mergeCell ref="AA170:AA181"/>
    <mergeCell ref="AH170:AH181"/>
    <mergeCell ref="G189:K189"/>
    <mergeCell ref="N189:R189"/>
    <mergeCell ref="U189:Y189"/>
    <mergeCell ref="AB189:AF189"/>
    <mergeCell ref="AR170:AR174"/>
    <mergeCell ref="B183:B194"/>
    <mergeCell ref="C183:C194"/>
    <mergeCell ref="D183:D194"/>
    <mergeCell ref="E183:E194"/>
    <mergeCell ref="M183:M194"/>
    <mergeCell ref="G191:K191"/>
    <mergeCell ref="N191:R191"/>
    <mergeCell ref="U191:Y191"/>
    <mergeCell ref="AB191:AF191"/>
    <mergeCell ref="G190:K190"/>
    <mergeCell ref="N190:R190"/>
    <mergeCell ref="U190:Y190"/>
    <mergeCell ref="AB190:AF190"/>
    <mergeCell ref="T183:T194"/>
    <mergeCell ref="AA183:AA194"/>
    <mergeCell ref="AB180:AF180"/>
    <mergeCell ref="G179:K179"/>
    <mergeCell ref="N179:R179"/>
    <mergeCell ref="U179:Y179"/>
    <mergeCell ref="AB179:AF179"/>
    <mergeCell ref="B170:B181"/>
    <mergeCell ref="C170:C181"/>
    <mergeCell ref="D170:D181"/>
    <mergeCell ref="E170:E181"/>
    <mergeCell ref="U178:Y178"/>
    <mergeCell ref="AR157:AR161"/>
    <mergeCell ref="G163:K163"/>
    <mergeCell ref="N163:R163"/>
    <mergeCell ref="U163:Y163"/>
    <mergeCell ref="AB163:AF163"/>
    <mergeCell ref="G164:K164"/>
    <mergeCell ref="N164:R164"/>
    <mergeCell ref="G165:K165"/>
    <mergeCell ref="N165:R165"/>
    <mergeCell ref="U165:Y165"/>
    <mergeCell ref="AB165:AF165"/>
    <mergeCell ref="G181:K181"/>
    <mergeCell ref="N181:R181"/>
    <mergeCell ref="U181:Y181"/>
    <mergeCell ref="G180:K180"/>
    <mergeCell ref="N180:R180"/>
    <mergeCell ref="U180:Y180"/>
    <mergeCell ref="N166:R166"/>
    <mergeCell ref="U166:Y166"/>
    <mergeCell ref="AB166:AF166"/>
    <mergeCell ref="T157:T168"/>
    <mergeCell ref="AA157:AA168"/>
    <mergeCell ref="U168:Y168"/>
    <mergeCell ref="AB168:AF168"/>
    <mergeCell ref="U164:Y164"/>
    <mergeCell ref="AB164:AF164"/>
    <mergeCell ref="G167:K167"/>
    <mergeCell ref="N167:R167"/>
    <mergeCell ref="B157:B168"/>
    <mergeCell ref="C157:C168"/>
    <mergeCell ref="D157:D168"/>
    <mergeCell ref="E157:E168"/>
    <mergeCell ref="M157:M168"/>
    <mergeCell ref="N168:R168"/>
    <mergeCell ref="G168:K168"/>
    <mergeCell ref="G166:K166"/>
    <mergeCell ref="N46:R46"/>
    <mergeCell ref="G50:K50"/>
    <mergeCell ref="G51:K51"/>
    <mergeCell ref="G47:K47"/>
    <mergeCell ref="G46:K46"/>
    <mergeCell ref="N48:R48"/>
    <mergeCell ref="N49:R49"/>
    <mergeCell ref="B53:B64"/>
    <mergeCell ref="C53:C64"/>
    <mergeCell ref="D53:D64"/>
    <mergeCell ref="M53:M64"/>
    <mergeCell ref="G63:K63"/>
    <mergeCell ref="D40:D51"/>
    <mergeCell ref="B66:B77"/>
    <mergeCell ref="C66:C77"/>
    <mergeCell ref="B40:B51"/>
    <mergeCell ref="C40:C51"/>
    <mergeCell ref="AB50:AF50"/>
    <mergeCell ref="AB51:AF51"/>
    <mergeCell ref="U46:Y46"/>
    <mergeCell ref="U47:Y47"/>
    <mergeCell ref="U48:Y48"/>
    <mergeCell ref="U49:Y49"/>
    <mergeCell ref="AH105:AH116"/>
    <mergeCell ref="AN105:AN109"/>
    <mergeCell ref="AO105:AO109"/>
    <mergeCell ref="AP105:AP109"/>
    <mergeCell ref="AQ105:AQ109"/>
    <mergeCell ref="AN157:AN161"/>
    <mergeCell ref="AO157:AO161"/>
    <mergeCell ref="AP157:AP161"/>
    <mergeCell ref="AQ157:AQ161"/>
    <mergeCell ref="AM137:AM142"/>
    <mergeCell ref="AB167:AF167"/>
    <mergeCell ref="AK118:AK129"/>
    <mergeCell ref="AL118:AL129"/>
    <mergeCell ref="AJ105:AJ116"/>
    <mergeCell ref="G127:K127"/>
    <mergeCell ref="N127:R127"/>
    <mergeCell ref="U127:Y127"/>
    <mergeCell ref="G124:K124"/>
    <mergeCell ref="N124:R124"/>
    <mergeCell ref="U124:Y124"/>
    <mergeCell ref="AP118:AP122"/>
    <mergeCell ref="AH157:AH168"/>
    <mergeCell ref="AJ157:AJ168"/>
    <mergeCell ref="G115:K115"/>
    <mergeCell ref="N115:R115"/>
    <mergeCell ref="U115:Y115"/>
    <mergeCell ref="AB115:AF115"/>
    <mergeCell ref="G116:K116"/>
    <mergeCell ref="N116:R116"/>
    <mergeCell ref="U167:Y167"/>
    <mergeCell ref="J1355:M1355"/>
    <mergeCell ref="AL38:AL39"/>
    <mergeCell ref="N51:R51"/>
    <mergeCell ref="N47:R47"/>
    <mergeCell ref="AJ40:AJ51"/>
    <mergeCell ref="AK40:AK51"/>
    <mergeCell ref="AL40:AL51"/>
    <mergeCell ref="N38:R38"/>
    <mergeCell ref="AB48:AF48"/>
    <mergeCell ref="AB49:AF49"/>
    <mergeCell ref="AM40:AM44"/>
    <mergeCell ref="Z38:Z39"/>
    <mergeCell ref="AB46:AF46"/>
    <mergeCell ref="AB47:AF47"/>
    <mergeCell ref="AH38:AH39"/>
    <mergeCell ref="AB38:AF38"/>
    <mergeCell ref="AG38:AG39"/>
    <mergeCell ref="AJ38:AJ39"/>
    <mergeCell ref="AM46:AM51"/>
    <mergeCell ref="AK38:AK39"/>
    <mergeCell ref="AR38:AR39"/>
    <mergeCell ref="AM38:AM39"/>
    <mergeCell ref="AQ38:AQ39"/>
    <mergeCell ref="AN38:AN39"/>
    <mergeCell ref="AO38:AO39"/>
    <mergeCell ref="AP38:AP39"/>
    <mergeCell ref="AN40:AN44"/>
    <mergeCell ref="AO40:AO44"/>
    <mergeCell ref="T38:T39"/>
    <mergeCell ref="AK157:AK168"/>
    <mergeCell ref="AL157:AL168"/>
    <mergeCell ref="AM157:AM161"/>
    <mergeCell ref="U63:Y63"/>
    <mergeCell ref="AB63:AF63"/>
    <mergeCell ref="T53:T64"/>
    <mergeCell ref="AA53:AA64"/>
    <mergeCell ref="B1371:C1371"/>
    <mergeCell ref="B1355:C1355"/>
    <mergeCell ref="B1357:C1357"/>
    <mergeCell ref="B1363:C1363"/>
    <mergeCell ref="B1364:C1364"/>
    <mergeCell ref="B1365:C1365"/>
    <mergeCell ref="B1368:C1368"/>
    <mergeCell ref="B1356:C1356"/>
    <mergeCell ref="B1353:H1353"/>
    <mergeCell ref="B1367:C1367"/>
    <mergeCell ref="B1370:C1370"/>
    <mergeCell ref="B1358:C1358"/>
    <mergeCell ref="B1362:C1362"/>
    <mergeCell ref="B1369:C1369"/>
    <mergeCell ref="B1366:C1366"/>
    <mergeCell ref="B1359:C1359"/>
    <mergeCell ref="B1360:C1360"/>
    <mergeCell ref="B1361:C1361"/>
    <mergeCell ref="AP66:AP70"/>
    <mergeCell ref="AP53:AP57"/>
    <mergeCell ref="AH66:AH77"/>
    <mergeCell ref="AJ66:AJ77"/>
    <mergeCell ref="AL66:AL77"/>
    <mergeCell ref="AM66:AM70"/>
    <mergeCell ref="AN66:AN70"/>
    <mergeCell ref="AO66:AO70"/>
    <mergeCell ref="AK53:AK64"/>
    <mergeCell ref="AL53:AL64"/>
    <mergeCell ref="N77:R77"/>
    <mergeCell ref="U77:Y77"/>
    <mergeCell ref="AB77:AF77"/>
    <mergeCell ref="AK66:AK77"/>
    <mergeCell ref="U73:Y73"/>
    <mergeCell ref="AB73:AF73"/>
    <mergeCell ref="AM53:AM57"/>
    <mergeCell ref="AN53:AN57"/>
    <mergeCell ref="AO53:AO57"/>
    <mergeCell ref="AH53:AH64"/>
    <mergeCell ref="AJ53:AJ64"/>
    <mergeCell ref="AM59:AM64"/>
    <mergeCell ref="U51:Y51"/>
    <mergeCell ref="G48:K48"/>
    <mergeCell ref="G49:K49"/>
    <mergeCell ref="AB62:AF62"/>
    <mergeCell ref="N63:R63"/>
    <mergeCell ref="N64:R64"/>
    <mergeCell ref="U64:Y64"/>
    <mergeCell ref="AB64:AF64"/>
    <mergeCell ref="U50:Y50"/>
    <mergeCell ref="N50:R50"/>
    <mergeCell ref="B7:D7"/>
    <mergeCell ref="E6:H6"/>
    <mergeCell ref="E7:H7"/>
    <mergeCell ref="B10:F10"/>
    <mergeCell ref="B6:D6"/>
    <mergeCell ref="AM72:AM77"/>
    <mergeCell ref="N62:R62"/>
    <mergeCell ref="U62:Y62"/>
    <mergeCell ref="B37:F37"/>
    <mergeCell ref="C38:C39"/>
    <mergeCell ref="M38:M39"/>
    <mergeCell ref="L38:L39"/>
    <mergeCell ref="G38:K38"/>
    <mergeCell ref="E38:E39"/>
    <mergeCell ref="B29:E30"/>
    <mergeCell ref="B32:E32"/>
    <mergeCell ref="B33:E33"/>
    <mergeCell ref="B34:E34"/>
    <mergeCell ref="D38:D39"/>
    <mergeCell ref="B38:B39"/>
    <mergeCell ref="I11:I12"/>
    <mergeCell ref="B23:D24"/>
    <mergeCell ref="E23:E24"/>
    <mergeCell ref="F23:F24"/>
    <mergeCell ref="G23:G24"/>
    <mergeCell ref="H23:H24"/>
    <mergeCell ref="I23:I24"/>
    <mergeCell ref="B17:D18"/>
    <mergeCell ref="E17:E18"/>
    <mergeCell ref="B11:F11"/>
    <mergeCell ref="F34:J34"/>
    <mergeCell ref="L34:P34"/>
    <mergeCell ref="R34:V34"/>
    <mergeCell ref="X34:AB34"/>
    <mergeCell ref="L29:P29"/>
    <mergeCell ref="K29:K30"/>
    <mergeCell ref="R29:V29"/>
    <mergeCell ref="W29:W30"/>
    <mergeCell ref="F29:J29"/>
    <mergeCell ref="E8:H8"/>
    <mergeCell ref="B13:F13"/>
    <mergeCell ref="B14:F14"/>
    <mergeCell ref="B12:F12"/>
    <mergeCell ref="X29:AB29"/>
    <mergeCell ref="AC29:AC30"/>
    <mergeCell ref="F17:F18"/>
    <mergeCell ref="G17:G18"/>
    <mergeCell ref="H17:H18"/>
    <mergeCell ref="I17:I18"/>
    <mergeCell ref="Q29:Q30"/>
    <mergeCell ref="B35:E35"/>
    <mergeCell ref="F35:J35"/>
    <mergeCell ref="L35:P35"/>
    <mergeCell ref="B31:E31"/>
    <mergeCell ref="B4:H4"/>
    <mergeCell ref="B16:D16"/>
    <mergeCell ref="B25:D25"/>
    <mergeCell ref="B26:D26"/>
    <mergeCell ref="B8:D8"/>
    <mergeCell ref="H11:H13"/>
    <mergeCell ref="F38:F39"/>
    <mergeCell ref="AQ53:AQ57"/>
    <mergeCell ref="AR53:AR57"/>
    <mergeCell ref="AH40:AH51"/>
    <mergeCell ref="AP40:AP44"/>
    <mergeCell ref="AQ40:AQ44"/>
    <mergeCell ref="AR40:AR44"/>
    <mergeCell ref="R35:V35"/>
    <mergeCell ref="X35:AB35"/>
    <mergeCell ref="AB61:AF61"/>
    <mergeCell ref="G60:K60"/>
    <mergeCell ref="N60:R60"/>
    <mergeCell ref="U60:Y60"/>
    <mergeCell ref="AB60:AF60"/>
    <mergeCell ref="G59:K59"/>
    <mergeCell ref="N59:R59"/>
    <mergeCell ref="U59:Y59"/>
    <mergeCell ref="AB59:AF59"/>
    <mergeCell ref="E53:E64"/>
    <mergeCell ref="M40:M51"/>
    <mergeCell ref="T40:T51"/>
    <mergeCell ref="AA40:AA51"/>
    <mergeCell ref="G64:K64"/>
    <mergeCell ref="G62:K62"/>
    <mergeCell ref="E40:E51"/>
    <mergeCell ref="G61:K61"/>
    <mergeCell ref="N61:R61"/>
    <mergeCell ref="U61:Y61"/>
    <mergeCell ref="AB37:AH37"/>
    <mergeCell ref="AA38:AA39"/>
    <mergeCell ref="U37:AA37"/>
    <mergeCell ref="D66:D77"/>
    <mergeCell ref="E66:E77"/>
    <mergeCell ref="M66:M77"/>
    <mergeCell ref="T66:T77"/>
    <mergeCell ref="AA66:AA77"/>
    <mergeCell ref="AB72:AF72"/>
    <mergeCell ref="N73:R73"/>
    <mergeCell ref="AJ79:AJ90"/>
    <mergeCell ref="N90:R90"/>
    <mergeCell ref="U90:Y90"/>
    <mergeCell ref="AB90:AF90"/>
    <mergeCell ref="AB89:AF89"/>
    <mergeCell ref="AB88:AF88"/>
    <mergeCell ref="U38:Y38"/>
    <mergeCell ref="S38:S39"/>
    <mergeCell ref="N37:T37"/>
    <mergeCell ref="N89:R89"/>
    <mergeCell ref="U89:Y89"/>
    <mergeCell ref="G88:K88"/>
    <mergeCell ref="N88:R88"/>
    <mergeCell ref="U88:Y88"/>
    <mergeCell ref="G73:K73"/>
    <mergeCell ref="G37:M37"/>
    <mergeCell ref="N101:R101"/>
    <mergeCell ref="U101:Y101"/>
    <mergeCell ref="AR66:AR70"/>
    <mergeCell ref="G72:K72"/>
    <mergeCell ref="N72:R72"/>
    <mergeCell ref="U72:Y72"/>
    <mergeCell ref="G90:K90"/>
    <mergeCell ref="AB85:AF85"/>
    <mergeCell ref="G86:K86"/>
    <mergeCell ref="N86:R86"/>
    <mergeCell ref="G74:K74"/>
    <mergeCell ref="N74:R74"/>
    <mergeCell ref="U74:Y74"/>
    <mergeCell ref="AB74:AF74"/>
    <mergeCell ref="AJ37:AR37"/>
    <mergeCell ref="AR92:AR96"/>
    <mergeCell ref="U86:Y86"/>
    <mergeCell ref="AB86:AF86"/>
    <mergeCell ref="G87:K87"/>
    <mergeCell ref="N87:R87"/>
    <mergeCell ref="G76:K76"/>
    <mergeCell ref="N76:R76"/>
    <mergeCell ref="U76:Y76"/>
    <mergeCell ref="AB76:AF76"/>
    <mergeCell ref="G75:K75"/>
    <mergeCell ref="N75:R75"/>
    <mergeCell ref="U75:Y75"/>
    <mergeCell ref="AB75:AF75"/>
    <mergeCell ref="G77:K77"/>
    <mergeCell ref="AQ66:AQ70"/>
    <mergeCell ref="AR79:AR83"/>
    <mergeCell ref="G85:K85"/>
    <mergeCell ref="N85:R85"/>
    <mergeCell ref="U85:Y85"/>
    <mergeCell ref="AK79:AK90"/>
    <mergeCell ref="AL79:AL90"/>
    <mergeCell ref="AM79:AM83"/>
    <mergeCell ref="AN79:AN83"/>
    <mergeCell ref="AP79:AP83"/>
    <mergeCell ref="AQ79:AQ83"/>
    <mergeCell ref="B92:B103"/>
    <mergeCell ref="C92:C103"/>
    <mergeCell ref="D92:D103"/>
    <mergeCell ref="E92:E103"/>
    <mergeCell ref="M92:M103"/>
    <mergeCell ref="T92:T103"/>
    <mergeCell ref="AA92:AA103"/>
    <mergeCell ref="AB100:AF100"/>
    <mergeCell ref="AP92:AP96"/>
    <mergeCell ref="AQ92:AQ96"/>
    <mergeCell ref="AM98:AM103"/>
    <mergeCell ref="AM85:AM90"/>
    <mergeCell ref="AH92:AH103"/>
    <mergeCell ref="AJ92:AJ103"/>
    <mergeCell ref="AK92:AK103"/>
    <mergeCell ref="AL92:AL103"/>
    <mergeCell ref="AM92:AM96"/>
    <mergeCell ref="AH79:AH90"/>
    <mergeCell ref="B79:B90"/>
    <mergeCell ref="C79:C90"/>
    <mergeCell ref="D79:D90"/>
    <mergeCell ref="E79:E90"/>
    <mergeCell ref="AN92:AN96"/>
    <mergeCell ref="AO92:AO96"/>
    <mergeCell ref="AO79:AO83"/>
    <mergeCell ref="U87:Y87"/>
    <mergeCell ref="AB87:AF87"/>
    <mergeCell ref="G89:K89"/>
    <mergeCell ref="M79:M90"/>
    <mergeCell ref="T79:T90"/>
    <mergeCell ref="AA79:AA90"/>
    <mergeCell ref="B105:B116"/>
    <mergeCell ref="C105:C116"/>
    <mergeCell ref="D105:D116"/>
    <mergeCell ref="E105:E116"/>
    <mergeCell ref="M105:M116"/>
    <mergeCell ref="T105:T116"/>
    <mergeCell ref="AA105:AA116"/>
    <mergeCell ref="U102:Y102"/>
    <mergeCell ref="G99:K99"/>
    <mergeCell ref="N99:R99"/>
    <mergeCell ref="U99:Y99"/>
    <mergeCell ref="AB99:AF99"/>
    <mergeCell ref="G98:K98"/>
    <mergeCell ref="N98:R98"/>
    <mergeCell ref="U98:Y98"/>
    <mergeCell ref="AB98:AF98"/>
    <mergeCell ref="G101:K101"/>
    <mergeCell ref="AB102:AF102"/>
    <mergeCell ref="G103:K103"/>
    <mergeCell ref="N103:R103"/>
    <mergeCell ref="U103:Y103"/>
    <mergeCell ref="AB103:AF103"/>
    <mergeCell ref="G100:K100"/>
    <mergeCell ref="N100:R100"/>
    <mergeCell ref="U100:Y100"/>
    <mergeCell ref="G102:K102"/>
    <mergeCell ref="N102:R102"/>
    <mergeCell ref="AB101:AF101"/>
    <mergeCell ref="U113:Y113"/>
    <mergeCell ref="AB113:AF113"/>
    <mergeCell ref="G114:K114"/>
    <mergeCell ref="N114:R114"/>
    <mergeCell ref="U114:Y114"/>
    <mergeCell ref="G112:K112"/>
    <mergeCell ref="N112:R112"/>
    <mergeCell ref="U112:Y112"/>
    <mergeCell ref="AB112:AF112"/>
    <mergeCell ref="U116:Y116"/>
    <mergeCell ref="AB116:AF116"/>
    <mergeCell ref="AM111:AM116"/>
    <mergeCell ref="AQ118:AQ122"/>
    <mergeCell ref="AK105:AK116"/>
    <mergeCell ref="AL105:AL116"/>
    <mergeCell ref="AM105:AM109"/>
    <mergeCell ref="AM118:AM122"/>
    <mergeCell ref="AN118:AN122"/>
    <mergeCell ref="AO118:AO122"/>
    <mergeCell ref="AB129:AF129"/>
    <mergeCell ref="G128:K128"/>
    <mergeCell ref="N128:R128"/>
    <mergeCell ref="U128:Y128"/>
    <mergeCell ref="AB128:AF128"/>
    <mergeCell ref="AR118:AR122"/>
    <mergeCell ref="AB127:AF127"/>
    <mergeCell ref="AH118:AH129"/>
    <mergeCell ref="AJ118:AJ129"/>
    <mergeCell ref="AB124:AF124"/>
    <mergeCell ref="AB114:AF114"/>
    <mergeCell ref="AM124:AM129"/>
    <mergeCell ref="AR105:AR109"/>
    <mergeCell ref="G111:K111"/>
    <mergeCell ref="N111:R111"/>
    <mergeCell ref="U111:Y111"/>
    <mergeCell ref="AB111:AF111"/>
    <mergeCell ref="G129:K129"/>
    <mergeCell ref="N129:R129"/>
    <mergeCell ref="U129:Y129"/>
    <mergeCell ref="B131:B142"/>
    <mergeCell ref="C131:C142"/>
    <mergeCell ref="D131:D142"/>
    <mergeCell ref="E131:E142"/>
    <mergeCell ref="G113:K113"/>
    <mergeCell ref="N113:R113"/>
    <mergeCell ref="AB142:AF142"/>
    <mergeCell ref="B118:B129"/>
    <mergeCell ref="C118:C129"/>
    <mergeCell ref="D118:D129"/>
    <mergeCell ref="E118:E129"/>
    <mergeCell ref="M118:M129"/>
    <mergeCell ref="T118:T129"/>
    <mergeCell ref="AA118:AA129"/>
    <mergeCell ref="U139:Y139"/>
    <mergeCell ref="AB139:AF139"/>
    <mergeCell ref="AH131:AH142"/>
    <mergeCell ref="G125:K125"/>
    <mergeCell ref="N125:R125"/>
    <mergeCell ref="U125:Y125"/>
    <mergeCell ref="AB125:AF125"/>
    <mergeCell ref="G126:K126"/>
    <mergeCell ref="N126:R126"/>
    <mergeCell ref="U126:Y126"/>
    <mergeCell ref="AB126:AF126"/>
    <mergeCell ref="N139:R139"/>
    <mergeCell ref="AJ131:AJ142"/>
    <mergeCell ref="G137:K137"/>
    <mergeCell ref="N137:R137"/>
    <mergeCell ref="U137:Y137"/>
    <mergeCell ref="AB137:AF137"/>
    <mergeCell ref="G138:K138"/>
    <mergeCell ref="N138:R138"/>
    <mergeCell ref="U138:Y138"/>
    <mergeCell ref="AB138:AF138"/>
    <mergeCell ref="G139:K139"/>
    <mergeCell ref="U141:Y141"/>
    <mergeCell ref="AB141:AF141"/>
    <mergeCell ref="G140:K140"/>
    <mergeCell ref="N140:R140"/>
    <mergeCell ref="U140:Y140"/>
    <mergeCell ref="AB140:AF140"/>
    <mergeCell ref="M131:M142"/>
    <mergeCell ref="T131:T142"/>
    <mergeCell ref="AA131:AA142"/>
    <mergeCell ref="U142:Y142"/>
    <mergeCell ref="AM131:AM135"/>
    <mergeCell ref="AN131:AN135"/>
    <mergeCell ref="AO131:AO135"/>
    <mergeCell ref="AP131:AP135"/>
    <mergeCell ref="G142:K142"/>
    <mergeCell ref="N142:R142"/>
    <mergeCell ref="AK131:AK142"/>
    <mergeCell ref="AL131:AL142"/>
    <mergeCell ref="G141:K141"/>
    <mergeCell ref="N141:R141"/>
    <mergeCell ref="U151:Y151"/>
    <mergeCell ref="AB151:AF151"/>
    <mergeCell ref="G152:K152"/>
    <mergeCell ref="AQ131:AQ135"/>
    <mergeCell ref="AR131:AR135"/>
    <mergeCell ref="B144:B155"/>
    <mergeCell ref="C144:C155"/>
    <mergeCell ref="D144:D155"/>
    <mergeCell ref="E144:E155"/>
    <mergeCell ref="M144:M155"/>
    <mergeCell ref="N153:R153"/>
    <mergeCell ref="U153:Y153"/>
    <mergeCell ref="AB153:AF153"/>
    <mergeCell ref="AJ144:AJ155"/>
    <mergeCell ref="G150:K150"/>
    <mergeCell ref="N150:R150"/>
    <mergeCell ref="U150:Y150"/>
    <mergeCell ref="AB150:AF150"/>
    <mergeCell ref="G151:K151"/>
    <mergeCell ref="N151:R151"/>
    <mergeCell ref="AQ144:AQ148"/>
    <mergeCell ref="AR144:AR148"/>
    <mergeCell ref="AK144:AK155"/>
    <mergeCell ref="AL144:AL155"/>
    <mergeCell ref="AM144:AM148"/>
    <mergeCell ref="AN144:AN148"/>
    <mergeCell ref="AM150:AM155"/>
    <mergeCell ref="G154:K154"/>
    <mergeCell ref="N154:R154"/>
    <mergeCell ref="U154:Y154"/>
    <mergeCell ref="AB154:AF154"/>
    <mergeCell ref="AO144:AO148"/>
    <mergeCell ref="AP144:AP148"/>
    <mergeCell ref="N152:R152"/>
    <mergeCell ref="U152:Y152"/>
    <mergeCell ref="AB152:AF152"/>
    <mergeCell ref="G153:K153"/>
    <mergeCell ref="AJ1015:AJ1026"/>
    <mergeCell ref="AK1015:AK1026"/>
    <mergeCell ref="AL1015:AL1026"/>
    <mergeCell ref="G155:K155"/>
    <mergeCell ref="N155:R155"/>
    <mergeCell ref="U155:Y155"/>
    <mergeCell ref="AB155:AF155"/>
    <mergeCell ref="T144:T155"/>
    <mergeCell ref="AA144:AA155"/>
    <mergeCell ref="AH144:AH155"/>
    <mergeCell ref="AR1015:AR1019"/>
    <mergeCell ref="G1021:K1021"/>
    <mergeCell ref="N1021:R1021"/>
    <mergeCell ref="U1021:Y1021"/>
    <mergeCell ref="AB1021:AF1021"/>
    <mergeCell ref="AN1015:AN1019"/>
    <mergeCell ref="AO1015:AO1019"/>
    <mergeCell ref="AP1015:AP1019"/>
    <mergeCell ref="AQ1015:AQ1019"/>
    <mergeCell ref="AH1015:AH1026"/>
    <mergeCell ref="N1023:R1023"/>
    <mergeCell ref="U1023:Y1023"/>
    <mergeCell ref="AB1023:AF1023"/>
    <mergeCell ref="G1024:K1024"/>
    <mergeCell ref="N1024:R1024"/>
    <mergeCell ref="U1024:Y1024"/>
    <mergeCell ref="AB1024:AF1024"/>
    <mergeCell ref="G1026:K1026"/>
    <mergeCell ref="N1026:R1026"/>
    <mergeCell ref="U1026:Y1026"/>
    <mergeCell ref="AB1026:AF1026"/>
    <mergeCell ref="G1025:K1025"/>
    <mergeCell ref="N1025:R1025"/>
    <mergeCell ref="U1025:Y1025"/>
    <mergeCell ref="AB1025:AF1025"/>
    <mergeCell ref="G1037:K1037"/>
    <mergeCell ref="N1037:R1037"/>
    <mergeCell ref="U1037:Y1037"/>
    <mergeCell ref="B1028:B1039"/>
    <mergeCell ref="C1028:C1039"/>
    <mergeCell ref="D1028:D1039"/>
    <mergeCell ref="E1028:E1039"/>
    <mergeCell ref="AA1015:AA1026"/>
    <mergeCell ref="G1035:K1035"/>
    <mergeCell ref="N1035:R1035"/>
    <mergeCell ref="M1028:M1039"/>
    <mergeCell ref="T1028:T1039"/>
    <mergeCell ref="AA1028:AA1039"/>
    <mergeCell ref="G1039:K1039"/>
    <mergeCell ref="N1039:R1039"/>
    <mergeCell ref="U1039:Y1039"/>
    <mergeCell ref="U1035:Y1035"/>
    <mergeCell ref="AJ1028:AJ1039"/>
    <mergeCell ref="AK1028:AK1039"/>
    <mergeCell ref="AL1028:AL1039"/>
    <mergeCell ref="AB1039:AF1039"/>
    <mergeCell ref="B1015:B1026"/>
    <mergeCell ref="C1015:C1026"/>
    <mergeCell ref="D1015:D1026"/>
    <mergeCell ref="E1015:E1026"/>
    <mergeCell ref="M1015:M1026"/>
    <mergeCell ref="T1015:T1026"/>
    <mergeCell ref="AR1028:AR1032"/>
    <mergeCell ref="G1034:K1034"/>
    <mergeCell ref="N1034:R1034"/>
    <mergeCell ref="U1034:Y1034"/>
    <mergeCell ref="AB1034:AF1034"/>
    <mergeCell ref="AN1028:AN1032"/>
    <mergeCell ref="AO1028:AO1032"/>
    <mergeCell ref="AP1028:AP1032"/>
    <mergeCell ref="AQ1028:AQ1032"/>
    <mergeCell ref="AH1028:AH1039"/>
    <mergeCell ref="AB1037:AF1037"/>
    <mergeCell ref="G1038:K1038"/>
    <mergeCell ref="N1038:R1038"/>
    <mergeCell ref="U1038:Y1038"/>
    <mergeCell ref="AB1038:AF1038"/>
    <mergeCell ref="AB1035:AF1035"/>
    <mergeCell ref="G1036:K1036"/>
    <mergeCell ref="N1036:R1036"/>
    <mergeCell ref="U1036:Y1036"/>
    <mergeCell ref="AB1036:AF1036"/>
    <mergeCell ref="AO1041:AO1045"/>
    <mergeCell ref="AP1041:AP1045"/>
    <mergeCell ref="AQ1041:AQ1045"/>
    <mergeCell ref="AH1041:AH1052"/>
    <mergeCell ref="AJ1041:AJ1052"/>
    <mergeCell ref="AK1041:AK1052"/>
    <mergeCell ref="AL1041:AL1052"/>
    <mergeCell ref="G1048:K1048"/>
    <mergeCell ref="N1048:R1048"/>
    <mergeCell ref="U1048:Y1048"/>
    <mergeCell ref="AB1048:AF1048"/>
    <mergeCell ref="AR1041:AR1045"/>
    <mergeCell ref="G1047:K1047"/>
    <mergeCell ref="N1047:R1047"/>
    <mergeCell ref="U1047:Y1047"/>
    <mergeCell ref="AB1047:AF1047"/>
    <mergeCell ref="AN1041:AN1045"/>
    <mergeCell ref="G1050:K1050"/>
    <mergeCell ref="N1050:R1050"/>
    <mergeCell ref="U1050:Y1050"/>
    <mergeCell ref="AB1050:AF1050"/>
    <mergeCell ref="G1049:K1049"/>
    <mergeCell ref="N1049:R1049"/>
    <mergeCell ref="U1049:Y1049"/>
    <mergeCell ref="AB1049:AF1049"/>
    <mergeCell ref="G1052:K1052"/>
    <mergeCell ref="N1052:R1052"/>
    <mergeCell ref="U1052:Y1052"/>
    <mergeCell ref="AB1052:AF1052"/>
    <mergeCell ref="G1051:K1051"/>
    <mergeCell ref="N1051:R1051"/>
    <mergeCell ref="U1051:Y1051"/>
    <mergeCell ref="AB1051:AF1051"/>
    <mergeCell ref="U1061:Y1061"/>
    <mergeCell ref="G1063:K1063"/>
    <mergeCell ref="N1063:R1063"/>
    <mergeCell ref="U1063:Y1063"/>
    <mergeCell ref="B1054:B1065"/>
    <mergeCell ref="C1054:C1065"/>
    <mergeCell ref="D1054:D1065"/>
    <mergeCell ref="E1054:E1065"/>
    <mergeCell ref="T1041:T1052"/>
    <mergeCell ref="AA1041:AA1052"/>
    <mergeCell ref="G1061:K1061"/>
    <mergeCell ref="N1061:R1061"/>
    <mergeCell ref="M1054:M1065"/>
    <mergeCell ref="T1054:T1065"/>
    <mergeCell ref="AA1054:AA1065"/>
    <mergeCell ref="G1065:K1065"/>
    <mergeCell ref="N1065:R1065"/>
    <mergeCell ref="U1065:Y1065"/>
    <mergeCell ref="AH1054:AH1065"/>
    <mergeCell ref="AJ1054:AJ1065"/>
    <mergeCell ref="AK1054:AK1065"/>
    <mergeCell ref="AL1054:AL1065"/>
    <mergeCell ref="AB1065:AF1065"/>
    <mergeCell ref="B1041:B1052"/>
    <mergeCell ref="C1041:C1052"/>
    <mergeCell ref="D1041:D1052"/>
    <mergeCell ref="E1041:E1052"/>
    <mergeCell ref="M1041:M1052"/>
    <mergeCell ref="AQ1054:AQ1058"/>
    <mergeCell ref="AR1054:AR1058"/>
    <mergeCell ref="G1060:K1060"/>
    <mergeCell ref="N1060:R1060"/>
    <mergeCell ref="U1060:Y1060"/>
    <mergeCell ref="AB1060:AF1060"/>
    <mergeCell ref="AM1054:AM1058"/>
    <mergeCell ref="AN1054:AN1058"/>
    <mergeCell ref="AO1054:AO1058"/>
    <mergeCell ref="AP1054:AP1058"/>
    <mergeCell ref="AB1063:AF1063"/>
    <mergeCell ref="G1064:K1064"/>
    <mergeCell ref="N1064:R1064"/>
    <mergeCell ref="U1064:Y1064"/>
    <mergeCell ref="AB1064:AF1064"/>
    <mergeCell ref="AB1061:AF1061"/>
    <mergeCell ref="G1062:K1062"/>
    <mergeCell ref="N1062:R1062"/>
    <mergeCell ref="U1062:Y1062"/>
    <mergeCell ref="AB1062:AF1062"/>
    <mergeCell ref="AO1067:AO1071"/>
    <mergeCell ref="AP1067:AP1071"/>
    <mergeCell ref="AQ1067:AQ1071"/>
    <mergeCell ref="AH1067:AH1078"/>
    <mergeCell ref="AJ1067:AJ1078"/>
    <mergeCell ref="AK1067:AK1078"/>
    <mergeCell ref="AL1067:AL1078"/>
    <mergeCell ref="AM1073:AM1078"/>
    <mergeCell ref="G1074:K1074"/>
    <mergeCell ref="N1074:R1074"/>
    <mergeCell ref="U1074:Y1074"/>
    <mergeCell ref="AB1074:AF1074"/>
    <mergeCell ref="AR1067:AR1071"/>
    <mergeCell ref="G1073:K1073"/>
    <mergeCell ref="N1073:R1073"/>
    <mergeCell ref="U1073:Y1073"/>
    <mergeCell ref="AB1073:AF1073"/>
    <mergeCell ref="AN1067:AN1071"/>
    <mergeCell ref="G1076:K1076"/>
    <mergeCell ref="N1076:R1076"/>
    <mergeCell ref="U1076:Y1076"/>
    <mergeCell ref="AB1076:AF1076"/>
    <mergeCell ref="G1075:K1075"/>
    <mergeCell ref="N1075:R1075"/>
    <mergeCell ref="U1075:Y1075"/>
    <mergeCell ref="AB1075:AF1075"/>
    <mergeCell ref="G1078:K1078"/>
    <mergeCell ref="N1078:R1078"/>
    <mergeCell ref="U1078:Y1078"/>
    <mergeCell ref="AB1078:AF1078"/>
    <mergeCell ref="G1077:K1077"/>
    <mergeCell ref="N1077:R1077"/>
    <mergeCell ref="U1077:Y1077"/>
    <mergeCell ref="AB1077:AF1077"/>
    <mergeCell ref="G1089:K1089"/>
    <mergeCell ref="N1089:R1089"/>
    <mergeCell ref="U1089:Y1089"/>
    <mergeCell ref="B1080:B1091"/>
    <mergeCell ref="C1080:C1091"/>
    <mergeCell ref="D1080:D1091"/>
    <mergeCell ref="E1080:E1091"/>
    <mergeCell ref="AA1067:AA1078"/>
    <mergeCell ref="G1087:K1087"/>
    <mergeCell ref="N1087:R1087"/>
    <mergeCell ref="M1080:M1091"/>
    <mergeCell ref="T1080:T1091"/>
    <mergeCell ref="AA1080:AA1091"/>
    <mergeCell ref="G1091:K1091"/>
    <mergeCell ref="N1091:R1091"/>
    <mergeCell ref="U1091:Y1091"/>
    <mergeCell ref="U1087:Y1087"/>
    <mergeCell ref="AJ1080:AJ1091"/>
    <mergeCell ref="AK1080:AK1091"/>
    <mergeCell ref="AL1080:AL1091"/>
    <mergeCell ref="AB1091:AF1091"/>
    <mergeCell ref="B1067:B1078"/>
    <mergeCell ref="C1067:C1078"/>
    <mergeCell ref="D1067:D1078"/>
    <mergeCell ref="E1067:E1078"/>
    <mergeCell ref="M1067:M1078"/>
    <mergeCell ref="T1067:T1078"/>
    <mergeCell ref="AR1080:AR1084"/>
    <mergeCell ref="G1086:K1086"/>
    <mergeCell ref="N1086:R1086"/>
    <mergeCell ref="U1086:Y1086"/>
    <mergeCell ref="AB1086:AF1086"/>
    <mergeCell ref="AN1080:AN1084"/>
    <mergeCell ref="AO1080:AO1084"/>
    <mergeCell ref="AP1080:AP1084"/>
    <mergeCell ref="AQ1080:AQ1084"/>
    <mergeCell ref="AH1080:AH1091"/>
    <mergeCell ref="AB1089:AF1089"/>
    <mergeCell ref="G1090:K1090"/>
    <mergeCell ref="N1090:R1090"/>
    <mergeCell ref="U1090:Y1090"/>
    <mergeCell ref="AB1090:AF1090"/>
    <mergeCell ref="AB1087:AF1087"/>
    <mergeCell ref="G1088:K1088"/>
    <mergeCell ref="N1088:R1088"/>
    <mergeCell ref="U1088:Y1088"/>
    <mergeCell ref="AB1088:AF1088"/>
    <mergeCell ref="AO1093:AO1097"/>
    <mergeCell ref="AP1093:AP1097"/>
    <mergeCell ref="AQ1093:AQ1097"/>
    <mergeCell ref="AH1093:AH1104"/>
    <mergeCell ref="AJ1093:AJ1104"/>
    <mergeCell ref="AK1093:AK1104"/>
    <mergeCell ref="AL1093:AL1104"/>
    <mergeCell ref="G1100:K1100"/>
    <mergeCell ref="N1100:R1100"/>
    <mergeCell ref="U1100:Y1100"/>
    <mergeCell ref="AB1100:AF1100"/>
    <mergeCell ref="AR1093:AR1097"/>
    <mergeCell ref="G1099:K1099"/>
    <mergeCell ref="N1099:R1099"/>
    <mergeCell ref="U1099:Y1099"/>
    <mergeCell ref="AB1099:AF1099"/>
    <mergeCell ref="AN1093:AN1097"/>
    <mergeCell ref="G1102:K1102"/>
    <mergeCell ref="N1102:R1102"/>
    <mergeCell ref="U1102:Y1102"/>
    <mergeCell ref="AB1102:AF1102"/>
    <mergeCell ref="G1101:K1101"/>
    <mergeCell ref="N1101:R1101"/>
    <mergeCell ref="U1101:Y1101"/>
    <mergeCell ref="AB1101:AF1101"/>
    <mergeCell ref="G1104:K1104"/>
    <mergeCell ref="N1104:R1104"/>
    <mergeCell ref="U1104:Y1104"/>
    <mergeCell ref="AB1104:AF1104"/>
    <mergeCell ref="G1103:K1103"/>
    <mergeCell ref="N1103:R1103"/>
    <mergeCell ref="U1103:Y1103"/>
    <mergeCell ref="AB1103:AF1103"/>
    <mergeCell ref="U1113:Y1113"/>
    <mergeCell ref="G1115:K1115"/>
    <mergeCell ref="N1115:R1115"/>
    <mergeCell ref="U1115:Y1115"/>
    <mergeCell ref="B1106:B1117"/>
    <mergeCell ref="C1106:C1117"/>
    <mergeCell ref="D1106:D1117"/>
    <mergeCell ref="E1106:E1117"/>
    <mergeCell ref="T1093:T1104"/>
    <mergeCell ref="AA1093:AA1104"/>
    <mergeCell ref="G1113:K1113"/>
    <mergeCell ref="N1113:R1113"/>
    <mergeCell ref="M1106:M1117"/>
    <mergeCell ref="T1106:T1117"/>
    <mergeCell ref="AA1106:AA1117"/>
    <mergeCell ref="G1117:K1117"/>
    <mergeCell ref="N1117:R1117"/>
    <mergeCell ref="U1117:Y1117"/>
    <mergeCell ref="AH1106:AH1117"/>
    <mergeCell ref="AJ1106:AJ1117"/>
    <mergeCell ref="AK1106:AK1117"/>
    <mergeCell ref="AL1106:AL1117"/>
    <mergeCell ref="AB1117:AF1117"/>
    <mergeCell ref="B1093:B1104"/>
    <mergeCell ref="C1093:C1104"/>
    <mergeCell ref="D1093:D1104"/>
    <mergeCell ref="E1093:E1104"/>
    <mergeCell ref="M1093:M1104"/>
    <mergeCell ref="AQ1106:AQ1110"/>
    <mergeCell ref="AR1106:AR1110"/>
    <mergeCell ref="G1112:K1112"/>
    <mergeCell ref="N1112:R1112"/>
    <mergeCell ref="U1112:Y1112"/>
    <mergeCell ref="AB1112:AF1112"/>
    <mergeCell ref="AM1106:AM1110"/>
    <mergeCell ref="AN1106:AN1110"/>
    <mergeCell ref="AO1106:AO1110"/>
    <mergeCell ref="AP1106:AP1110"/>
    <mergeCell ref="AB1115:AF1115"/>
    <mergeCell ref="G1116:K1116"/>
    <mergeCell ref="N1116:R1116"/>
    <mergeCell ref="U1116:Y1116"/>
    <mergeCell ref="AB1116:AF1116"/>
    <mergeCell ref="AB1113:AF1113"/>
    <mergeCell ref="G1114:K1114"/>
    <mergeCell ref="N1114:R1114"/>
    <mergeCell ref="U1114:Y1114"/>
    <mergeCell ref="AB1114:AF1114"/>
    <mergeCell ref="AM1119:AM1123"/>
    <mergeCell ref="AN1119:AN1123"/>
    <mergeCell ref="AO1119:AO1123"/>
    <mergeCell ref="AP1119:AP1123"/>
    <mergeCell ref="AH1119:AH1130"/>
    <mergeCell ref="AJ1119:AJ1130"/>
    <mergeCell ref="AK1119:AK1130"/>
    <mergeCell ref="AL1119:AL1130"/>
    <mergeCell ref="G1126:K1126"/>
    <mergeCell ref="N1126:R1126"/>
    <mergeCell ref="U1126:Y1126"/>
    <mergeCell ref="AB1126:AF1126"/>
    <mergeCell ref="AQ1119:AQ1123"/>
    <mergeCell ref="AR1119:AR1123"/>
    <mergeCell ref="G1125:K1125"/>
    <mergeCell ref="N1125:R1125"/>
    <mergeCell ref="U1125:Y1125"/>
    <mergeCell ref="AB1125:AF1125"/>
    <mergeCell ref="G1128:K1128"/>
    <mergeCell ref="N1128:R1128"/>
    <mergeCell ref="U1128:Y1128"/>
    <mergeCell ref="AB1128:AF1128"/>
    <mergeCell ref="G1127:K1127"/>
    <mergeCell ref="N1127:R1127"/>
    <mergeCell ref="U1127:Y1127"/>
    <mergeCell ref="AB1127:AF1127"/>
    <mergeCell ref="G1130:K1130"/>
    <mergeCell ref="N1130:R1130"/>
    <mergeCell ref="U1130:Y1130"/>
    <mergeCell ref="AB1130:AF1130"/>
    <mergeCell ref="G1129:K1129"/>
    <mergeCell ref="N1129:R1129"/>
    <mergeCell ref="U1129:Y1129"/>
    <mergeCell ref="AB1129:AF1129"/>
    <mergeCell ref="G1141:K1141"/>
    <mergeCell ref="N1141:R1141"/>
    <mergeCell ref="U1141:Y1141"/>
    <mergeCell ref="B1132:B1143"/>
    <mergeCell ref="C1132:C1143"/>
    <mergeCell ref="D1132:D1143"/>
    <mergeCell ref="E1132:E1143"/>
    <mergeCell ref="AA1119:AA1130"/>
    <mergeCell ref="G1139:K1139"/>
    <mergeCell ref="N1139:R1139"/>
    <mergeCell ref="M1132:M1143"/>
    <mergeCell ref="T1132:T1143"/>
    <mergeCell ref="AA1132:AA1143"/>
    <mergeCell ref="G1143:K1143"/>
    <mergeCell ref="N1143:R1143"/>
    <mergeCell ref="U1143:Y1143"/>
    <mergeCell ref="U1139:Y1139"/>
    <mergeCell ref="AJ1132:AJ1143"/>
    <mergeCell ref="AK1132:AK1143"/>
    <mergeCell ref="AL1132:AL1143"/>
    <mergeCell ref="AB1143:AF1143"/>
    <mergeCell ref="B1119:B1130"/>
    <mergeCell ref="C1119:C1130"/>
    <mergeCell ref="D1119:D1130"/>
    <mergeCell ref="E1119:E1130"/>
    <mergeCell ref="M1119:M1130"/>
    <mergeCell ref="T1119:T1130"/>
    <mergeCell ref="AR1132:AR1136"/>
    <mergeCell ref="G1138:K1138"/>
    <mergeCell ref="N1138:R1138"/>
    <mergeCell ref="U1138:Y1138"/>
    <mergeCell ref="AB1138:AF1138"/>
    <mergeCell ref="AN1132:AN1136"/>
    <mergeCell ref="AO1132:AO1136"/>
    <mergeCell ref="AP1132:AP1136"/>
    <mergeCell ref="AQ1132:AQ1136"/>
    <mergeCell ref="AH1132:AH1143"/>
    <mergeCell ref="AB1141:AF1141"/>
    <mergeCell ref="G1142:K1142"/>
    <mergeCell ref="N1142:R1142"/>
    <mergeCell ref="U1142:Y1142"/>
    <mergeCell ref="AB1142:AF1142"/>
    <mergeCell ref="AB1139:AF1139"/>
    <mergeCell ref="G1140:K1140"/>
    <mergeCell ref="N1140:R1140"/>
    <mergeCell ref="U1140:Y1140"/>
    <mergeCell ref="AB1140:AF1140"/>
    <mergeCell ref="AO1145:AO1149"/>
    <mergeCell ref="AP1145:AP1149"/>
    <mergeCell ref="AQ1145:AQ1149"/>
    <mergeCell ref="AH1145:AH1156"/>
    <mergeCell ref="AJ1145:AJ1156"/>
    <mergeCell ref="AK1145:AK1156"/>
    <mergeCell ref="AL1145:AL1156"/>
    <mergeCell ref="G1152:K1152"/>
    <mergeCell ref="N1152:R1152"/>
    <mergeCell ref="U1152:Y1152"/>
    <mergeCell ref="AB1152:AF1152"/>
    <mergeCell ref="AR1145:AR1149"/>
    <mergeCell ref="G1151:K1151"/>
    <mergeCell ref="N1151:R1151"/>
    <mergeCell ref="U1151:Y1151"/>
    <mergeCell ref="AB1151:AF1151"/>
    <mergeCell ref="AN1145:AN1149"/>
    <mergeCell ref="G1154:K1154"/>
    <mergeCell ref="N1154:R1154"/>
    <mergeCell ref="U1154:Y1154"/>
    <mergeCell ref="AB1154:AF1154"/>
    <mergeCell ref="G1153:K1153"/>
    <mergeCell ref="N1153:R1153"/>
    <mergeCell ref="U1153:Y1153"/>
    <mergeCell ref="AB1153:AF1153"/>
    <mergeCell ref="G1156:K1156"/>
    <mergeCell ref="N1156:R1156"/>
    <mergeCell ref="U1156:Y1156"/>
    <mergeCell ref="AB1156:AF1156"/>
    <mergeCell ref="G1155:K1155"/>
    <mergeCell ref="N1155:R1155"/>
    <mergeCell ref="U1155:Y1155"/>
    <mergeCell ref="AB1155:AF1155"/>
    <mergeCell ref="G1167:K1167"/>
    <mergeCell ref="N1167:R1167"/>
    <mergeCell ref="U1167:Y1167"/>
    <mergeCell ref="B1158:B1169"/>
    <mergeCell ref="C1158:C1169"/>
    <mergeCell ref="D1158:D1169"/>
    <mergeCell ref="E1158:E1169"/>
    <mergeCell ref="E1145:E1156"/>
    <mergeCell ref="M1145:M1156"/>
    <mergeCell ref="T1145:T1156"/>
    <mergeCell ref="AA1145:AA1156"/>
    <mergeCell ref="G1165:K1165"/>
    <mergeCell ref="N1165:R1165"/>
    <mergeCell ref="M1158:M1169"/>
    <mergeCell ref="T1158:T1169"/>
    <mergeCell ref="AA1158:AA1169"/>
    <mergeCell ref="G1169:K1169"/>
    <mergeCell ref="AQ1158:AQ1162"/>
    <mergeCell ref="AR1158:AR1162"/>
    <mergeCell ref="G1164:K1164"/>
    <mergeCell ref="N1164:R1164"/>
    <mergeCell ref="U1164:Y1164"/>
    <mergeCell ref="AB1164:AF1164"/>
    <mergeCell ref="AK1158:AK1169"/>
    <mergeCell ref="AL1158:AL1169"/>
    <mergeCell ref="AM1158:AM1162"/>
    <mergeCell ref="AN1158:AN1162"/>
    <mergeCell ref="AB1165:AF1165"/>
    <mergeCell ref="G1166:K1166"/>
    <mergeCell ref="N1166:R1166"/>
    <mergeCell ref="U1166:Y1166"/>
    <mergeCell ref="AB1166:AF1166"/>
    <mergeCell ref="AP1158:AP1162"/>
    <mergeCell ref="AO1158:AO1162"/>
    <mergeCell ref="U1165:Y1165"/>
    <mergeCell ref="U1179:Y1179"/>
    <mergeCell ref="AB1179:AF1179"/>
    <mergeCell ref="AB1167:AF1167"/>
    <mergeCell ref="G1168:K1168"/>
    <mergeCell ref="N1168:R1168"/>
    <mergeCell ref="U1168:Y1168"/>
    <mergeCell ref="AB1168:AF1168"/>
    <mergeCell ref="AB1169:AF1169"/>
    <mergeCell ref="N1169:R1169"/>
    <mergeCell ref="U1169:Y1169"/>
    <mergeCell ref="AH1158:AH1169"/>
    <mergeCell ref="AJ1158:AJ1169"/>
    <mergeCell ref="G1181:K1181"/>
    <mergeCell ref="N1181:R1181"/>
    <mergeCell ref="U1181:Y1181"/>
    <mergeCell ref="AB1181:AF1181"/>
    <mergeCell ref="G1180:K1180"/>
    <mergeCell ref="N1180:R1180"/>
    <mergeCell ref="U1180:Y1180"/>
    <mergeCell ref="AB1180:AF1180"/>
    <mergeCell ref="U1193:Y1193"/>
    <mergeCell ref="M1184:M1195"/>
    <mergeCell ref="T1184:T1195"/>
    <mergeCell ref="G1177:K1177"/>
    <mergeCell ref="U1192:Y1192"/>
    <mergeCell ref="G374:K374"/>
    <mergeCell ref="G1182:K1182"/>
    <mergeCell ref="N1182:R1182"/>
    <mergeCell ref="G1179:K1179"/>
    <mergeCell ref="N1179:R1179"/>
    <mergeCell ref="C1184:C1195"/>
    <mergeCell ref="D1184:D1195"/>
    <mergeCell ref="E1184:E1195"/>
    <mergeCell ref="A2:L2"/>
    <mergeCell ref="G1193:K1193"/>
    <mergeCell ref="N1193:R1193"/>
    <mergeCell ref="G21:G22"/>
    <mergeCell ref="B1145:B1156"/>
    <mergeCell ref="C1145:C1156"/>
    <mergeCell ref="D1145:D1156"/>
    <mergeCell ref="U1190:Y1190"/>
    <mergeCell ref="G1192:K1192"/>
    <mergeCell ref="N1192:R1192"/>
    <mergeCell ref="AB1193:AF1193"/>
    <mergeCell ref="AB1182:AF1182"/>
    <mergeCell ref="B1171:B1182"/>
    <mergeCell ref="C1171:C1182"/>
    <mergeCell ref="D1171:D1182"/>
    <mergeCell ref="E1171:E1182"/>
    <mergeCell ref="B1184:B1195"/>
    <mergeCell ref="U1182:Y1182"/>
    <mergeCell ref="N1177:R1177"/>
    <mergeCell ref="U1177:Y1177"/>
    <mergeCell ref="AA1184:AA1195"/>
    <mergeCell ref="G1195:K1195"/>
    <mergeCell ref="N1195:R1195"/>
    <mergeCell ref="U1195:Y1195"/>
    <mergeCell ref="G1194:K1194"/>
    <mergeCell ref="G1190:K1190"/>
    <mergeCell ref="N1190:R1190"/>
    <mergeCell ref="N1191:R1191"/>
    <mergeCell ref="U1191:Y1191"/>
    <mergeCell ref="AB1191:AF1191"/>
    <mergeCell ref="AB1195:AF1195"/>
    <mergeCell ref="M1171:M1182"/>
    <mergeCell ref="T1171:T1182"/>
    <mergeCell ref="AA1171:AA1182"/>
    <mergeCell ref="N1194:R1194"/>
    <mergeCell ref="U1194:Y1194"/>
    <mergeCell ref="AB1194:AF1194"/>
    <mergeCell ref="AB1208:AF1208"/>
    <mergeCell ref="AP1197:AP1201"/>
    <mergeCell ref="AQ1197:AQ1201"/>
    <mergeCell ref="AR1197:AR1201"/>
    <mergeCell ref="G1206:K1206"/>
    <mergeCell ref="N1206:R1206"/>
    <mergeCell ref="U1206:Y1206"/>
    <mergeCell ref="AB1206:AF1206"/>
    <mergeCell ref="AA1197:AA1208"/>
    <mergeCell ref="T1197:T1208"/>
    <mergeCell ref="E1197:E1208"/>
    <mergeCell ref="D1197:D1208"/>
    <mergeCell ref="C1197:C1208"/>
    <mergeCell ref="B1197:B1208"/>
    <mergeCell ref="AB1192:AF1192"/>
    <mergeCell ref="AO1197:AO1201"/>
    <mergeCell ref="AN1197:AN1201"/>
    <mergeCell ref="AM1197:AM1201"/>
    <mergeCell ref="AL1197:AL1208"/>
    <mergeCell ref="AK1197:AK1208"/>
    <mergeCell ref="AM449:AM454"/>
    <mergeCell ref="G1208:K1208"/>
    <mergeCell ref="AB1207:AF1207"/>
    <mergeCell ref="U1207:Y1207"/>
    <mergeCell ref="N1207:R1207"/>
    <mergeCell ref="G1207:K1207"/>
    <mergeCell ref="AB1205:AF1205"/>
    <mergeCell ref="U1205:Y1205"/>
    <mergeCell ref="AJ1197:AJ1208"/>
    <mergeCell ref="AH1197:AH1208"/>
    <mergeCell ref="AB1204:AF1204"/>
    <mergeCell ref="U1204:Y1204"/>
    <mergeCell ref="N1204:R1204"/>
    <mergeCell ref="G1204:K1204"/>
    <mergeCell ref="AM475:AM480"/>
    <mergeCell ref="AM462:AM467"/>
    <mergeCell ref="AB1203:AF1203"/>
    <mergeCell ref="M1197:M1208"/>
    <mergeCell ref="AB1190:AF1190"/>
    <mergeCell ref="G1191:K1191"/>
    <mergeCell ref="U1203:Y1203"/>
    <mergeCell ref="N1203:R1203"/>
    <mergeCell ref="G1203:K1203"/>
    <mergeCell ref="N1208:R1208"/>
    <mergeCell ref="U1208:Y1208"/>
    <mergeCell ref="N1205:R1205"/>
    <mergeCell ref="G1205:K1205"/>
    <mergeCell ref="AQ1171:AQ1175"/>
    <mergeCell ref="AN1184:AN1188"/>
    <mergeCell ref="AO1184:AO1188"/>
    <mergeCell ref="AP1184:AP1188"/>
    <mergeCell ref="AQ1184:AQ1188"/>
    <mergeCell ref="AH1184:AH1195"/>
    <mergeCell ref="AJ1184:AJ1195"/>
    <mergeCell ref="AK1184:AK1195"/>
    <mergeCell ref="AL1184:AL1195"/>
    <mergeCell ref="AM1177:AM1182"/>
    <mergeCell ref="AB372:AF372"/>
    <mergeCell ref="G373:K373"/>
    <mergeCell ref="N373:R373"/>
    <mergeCell ref="U373:Y373"/>
    <mergeCell ref="AB373:AF373"/>
    <mergeCell ref="AR1184:AR1188"/>
    <mergeCell ref="AH1171:AH1182"/>
    <mergeCell ref="AJ1171:AJ1182"/>
    <mergeCell ref="AK1171:AK1182"/>
    <mergeCell ref="AL1171:AL1182"/>
    <mergeCell ref="G1178:K1178"/>
    <mergeCell ref="N1178:R1178"/>
    <mergeCell ref="U1178:Y1178"/>
    <mergeCell ref="AB1178:AF1178"/>
    <mergeCell ref="AR1171:AR1175"/>
    <mergeCell ref="AB1177:AF1177"/>
    <mergeCell ref="AM1171:AM1175"/>
    <mergeCell ref="AN1171:AN1175"/>
    <mergeCell ref="AO1171:AO1175"/>
    <mergeCell ref="AP1171:AP1175"/>
    <mergeCell ref="AR352:AR356"/>
    <mergeCell ref="AQ352:AQ356"/>
    <mergeCell ref="AJ352:AJ363"/>
    <mergeCell ref="AH352:AH363"/>
    <mergeCell ref="AK365:AK376"/>
    <mergeCell ref="AL365:AL376"/>
    <mergeCell ref="AM365:AM369"/>
    <mergeCell ref="AB361:AF361"/>
    <mergeCell ref="N362:R362"/>
    <mergeCell ref="U362:Y362"/>
    <mergeCell ref="AB362:AF362"/>
    <mergeCell ref="N359:R359"/>
    <mergeCell ref="AB358:AF358"/>
    <mergeCell ref="AO365:AO369"/>
    <mergeCell ref="AP365:AP369"/>
    <mergeCell ref="AK352:AK363"/>
    <mergeCell ref="AL352:AL363"/>
    <mergeCell ref="AM352:AM356"/>
    <mergeCell ref="AN352:AN356"/>
    <mergeCell ref="AO352:AO356"/>
    <mergeCell ref="AP352:AP356"/>
    <mergeCell ref="AM358:AM363"/>
    <mergeCell ref="AN365:AN369"/>
    <mergeCell ref="AR365:AR369"/>
    <mergeCell ref="B19:D20"/>
    <mergeCell ref="E19:E20"/>
    <mergeCell ref="F19:F20"/>
    <mergeCell ref="G19:G20"/>
    <mergeCell ref="H19:H20"/>
    <mergeCell ref="I19:I20"/>
    <mergeCell ref="B21:D22"/>
    <mergeCell ref="E21:E22"/>
    <mergeCell ref="F21:F22"/>
    <mergeCell ref="AM371:AM376"/>
    <mergeCell ref="U359:Y359"/>
    <mergeCell ref="H21:H22"/>
    <mergeCell ref="I21:I22"/>
    <mergeCell ref="E352:E363"/>
    <mergeCell ref="D352:D363"/>
    <mergeCell ref="G359:K359"/>
    <mergeCell ref="AA352:AA363"/>
    <mergeCell ref="T352:T363"/>
    <mergeCell ref="M352:M363"/>
    <mergeCell ref="AM436:AM441"/>
    <mergeCell ref="AM423:AM428"/>
    <mergeCell ref="AM410:AM415"/>
    <mergeCell ref="AM404:AM408"/>
    <mergeCell ref="AM397:AM402"/>
    <mergeCell ref="AM384:AM389"/>
    <mergeCell ref="U358:Y358"/>
    <mergeCell ref="N358:R358"/>
    <mergeCell ref="G358:K358"/>
    <mergeCell ref="B365:B376"/>
    <mergeCell ref="C352:C363"/>
    <mergeCell ref="B352:B363"/>
    <mergeCell ref="C365:C376"/>
    <mergeCell ref="D365:D376"/>
    <mergeCell ref="E365:E376"/>
  </mergeCells>
  <phoneticPr fontId="0" type="noConversion"/>
  <conditionalFormatting sqref="B40:E51 I42:K42 L40:L41 P42:R42 S40:S41 W42:Y42 Z40:Z41 AD42:AF42 AG40:AG41 N1356:Q1357 D1359:G1370">
    <cfRule type="notContainsBlanks" dxfId="8746" priority="9473">
      <formula>LEN(TRIM(B40))&gt;0</formula>
    </cfRule>
  </conditionalFormatting>
  <conditionalFormatting sqref="B53:E64 Z53:Z54 AG53:AG55 S53:S55">
    <cfRule type="notContainsBlanks" dxfId="8745" priority="9472">
      <formula>LEN(TRIM(B53))&gt;0</formula>
    </cfRule>
  </conditionalFormatting>
  <conditionalFormatting sqref="B66:E77 L66:L67 S66:S67 Z66:Z67 AG66:AG68">
    <cfRule type="notContainsBlanks" dxfId="8744" priority="9471">
      <formula>LEN(TRIM(B66))&gt;0</formula>
    </cfRule>
  </conditionalFormatting>
  <conditionalFormatting sqref="G68">
    <cfRule type="notContainsBlanks" dxfId="8743" priority="9465">
      <formula>LEN(TRIM(G68))&gt;0</formula>
    </cfRule>
  </conditionalFormatting>
  <conditionalFormatting sqref="H68:K68">
    <cfRule type="notContainsBlanks" dxfId="8742" priority="9464">
      <formula>LEN(TRIM(H68))&gt;0</formula>
    </cfRule>
  </conditionalFormatting>
  <conditionalFormatting sqref="N68:R68">
    <cfRule type="notContainsBlanks" dxfId="8741" priority="9463">
      <formula>LEN(TRIM(N68))&gt;0</formula>
    </cfRule>
  </conditionalFormatting>
  <conditionalFormatting sqref="U68:Y68">
    <cfRule type="notContainsBlanks" dxfId="8740" priority="9462">
      <formula>LEN(TRIM(U68))&gt;0</formula>
    </cfRule>
  </conditionalFormatting>
  <conditionalFormatting sqref="G81">
    <cfRule type="notContainsBlanks" dxfId="8739" priority="9460">
      <formula>LEN(TRIM(G81))&gt;0</formula>
    </cfRule>
  </conditionalFormatting>
  <conditionalFormatting sqref="H81:K81">
    <cfRule type="notContainsBlanks" dxfId="8738" priority="9459">
      <formula>LEN(TRIM(H81))&gt;0</formula>
    </cfRule>
  </conditionalFormatting>
  <conditionalFormatting sqref="B79:E90 G81:K81 L79:L80 S79:S80 Z79:Z80 AG79:AG81">
    <cfRule type="notContainsBlanks" dxfId="8737" priority="9452">
      <formula>LEN(TRIM(B79))&gt;0</formula>
    </cfRule>
  </conditionalFormatting>
  <conditionalFormatting sqref="N81:R81">
    <cfRule type="notContainsBlanks" dxfId="8736" priority="9448">
      <formula>LEN(TRIM(N81))&gt;0</formula>
    </cfRule>
  </conditionalFormatting>
  <conditionalFormatting sqref="U81:Y81">
    <cfRule type="notContainsBlanks" dxfId="8735" priority="9447">
      <formula>LEN(TRIM(U81))&gt;0</formula>
    </cfRule>
  </conditionalFormatting>
  <conditionalFormatting sqref="B92:E103 L92:L94 S92:S94 Z92:Z94 AG92:AG94">
    <cfRule type="notContainsBlanks" dxfId="8734" priority="9442">
      <formula>LEN(TRIM(B92))&gt;0</formula>
    </cfRule>
  </conditionalFormatting>
  <conditionalFormatting sqref="G107">
    <cfRule type="notContainsBlanks" dxfId="8733" priority="9441">
      <formula>LEN(TRIM(G107))&gt;0</formula>
    </cfRule>
  </conditionalFormatting>
  <conditionalFormatting sqref="H107">
    <cfRule type="notContainsBlanks" dxfId="8732" priority="9440">
      <formula>LEN(TRIM(H107))&gt;0</formula>
    </cfRule>
  </conditionalFormatting>
  <conditionalFormatting sqref="G107:H107">
    <cfRule type="notContainsBlanks" dxfId="8731" priority="9439">
      <formula>LEN(TRIM(G107))&gt;0</formula>
    </cfRule>
  </conditionalFormatting>
  <conditionalFormatting sqref="G107:H107">
    <cfRule type="notContainsBlanks" dxfId="8730" priority="9438">
      <formula>LEN(TRIM(G107))&gt;0</formula>
    </cfRule>
  </conditionalFormatting>
  <conditionalFormatting sqref="N107:O107">
    <cfRule type="notContainsBlanks" dxfId="8729" priority="9437">
      <formula>LEN(TRIM(N107))&gt;0</formula>
    </cfRule>
  </conditionalFormatting>
  <conditionalFormatting sqref="N107:O107">
    <cfRule type="notContainsBlanks" dxfId="8728" priority="9436">
      <formula>LEN(TRIM(N107))&gt;0</formula>
    </cfRule>
  </conditionalFormatting>
  <conditionalFormatting sqref="U107:V107">
    <cfRule type="notContainsBlanks" dxfId="8727" priority="9435">
      <formula>LEN(TRIM(U107))&gt;0</formula>
    </cfRule>
  </conditionalFormatting>
  <conditionalFormatting sqref="U107:V107">
    <cfRule type="notContainsBlanks" dxfId="8726" priority="9434">
      <formula>LEN(TRIM(U107))&gt;0</formula>
    </cfRule>
  </conditionalFormatting>
  <conditionalFormatting sqref="AB107:AC107">
    <cfRule type="notContainsBlanks" dxfId="8725" priority="9433">
      <formula>LEN(TRIM(AB107))&gt;0</formula>
    </cfRule>
  </conditionalFormatting>
  <conditionalFormatting sqref="AB107:AC107">
    <cfRule type="notContainsBlanks" dxfId="8724" priority="9432">
      <formula>LEN(TRIM(AB107))&gt;0</formula>
    </cfRule>
  </conditionalFormatting>
  <conditionalFormatting sqref="AB107:AC107 U107:V107 N107:O107 G107:H107 B105:E116 L105:L107 S105:S106 Z105:Z107 AG105:AG107">
    <cfRule type="notContainsBlanks" dxfId="8723" priority="9431">
      <formula>LEN(TRIM(B105))&gt;0</formula>
    </cfRule>
  </conditionalFormatting>
  <conditionalFormatting sqref="B118:E129 S118:S119 L118:L120 Z118:Z120 AG118:AG120">
    <cfRule type="notContainsBlanks" dxfId="8722" priority="9416">
      <formula>LEN(TRIM(B118))&gt;0</formula>
    </cfRule>
  </conditionalFormatting>
  <conditionalFormatting sqref="B144:E155 L144:L146 S144:S146 Z144:Z146 AG144:AG146">
    <cfRule type="notContainsBlanks" dxfId="8721" priority="9379">
      <formula>LEN(TRIM(B144))&gt;0</formula>
    </cfRule>
  </conditionalFormatting>
  <conditionalFormatting sqref="B157:E168 L157:L159 S157:S159 Z157:Z159 AG157:AG159">
    <cfRule type="notContainsBlanks" dxfId="8720" priority="9356">
      <formula>LEN(TRIM(B157))&gt;0</formula>
    </cfRule>
  </conditionalFormatting>
  <conditionalFormatting sqref="B170:E181 L170:L171 S170:S171 Z170:Z171 AG170:AG171">
    <cfRule type="notContainsBlanks" dxfId="8719" priority="9329">
      <formula>LEN(TRIM(B170))&gt;0</formula>
    </cfRule>
  </conditionalFormatting>
  <conditionalFormatting sqref="B183:E194 L183:L184 S183:S184">
    <cfRule type="notContainsBlanks" dxfId="8718" priority="9298">
      <formula>LEN(TRIM(B183))&gt;0</formula>
    </cfRule>
  </conditionalFormatting>
  <conditionalFormatting sqref="B196:E207 L196:L197 S196:S197 Z196:Z197 AG196:AG197">
    <cfRule type="notContainsBlanks" dxfId="8717" priority="9263">
      <formula>LEN(TRIM(B196))&gt;0</formula>
    </cfRule>
  </conditionalFormatting>
  <conditionalFormatting sqref="B209:E220">
    <cfRule type="notContainsBlanks" dxfId="8716" priority="9224">
      <formula>LEN(TRIM(B209))&gt;0</formula>
    </cfRule>
  </conditionalFormatting>
  <conditionalFormatting sqref="L209:L210 S209:S210 Z209:Z210 AG209:AG210">
    <cfRule type="notContainsBlanks" dxfId="8715" priority="9185">
      <formula>LEN(TRIM(L209))&gt;0</formula>
    </cfRule>
  </conditionalFormatting>
  <conditionalFormatting sqref="B222:E233 Z222:Z223 L222:L223">
    <cfRule type="notContainsBlanks" dxfId="8714" priority="9183">
      <formula>LEN(TRIM(B222))&gt;0</formula>
    </cfRule>
    <cfRule type="notContainsBlanks" dxfId="8713" priority="9184">
      <formula>LEN(TRIM(B222))&gt;0</formula>
    </cfRule>
  </conditionalFormatting>
  <conditionalFormatting sqref="G237">
    <cfRule type="notContainsBlanks" dxfId="8712" priority="9182">
      <formula>LEN(TRIM(G237))&gt;0</formula>
    </cfRule>
  </conditionalFormatting>
  <conditionalFormatting sqref="H237">
    <cfRule type="notContainsBlanks" dxfId="8711" priority="9181">
      <formula>LEN(TRIM(H237))&gt;0</formula>
    </cfRule>
  </conditionalFormatting>
  <conditionalFormatting sqref="G237:H237">
    <cfRule type="notContainsBlanks" dxfId="8710" priority="9180">
      <formula>LEN(TRIM(G237))&gt;0</formula>
    </cfRule>
  </conditionalFormatting>
  <conditionalFormatting sqref="G237:H237">
    <cfRule type="notContainsBlanks" dxfId="8709" priority="9179">
      <formula>LEN(TRIM(G237))&gt;0</formula>
    </cfRule>
  </conditionalFormatting>
  <conditionalFormatting sqref="G237:H237">
    <cfRule type="notContainsBlanks" dxfId="8708" priority="9178">
      <formula>LEN(TRIM(G237))&gt;0</formula>
    </cfRule>
  </conditionalFormatting>
  <conditionalFormatting sqref="G237:H237">
    <cfRule type="notContainsBlanks" dxfId="8707" priority="9177">
      <formula>LEN(TRIM(G237))&gt;0</formula>
    </cfRule>
  </conditionalFormatting>
  <conditionalFormatting sqref="G237:H237">
    <cfRule type="notContainsBlanks" dxfId="8706" priority="9176">
      <formula>LEN(TRIM(G237))&gt;0</formula>
    </cfRule>
  </conditionalFormatting>
  <conditionalFormatting sqref="G237:H237">
    <cfRule type="notContainsBlanks" dxfId="8705" priority="9175">
      <formula>LEN(TRIM(G237))&gt;0</formula>
    </cfRule>
  </conditionalFormatting>
  <conditionalFormatting sqref="G237:H237">
    <cfRule type="notContainsBlanks" dxfId="8704" priority="9174">
      <formula>LEN(TRIM(G237))&gt;0</formula>
    </cfRule>
  </conditionalFormatting>
  <conditionalFormatting sqref="G237:H237">
    <cfRule type="notContainsBlanks" dxfId="8703" priority="9173">
      <formula>LEN(TRIM(G237))&gt;0</formula>
    </cfRule>
  </conditionalFormatting>
  <conditionalFormatting sqref="G237:H237">
    <cfRule type="notContainsBlanks" dxfId="8702" priority="9172">
      <formula>LEN(TRIM(G237))&gt;0</formula>
    </cfRule>
  </conditionalFormatting>
  <conditionalFormatting sqref="G237:H237">
    <cfRule type="notContainsBlanks" dxfId="8701" priority="9170">
      <formula>LEN(TRIM(G237))&gt;0</formula>
    </cfRule>
    <cfRule type="notContainsBlanks" dxfId="8700" priority="9171">
      <formula>LEN(TRIM(G237))&gt;0</formula>
    </cfRule>
  </conditionalFormatting>
  <conditionalFormatting sqref="N237:O237">
    <cfRule type="notContainsBlanks" dxfId="8699" priority="9169">
      <formula>LEN(TRIM(N237))&gt;0</formula>
    </cfRule>
  </conditionalFormatting>
  <conditionalFormatting sqref="N237:O237">
    <cfRule type="notContainsBlanks" dxfId="8698" priority="9168">
      <formula>LEN(TRIM(N237))&gt;0</formula>
    </cfRule>
  </conditionalFormatting>
  <conditionalFormatting sqref="N237:O237">
    <cfRule type="notContainsBlanks" dxfId="8697" priority="9167">
      <formula>LEN(TRIM(N237))&gt;0</formula>
    </cfRule>
  </conditionalFormatting>
  <conditionalFormatting sqref="N237:O237">
    <cfRule type="notContainsBlanks" dxfId="8696" priority="9166">
      <formula>LEN(TRIM(N237))&gt;0</formula>
    </cfRule>
  </conditionalFormatting>
  <conditionalFormatting sqref="N237:O237">
    <cfRule type="notContainsBlanks" dxfId="8695" priority="9165">
      <formula>LEN(TRIM(N237))&gt;0</formula>
    </cfRule>
  </conditionalFormatting>
  <conditionalFormatting sqref="N237:O237">
    <cfRule type="notContainsBlanks" dxfId="8694" priority="9164">
      <formula>LEN(TRIM(N237))&gt;0</formula>
    </cfRule>
  </conditionalFormatting>
  <conditionalFormatting sqref="N237:O237">
    <cfRule type="notContainsBlanks" dxfId="8693" priority="9163">
      <formula>LEN(TRIM(N237))&gt;0</formula>
    </cfRule>
  </conditionalFormatting>
  <conditionalFormatting sqref="N237:O237">
    <cfRule type="notContainsBlanks" dxfId="8692" priority="9162">
      <formula>LEN(TRIM(N237))&gt;0</formula>
    </cfRule>
  </conditionalFormatting>
  <conditionalFormatting sqref="N237:O237">
    <cfRule type="notContainsBlanks" dxfId="8691" priority="9161">
      <formula>LEN(TRIM(N237))&gt;0</formula>
    </cfRule>
  </conditionalFormatting>
  <conditionalFormatting sqref="N237:O237">
    <cfRule type="notContainsBlanks" dxfId="8690" priority="9159">
      <formula>LEN(TRIM(N237))&gt;0</formula>
    </cfRule>
    <cfRule type="notContainsBlanks" dxfId="8689" priority="9160">
      <formula>LEN(TRIM(N237))&gt;0</formula>
    </cfRule>
  </conditionalFormatting>
  <conditionalFormatting sqref="U237:V237">
    <cfRule type="notContainsBlanks" dxfId="8688" priority="9158">
      <formula>LEN(TRIM(U237))&gt;0</formula>
    </cfRule>
  </conditionalFormatting>
  <conditionalFormatting sqref="U237:V237">
    <cfRule type="notContainsBlanks" dxfId="8687" priority="9157">
      <formula>LEN(TRIM(U237))&gt;0</formula>
    </cfRule>
  </conditionalFormatting>
  <conditionalFormatting sqref="U237:V237">
    <cfRule type="notContainsBlanks" dxfId="8686" priority="9156">
      <formula>LEN(TRIM(U237))&gt;0</formula>
    </cfRule>
  </conditionalFormatting>
  <conditionalFormatting sqref="U237:V237">
    <cfRule type="notContainsBlanks" dxfId="8685" priority="9155">
      <formula>LEN(TRIM(U237))&gt;0</formula>
    </cfRule>
  </conditionalFormatting>
  <conditionalFormatting sqref="U237:V237">
    <cfRule type="notContainsBlanks" dxfId="8684" priority="9154">
      <formula>LEN(TRIM(U237))&gt;0</formula>
    </cfRule>
  </conditionalFormatting>
  <conditionalFormatting sqref="U237:V237">
    <cfRule type="notContainsBlanks" dxfId="8683" priority="9153">
      <formula>LEN(TRIM(U237))&gt;0</formula>
    </cfRule>
  </conditionalFormatting>
  <conditionalFormatting sqref="U237:V237">
    <cfRule type="notContainsBlanks" dxfId="8682" priority="9152">
      <formula>LEN(TRIM(U237))&gt;0</formula>
    </cfRule>
  </conditionalFormatting>
  <conditionalFormatting sqref="U237:V237">
    <cfRule type="notContainsBlanks" dxfId="8681" priority="9151">
      <formula>LEN(TRIM(U237))&gt;0</formula>
    </cfRule>
  </conditionalFormatting>
  <conditionalFormatting sqref="U237:V237">
    <cfRule type="notContainsBlanks" dxfId="8680" priority="9150">
      <formula>LEN(TRIM(U237))&gt;0</formula>
    </cfRule>
  </conditionalFormatting>
  <conditionalFormatting sqref="U237:V237">
    <cfRule type="notContainsBlanks" dxfId="8679" priority="9148">
      <formula>LEN(TRIM(U237))&gt;0</formula>
    </cfRule>
    <cfRule type="notContainsBlanks" dxfId="8678" priority="9149">
      <formula>LEN(TRIM(U237))&gt;0</formula>
    </cfRule>
  </conditionalFormatting>
  <conditionalFormatting sqref="AB237:AC237">
    <cfRule type="notContainsBlanks" dxfId="8677" priority="9147">
      <formula>LEN(TRIM(AB237))&gt;0</formula>
    </cfRule>
  </conditionalFormatting>
  <conditionalFormatting sqref="AB237:AC237">
    <cfRule type="notContainsBlanks" dxfId="8676" priority="9146">
      <formula>LEN(TRIM(AB237))&gt;0</formula>
    </cfRule>
  </conditionalFormatting>
  <conditionalFormatting sqref="AB237:AC237">
    <cfRule type="notContainsBlanks" dxfId="8675" priority="9145">
      <formula>LEN(TRIM(AB237))&gt;0</formula>
    </cfRule>
  </conditionalFormatting>
  <conditionalFormatting sqref="AB237:AC237">
    <cfRule type="notContainsBlanks" dxfId="8674" priority="9144">
      <formula>LEN(TRIM(AB237))&gt;0</formula>
    </cfRule>
  </conditionalFormatting>
  <conditionalFormatting sqref="AB237:AC237">
    <cfRule type="notContainsBlanks" dxfId="8673" priority="9143">
      <formula>LEN(TRIM(AB237))&gt;0</formula>
    </cfRule>
  </conditionalFormatting>
  <conditionalFormatting sqref="AB237:AC237">
    <cfRule type="notContainsBlanks" dxfId="8672" priority="9142">
      <formula>LEN(TRIM(AB237))&gt;0</formula>
    </cfRule>
  </conditionalFormatting>
  <conditionalFormatting sqref="AB237:AC237">
    <cfRule type="notContainsBlanks" dxfId="8671" priority="9141">
      <formula>LEN(TRIM(AB237))&gt;0</formula>
    </cfRule>
  </conditionalFormatting>
  <conditionalFormatting sqref="AB237:AC237">
    <cfRule type="notContainsBlanks" dxfId="8670" priority="9140">
      <formula>LEN(TRIM(AB237))&gt;0</formula>
    </cfRule>
  </conditionalFormatting>
  <conditionalFormatting sqref="AB237:AC237">
    <cfRule type="notContainsBlanks" dxfId="8669" priority="9139">
      <formula>LEN(TRIM(AB237))&gt;0</formula>
    </cfRule>
  </conditionalFormatting>
  <conditionalFormatting sqref="AB237:AC237">
    <cfRule type="notContainsBlanks" dxfId="8668" priority="9137">
      <formula>LEN(TRIM(AB237))&gt;0</formula>
    </cfRule>
    <cfRule type="notContainsBlanks" dxfId="8667" priority="9138">
      <formula>LEN(TRIM(AB237))&gt;0</formula>
    </cfRule>
  </conditionalFormatting>
  <conditionalFormatting sqref="B235:E246 G237:H237 N237:O237 U237:V237 AB237:AC237 L235:L237 S235:S237 Z235:Z237 AG235:AG237">
    <cfRule type="notContainsBlanks" dxfId="8666" priority="9136">
      <formula>LEN(TRIM(B235))&gt;0</formula>
    </cfRule>
  </conditionalFormatting>
  <conditionalFormatting sqref="AD250:AF250">
    <cfRule type="notContainsBlanks" dxfId="8665" priority="9097">
      <formula>LEN(TRIM(AD250))&gt;0</formula>
    </cfRule>
  </conditionalFormatting>
  <conditionalFormatting sqref="AD250:AF250">
    <cfRule type="notContainsBlanks" dxfId="8664" priority="9096">
      <formula>LEN(TRIM(AD250))&gt;0</formula>
    </cfRule>
  </conditionalFormatting>
  <conditionalFormatting sqref="AD250:AF250">
    <cfRule type="notContainsBlanks" dxfId="8663" priority="9095">
      <formula>LEN(TRIM(AD250))&gt;0</formula>
    </cfRule>
  </conditionalFormatting>
  <conditionalFormatting sqref="AD250:AF250">
    <cfRule type="notContainsBlanks" dxfId="8662" priority="9094">
      <formula>LEN(TRIM(AD250))&gt;0</formula>
    </cfRule>
  </conditionalFormatting>
  <conditionalFormatting sqref="AD250:AF250">
    <cfRule type="notContainsBlanks" dxfId="8661" priority="9093">
      <formula>LEN(TRIM(AD250))&gt;0</formula>
    </cfRule>
  </conditionalFormatting>
  <conditionalFormatting sqref="AD250:AF250">
    <cfRule type="notContainsBlanks" dxfId="8660" priority="9092">
      <formula>LEN(TRIM(AD250))&gt;0</formula>
    </cfRule>
  </conditionalFormatting>
  <conditionalFormatting sqref="AD250:AF250">
    <cfRule type="notContainsBlanks" dxfId="8659" priority="9091">
      <formula>LEN(TRIM(AD250))&gt;0</formula>
    </cfRule>
  </conditionalFormatting>
  <conditionalFormatting sqref="AD250:AF250">
    <cfRule type="notContainsBlanks" dxfId="8658" priority="9090">
      <formula>LEN(TRIM(AD250))&gt;0</formula>
    </cfRule>
  </conditionalFormatting>
  <conditionalFormatting sqref="AD250:AF250">
    <cfRule type="notContainsBlanks" dxfId="8657" priority="9089">
      <formula>LEN(TRIM(AD250))&gt;0</formula>
    </cfRule>
  </conditionalFormatting>
  <conditionalFormatting sqref="AD250:AF250">
    <cfRule type="notContainsBlanks" dxfId="8656" priority="9087">
      <formula>LEN(TRIM(AD250))&gt;0</formula>
    </cfRule>
    <cfRule type="notContainsBlanks" dxfId="8655" priority="9088">
      <formula>LEN(TRIM(AD250))&gt;0</formula>
    </cfRule>
  </conditionalFormatting>
  <conditionalFormatting sqref="AD250:AF250">
    <cfRule type="notContainsBlanks" dxfId="8654" priority="9086">
      <formula>LEN(TRIM(AD250))&gt;0</formula>
    </cfRule>
  </conditionalFormatting>
  <conditionalFormatting sqref="B248:E259 AD250:AF250 AG248:AG250 L248:L250 S248:S250 Z248:Z249">
    <cfRule type="notContainsBlanks" dxfId="8653" priority="9085">
      <formula>LEN(TRIM(B248))&gt;0</formula>
    </cfRule>
  </conditionalFormatting>
  <conditionalFormatting sqref="I263:K263">
    <cfRule type="notContainsBlanks" dxfId="8652" priority="9083">
      <formula>LEN(TRIM(I263))&gt;0</formula>
    </cfRule>
  </conditionalFormatting>
  <conditionalFormatting sqref="I263:K263">
    <cfRule type="notContainsBlanks" dxfId="8651" priority="9082">
      <formula>LEN(TRIM(I263))&gt;0</formula>
    </cfRule>
  </conditionalFormatting>
  <conditionalFormatting sqref="I263:K263">
    <cfRule type="notContainsBlanks" dxfId="8650" priority="9081">
      <formula>LEN(TRIM(I263))&gt;0</formula>
    </cfRule>
  </conditionalFormatting>
  <conditionalFormatting sqref="I263:K263">
    <cfRule type="notContainsBlanks" dxfId="8649" priority="9080">
      <formula>LEN(TRIM(I263))&gt;0</formula>
    </cfRule>
  </conditionalFormatting>
  <conditionalFormatting sqref="I263:K263">
    <cfRule type="notContainsBlanks" dxfId="8648" priority="9079">
      <formula>LEN(TRIM(I263))&gt;0</formula>
    </cfRule>
  </conditionalFormatting>
  <conditionalFormatting sqref="I263:K263">
    <cfRule type="notContainsBlanks" dxfId="8647" priority="9078">
      <formula>LEN(TRIM(I263))&gt;0</formula>
    </cfRule>
  </conditionalFormatting>
  <conditionalFormatting sqref="I263:K263">
    <cfRule type="notContainsBlanks" dxfId="8646" priority="9077">
      <formula>LEN(TRIM(I263))&gt;0</formula>
    </cfRule>
  </conditionalFormatting>
  <conditionalFormatting sqref="I263:K263">
    <cfRule type="notContainsBlanks" dxfId="8645" priority="9076">
      <formula>LEN(TRIM(I263))&gt;0</formula>
    </cfRule>
  </conditionalFormatting>
  <conditionalFormatting sqref="I263:K263">
    <cfRule type="notContainsBlanks" dxfId="8644" priority="9075">
      <formula>LEN(TRIM(I263))&gt;0</formula>
    </cfRule>
  </conditionalFormatting>
  <conditionalFormatting sqref="I263:K263">
    <cfRule type="notContainsBlanks" dxfId="8643" priority="9074">
      <formula>LEN(TRIM(I263))&gt;0</formula>
    </cfRule>
  </conditionalFormatting>
  <conditionalFormatting sqref="I263:K263">
    <cfRule type="notContainsBlanks" dxfId="8642" priority="9072">
      <formula>LEN(TRIM(I263))&gt;0</formula>
    </cfRule>
    <cfRule type="notContainsBlanks" dxfId="8641" priority="9073">
      <formula>LEN(TRIM(I263))&gt;0</formula>
    </cfRule>
  </conditionalFormatting>
  <conditionalFormatting sqref="I263:K263">
    <cfRule type="notContainsBlanks" dxfId="8640" priority="9071">
      <formula>LEN(TRIM(I263))&gt;0</formula>
    </cfRule>
  </conditionalFormatting>
  <conditionalFormatting sqref="I263:K263">
    <cfRule type="notContainsBlanks" dxfId="8639" priority="9070">
      <formula>LEN(TRIM(I263))&gt;0</formula>
    </cfRule>
  </conditionalFormatting>
  <conditionalFormatting sqref="P263:R263">
    <cfRule type="notContainsBlanks" dxfId="8638" priority="9069">
      <formula>LEN(TRIM(P263))&gt;0</formula>
    </cfRule>
  </conditionalFormatting>
  <conditionalFormatting sqref="P263:R263">
    <cfRule type="notContainsBlanks" dxfId="8637" priority="9068">
      <formula>LEN(TRIM(P263))&gt;0</formula>
    </cfRule>
  </conditionalFormatting>
  <conditionalFormatting sqref="P263:R263">
    <cfRule type="notContainsBlanks" dxfId="8636" priority="9067">
      <formula>LEN(TRIM(P263))&gt;0</formula>
    </cfRule>
  </conditionalFormatting>
  <conditionalFormatting sqref="P263:R263">
    <cfRule type="notContainsBlanks" dxfId="8635" priority="9066">
      <formula>LEN(TRIM(P263))&gt;0</formula>
    </cfRule>
  </conditionalFormatting>
  <conditionalFormatting sqref="P263:R263">
    <cfRule type="notContainsBlanks" dxfId="8634" priority="9065">
      <formula>LEN(TRIM(P263))&gt;0</formula>
    </cfRule>
  </conditionalFormatting>
  <conditionalFormatting sqref="P263:R263">
    <cfRule type="notContainsBlanks" dxfId="8633" priority="9064">
      <formula>LEN(TRIM(P263))&gt;0</formula>
    </cfRule>
  </conditionalFormatting>
  <conditionalFormatting sqref="P263:R263">
    <cfRule type="notContainsBlanks" dxfId="8632" priority="9063">
      <formula>LEN(TRIM(P263))&gt;0</formula>
    </cfRule>
  </conditionalFormatting>
  <conditionalFormatting sqref="P263:R263">
    <cfRule type="notContainsBlanks" dxfId="8631" priority="9062">
      <formula>LEN(TRIM(P263))&gt;0</formula>
    </cfRule>
  </conditionalFormatting>
  <conditionalFormatting sqref="P263:R263">
    <cfRule type="notContainsBlanks" dxfId="8630" priority="9061">
      <formula>LEN(TRIM(P263))&gt;0</formula>
    </cfRule>
  </conditionalFormatting>
  <conditionalFormatting sqref="P263:R263">
    <cfRule type="notContainsBlanks" dxfId="8629" priority="9059">
      <formula>LEN(TRIM(P263))&gt;0</formula>
    </cfRule>
    <cfRule type="notContainsBlanks" dxfId="8628" priority="9060">
      <formula>LEN(TRIM(P263))&gt;0</formula>
    </cfRule>
  </conditionalFormatting>
  <conditionalFormatting sqref="P263:R263">
    <cfRule type="notContainsBlanks" dxfId="8627" priority="9058">
      <formula>LEN(TRIM(P263))&gt;0</formula>
    </cfRule>
  </conditionalFormatting>
  <conditionalFormatting sqref="P263:R263">
    <cfRule type="notContainsBlanks" dxfId="8626" priority="9057">
      <formula>LEN(TRIM(P263))&gt;0</formula>
    </cfRule>
  </conditionalFormatting>
  <conditionalFormatting sqref="W263:Y263">
    <cfRule type="notContainsBlanks" dxfId="8625" priority="9056">
      <formula>LEN(TRIM(W263))&gt;0</formula>
    </cfRule>
  </conditionalFormatting>
  <conditionalFormatting sqref="W263:Y263">
    <cfRule type="notContainsBlanks" dxfId="8624" priority="9055">
      <formula>LEN(TRIM(W263))&gt;0</formula>
    </cfRule>
  </conditionalFormatting>
  <conditionalFormatting sqref="W263:Y263">
    <cfRule type="notContainsBlanks" dxfId="8623" priority="9054">
      <formula>LEN(TRIM(W263))&gt;0</formula>
    </cfRule>
  </conditionalFormatting>
  <conditionalFormatting sqref="W263:Y263">
    <cfRule type="notContainsBlanks" dxfId="8622" priority="9053">
      <formula>LEN(TRIM(W263))&gt;0</formula>
    </cfRule>
  </conditionalFormatting>
  <conditionalFormatting sqref="W263:Y263">
    <cfRule type="notContainsBlanks" dxfId="8621" priority="9052">
      <formula>LEN(TRIM(W263))&gt;0</formula>
    </cfRule>
  </conditionalFormatting>
  <conditionalFormatting sqref="W263:Y263">
    <cfRule type="notContainsBlanks" dxfId="8620" priority="9051">
      <formula>LEN(TRIM(W263))&gt;0</formula>
    </cfRule>
  </conditionalFormatting>
  <conditionalFormatting sqref="W263:Y263">
    <cfRule type="notContainsBlanks" dxfId="8619" priority="9050">
      <formula>LEN(TRIM(W263))&gt;0</formula>
    </cfRule>
  </conditionalFormatting>
  <conditionalFormatting sqref="W263:Y263">
    <cfRule type="notContainsBlanks" dxfId="8618" priority="9049">
      <formula>LEN(TRIM(W263))&gt;0</formula>
    </cfRule>
  </conditionalFormatting>
  <conditionalFormatting sqref="W263:Y263">
    <cfRule type="notContainsBlanks" dxfId="8617" priority="9048">
      <formula>LEN(TRIM(W263))&gt;0</formula>
    </cfRule>
  </conditionalFormatting>
  <conditionalFormatting sqref="W263:Y263">
    <cfRule type="notContainsBlanks" dxfId="8616" priority="9046">
      <formula>LEN(TRIM(W263))&gt;0</formula>
    </cfRule>
    <cfRule type="notContainsBlanks" dxfId="8615" priority="9047">
      <formula>LEN(TRIM(W263))&gt;0</formula>
    </cfRule>
  </conditionalFormatting>
  <conditionalFormatting sqref="W263:Y263">
    <cfRule type="notContainsBlanks" dxfId="8614" priority="9045">
      <formula>LEN(TRIM(W263))&gt;0</formula>
    </cfRule>
  </conditionalFormatting>
  <conditionalFormatting sqref="W263:Y263">
    <cfRule type="notContainsBlanks" dxfId="8613" priority="9044">
      <formula>LEN(TRIM(W263))&gt;0</formula>
    </cfRule>
  </conditionalFormatting>
  <conditionalFormatting sqref="AD263:AF263">
    <cfRule type="notContainsBlanks" dxfId="8612" priority="9043">
      <formula>LEN(TRIM(AD263))&gt;0</formula>
    </cfRule>
  </conditionalFormatting>
  <conditionalFormatting sqref="AD263:AF263">
    <cfRule type="notContainsBlanks" dxfId="8611" priority="9042">
      <formula>LEN(TRIM(AD263))&gt;0</formula>
    </cfRule>
  </conditionalFormatting>
  <conditionalFormatting sqref="AD263:AF263">
    <cfRule type="notContainsBlanks" dxfId="8610" priority="9041">
      <formula>LEN(TRIM(AD263))&gt;0</formula>
    </cfRule>
  </conditionalFormatting>
  <conditionalFormatting sqref="AD263:AF263">
    <cfRule type="notContainsBlanks" dxfId="8609" priority="9040">
      <formula>LEN(TRIM(AD263))&gt;0</formula>
    </cfRule>
  </conditionalFormatting>
  <conditionalFormatting sqref="AD263:AF263">
    <cfRule type="notContainsBlanks" dxfId="8608" priority="9039">
      <formula>LEN(TRIM(AD263))&gt;0</formula>
    </cfRule>
  </conditionalFormatting>
  <conditionalFormatting sqref="AD263:AF263">
    <cfRule type="notContainsBlanks" dxfId="8607" priority="9038">
      <formula>LEN(TRIM(AD263))&gt;0</formula>
    </cfRule>
  </conditionalFormatting>
  <conditionalFormatting sqref="AD263:AF263">
    <cfRule type="notContainsBlanks" dxfId="8606" priority="9037">
      <formula>LEN(TRIM(AD263))&gt;0</formula>
    </cfRule>
  </conditionalFormatting>
  <conditionalFormatting sqref="AD263:AF263">
    <cfRule type="notContainsBlanks" dxfId="8605" priority="9036">
      <formula>LEN(TRIM(AD263))&gt;0</formula>
    </cfRule>
  </conditionalFormatting>
  <conditionalFormatting sqref="AD263:AF263">
    <cfRule type="notContainsBlanks" dxfId="8604" priority="9035">
      <formula>LEN(TRIM(AD263))&gt;0</formula>
    </cfRule>
  </conditionalFormatting>
  <conditionalFormatting sqref="AD263:AF263">
    <cfRule type="notContainsBlanks" dxfId="8603" priority="9033">
      <formula>LEN(TRIM(AD263))&gt;0</formula>
    </cfRule>
    <cfRule type="notContainsBlanks" dxfId="8602" priority="9034">
      <formula>LEN(TRIM(AD263))&gt;0</formula>
    </cfRule>
  </conditionalFormatting>
  <conditionalFormatting sqref="AD263:AF263">
    <cfRule type="notContainsBlanks" dxfId="8601" priority="9032">
      <formula>LEN(TRIM(AD263))&gt;0</formula>
    </cfRule>
  </conditionalFormatting>
  <conditionalFormatting sqref="AD263:AF263">
    <cfRule type="notContainsBlanks" dxfId="8600" priority="9031">
      <formula>LEN(TRIM(AD263))&gt;0</formula>
    </cfRule>
  </conditionalFormatting>
  <conditionalFormatting sqref="B261:E272 I263:K263 P263:R263 W263:Y263 AD263:AF263 L261:L262 S261:S262 Z261:Z262 AG261:AG262">
    <cfRule type="notContainsBlanks" dxfId="8599" priority="9030">
      <formula>LEN(TRIM(B261))&gt;0</formula>
    </cfRule>
  </conditionalFormatting>
  <conditionalFormatting sqref="G276">
    <cfRule type="notContainsBlanks" dxfId="8598" priority="9029">
      <formula>LEN(TRIM(G276))&gt;0</formula>
    </cfRule>
  </conditionalFormatting>
  <conditionalFormatting sqref="H276:K276">
    <cfRule type="notContainsBlanks" dxfId="8597" priority="9028">
      <formula>LEN(TRIM(H276))&gt;0</formula>
    </cfRule>
  </conditionalFormatting>
  <conditionalFormatting sqref="G276:K276">
    <cfRule type="notContainsBlanks" dxfId="8596" priority="9027">
      <formula>LEN(TRIM(G276))&gt;0</formula>
    </cfRule>
  </conditionalFormatting>
  <conditionalFormatting sqref="G276:K276">
    <cfRule type="notContainsBlanks" dxfId="8595" priority="9026">
      <formula>LEN(TRIM(G276))&gt;0</formula>
    </cfRule>
  </conditionalFormatting>
  <conditionalFormatting sqref="G276:K276">
    <cfRule type="notContainsBlanks" dxfId="8594" priority="9025">
      <formula>LEN(TRIM(G276))&gt;0</formula>
    </cfRule>
  </conditionalFormatting>
  <conditionalFormatting sqref="G276:K276">
    <cfRule type="notContainsBlanks" dxfId="8593" priority="9024">
      <formula>LEN(TRIM(G276))&gt;0</formula>
    </cfRule>
  </conditionalFormatting>
  <conditionalFormatting sqref="G276:K276">
    <cfRule type="notContainsBlanks" dxfId="8592" priority="9023">
      <formula>LEN(TRIM(G276))&gt;0</formula>
    </cfRule>
  </conditionalFormatting>
  <conditionalFormatting sqref="G276:K276">
    <cfRule type="notContainsBlanks" dxfId="8591" priority="9022">
      <formula>LEN(TRIM(G276))&gt;0</formula>
    </cfRule>
  </conditionalFormatting>
  <conditionalFormatting sqref="G276:K276">
    <cfRule type="notContainsBlanks" dxfId="8590" priority="9021">
      <formula>LEN(TRIM(G276))&gt;0</formula>
    </cfRule>
  </conditionalFormatting>
  <conditionalFormatting sqref="G276:K276">
    <cfRule type="notContainsBlanks" dxfId="8589" priority="9020">
      <formula>LEN(TRIM(G276))&gt;0</formula>
    </cfRule>
  </conditionalFormatting>
  <conditionalFormatting sqref="G276:K276">
    <cfRule type="notContainsBlanks" dxfId="8588" priority="9019">
      <formula>LEN(TRIM(G276))&gt;0</formula>
    </cfRule>
  </conditionalFormatting>
  <conditionalFormatting sqref="G276:K276">
    <cfRule type="notContainsBlanks" dxfId="8587" priority="9017">
      <formula>LEN(TRIM(G276))&gt;0</formula>
    </cfRule>
    <cfRule type="notContainsBlanks" dxfId="8586" priority="9018">
      <formula>LEN(TRIM(G276))&gt;0</formula>
    </cfRule>
  </conditionalFormatting>
  <conditionalFormatting sqref="G276:K276">
    <cfRule type="notContainsBlanks" dxfId="8585" priority="9016">
      <formula>LEN(TRIM(G276))&gt;0</formula>
    </cfRule>
  </conditionalFormatting>
  <conditionalFormatting sqref="G276:K276">
    <cfRule type="notContainsBlanks" dxfId="8584" priority="9015">
      <formula>LEN(TRIM(G276))&gt;0</formula>
    </cfRule>
  </conditionalFormatting>
  <conditionalFormatting sqref="G276:K276">
    <cfRule type="notContainsBlanks" dxfId="8583" priority="9014">
      <formula>LEN(TRIM(G276))&gt;0</formula>
    </cfRule>
  </conditionalFormatting>
  <conditionalFormatting sqref="N276:R276">
    <cfRule type="notContainsBlanks" dxfId="8582" priority="9013">
      <formula>LEN(TRIM(N276))&gt;0</formula>
    </cfRule>
  </conditionalFormatting>
  <conditionalFormatting sqref="N276:R276">
    <cfRule type="notContainsBlanks" dxfId="8581" priority="9012">
      <formula>LEN(TRIM(N276))&gt;0</formula>
    </cfRule>
  </conditionalFormatting>
  <conditionalFormatting sqref="N276:R276">
    <cfRule type="notContainsBlanks" dxfId="8580" priority="9011">
      <formula>LEN(TRIM(N276))&gt;0</formula>
    </cfRule>
  </conditionalFormatting>
  <conditionalFormatting sqref="N276:R276">
    <cfRule type="notContainsBlanks" dxfId="8579" priority="9010">
      <formula>LEN(TRIM(N276))&gt;0</formula>
    </cfRule>
  </conditionalFormatting>
  <conditionalFormatting sqref="N276:R276">
    <cfRule type="notContainsBlanks" dxfId="8578" priority="9009">
      <formula>LEN(TRIM(N276))&gt;0</formula>
    </cfRule>
  </conditionalFormatting>
  <conditionalFormatting sqref="N276:R276">
    <cfRule type="notContainsBlanks" dxfId="8577" priority="9008">
      <formula>LEN(TRIM(N276))&gt;0</formula>
    </cfRule>
  </conditionalFormatting>
  <conditionalFormatting sqref="N276:R276">
    <cfRule type="notContainsBlanks" dxfId="8576" priority="9007">
      <formula>LEN(TRIM(N276))&gt;0</formula>
    </cfRule>
  </conditionalFormatting>
  <conditionalFormatting sqref="N276:R276">
    <cfRule type="notContainsBlanks" dxfId="8575" priority="9006">
      <formula>LEN(TRIM(N276))&gt;0</formula>
    </cfRule>
  </conditionalFormatting>
  <conditionalFormatting sqref="N276:R276">
    <cfRule type="notContainsBlanks" dxfId="8574" priority="9005">
      <formula>LEN(TRIM(N276))&gt;0</formula>
    </cfRule>
  </conditionalFormatting>
  <conditionalFormatting sqref="N276:R276">
    <cfRule type="notContainsBlanks" dxfId="8573" priority="9003">
      <formula>LEN(TRIM(N276))&gt;0</formula>
    </cfRule>
    <cfRule type="notContainsBlanks" dxfId="8572" priority="9004">
      <formula>LEN(TRIM(N276))&gt;0</formula>
    </cfRule>
  </conditionalFormatting>
  <conditionalFormatting sqref="N276:R276">
    <cfRule type="notContainsBlanks" dxfId="8571" priority="9002">
      <formula>LEN(TRIM(N276))&gt;0</formula>
    </cfRule>
  </conditionalFormatting>
  <conditionalFormatting sqref="N276:R276">
    <cfRule type="notContainsBlanks" dxfId="8570" priority="9001">
      <formula>LEN(TRIM(N276))&gt;0</formula>
    </cfRule>
  </conditionalFormatting>
  <conditionalFormatting sqref="N276:R276">
    <cfRule type="notContainsBlanks" dxfId="8569" priority="9000">
      <formula>LEN(TRIM(N276))&gt;0</formula>
    </cfRule>
  </conditionalFormatting>
  <conditionalFormatting sqref="U276:Y276">
    <cfRule type="notContainsBlanks" dxfId="8568" priority="8999">
      <formula>LEN(TRIM(U276))&gt;0</formula>
    </cfRule>
  </conditionalFormatting>
  <conditionalFormatting sqref="U276:Y276">
    <cfRule type="notContainsBlanks" dxfId="8567" priority="8998">
      <formula>LEN(TRIM(U276))&gt;0</formula>
    </cfRule>
  </conditionalFormatting>
  <conditionalFormatting sqref="U276:Y276">
    <cfRule type="notContainsBlanks" dxfId="8566" priority="8997">
      <formula>LEN(TRIM(U276))&gt;0</formula>
    </cfRule>
  </conditionalFormatting>
  <conditionalFormatting sqref="U276:Y276">
    <cfRule type="notContainsBlanks" dxfId="8565" priority="8996">
      <formula>LEN(TRIM(U276))&gt;0</formula>
    </cfRule>
  </conditionalFormatting>
  <conditionalFormatting sqref="U276:Y276">
    <cfRule type="notContainsBlanks" dxfId="8564" priority="8995">
      <formula>LEN(TRIM(U276))&gt;0</formula>
    </cfRule>
  </conditionalFormatting>
  <conditionalFormatting sqref="U276:Y276">
    <cfRule type="notContainsBlanks" dxfId="8563" priority="8994">
      <formula>LEN(TRIM(U276))&gt;0</formula>
    </cfRule>
  </conditionalFormatting>
  <conditionalFormatting sqref="U276:Y276">
    <cfRule type="notContainsBlanks" dxfId="8562" priority="8993">
      <formula>LEN(TRIM(U276))&gt;0</formula>
    </cfRule>
  </conditionalFormatting>
  <conditionalFormatting sqref="U276:Y276">
    <cfRule type="notContainsBlanks" dxfId="8561" priority="8992">
      <formula>LEN(TRIM(U276))&gt;0</formula>
    </cfRule>
  </conditionalFormatting>
  <conditionalFormatting sqref="U276:Y276">
    <cfRule type="notContainsBlanks" dxfId="8560" priority="8991">
      <formula>LEN(TRIM(U276))&gt;0</formula>
    </cfRule>
  </conditionalFormatting>
  <conditionalFormatting sqref="U276:Y276">
    <cfRule type="notContainsBlanks" dxfId="8559" priority="8989">
      <formula>LEN(TRIM(U276))&gt;0</formula>
    </cfRule>
    <cfRule type="notContainsBlanks" dxfId="8558" priority="8990">
      <formula>LEN(TRIM(U276))&gt;0</formula>
    </cfRule>
  </conditionalFormatting>
  <conditionalFormatting sqref="U276:Y276">
    <cfRule type="notContainsBlanks" dxfId="8557" priority="8988">
      <formula>LEN(TRIM(U276))&gt;0</formula>
    </cfRule>
  </conditionalFormatting>
  <conditionalFormatting sqref="U276:Y276">
    <cfRule type="notContainsBlanks" dxfId="8556" priority="8987">
      <formula>LEN(TRIM(U276))&gt;0</formula>
    </cfRule>
  </conditionalFormatting>
  <conditionalFormatting sqref="U276:Y276">
    <cfRule type="notContainsBlanks" dxfId="8555" priority="8986">
      <formula>LEN(TRIM(U276))&gt;0</formula>
    </cfRule>
  </conditionalFormatting>
  <conditionalFormatting sqref="AB276:AF276">
    <cfRule type="notContainsBlanks" dxfId="8554" priority="8985">
      <formula>LEN(TRIM(AB276))&gt;0</formula>
    </cfRule>
  </conditionalFormatting>
  <conditionalFormatting sqref="AB276:AF276">
    <cfRule type="notContainsBlanks" dxfId="8553" priority="8984">
      <formula>LEN(TRIM(AB276))&gt;0</formula>
    </cfRule>
  </conditionalFormatting>
  <conditionalFormatting sqref="AB276:AF276">
    <cfRule type="notContainsBlanks" dxfId="8552" priority="8983">
      <formula>LEN(TRIM(AB276))&gt;0</formula>
    </cfRule>
  </conditionalFormatting>
  <conditionalFormatting sqref="AB276:AF276">
    <cfRule type="notContainsBlanks" dxfId="8551" priority="8982">
      <formula>LEN(TRIM(AB276))&gt;0</formula>
    </cfRule>
  </conditionalFormatting>
  <conditionalFormatting sqref="AB276:AF276">
    <cfRule type="notContainsBlanks" dxfId="8550" priority="8981">
      <formula>LEN(TRIM(AB276))&gt;0</formula>
    </cfRule>
  </conditionalFormatting>
  <conditionalFormatting sqref="AB276:AF276">
    <cfRule type="notContainsBlanks" dxfId="8549" priority="8980">
      <formula>LEN(TRIM(AB276))&gt;0</formula>
    </cfRule>
  </conditionalFormatting>
  <conditionalFormatting sqref="AB276:AF276">
    <cfRule type="notContainsBlanks" dxfId="8548" priority="8979">
      <formula>LEN(TRIM(AB276))&gt;0</formula>
    </cfRule>
  </conditionalFormatting>
  <conditionalFormatting sqref="AB276:AF276">
    <cfRule type="notContainsBlanks" dxfId="8547" priority="8978">
      <formula>LEN(TRIM(AB276))&gt;0</formula>
    </cfRule>
  </conditionalFormatting>
  <conditionalFormatting sqref="AB276:AF276">
    <cfRule type="notContainsBlanks" dxfId="8546" priority="8977">
      <formula>LEN(TRIM(AB276))&gt;0</formula>
    </cfRule>
  </conditionalFormatting>
  <conditionalFormatting sqref="AB276:AF276">
    <cfRule type="notContainsBlanks" dxfId="8545" priority="8975">
      <formula>LEN(TRIM(AB276))&gt;0</formula>
    </cfRule>
    <cfRule type="notContainsBlanks" dxfId="8544" priority="8976">
      <formula>LEN(TRIM(AB276))&gt;0</formula>
    </cfRule>
  </conditionalFormatting>
  <conditionalFormatting sqref="AB276:AF276">
    <cfRule type="notContainsBlanks" dxfId="8543" priority="8974">
      <formula>LEN(TRIM(AB276))&gt;0</formula>
    </cfRule>
  </conditionalFormatting>
  <conditionalFormatting sqref="AB276:AF276">
    <cfRule type="notContainsBlanks" dxfId="8542" priority="8973">
      <formula>LEN(TRIM(AB276))&gt;0</formula>
    </cfRule>
  </conditionalFormatting>
  <conditionalFormatting sqref="AB276:AF276">
    <cfRule type="notContainsBlanks" dxfId="8541" priority="8972">
      <formula>LEN(TRIM(AB276))&gt;0</formula>
    </cfRule>
  </conditionalFormatting>
  <conditionalFormatting sqref="B274:E285 G276:K276 L274:L275 N276:R276 S274:S275 U276:Y276 Z274:Z275 AB276:AF276 AG274:AG275">
    <cfRule type="notContainsBlanks" dxfId="8540" priority="8971">
      <formula>LEN(TRIM(B274))&gt;0</formula>
    </cfRule>
  </conditionalFormatting>
  <conditionalFormatting sqref="B287:E298 L287:L289 S287:S288 Z287:Z289 AG287:AG289">
    <cfRule type="notContainsBlanks" dxfId="8539" priority="8908">
      <formula>LEN(TRIM(B287))&gt;0</formula>
    </cfRule>
  </conditionalFormatting>
  <conditionalFormatting sqref="B300:E311 L300:L302 S300:S302 Z300:Z302 AG300:AG301">
    <cfRule type="notContainsBlanks" dxfId="8538" priority="8841">
      <formula>LEN(TRIM(B300))&gt;0</formula>
    </cfRule>
  </conditionalFormatting>
  <conditionalFormatting sqref="G315">
    <cfRule type="notContainsBlanks" dxfId="8537" priority="8840">
      <formula>LEN(TRIM(G315))&gt;0</formula>
    </cfRule>
  </conditionalFormatting>
  <conditionalFormatting sqref="H315:K315">
    <cfRule type="notContainsBlanks" dxfId="8536" priority="8839">
      <formula>LEN(TRIM(H315))&gt;0</formula>
    </cfRule>
  </conditionalFormatting>
  <conditionalFormatting sqref="G315:K315">
    <cfRule type="notContainsBlanks" dxfId="8535" priority="8838">
      <formula>LEN(TRIM(G315))&gt;0</formula>
    </cfRule>
  </conditionalFormatting>
  <conditionalFormatting sqref="G315:K315">
    <cfRule type="notContainsBlanks" dxfId="8534" priority="8837">
      <formula>LEN(TRIM(G315))&gt;0</formula>
    </cfRule>
  </conditionalFormatting>
  <conditionalFormatting sqref="G315:K315">
    <cfRule type="notContainsBlanks" dxfId="8533" priority="8836">
      <formula>LEN(TRIM(G315))&gt;0</formula>
    </cfRule>
  </conditionalFormatting>
  <conditionalFormatting sqref="G315:K315">
    <cfRule type="notContainsBlanks" dxfId="8532" priority="8835">
      <formula>LEN(TRIM(G315))&gt;0</formula>
    </cfRule>
  </conditionalFormatting>
  <conditionalFormatting sqref="G315:K315">
    <cfRule type="notContainsBlanks" dxfId="8531" priority="8834">
      <formula>LEN(TRIM(G315))&gt;0</formula>
    </cfRule>
  </conditionalFormatting>
  <conditionalFormatting sqref="G315:K315">
    <cfRule type="notContainsBlanks" dxfId="8530" priority="8833">
      <formula>LEN(TRIM(G315))&gt;0</formula>
    </cfRule>
  </conditionalFormatting>
  <conditionalFormatting sqref="G315:K315">
    <cfRule type="notContainsBlanks" dxfId="8529" priority="8832">
      <formula>LEN(TRIM(G315))&gt;0</formula>
    </cfRule>
  </conditionalFormatting>
  <conditionalFormatting sqref="G315:K315">
    <cfRule type="notContainsBlanks" dxfId="8528" priority="8831">
      <formula>LEN(TRIM(G315))&gt;0</formula>
    </cfRule>
  </conditionalFormatting>
  <conditionalFormatting sqref="G315:K315">
    <cfRule type="notContainsBlanks" dxfId="8527" priority="8830">
      <formula>LEN(TRIM(G315))&gt;0</formula>
    </cfRule>
  </conditionalFormatting>
  <conditionalFormatting sqref="G315:K315">
    <cfRule type="notContainsBlanks" dxfId="8526" priority="8828">
      <formula>LEN(TRIM(G315))&gt;0</formula>
    </cfRule>
    <cfRule type="notContainsBlanks" dxfId="8525" priority="8829">
      <formula>LEN(TRIM(G315))&gt;0</formula>
    </cfRule>
  </conditionalFormatting>
  <conditionalFormatting sqref="G315:K315">
    <cfRule type="notContainsBlanks" dxfId="8524" priority="8827">
      <formula>LEN(TRIM(G315))&gt;0</formula>
    </cfRule>
  </conditionalFormatting>
  <conditionalFormatting sqref="G315:K315">
    <cfRule type="notContainsBlanks" dxfId="8523" priority="8826">
      <formula>LEN(TRIM(G315))&gt;0</formula>
    </cfRule>
  </conditionalFormatting>
  <conditionalFormatting sqref="G315:K315">
    <cfRule type="notContainsBlanks" dxfId="8522" priority="8825">
      <formula>LEN(TRIM(G315))&gt;0</formula>
    </cfRule>
  </conditionalFormatting>
  <conditionalFormatting sqref="G315:K315">
    <cfRule type="notContainsBlanks" dxfId="8521" priority="8824">
      <formula>LEN(TRIM(G315))&gt;0</formula>
    </cfRule>
  </conditionalFormatting>
  <conditionalFormatting sqref="G315:K315">
    <cfRule type="notContainsBlanks" dxfId="8520" priority="8823">
      <formula>LEN(TRIM(G315))&gt;0</formula>
    </cfRule>
  </conditionalFormatting>
  <conditionalFormatting sqref="G315:K315">
    <cfRule type="notContainsBlanks" dxfId="8519" priority="8822">
      <formula>LEN(TRIM(G315))&gt;0</formula>
    </cfRule>
  </conditionalFormatting>
  <conditionalFormatting sqref="N315:R315">
    <cfRule type="notContainsBlanks" dxfId="8518" priority="8821">
      <formula>LEN(TRIM(N315))&gt;0</formula>
    </cfRule>
  </conditionalFormatting>
  <conditionalFormatting sqref="N315:R315">
    <cfRule type="notContainsBlanks" dxfId="8517" priority="8820">
      <formula>LEN(TRIM(N315))&gt;0</formula>
    </cfRule>
  </conditionalFormatting>
  <conditionalFormatting sqref="N315:R315">
    <cfRule type="notContainsBlanks" dxfId="8516" priority="8819">
      <formula>LEN(TRIM(N315))&gt;0</formula>
    </cfRule>
  </conditionalFormatting>
  <conditionalFormatting sqref="N315:R315">
    <cfRule type="notContainsBlanks" dxfId="8515" priority="8818">
      <formula>LEN(TRIM(N315))&gt;0</formula>
    </cfRule>
  </conditionalFormatting>
  <conditionalFormatting sqref="N315:R315">
    <cfRule type="notContainsBlanks" dxfId="8514" priority="8817">
      <formula>LEN(TRIM(N315))&gt;0</formula>
    </cfRule>
  </conditionalFormatting>
  <conditionalFormatting sqref="N315:R315">
    <cfRule type="notContainsBlanks" dxfId="8513" priority="8816">
      <formula>LEN(TRIM(N315))&gt;0</formula>
    </cfRule>
  </conditionalFormatting>
  <conditionalFormatting sqref="N315:R315">
    <cfRule type="notContainsBlanks" dxfId="8512" priority="8815">
      <formula>LEN(TRIM(N315))&gt;0</formula>
    </cfRule>
  </conditionalFormatting>
  <conditionalFormatting sqref="N315:R315">
    <cfRule type="notContainsBlanks" dxfId="8511" priority="8814">
      <formula>LEN(TRIM(N315))&gt;0</formula>
    </cfRule>
  </conditionalFormatting>
  <conditionalFormatting sqref="N315:R315">
    <cfRule type="notContainsBlanks" dxfId="8510" priority="8813">
      <formula>LEN(TRIM(N315))&gt;0</formula>
    </cfRule>
  </conditionalFormatting>
  <conditionalFormatting sqref="N315:R315">
    <cfRule type="notContainsBlanks" dxfId="8509" priority="8811">
      <formula>LEN(TRIM(N315))&gt;0</formula>
    </cfRule>
    <cfRule type="notContainsBlanks" dxfId="8508" priority="8812">
      <formula>LEN(TRIM(N315))&gt;0</formula>
    </cfRule>
  </conditionalFormatting>
  <conditionalFormatting sqref="N315:R315">
    <cfRule type="notContainsBlanks" dxfId="8507" priority="8810">
      <formula>LEN(TRIM(N315))&gt;0</formula>
    </cfRule>
  </conditionalFormatting>
  <conditionalFormatting sqref="N315:R315">
    <cfRule type="notContainsBlanks" dxfId="8506" priority="8809">
      <formula>LEN(TRIM(N315))&gt;0</formula>
    </cfRule>
  </conditionalFormatting>
  <conditionalFormatting sqref="N315:R315">
    <cfRule type="notContainsBlanks" dxfId="8505" priority="8808">
      <formula>LEN(TRIM(N315))&gt;0</formula>
    </cfRule>
  </conditionalFormatting>
  <conditionalFormatting sqref="N315:R315">
    <cfRule type="notContainsBlanks" dxfId="8504" priority="8807">
      <formula>LEN(TRIM(N315))&gt;0</formula>
    </cfRule>
  </conditionalFormatting>
  <conditionalFormatting sqref="N315:R315">
    <cfRule type="notContainsBlanks" dxfId="8503" priority="8806">
      <formula>LEN(TRIM(N315))&gt;0</formula>
    </cfRule>
  </conditionalFormatting>
  <conditionalFormatting sqref="N315:R315">
    <cfRule type="notContainsBlanks" dxfId="8502" priority="8805">
      <formula>LEN(TRIM(N315))&gt;0</formula>
    </cfRule>
  </conditionalFormatting>
  <conditionalFormatting sqref="U315:Y315">
    <cfRule type="notContainsBlanks" dxfId="8501" priority="8804">
      <formula>LEN(TRIM(U315))&gt;0</formula>
    </cfRule>
  </conditionalFormatting>
  <conditionalFormatting sqref="U315:Y315">
    <cfRule type="notContainsBlanks" dxfId="8500" priority="8803">
      <formula>LEN(TRIM(U315))&gt;0</formula>
    </cfRule>
  </conditionalFormatting>
  <conditionalFormatting sqref="U315:Y315">
    <cfRule type="notContainsBlanks" dxfId="8499" priority="8802">
      <formula>LEN(TRIM(U315))&gt;0</formula>
    </cfRule>
  </conditionalFormatting>
  <conditionalFormatting sqref="U315:Y315">
    <cfRule type="notContainsBlanks" dxfId="8498" priority="8801">
      <formula>LEN(TRIM(U315))&gt;0</formula>
    </cfRule>
  </conditionalFormatting>
  <conditionalFormatting sqref="U315:Y315">
    <cfRule type="notContainsBlanks" dxfId="8497" priority="8800">
      <formula>LEN(TRIM(U315))&gt;0</formula>
    </cfRule>
  </conditionalFormatting>
  <conditionalFormatting sqref="U315:Y315">
    <cfRule type="notContainsBlanks" dxfId="8496" priority="8799">
      <formula>LEN(TRIM(U315))&gt;0</formula>
    </cfRule>
  </conditionalFormatting>
  <conditionalFormatting sqref="U315:Y315">
    <cfRule type="notContainsBlanks" dxfId="8495" priority="8798">
      <formula>LEN(TRIM(U315))&gt;0</formula>
    </cfRule>
  </conditionalFormatting>
  <conditionalFormatting sqref="U315:Y315">
    <cfRule type="notContainsBlanks" dxfId="8494" priority="8797">
      <formula>LEN(TRIM(U315))&gt;0</formula>
    </cfRule>
  </conditionalFormatting>
  <conditionalFormatting sqref="U315:Y315">
    <cfRule type="notContainsBlanks" dxfId="8493" priority="8796">
      <formula>LEN(TRIM(U315))&gt;0</formula>
    </cfRule>
  </conditionalFormatting>
  <conditionalFormatting sqref="U315:Y315">
    <cfRule type="notContainsBlanks" dxfId="8492" priority="8794">
      <formula>LEN(TRIM(U315))&gt;0</formula>
    </cfRule>
    <cfRule type="notContainsBlanks" dxfId="8491" priority="8795">
      <formula>LEN(TRIM(U315))&gt;0</formula>
    </cfRule>
  </conditionalFormatting>
  <conditionalFormatting sqref="U315:Y315">
    <cfRule type="notContainsBlanks" dxfId="8490" priority="8793">
      <formula>LEN(TRIM(U315))&gt;0</formula>
    </cfRule>
  </conditionalFormatting>
  <conditionalFormatting sqref="U315:Y315">
    <cfRule type="notContainsBlanks" dxfId="8489" priority="8792">
      <formula>LEN(TRIM(U315))&gt;0</formula>
    </cfRule>
  </conditionalFormatting>
  <conditionalFormatting sqref="U315:Y315">
    <cfRule type="notContainsBlanks" dxfId="8488" priority="8791">
      <formula>LEN(TRIM(U315))&gt;0</formula>
    </cfRule>
  </conditionalFormatting>
  <conditionalFormatting sqref="U315:Y315">
    <cfRule type="notContainsBlanks" dxfId="8487" priority="8790">
      <formula>LEN(TRIM(U315))&gt;0</formula>
    </cfRule>
  </conditionalFormatting>
  <conditionalFormatting sqref="U315:Y315">
    <cfRule type="notContainsBlanks" dxfId="8486" priority="8789">
      <formula>LEN(TRIM(U315))&gt;0</formula>
    </cfRule>
  </conditionalFormatting>
  <conditionalFormatting sqref="U315:Y315">
    <cfRule type="notContainsBlanks" dxfId="8485" priority="8788">
      <formula>LEN(TRIM(U315))&gt;0</formula>
    </cfRule>
  </conditionalFormatting>
  <conditionalFormatting sqref="AB315:AF315">
    <cfRule type="notContainsBlanks" dxfId="8484" priority="8787">
      <formula>LEN(TRIM(AB315))&gt;0</formula>
    </cfRule>
  </conditionalFormatting>
  <conditionalFormatting sqref="AB315:AF315">
    <cfRule type="notContainsBlanks" dxfId="8483" priority="8786">
      <formula>LEN(TRIM(AB315))&gt;0</formula>
    </cfRule>
  </conditionalFormatting>
  <conditionalFormatting sqref="AB315:AF315">
    <cfRule type="notContainsBlanks" dxfId="8482" priority="8785">
      <formula>LEN(TRIM(AB315))&gt;0</formula>
    </cfRule>
  </conditionalFormatting>
  <conditionalFormatting sqref="AB315:AF315">
    <cfRule type="notContainsBlanks" dxfId="8481" priority="8784">
      <formula>LEN(TRIM(AB315))&gt;0</formula>
    </cfRule>
  </conditionalFormatting>
  <conditionalFormatting sqref="AB315:AF315">
    <cfRule type="notContainsBlanks" dxfId="8480" priority="8783">
      <formula>LEN(TRIM(AB315))&gt;0</formula>
    </cfRule>
  </conditionalFormatting>
  <conditionalFormatting sqref="AB315:AF315">
    <cfRule type="notContainsBlanks" dxfId="8479" priority="8782">
      <formula>LEN(TRIM(AB315))&gt;0</formula>
    </cfRule>
  </conditionalFormatting>
  <conditionalFormatting sqref="AB315:AF315">
    <cfRule type="notContainsBlanks" dxfId="8478" priority="8781">
      <formula>LEN(TRIM(AB315))&gt;0</formula>
    </cfRule>
  </conditionalFormatting>
  <conditionalFormatting sqref="AB315:AF315">
    <cfRule type="notContainsBlanks" dxfId="8477" priority="8780">
      <formula>LEN(TRIM(AB315))&gt;0</formula>
    </cfRule>
  </conditionalFormatting>
  <conditionalFormatting sqref="AB315:AF315">
    <cfRule type="notContainsBlanks" dxfId="8476" priority="8779">
      <formula>LEN(TRIM(AB315))&gt;0</formula>
    </cfRule>
  </conditionalFormatting>
  <conditionalFormatting sqref="AB315:AF315">
    <cfRule type="notContainsBlanks" dxfId="8475" priority="8777">
      <formula>LEN(TRIM(AB315))&gt;0</formula>
    </cfRule>
    <cfRule type="notContainsBlanks" dxfId="8474" priority="8778">
      <formula>LEN(TRIM(AB315))&gt;0</formula>
    </cfRule>
  </conditionalFormatting>
  <conditionalFormatting sqref="AB315:AF315">
    <cfRule type="notContainsBlanks" dxfId="8473" priority="8776">
      <formula>LEN(TRIM(AB315))&gt;0</formula>
    </cfRule>
  </conditionalFormatting>
  <conditionalFormatting sqref="AB315:AF315">
    <cfRule type="notContainsBlanks" dxfId="8472" priority="8775">
      <formula>LEN(TRIM(AB315))&gt;0</formula>
    </cfRule>
  </conditionalFormatting>
  <conditionalFormatting sqref="AB315:AF315">
    <cfRule type="notContainsBlanks" dxfId="8471" priority="8774">
      <formula>LEN(TRIM(AB315))&gt;0</formula>
    </cfRule>
  </conditionalFormatting>
  <conditionalFormatting sqref="AB315:AF315">
    <cfRule type="notContainsBlanks" dxfId="8470" priority="8773">
      <formula>LEN(TRIM(AB315))&gt;0</formula>
    </cfRule>
  </conditionalFormatting>
  <conditionalFormatting sqref="AB315:AF315">
    <cfRule type="notContainsBlanks" dxfId="8469" priority="8772">
      <formula>LEN(TRIM(AB315))&gt;0</formula>
    </cfRule>
  </conditionalFormatting>
  <conditionalFormatting sqref="AB315:AF315">
    <cfRule type="notContainsBlanks" dxfId="8468" priority="8771">
      <formula>LEN(TRIM(AB315))&gt;0</formula>
    </cfRule>
  </conditionalFormatting>
  <conditionalFormatting sqref="B313:E324 G315:K315 L313:L314 N315:R315 S313:S314 U315:Y315 Z313:Z314 AB315:AF315 AG313:AG314">
    <cfRule type="notContainsBlanks" dxfId="8467" priority="8770">
      <formula>LEN(TRIM(B313))&gt;0</formula>
    </cfRule>
  </conditionalFormatting>
  <conditionalFormatting sqref="G328">
    <cfRule type="notContainsBlanks" dxfId="8466" priority="8769">
      <formula>LEN(TRIM(G328))&gt;0</formula>
    </cfRule>
  </conditionalFormatting>
  <conditionalFormatting sqref="H328:K328">
    <cfRule type="notContainsBlanks" dxfId="8465" priority="8768">
      <formula>LEN(TRIM(H328))&gt;0</formula>
    </cfRule>
  </conditionalFormatting>
  <conditionalFormatting sqref="G328:K328">
    <cfRule type="notContainsBlanks" dxfId="8464" priority="8767">
      <formula>LEN(TRIM(G328))&gt;0</formula>
    </cfRule>
  </conditionalFormatting>
  <conditionalFormatting sqref="G328:K328">
    <cfRule type="notContainsBlanks" dxfId="8463" priority="8766">
      <formula>LEN(TRIM(G328))&gt;0</formula>
    </cfRule>
  </conditionalFormatting>
  <conditionalFormatting sqref="G328:K328">
    <cfRule type="notContainsBlanks" dxfId="8462" priority="8765">
      <formula>LEN(TRIM(G328))&gt;0</formula>
    </cfRule>
  </conditionalFormatting>
  <conditionalFormatting sqref="G328:K328">
    <cfRule type="notContainsBlanks" dxfId="8461" priority="8764">
      <formula>LEN(TRIM(G328))&gt;0</formula>
    </cfRule>
  </conditionalFormatting>
  <conditionalFormatting sqref="G328:K328">
    <cfRule type="notContainsBlanks" dxfId="8460" priority="8763">
      <formula>LEN(TRIM(G328))&gt;0</formula>
    </cfRule>
  </conditionalFormatting>
  <conditionalFormatting sqref="G328:K328">
    <cfRule type="notContainsBlanks" dxfId="8459" priority="8762">
      <formula>LEN(TRIM(G328))&gt;0</formula>
    </cfRule>
  </conditionalFormatting>
  <conditionalFormatting sqref="G328:K328">
    <cfRule type="notContainsBlanks" dxfId="8458" priority="8761">
      <formula>LEN(TRIM(G328))&gt;0</formula>
    </cfRule>
  </conditionalFormatting>
  <conditionalFormatting sqref="G328:K328">
    <cfRule type="notContainsBlanks" dxfId="8457" priority="8760">
      <formula>LEN(TRIM(G328))&gt;0</formula>
    </cfRule>
  </conditionalFormatting>
  <conditionalFormatting sqref="G328:K328">
    <cfRule type="notContainsBlanks" dxfId="8456" priority="8759">
      <formula>LEN(TRIM(G328))&gt;0</formula>
    </cfRule>
  </conditionalFormatting>
  <conditionalFormatting sqref="G328:K328">
    <cfRule type="notContainsBlanks" dxfId="8455" priority="8757">
      <formula>LEN(TRIM(G328))&gt;0</formula>
    </cfRule>
    <cfRule type="notContainsBlanks" dxfId="8454" priority="8758">
      <formula>LEN(TRIM(G328))&gt;0</formula>
    </cfRule>
  </conditionalFormatting>
  <conditionalFormatting sqref="G328:K328">
    <cfRule type="notContainsBlanks" dxfId="8453" priority="8756">
      <formula>LEN(TRIM(G328))&gt;0</formula>
    </cfRule>
  </conditionalFormatting>
  <conditionalFormatting sqref="G328:K328">
    <cfRule type="notContainsBlanks" dxfId="8452" priority="8755">
      <formula>LEN(TRIM(G328))&gt;0</formula>
    </cfRule>
  </conditionalFormatting>
  <conditionalFormatting sqref="G328:K328">
    <cfRule type="notContainsBlanks" dxfId="8451" priority="8754">
      <formula>LEN(TRIM(G328))&gt;0</formula>
    </cfRule>
  </conditionalFormatting>
  <conditionalFormatting sqref="G328:K328">
    <cfRule type="notContainsBlanks" dxfId="8450" priority="8753">
      <formula>LEN(TRIM(G328))&gt;0</formula>
    </cfRule>
  </conditionalFormatting>
  <conditionalFormatting sqref="G328:K328">
    <cfRule type="notContainsBlanks" dxfId="8449" priority="8752">
      <formula>LEN(TRIM(G328))&gt;0</formula>
    </cfRule>
  </conditionalFormatting>
  <conditionalFormatting sqref="G328:K328">
    <cfRule type="notContainsBlanks" dxfId="8448" priority="8751">
      <formula>LEN(TRIM(G328))&gt;0</formula>
    </cfRule>
  </conditionalFormatting>
  <conditionalFormatting sqref="G328:K328">
    <cfRule type="notContainsBlanks" dxfId="8447" priority="8750">
      <formula>LEN(TRIM(G328))&gt;0</formula>
    </cfRule>
  </conditionalFormatting>
  <conditionalFormatting sqref="N328:R328">
    <cfRule type="notContainsBlanks" dxfId="8446" priority="8749">
      <formula>LEN(TRIM(N328))&gt;0</formula>
    </cfRule>
  </conditionalFormatting>
  <conditionalFormatting sqref="N328:R328">
    <cfRule type="notContainsBlanks" dxfId="8445" priority="8748">
      <formula>LEN(TRIM(N328))&gt;0</formula>
    </cfRule>
  </conditionalFormatting>
  <conditionalFormatting sqref="N328:R328">
    <cfRule type="notContainsBlanks" dxfId="8444" priority="8747">
      <formula>LEN(TRIM(N328))&gt;0</formula>
    </cfRule>
  </conditionalFormatting>
  <conditionalFormatting sqref="N328:R328">
    <cfRule type="notContainsBlanks" dxfId="8443" priority="8746">
      <formula>LEN(TRIM(N328))&gt;0</formula>
    </cfRule>
  </conditionalFormatting>
  <conditionalFormatting sqref="N328:R328">
    <cfRule type="notContainsBlanks" dxfId="8442" priority="8745">
      <formula>LEN(TRIM(N328))&gt;0</formula>
    </cfRule>
  </conditionalFormatting>
  <conditionalFormatting sqref="N328:R328">
    <cfRule type="notContainsBlanks" dxfId="8441" priority="8744">
      <formula>LEN(TRIM(N328))&gt;0</formula>
    </cfRule>
  </conditionalFormatting>
  <conditionalFormatting sqref="N328:R328">
    <cfRule type="notContainsBlanks" dxfId="8440" priority="8743">
      <formula>LEN(TRIM(N328))&gt;0</formula>
    </cfRule>
  </conditionalFormatting>
  <conditionalFormatting sqref="N328:R328">
    <cfRule type="notContainsBlanks" dxfId="8439" priority="8742">
      <formula>LEN(TRIM(N328))&gt;0</formula>
    </cfRule>
  </conditionalFormatting>
  <conditionalFormatting sqref="N328:R328">
    <cfRule type="notContainsBlanks" dxfId="8438" priority="8741">
      <formula>LEN(TRIM(N328))&gt;0</formula>
    </cfRule>
  </conditionalFormatting>
  <conditionalFormatting sqref="N328:R328">
    <cfRule type="notContainsBlanks" dxfId="8437" priority="8739">
      <formula>LEN(TRIM(N328))&gt;0</formula>
    </cfRule>
    <cfRule type="notContainsBlanks" dxfId="8436" priority="8740">
      <formula>LEN(TRIM(N328))&gt;0</formula>
    </cfRule>
  </conditionalFormatting>
  <conditionalFormatting sqref="N328:R328">
    <cfRule type="notContainsBlanks" dxfId="8435" priority="8738">
      <formula>LEN(TRIM(N328))&gt;0</formula>
    </cfRule>
  </conditionalFormatting>
  <conditionalFormatting sqref="N328:R328">
    <cfRule type="notContainsBlanks" dxfId="8434" priority="8737">
      <formula>LEN(TRIM(N328))&gt;0</formula>
    </cfRule>
  </conditionalFormatting>
  <conditionalFormatting sqref="N328:R328">
    <cfRule type="notContainsBlanks" dxfId="8433" priority="8736">
      <formula>LEN(TRIM(N328))&gt;0</formula>
    </cfRule>
  </conditionalFormatting>
  <conditionalFormatting sqref="N328:R328">
    <cfRule type="notContainsBlanks" dxfId="8432" priority="8735">
      <formula>LEN(TRIM(N328))&gt;0</formula>
    </cfRule>
  </conditionalFormatting>
  <conditionalFormatting sqref="N328:R328">
    <cfRule type="notContainsBlanks" dxfId="8431" priority="8734">
      <formula>LEN(TRIM(N328))&gt;0</formula>
    </cfRule>
  </conditionalFormatting>
  <conditionalFormatting sqref="N328:R328">
    <cfRule type="notContainsBlanks" dxfId="8430" priority="8733">
      <formula>LEN(TRIM(N328))&gt;0</formula>
    </cfRule>
  </conditionalFormatting>
  <conditionalFormatting sqref="N328:R328">
    <cfRule type="notContainsBlanks" dxfId="8429" priority="8732">
      <formula>LEN(TRIM(N328))&gt;0</formula>
    </cfRule>
  </conditionalFormatting>
  <conditionalFormatting sqref="U328:Y328">
    <cfRule type="notContainsBlanks" dxfId="8428" priority="8731">
      <formula>LEN(TRIM(U328))&gt;0</formula>
    </cfRule>
  </conditionalFormatting>
  <conditionalFormatting sqref="U328:Y328">
    <cfRule type="notContainsBlanks" dxfId="8427" priority="8730">
      <formula>LEN(TRIM(U328))&gt;0</formula>
    </cfRule>
  </conditionalFormatting>
  <conditionalFormatting sqref="U328:Y328">
    <cfRule type="notContainsBlanks" dxfId="8426" priority="8729">
      <formula>LEN(TRIM(U328))&gt;0</formula>
    </cfRule>
  </conditionalFormatting>
  <conditionalFormatting sqref="U328:Y328">
    <cfRule type="notContainsBlanks" dxfId="8425" priority="8728">
      <formula>LEN(TRIM(U328))&gt;0</formula>
    </cfRule>
  </conditionalFormatting>
  <conditionalFormatting sqref="U328:Y328">
    <cfRule type="notContainsBlanks" dxfId="8424" priority="8727">
      <formula>LEN(TRIM(U328))&gt;0</formula>
    </cfRule>
  </conditionalFormatting>
  <conditionalFormatting sqref="U328:Y328">
    <cfRule type="notContainsBlanks" dxfId="8423" priority="8726">
      <formula>LEN(TRIM(U328))&gt;0</formula>
    </cfRule>
  </conditionalFormatting>
  <conditionalFormatting sqref="U328:Y328">
    <cfRule type="notContainsBlanks" dxfId="8422" priority="8725">
      <formula>LEN(TRIM(U328))&gt;0</formula>
    </cfRule>
  </conditionalFormatting>
  <conditionalFormatting sqref="U328:Y328">
    <cfRule type="notContainsBlanks" dxfId="8421" priority="8724">
      <formula>LEN(TRIM(U328))&gt;0</formula>
    </cfRule>
  </conditionalFormatting>
  <conditionalFormatting sqref="U328:Y328">
    <cfRule type="notContainsBlanks" dxfId="8420" priority="8723">
      <formula>LEN(TRIM(U328))&gt;0</formula>
    </cfRule>
  </conditionalFormatting>
  <conditionalFormatting sqref="U328:Y328">
    <cfRule type="notContainsBlanks" dxfId="8419" priority="8721">
      <formula>LEN(TRIM(U328))&gt;0</formula>
    </cfRule>
    <cfRule type="notContainsBlanks" dxfId="8418" priority="8722">
      <formula>LEN(TRIM(U328))&gt;0</formula>
    </cfRule>
  </conditionalFormatting>
  <conditionalFormatting sqref="U328:Y328">
    <cfRule type="notContainsBlanks" dxfId="8417" priority="8720">
      <formula>LEN(TRIM(U328))&gt;0</formula>
    </cfRule>
  </conditionalFormatting>
  <conditionalFormatting sqref="U328:Y328">
    <cfRule type="notContainsBlanks" dxfId="8416" priority="8719">
      <formula>LEN(TRIM(U328))&gt;0</formula>
    </cfRule>
  </conditionalFormatting>
  <conditionalFormatting sqref="U328:Y328">
    <cfRule type="notContainsBlanks" dxfId="8415" priority="8718">
      <formula>LEN(TRIM(U328))&gt;0</formula>
    </cfRule>
  </conditionalFormatting>
  <conditionalFormatting sqref="U328:Y328">
    <cfRule type="notContainsBlanks" dxfId="8414" priority="8717">
      <formula>LEN(TRIM(U328))&gt;0</formula>
    </cfRule>
  </conditionalFormatting>
  <conditionalFormatting sqref="U328:Y328">
    <cfRule type="notContainsBlanks" dxfId="8413" priority="8716">
      <formula>LEN(TRIM(U328))&gt;0</formula>
    </cfRule>
  </conditionalFormatting>
  <conditionalFormatting sqref="U328:Y328">
    <cfRule type="notContainsBlanks" dxfId="8412" priority="8715">
      <formula>LEN(TRIM(U328))&gt;0</formula>
    </cfRule>
  </conditionalFormatting>
  <conditionalFormatting sqref="U328:Y328">
    <cfRule type="notContainsBlanks" dxfId="8411" priority="8714">
      <formula>LEN(TRIM(U328))&gt;0</formula>
    </cfRule>
  </conditionalFormatting>
  <conditionalFormatting sqref="AB328:AF328">
    <cfRule type="notContainsBlanks" dxfId="8410" priority="8713">
      <formula>LEN(TRIM(AB328))&gt;0</formula>
    </cfRule>
  </conditionalFormatting>
  <conditionalFormatting sqref="AB328:AF328">
    <cfRule type="notContainsBlanks" dxfId="8409" priority="8712">
      <formula>LEN(TRIM(AB328))&gt;0</formula>
    </cfRule>
  </conditionalFormatting>
  <conditionalFormatting sqref="AB328:AF328">
    <cfRule type="notContainsBlanks" dxfId="8408" priority="8711">
      <formula>LEN(TRIM(AB328))&gt;0</formula>
    </cfRule>
  </conditionalFormatting>
  <conditionalFormatting sqref="AB328:AF328">
    <cfRule type="notContainsBlanks" dxfId="8407" priority="8710">
      <formula>LEN(TRIM(AB328))&gt;0</formula>
    </cfRule>
  </conditionalFormatting>
  <conditionalFormatting sqref="AB328:AF328">
    <cfRule type="notContainsBlanks" dxfId="8406" priority="8709">
      <formula>LEN(TRIM(AB328))&gt;0</formula>
    </cfRule>
  </conditionalFormatting>
  <conditionalFormatting sqref="AB328:AF328">
    <cfRule type="notContainsBlanks" dxfId="8405" priority="8708">
      <formula>LEN(TRIM(AB328))&gt;0</formula>
    </cfRule>
  </conditionalFormatting>
  <conditionalFormatting sqref="AB328:AF328">
    <cfRule type="notContainsBlanks" dxfId="8404" priority="8707">
      <formula>LEN(TRIM(AB328))&gt;0</formula>
    </cfRule>
  </conditionalFormatting>
  <conditionalFormatting sqref="AB328:AF328">
    <cfRule type="notContainsBlanks" dxfId="8403" priority="8706">
      <formula>LEN(TRIM(AB328))&gt;0</formula>
    </cfRule>
  </conditionalFormatting>
  <conditionalFormatting sqref="AB328:AF328">
    <cfRule type="notContainsBlanks" dxfId="8402" priority="8705">
      <formula>LEN(TRIM(AB328))&gt;0</formula>
    </cfRule>
  </conditionalFormatting>
  <conditionalFormatting sqref="AB328:AF328">
    <cfRule type="notContainsBlanks" dxfId="8401" priority="8703">
      <formula>LEN(TRIM(AB328))&gt;0</formula>
    </cfRule>
    <cfRule type="notContainsBlanks" dxfId="8400" priority="8704">
      <formula>LEN(TRIM(AB328))&gt;0</formula>
    </cfRule>
  </conditionalFormatting>
  <conditionalFormatting sqref="AB328:AF328">
    <cfRule type="notContainsBlanks" dxfId="8399" priority="8702">
      <formula>LEN(TRIM(AB328))&gt;0</formula>
    </cfRule>
  </conditionalFormatting>
  <conditionalFormatting sqref="AB328:AF328">
    <cfRule type="notContainsBlanks" dxfId="8398" priority="8701">
      <formula>LEN(TRIM(AB328))&gt;0</formula>
    </cfRule>
  </conditionalFormatting>
  <conditionalFormatting sqref="AB328:AF328">
    <cfRule type="notContainsBlanks" dxfId="8397" priority="8700">
      <formula>LEN(TRIM(AB328))&gt;0</formula>
    </cfRule>
  </conditionalFormatting>
  <conditionalFormatting sqref="AB328:AF328">
    <cfRule type="notContainsBlanks" dxfId="8396" priority="8699">
      <formula>LEN(TRIM(AB328))&gt;0</formula>
    </cfRule>
  </conditionalFormatting>
  <conditionalFormatting sqref="AB328:AF328">
    <cfRule type="notContainsBlanks" dxfId="8395" priority="8698">
      <formula>LEN(TRIM(AB328))&gt;0</formula>
    </cfRule>
  </conditionalFormatting>
  <conditionalFormatting sqref="AB328:AF328">
    <cfRule type="notContainsBlanks" dxfId="8394" priority="8697">
      <formula>LEN(TRIM(AB328))&gt;0</formula>
    </cfRule>
  </conditionalFormatting>
  <conditionalFormatting sqref="AB328:AF328">
    <cfRule type="notContainsBlanks" dxfId="8393" priority="8696">
      <formula>LEN(TRIM(AB328))&gt;0</formula>
    </cfRule>
  </conditionalFormatting>
  <conditionalFormatting sqref="B326:E337 G328:K328 L326:L327 N328:R328 S326:S327 U328:Y328 Z326:Z327 AB328:AF328 AG326:AG327">
    <cfRule type="notContainsBlanks" dxfId="8392" priority="8695">
      <formula>LEN(TRIM(B326))&gt;0</formula>
    </cfRule>
  </conditionalFormatting>
  <conditionalFormatting sqref="G341">
    <cfRule type="notContainsBlanks" dxfId="8391" priority="8694">
      <formula>LEN(TRIM(G341))&gt;0</formula>
    </cfRule>
  </conditionalFormatting>
  <conditionalFormatting sqref="H341:K341">
    <cfRule type="notContainsBlanks" dxfId="8390" priority="8693">
      <formula>LEN(TRIM(H341))&gt;0</formula>
    </cfRule>
  </conditionalFormatting>
  <conditionalFormatting sqref="G341:K341">
    <cfRule type="notContainsBlanks" dxfId="8389" priority="8692">
      <formula>LEN(TRIM(G341))&gt;0</formula>
    </cfRule>
  </conditionalFormatting>
  <conditionalFormatting sqref="G341:K341">
    <cfRule type="notContainsBlanks" dxfId="8388" priority="8691">
      <formula>LEN(TRIM(G341))&gt;0</formula>
    </cfRule>
  </conditionalFormatting>
  <conditionalFormatting sqref="G341:K341">
    <cfRule type="notContainsBlanks" dxfId="8387" priority="8690">
      <formula>LEN(TRIM(G341))&gt;0</formula>
    </cfRule>
  </conditionalFormatting>
  <conditionalFormatting sqref="G341:K341">
    <cfRule type="notContainsBlanks" dxfId="8386" priority="8689">
      <formula>LEN(TRIM(G341))&gt;0</formula>
    </cfRule>
  </conditionalFormatting>
  <conditionalFormatting sqref="G341:K341">
    <cfRule type="notContainsBlanks" dxfId="8385" priority="8688">
      <formula>LEN(TRIM(G341))&gt;0</formula>
    </cfRule>
  </conditionalFormatting>
  <conditionalFormatting sqref="G341:K341">
    <cfRule type="notContainsBlanks" dxfId="8384" priority="8687">
      <formula>LEN(TRIM(G341))&gt;0</formula>
    </cfRule>
  </conditionalFormatting>
  <conditionalFormatting sqref="G341:K341">
    <cfRule type="notContainsBlanks" dxfId="8383" priority="8686">
      <formula>LEN(TRIM(G341))&gt;0</formula>
    </cfRule>
  </conditionalFormatting>
  <conditionalFormatting sqref="G341:K341">
    <cfRule type="notContainsBlanks" dxfId="8382" priority="8685">
      <formula>LEN(TRIM(G341))&gt;0</formula>
    </cfRule>
  </conditionalFormatting>
  <conditionalFormatting sqref="G341:K341">
    <cfRule type="notContainsBlanks" dxfId="8381" priority="8684">
      <formula>LEN(TRIM(G341))&gt;0</formula>
    </cfRule>
  </conditionalFormatting>
  <conditionalFormatting sqref="G341:K341">
    <cfRule type="notContainsBlanks" dxfId="8380" priority="8682">
      <formula>LEN(TRIM(G341))&gt;0</formula>
    </cfRule>
    <cfRule type="notContainsBlanks" dxfId="8379" priority="8683">
      <formula>LEN(TRIM(G341))&gt;0</formula>
    </cfRule>
  </conditionalFormatting>
  <conditionalFormatting sqref="G341:K341">
    <cfRule type="notContainsBlanks" dxfId="8378" priority="8681">
      <formula>LEN(TRIM(G341))&gt;0</formula>
    </cfRule>
  </conditionalFormatting>
  <conditionalFormatting sqref="G341:K341">
    <cfRule type="notContainsBlanks" dxfId="8377" priority="8680">
      <formula>LEN(TRIM(G341))&gt;0</formula>
    </cfRule>
  </conditionalFormatting>
  <conditionalFormatting sqref="G341:K341">
    <cfRule type="notContainsBlanks" dxfId="8376" priority="8679">
      <formula>LEN(TRIM(G341))&gt;0</formula>
    </cfRule>
  </conditionalFormatting>
  <conditionalFormatting sqref="G341:K341">
    <cfRule type="notContainsBlanks" dxfId="8375" priority="8678">
      <formula>LEN(TRIM(G341))&gt;0</formula>
    </cfRule>
  </conditionalFormatting>
  <conditionalFormatting sqref="G341:K341">
    <cfRule type="notContainsBlanks" dxfId="8374" priority="8677">
      <formula>LEN(TRIM(G341))&gt;0</formula>
    </cfRule>
  </conditionalFormatting>
  <conditionalFormatting sqref="G341:K341">
    <cfRule type="notContainsBlanks" dxfId="8373" priority="8676">
      <formula>LEN(TRIM(G341))&gt;0</formula>
    </cfRule>
  </conditionalFormatting>
  <conditionalFormatting sqref="G341:K341">
    <cfRule type="notContainsBlanks" dxfId="8372" priority="8675">
      <formula>LEN(TRIM(G341))&gt;0</formula>
    </cfRule>
  </conditionalFormatting>
  <conditionalFormatting sqref="G341:K341">
    <cfRule type="notContainsBlanks" dxfId="8371" priority="8674">
      <formula>LEN(TRIM(G341))&gt;0</formula>
    </cfRule>
  </conditionalFormatting>
  <conditionalFormatting sqref="N341:R341">
    <cfRule type="notContainsBlanks" dxfId="8370" priority="8673">
      <formula>LEN(TRIM(N341))&gt;0</formula>
    </cfRule>
  </conditionalFormatting>
  <conditionalFormatting sqref="N341:R341">
    <cfRule type="notContainsBlanks" dxfId="8369" priority="8672">
      <formula>LEN(TRIM(N341))&gt;0</formula>
    </cfRule>
  </conditionalFormatting>
  <conditionalFormatting sqref="N341:R341">
    <cfRule type="notContainsBlanks" dxfId="8368" priority="8671">
      <formula>LEN(TRIM(N341))&gt;0</formula>
    </cfRule>
  </conditionalFormatting>
  <conditionalFormatting sqref="N341:R341">
    <cfRule type="notContainsBlanks" dxfId="8367" priority="8670">
      <formula>LEN(TRIM(N341))&gt;0</formula>
    </cfRule>
  </conditionalFormatting>
  <conditionalFormatting sqref="N341:R341">
    <cfRule type="notContainsBlanks" dxfId="8366" priority="8669">
      <formula>LEN(TRIM(N341))&gt;0</formula>
    </cfRule>
  </conditionalFormatting>
  <conditionalFormatting sqref="N341:R341">
    <cfRule type="notContainsBlanks" dxfId="8365" priority="8668">
      <formula>LEN(TRIM(N341))&gt;0</formula>
    </cfRule>
  </conditionalFormatting>
  <conditionalFormatting sqref="N341:R341">
    <cfRule type="notContainsBlanks" dxfId="8364" priority="8667">
      <formula>LEN(TRIM(N341))&gt;0</formula>
    </cfRule>
  </conditionalFormatting>
  <conditionalFormatting sqref="N341:R341">
    <cfRule type="notContainsBlanks" dxfId="8363" priority="8666">
      <formula>LEN(TRIM(N341))&gt;0</formula>
    </cfRule>
  </conditionalFormatting>
  <conditionalFormatting sqref="N341:R341">
    <cfRule type="notContainsBlanks" dxfId="8362" priority="8665">
      <formula>LEN(TRIM(N341))&gt;0</formula>
    </cfRule>
  </conditionalFormatting>
  <conditionalFormatting sqref="N341:R341">
    <cfRule type="notContainsBlanks" dxfId="8361" priority="8663">
      <formula>LEN(TRIM(N341))&gt;0</formula>
    </cfRule>
    <cfRule type="notContainsBlanks" dxfId="8360" priority="8664">
      <formula>LEN(TRIM(N341))&gt;0</formula>
    </cfRule>
  </conditionalFormatting>
  <conditionalFormatting sqref="N341:R341">
    <cfRule type="notContainsBlanks" dxfId="8359" priority="8662">
      <formula>LEN(TRIM(N341))&gt;0</formula>
    </cfRule>
  </conditionalFormatting>
  <conditionalFormatting sqref="N341:R341">
    <cfRule type="notContainsBlanks" dxfId="8358" priority="8661">
      <formula>LEN(TRIM(N341))&gt;0</formula>
    </cfRule>
  </conditionalFormatting>
  <conditionalFormatting sqref="N341:R341">
    <cfRule type="notContainsBlanks" dxfId="8357" priority="8660">
      <formula>LEN(TRIM(N341))&gt;0</formula>
    </cfRule>
  </conditionalFormatting>
  <conditionalFormatting sqref="N341:R341">
    <cfRule type="notContainsBlanks" dxfId="8356" priority="8659">
      <formula>LEN(TRIM(N341))&gt;0</formula>
    </cfRule>
  </conditionalFormatting>
  <conditionalFormatting sqref="N341:R341">
    <cfRule type="notContainsBlanks" dxfId="8355" priority="8658">
      <formula>LEN(TRIM(N341))&gt;0</formula>
    </cfRule>
  </conditionalFormatting>
  <conditionalFormatting sqref="N341:R341">
    <cfRule type="notContainsBlanks" dxfId="8354" priority="8657">
      <formula>LEN(TRIM(N341))&gt;0</formula>
    </cfRule>
  </conditionalFormatting>
  <conditionalFormatting sqref="N341:R341">
    <cfRule type="notContainsBlanks" dxfId="8353" priority="8656">
      <formula>LEN(TRIM(N341))&gt;0</formula>
    </cfRule>
  </conditionalFormatting>
  <conditionalFormatting sqref="N341:R341">
    <cfRule type="notContainsBlanks" dxfId="8352" priority="8655">
      <formula>LEN(TRIM(N341))&gt;0</formula>
    </cfRule>
  </conditionalFormatting>
  <conditionalFormatting sqref="U341:Y341">
    <cfRule type="notContainsBlanks" dxfId="8351" priority="8654">
      <formula>LEN(TRIM(U341))&gt;0</formula>
    </cfRule>
  </conditionalFormatting>
  <conditionalFormatting sqref="U341:Y341">
    <cfRule type="notContainsBlanks" dxfId="8350" priority="8653">
      <formula>LEN(TRIM(U341))&gt;0</formula>
    </cfRule>
  </conditionalFormatting>
  <conditionalFormatting sqref="U341:Y341">
    <cfRule type="notContainsBlanks" dxfId="8349" priority="8652">
      <formula>LEN(TRIM(U341))&gt;0</formula>
    </cfRule>
  </conditionalFormatting>
  <conditionalFormatting sqref="U341:Y341">
    <cfRule type="notContainsBlanks" dxfId="8348" priority="8651">
      <formula>LEN(TRIM(U341))&gt;0</formula>
    </cfRule>
  </conditionalFormatting>
  <conditionalFormatting sqref="U341:Y341">
    <cfRule type="notContainsBlanks" dxfId="8347" priority="8650">
      <formula>LEN(TRIM(U341))&gt;0</formula>
    </cfRule>
  </conditionalFormatting>
  <conditionalFormatting sqref="U341:Y341">
    <cfRule type="notContainsBlanks" dxfId="8346" priority="8649">
      <formula>LEN(TRIM(U341))&gt;0</formula>
    </cfRule>
  </conditionalFormatting>
  <conditionalFormatting sqref="U341:Y341">
    <cfRule type="notContainsBlanks" dxfId="8345" priority="8648">
      <formula>LEN(TRIM(U341))&gt;0</formula>
    </cfRule>
  </conditionalFormatting>
  <conditionalFormatting sqref="U341:Y341">
    <cfRule type="notContainsBlanks" dxfId="8344" priority="8647">
      <formula>LEN(TRIM(U341))&gt;0</formula>
    </cfRule>
  </conditionalFormatting>
  <conditionalFormatting sqref="U341:Y341">
    <cfRule type="notContainsBlanks" dxfId="8343" priority="8646">
      <formula>LEN(TRIM(U341))&gt;0</formula>
    </cfRule>
  </conditionalFormatting>
  <conditionalFormatting sqref="U341:Y341">
    <cfRule type="notContainsBlanks" dxfId="8342" priority="8644">
      <formula>LEN(TRIM(U341))&gt;0</formula>
    </cfRule>
    <cfRule type="notContainsBlanks" dxfId="8341" priority="8645">
      <formula>LEN(TRIM(U341))&gt;0</formula>
    </cfRule>
  </conditionalFormatting>
  <conditionalFormatting sqref="U341:Y341">
    <cfRule type="notContainsBlanks" dxfId="8340" priority="8643">
      <formula>LEN(TRIM(U341))&gt;0</formula>
    </cfRule>
  </conditionalFormatting>
  <conditionalFormatting sqref="U341:Y341">
    <cfRule type="notContainsBlanks" dxfId="8339" priority="8642">
      <formula>LEN(TRIM(U341))&gt;0</formula>
    </cfRule>
  </conditionalFormatting>
  <conditionalFormatting sqref="U341:Y341">
    <cfRule type="notContainsBlanks" dxfId="8338" priority="8641">
      <formula>LEN(TRIM(U341))&gt;0</formula>
    </cfRule>
  </conditionalFormatting>
  <conditionalFormatting sqref="U341:Y341">
    <cfRule type="notContainsBlanks" dxfId="8337" priority="8640">
      <formula>LEN(TRIM(U341))&gt;0</formula>
    </cfRule>
  </conditionalFormatting>
  <conditionalFormatting sqref="U341:Y341">
    <cfRule type="notContainsBlanks" dxfId="8336" priority="8639">
      <formula>LEN(TRIM(U341))&gt;0</formula>
    </cfRule>
  </conditionalFormatting>
  <conditionalFormatting sqref="U341:Y341">
    <cfRule type="notContainsBlanks" dxfId="8335" priority="8638">
      <formula>LEN(TRIM(U341))&gt;0</formula>
    </cfRule>
  </conditionalFormatting>
  <conditionalFormatting sqref="U341:Y341">
    <cfRule type="notContainsBlanks" dxfId="8334" priority="8637">
      <formula>LEN(TRIM(U341))&gt;0</formula>
    </cfRule>
  </conditionalFormatting>
  <conditionalFormatting sqref="U341:Y341">
    <cfRule type="notContainsBlanks" dxfId="8333" priority="8636">
      <formula>LEN(TRIM(U341))&gt;0</formula>
    </cfRule>
  </conditionalFormatting>
  <conditionalFormatting sqref="AB341:AF341">
    <cfRule type="notContainsBlanks" dxfId="8332" priority="8635">
      <formula>LEN(TRIM(AB341))&gt;0</formula>
    </cfRule>
  </conditionalFormatting>
  <conditionalFormatting sqref="AB341:AF341">
    <cfRule type="notContainsBlanks" dxfId="8331" priority="8634">
      <formula>LEN(TRIM(AB341))&gt;0</formula>
    </cfRule>
  </conditionalFormatting>
  <conditionalFormatting sqref="AB341:AF341">
    <cfRule type="notContainsBlanks" dxfId="8330" priority="8633">
      <formula>LEN(TRIM(AB341))&gt;0</formula>
    </cfRule>
  </conditionalFormatting>
  <conditionalFormatting sqref="AB341:AF341">
    <cfRule type="notContainsBlanks" dxfId="8329" priority="8632">
      <formula>LEN(TRIM(AB341))&gt;0</formula>
    </cfRule>
  </conditionalFormatting>
  <conditionalFormatting sqref="AB341:AF341">
    <cfRule type="notContainsBlanks" dxfId="8328" priority="8631">
      <formula>LEN(TRIM(AB341))&gt;0</formula>
    </cfRule>
  </conditionalFormatting>
  <conditionalFormatting sqref="AB341:AF341">
    <cfRule type="notContainsBlanks" dxfId="8327" priority="8630">
      <formula>LEN(TRIM(AB341))&gt;0</formula>
    </cfRule>
  </conditionalFormatting>
  <conditionalFormatting sqref="AB341:AF341">
    <cfRule type="notContainsBlanks" dxfId="8326" priority="8629">
      <formula>LEN(TRIM(AB341))&gt;0</formula>
    </cfRule>
  </conditionalFormatting>
  <conditionalFormatting sqref="AB341:AF341">
    <cfRule type="notContainsBlanks" dxfId="8325" priority="8628">
      <formula>LEN(TRIM(AB341))&gt;0</formula>
    </cfRule>
  </conditionalFormatting>
  <conditionalFormatting sqref="AB341:AF341">
    <cfRule type="notContainsBlanks" dxfId="8324" priority="8627">
      <formula>LEN(TRIM(AB341))&gt;0</formula>
    </cfRule>
  </conditionalFormatting>
  <conditionalFormatting sqref="AB341:AF341">
    <cfRule type="notContainsBlanks" dxfId="8323" priority="8625">
      <formula>LEN(TRIM(AB341))&gt;0</formula>
    </cfRule>
    <cfRule type="notContainsBlanks" dxfId="8322" priority="8626">
      <formula>LEN(TRIM(AB341))&gt;0</formula>
    </cfRule>
  </conditionalFormatting>
  <conditionalFormatting sqref="AB341:AF341">
    <cfRule type="notContainsBlanks" dxfId="8321" priority="8624">
      <formula>LEN(TRIM(AB341))&gt;0</formula>
    </cfRule>
  </conditionalFormatting>
  <conditionalFormatting sqref="AB341:AF341">
    <cfRule type="notContainsBlanks" dxfId="8320" priority="8623">
      <formula>LEN(TRIM(AB341))&gt;0</formula>
    </cfRule>
  </conditionalFormatting>
  <conditionalFormatting sqref="AB341:AF341">
    <cfRule type="notContainsBlanks" dxfId="8319" priority="8622">
      <formula>LEN(TRIM(AB341))&gt;0</formula>
    </cfRule>
  </conditionalFormatting>
  <conditionalFormatting sqref="AB341:AF341">
    <cfRule type="notContainsBlanks" dxfId="8318" priority="8621">
      <formula>LEN(TRIM(AB341))&gt;0</formula>
    </cfRule>
  </conditionalFormatting>
  <conditionalFormatting sqref="AB341:AF341">
    <cfRule type="notContainsBlanks" dxfId="8317" priority="8620">
      <formula>LEN(TRIM(AB341))&gt;0</formula>
    </cfRule>
  </conditionalFormatting>
  <conditionalFormatting sqref="AB341:AF341">
    <cfRule type="notContainsBlanks" dxfId="8316" priority="8619">
      <formula>LEN(TRIM(AB341))&gt;0</formula>
    </cfRule>
  </conditionalFormatting>
  <conditionalFormatting sqref="AB341:AF341">
    <cfRule type="notContainsBlanks" dxfId="8315" priority="8618">
      <formula>LEN(TRIM(AB341))&gt;0</formula>
    </cfRule>
  </conditionalFormatting>
  <conditionalFormatting sqref="AB341:AF341">
    <cfRule type="notContainsBlanks" dxfId="8314" priority="8617">
      <formula>LEN(TRIM(AB341))&gt;0</formula>
    </cfRule>
  </conditionalFormatting>
  <conditionalFormatting sqref="B339:E350 G341:K341 L339:L340 N341:R341 S339:S340 U341:Y341 Z339:Z340 AB341:AF341 AG339:AG340">
    <cfRule type="notContainsBlanks" dxfId="8313" priority="8616">
      <formula>LEN(TRIM(B339))&gt;0</formula>
    </cfRule>
  </conditionalFormatting>
  <conditionalFormatting sqref="G354">
    <cfRule type="notContainsBlanks" dxfId="8312" priority="8615">
      <formula>LEN(TRIM(G354))&gt;0</formula>
    </cfRule>
  </conditionalFormatting>
  <conditionalFormatting sqref="H354:K354">
    <cfRule type="notContainsBlanks" dxfId="8311" priority="8614">
      <formula>LEN(TRIM(H354))&gt;0</formula>
    </cfRule>
  </conditionalFormatting>
  <conditionalFormatting sqref="G354:K354">
    <cfRule type="notContainsBlanks" dxfId="8310" priority="8613">
      <formula>LEN(TRIM(G354))&gt;0</formula>
    </cfRule>
  </conditionalFormatting>
  <conditionalFormatting sqref="G354:K354">
    <cfRule type="notContainsBlanks" dxfId="8309" priority="8612">
      <formula>LEN(TRIM(G354))&gt;0</formula>
    </cfRule>
  </conditionalFormatting>
  <conditionalFormatting sqref="G354:K354">
    <cfRule type="notContainsBlanks" dxfId="8308" priority="8611">
      <formula>LEN(TRIM(G354))&gt;0</formula>
    </cfRule>
  </conditionalFormatting>
  <conditionalFormatting sqref="G354:K354">
    <cfRule type="notContainsBlanks" dxfId="8307" priority="8610">
      <formula>LEN(TRIM(G354))&gt;0</formula>
    </cfRule>
  </conditionalFormatting>
  <conditionalFormatting sqref="G354:K354">
    <cfRule type="notContainsBlanks" dxfId="8306" priority="8609">
      <formula>LEN(TRIM(G354))&gt;0</formula>
    </cfRule>
  </conditionalFormatting>
  <conditionalFormatting sqref="G354:K354">
    <cfRule type="notContainsBlanks" dxfId="8305" priority="8608">
      <formula>LEN(TRIM(G354))&gt;0</formula>
    </cfRule>
  </conditionalFormatting>
  <conditionalFormatting sqref="G354:K354">
    <cfRule type="notContainsBlanks" dxfId="8304" priority="8607">
      <formula>LEN(TRIM(G354))&gt;0</formula>
    </cfRule>
  </conditionalFormatting>
  <conditionalFormatting sqref="G354:K354">
    <cfRule type="notContainsBlanks" dxfId="8303" priority="8606">
      <formula>LEN(TRIM(G354))&gt;0</formula>
    </cfRule>
  </conditionalFormatting>
  <conditionalFormatting sqref="G354:K354">
    <cfRule type="notContainsBlanks" dxfId="8302" priority="8605">
      <formula>LEN(TRIM(G354))&gt;0</formula>
    </cfRule>
  </conditionalFormatting>
  <conditionalFormatting sqref="G354:K354">
    <cfRule type="notContainsBlanks" dxfId="8301" priority="8603">
      <formula>LEN(TRIM(G354))&gt;0</formula>
    </cfRule>
    <cfRule type="notContainsBlanks" dxfId="8300" priority="8604">
      <formula>LEN(TRIM(G354))&gt;0</formula>
    </cfRule>
  </conditionalFormatting>
  <conditionalFormatting sqref="G354:K354">
    <cfRule type="notContainsBlanks" dxfId="8299" priority="8602">
      <formula>LEN(TRIM(G354))&gt;0</formula>
    </cfRule>
  </conditionalFormatting>
  <conditionalFormatting sqref="G354:K354">
    <cfRule type="notContainsBlanks" dxfId="8298" priority="8601">
      <formula>LEN(TRIM(G354))&gt;0</formula>
    </cfRule>
  </conditionalFormatting>
  <conditionalFormatting sqref="G354:K354">
    <cfRule type="notContainsBlanks" dxfId="8297" priority="8600">
      <formula>LEN(TRIM(G354))&gt;0</formula>
    </cfRule>
  </conditionalFormatting>
  <conditionalFormatting sqref="G354:K354">
    <cfRule type="notContainsBlanks" dxfId="8296" priority="8599">
      <formula>LEN(TRIM(G354))&gt;0</formula>
    </cfRule>
  </conditionalFormatting>
  <conditionalFormatting sqref="G354:K354">
    <cfRule type="notContainsBlanks" dxfId="8295" priority="8598">
      <formula>LEN(TRIM(G354))&gt;0</formula>
    </cfRule>
  </conditionalFormatting>
  <conditionalFormatting sqref="G354:K354">
    <cfRule type="notContainsBlanks" dxfId="8294" priority="8597">
      <formula>LEN(TRIM(G354))&gt;0</formula>
    </cfRule>
  </conditionalFormatting>
  <conditionalFormatting sqref="G354:K354">
    <cfRule type="notContainsBlanks" dxfId="8293" priority="8596">
      <formula>LEN(TRIM(G354))&gt;0</formula>
    </cfRule>
  </conditionalFormatting>
  <conditionalFormatting sqref="G354:K354">
    <cfRule type="notContainsBlanks" dxfId="8292" priority="8595">
      <formula>LEN(TRIM(G354))&gt;0</formula>
    </cfRule>
  </conditionalFormatting>
  <conditionalFormatting sqref="G354:K354">
    <cfRule type="notContainsBlanks" dxfId="8291" priority="8594">
      <formula>LEN(TRIM(G354))&gt;0</formula>
    </cfRule>
  </conditionalFormatting>
  <conditionalFormatting sqref="N354:R354">
    <cfRule type="notContainsBlanks" dxfId="8290" priority="8593">
      <formula>LEN(TRIM(N354))&gt;0</formula>
    </cfRule>
  </conditionalFormatting>
  <conditionalFormatting sqref="N354:R354">
    <cfRule type="notContainsBlanks" dxfId="8289" priority="8592">
      <formula>LEN(TRIM(N354))&gt;0</formula>
    </cfRule>
  </conditionalFormatting>
  <conditionalFormatting sqref="N354:R354">
    <cfRule type="notContainsBlanks" dxfId="8288" priority="8591">
      <formula>LEN(TRIM(N354))&gt;0</formula>
    </cfRule>
  </conditionalFormatting>
  <conditionalFormatting sqref="N354:R354">
    <cfRule type="notContainsBlanks" dxfId="8287" priority="8590">
      <formula>LEN(TRIM(N354))&gt;0</formula>
    </cfRule>
  </conditionalFormatting>
  <conditionalFormatting sqref="N354:R354">
    <cfRule type="notContainsBlanks" dxfId="8286" priority="8589">
      <formula>LEN(TRIM(N354))&gt;0</formula>
    </cfRule>
  </conditionalFormatting>
  <conditionalFormatting sqref="N354:R354">
    <cfRule type="notContainsBlanks" dxfId="8285" priority="8588">
      <formula>LEN(TRIM(N354))&gt;0</formula>
    </cfRule>
  </conditionalFormatting>
  <conditionalFormatting sqref="N354:R354">
    <cfRule type="notContainsBlanks" dxfId="8284" priority="8587">
      <formula>LEN(TRIM(N354))&gt;0</formula>
    </cfRule>
  </conditionalFormatting>
  <conditionalFormatting sqref="N354:R354">
    <cfRule type="notContainsBlanks" dxfId="8283" priority="8586">
      <formula>LEN(TRIM(N354))&gt;0</formula>
    </cfRule>
  </conditionalFormatting>
  <conditionalFormatting sqref="N354:R354">
    <cfRule type="notContainsBlanks" dxfId="8282" priority="8585">
      <formula>LEN(TRIM(N354))&gt;0</formula>
    </cfRule>
  </conditionalFormatting>
  <conditionalFormatting sqref="N354:R354">
    <cfRule type="notContainsBlanks" dxfId="8281" priority="8583">
      <formula>LEN(TRIM(N354))&gt;0</formula>
    </cfRule>
    <cfRule type="notContainsBlanks" dxfId="8280" priority="8584">
      <formula>LEN(TRIM(N354))&gt;0</formula>
    </cfRule>
  </conditionalFormatting>
  <conditionalFormatting sqref="N354:R354">
    <cfRule type="notContainsBlanks" dxfId="8279" priority="8582">
      <formula>LEN(TRIM(N354))&gt;0</formula>
    </cfRule>
  </conditionalFormatting>
  <conditionalFormatting sqref="N354:R354">
    <cfRule type="notContainsBlanks" dxfId="8278" priority="8581">
      <formula>LEN(TRIM(N354))&gt;0</formula>
    </cfRule>
  </conditionalFormatting>
  <conditionalFormatting sqref="N354:R354">
    <cfRule type="notContainsBlanks" dxfId="8277" priority="8580">
      <formula>LEN(TRIM(N354))&gt;0</formula>
    </cfRule>
  </conditionalFormatting>
  <conditionalFormatting sqref="N354:R354">
    <cfRule type="notContainsBlanks" dxfId="8276" priority="8579">
      <formula>LEN(TRIM(N354))&gt;0</formula>
    </cfRule>
  </conditionalFormatting>
  <conditionalFormatting sqref="N354:R354">
    <cfRule type="notContainsBlanks" dxfId="8275" priority="8578">
      <formula>LEN(TRIM(N354))&gt;0</formula>
    </cfRule>
  </conditionalFormatting>
  <conditionalFormatting sqref="N354:R354">
    <cfRule type="notContainsBlanks" dxfId="8274" priority="8577">
      <formula>LEN(TRIM(N354))&gt;0</formula>
    </cfRule>
  </conditionalFormatting>
  <conditionalFormatting sqref="N354:R354">
    <cfRule type="notContainsBlanks" dxfId="8273" priority="8576">
      <formula>LEN(TRIM(N354))&gt;0</formula>
    </cfRule>
  </conditionalFormatting>
  <conditionalFormatting sqref="N354:R354">
    <cfRule type="notContainsBlanks" dxfId="8272" priority="8575">
      <formula>LEN(TRIM(N354))&gt;0</formula>
    </cfRule>
  </conditionalFormatting>
  <conditionalFormatting sqref="N354:R354">
    <cfRule type="notContainsBlanks" dxfId="8271" priority="8574">
      <formula>LEN(TRIM(N354))&gt;0</formula>
    </cfRule>
  </conditionalFormatting>
  <conditionalFormatting sqref="U354:Y354">
    <cfRule type="notContainsBlanks" dxfId="8270" priority="8573">
      <formula>LEN(TRIM(U354))&gt;0</formula>
    </cfRule>
  </conditionalFormatting>
  <conditionalFormatting sqref="U354:Y354">
    <cfRule type="notContainsBlanks" dxfId="8269" priority="8572">
      <formula>LEN(TRIM(U354))&gt;0</formula>
    </cfRule>
  </conditionalFormatting>
  <conditionalFormatting sqref="U354:Y354">
    <cfRule type="notContainsBlanks" dxfId="8268" priority="8571">
      <formula>LEN(TRIM(U354))&gt;0</formula>
    </cfRule>
  </conditionalFormatting>
  <conditionalFormatting sqref="U354:Y354">
    <cfRule type="notContainsBlanks" dxfId="8267" priority="8570">
      <formula>LEN(TRIM(U354))&gt;0</formula>
    </cfRule>
  </conditionalFormatting>
  <conditionalFormatting sqref="U354:Y354">
    <cfRule type="notContainsBlanks" dxfId="8266" priority="8569">
      <formula>LEN(TRIM(U354))&gt;0</formula>
    </cfRule>
  </conditionalFormatting>
  <conditionalFormatting sqref="U354:Y354">
    <cfRule type="notContainsBlanks" dxfId="8265" priority="8568">
      <formula>LEN(TRIM(U354))&gt;0</formula>
    </cfRule>
  </conditionalFormatting>
  <conditionalFormatting sqref="U354:Y354">
    <cfRule type="notContainsBlanks" dxfId="8264" priority="8567">
      <formula>LEN(TRIM(U354))&gt;0</formula>
    </cfRule>
  </conditionalFormatting>
  <conditionalFormatting sqref="U354:Y354">
    <cfRule type="notContainsBlanks" dxfId="8263" priority="8566">
      <formula>LEN(TRIM(U354))&gt;0</formula>
    </cfRule>
  </conditionalFormatting>
  <conditionalFormatting sqref="U354:Y354">
    <cfRule type="notContainsBlanks" dxfId="8262" priority="8565">
      <formula>LEN(TRIM(U354))&gt;0</formula>
    </cfRule>
  </conditionalFormatting>
  <conditionalFormatting sqref="U354:Y354">
    <cfRule type="notContainsBlanks" dxfId="8261" priority="8563">
      <formula>LEN(TRIM(U354))&gt;0</formula>
    </cfRule>
    <cfRule type="notContainsBlanks" dxfId="8260" priority="8564">
      <formula>LEN(TRIM(U354))&gt;0</formula>
    </cfRule>
  </conditionalFormatting>
  <conditionalFormatting sqref="U354:Y354">
    <cfRule type="notContainsBlanks" dxfId="8259" priority="8562">
      <formula>LEN(TRIM(U354))&gt;0</formula>
    </cfRule>
  </conditionalFormatting>
  <conditionalFormatting sqref="U354:Y354">
    <cfRule type="notContainsBlanks" dxfId="8258" priority="8561">
      <formula>LEN(TRIM(U354))&gt;0</formula>
    </cfRule>
  </conditionalFormatting>
  <conditionalFormatting sqref="U354:Y354">
    <cfRule type="notContainsBlanks" dxfId="8257" priority="8560">
      <formula>LEN(TRIM(U354))&gt;0</formula>
    </cfRule>
  </conditionalFormatting>
  <conditionalFormatting sqref="U354:Y354">
    <cfRule type="notContainsBlanks" dxfId="8256" priority="8559">
      <formula>LEN(TRIM(U354))&gt;0</formula>
    </cfRule>
  </conditionalFormatting>
  <conditionalFormatting sqref="U354:Y354">
    <cfRule type="notContainsBlanks" dxfId="8255" priority="8558">
      <formula>LEN(TRIM(U354))&gt;0</formula>
    </cfRule>
  </conditionalFormatting>
  <conditionalFormatting sqref="U354:Y354">
    <cfRule type="notContainsBlanks" dxfId="8254" priority="8557">
      <formula>LEN(TRIM(U354))&gt;0</formula>
    </cfRule>
  </conditionalFormatting>
  <conditionalFormatting sqref="U354:Y354">
    <cfRule type="notContainsBlanks" dxfId="8253" priority="8556">
      <formula>LEN(TRIM(U354))&gt;0</formula>
    </cfRule>
  </conditionalFormatting>
  <conditionalFormatting sqref="U354:Y354">
    <cfRule type="notContainsBlanks" dxfId="8252" priority="8555">
      <formula>LEN(TRIM(U354))&gt;0</formula>
    </cfRule>
  </conditionalFormatting>
  <conditionalFormatting sqref="U354:Y354">
    <cfRule type="notContainsBlanks" dxfId="8251" priority="8554">
      <formula>LEN(TRIM(U354))&gt;0</formula>
    </cfRule>
  </conditionalFormatting>
  <conditionalFormatting sqref="AB354:AF354">
    <cfRule type="notContainsBlanks" dxfId="8250" priority="8553">
      <formula>LEN(TRIM(AB354))&gt;0</formula>
    </cfRule>
  </conditionalFormatting>
  <conditionalFormatting sqref="AB354:AF354">
    <cfRule type="notContainsBlanks" dxfId="8249" priority="8552">
      <formula>LEN(TRIM(AB354))&gt;0</formula>
    </cfRule>
  </conditionalFormatting>
  <conditionalFormatting sqref="AB354:AF354">
    <cfRule type="notContainsBlanks" dxfId="8248" priority="8551">
      <formula>LEN(TRIM(AB354))&gt;0</formula>
    </cfRule>
  </conditionalFormatting>
  <conditionalFormatting sqref="AB354:AF354">
    <cfRule type="notContainsBlanks" dxfId="8247" priority="8550">
      <formula>LEN(TRIM(AB354))&gt;0</formula>
    </cfRule>
  </conditionalFormatting>
  <conditionalFormatting sqref="AB354:AF354">
    <cfRule type="notContainsBlanks" dxfId="8246" priority="8549">
      <formula>LEN(TRIM(AB354))&gt;0</formula>
    </cfRule>
  </conditionalFormatting>
  <conditionalFormatting sqref="AB354:AF354">
    <cfRule type="notContainsBlanks" dxfId="8245" priority="8548">
      <formula>LEN(TRIM(AB354))&gt;0</formula>
    </cfRule>
  </conditionalFormatting>
  <conditionalFormatting sqref="AB354:AF354">
    <cfRule type="notContainsBlanks" dxfId="8244" priority="8547">
      <formula>LEN(TRIM(AB354))&gt;0</formula>
    </cfRule>
  </conditionalFormatting>
  <conditionalFormatting sqref="AB354:AF354">
    <cfRule type="notContainsBlanks" dxfId="8243" priority="8546">
      <formula>LEN(TRIM(AB354))&gt;0</formula>
    </cfRule>
  </conditionalFormatting>
  <conditionalFormatting sqref="AB354:AF354">
    <cfRule type="notContainsBlanks" dxfId="8242" priority="8545">
      <formula>LEN(TRIM(AB354))&gt;0</formula>
    </cfRule>
  </conditionalFormatting>
  <conditionalFormatting sqref="AB354:AF354">
    <cfRule type="notContainsBlanks" dxfId="8241" priority="8543">
      <formula>LEN(TRIM(AB354))&gt;0</formula>
    </cfRule>
    <cfRule type="notContainsBlanks" dxfId="8240" priority="8544">
      <formula>LEN(TRIM(AB354))&gt;0</formula>
    </cfRule>
  </conditionalFormatting>
  <conditionalFormatting sqref="AB354:AF354">
    <cfRule type="notContainsBlanks" dxfId="8239" priority="8542">
      <formula>LEN(TRIM(AB354))&gt;0</formula>
    </cfRule>
  </conditionalFormatting>
  <conditionalFormatting sqref="AB354:AF354">
    <cfRule type="notContainsBlanks" dxfId="8238" priority="8541">
      <formula>LEN(TRIM(AB354))&gt;0</formula>
    </cfRule>
  </conditionalFormatting>
  <conditionalFormatting sqref="AB354:AF354">
    <cfRule type="notContainsBlanks" dxfId="8237" priority="8540">
      <formula>LEN(TRIM(AB354))&gt;0</formula>
    </cfRule>
  </conditionalFormatting>
  <conditionalFormatting sqref="AB354:AF354">
    <cfRule type="notContainsBlanks" dxfId="8236" priority="8539">
      <formula>LEN(TRIM(AB354))&gt;0</formula>
    </cfRule>
  </conditionalFormatting>
  <conditionalFormatting sqref="AB354:AF354">
    <cfRule type="notContainsBlanks" dxfId="8235" priority="8538">
      <formula>LEN(TRIM(AB354))&gt;0</formula>
    </cfRule>
  </conditionalFormatting>
  <conditionalFormatting sqref="AB354:AF354">
    <cfRule type="notContainsBlanks" dxfId="8234" priority="8537">
      <formula>LEN(TRIM(AB354))&gt;0</formula>
    </cfRule>
  </conditionalFormatting>
  <conditionalFormatting sqref="AB354:AF354">
    <cfRule type="notContainsBlanks" dxfId="8233" priority="8536">
      <formula>LEN(TRIM(AB354))&gt;0</formula>
    </cfRule>
  </conditionalFormatting>
  <conditionalFormatting sqref="AB354:AF354">
    <cfRule type="notContainsBlanks" dxfId="8232" priority="8535">
      <formula>LEN(TRIM(AB354))&gt;0</formula>
    </cfRule>
  </conditionalFormatting>
  <conditionalFormatting sqref="AB354:AF354">
    <cfRule type="notContainsBlanks" dxfId="8231" priority="8534">
      <formula>LEN(TRIM(AB354))&gt;0</formula>
    </cfRule>
  </conditionalFormatting>
  <conditionalFormatting sqref="B352:E363 G354:K354 L352:L353 N354:R354 S352:S353 U354:Y354 Z352:Z353 AB354:AF354 AG352:AG353">
    <cfRule type="notContainsBlanks" priority="8533">
      <formula>LEN(TRIM(B352))&gt;0</formula>
    </cfRule>
  </conditionalFormatting>
  <conditionalFormatting sqref="G367">
    <cfRule type="notContainsBlanks" dxfId="8230" priority="8532">
      <formula>LEN(TRIM(G367))&gt;0</formula>
    </cfRule>
  </conditionalFormatting>
  <conditionalFormatting sqref="H367:K367">
    <cfRule type="notContainsBlanks" dxfId="8229" priority="8531">
      <formula>LEN(TRIM(H367))&gt;0</formula>
    </cfRule>
  </conditionalFormatting>
  <conditionalFormatting sqref="G367:K367">
    <cfRule type="notContainsBlanks" dxfId="8228" priority="8530">
      <formula>LEN(TRIM(G367))&gt;0</formula>
    </cfRule>
  </conditionalFormatting>
  <conditionalFormatting sqref="G367:K367">
    <cfRule type="notContainsBlanks" dxfId="8227" priority="8529">
      <formula>LEN(TRIM(G367))&gt;0</formula>
    </cfRule>
  </conditionalFormatting>
  <conditionalFormatting sqref="G367:K367">
    <cfRule type="notContainsBlanks" dxfId="8226" priority="8528">
      <formula>LEN(TRIM(G367))&gt;0</formula>
    </cfRule>
  </conditionalFormatting>
  <conditionalFormatting sqref="G367:K367">
    <cfRule type="notContainsBlanks" dxfId="8225" priority="8527">
      <formula>LEN(TRIM(G367))&gt;0</formula>
    </cfRule>
  </conditionalFormatting>
  <conditionalFormatting sqref="G367:K367">
    <cfRule type="notContainsBlanks" dxfId="8224" priority="8526">
      <formula>LEN(TRIM(G367))&gt;0</formula>
    </cfRule>
  </conditionalFormatting>
  <conditionalFormatting sqref="G367:K367">
    <cfRule type="notContainsBlanks" dxfId="8223" priority="8525">
      <formula>LEN(TRIM(G367))&gt;0</formula>
    </cfRule>
  </conditionalFormatting>
  <conditionalFormatting sqref="G367:K367">
    <cfRule type="notContainsBlanks" dxfId="8222" priority="8524">
      <formula>LEN(TRIM(G367))&gt;0</formula>
    </cfRule>
  </conditionalFormatting>
  <conditionalFormatting sqref="G367:K367">
    <cfRule type="notContainsBlanks" dxfId="8221" priority="8523">
      <formula>LEN(TRIM(G367))&gt;0</formula>
    </cfRule>
  </conditionalFormatting>
  <conditionalFormatting sqref="G367:K367">
    <cfRule type="notContainsBlanks" dxfId="8220" priority="8522">
      <formula>LEN(TRIM(G367))&gt;0</formula>
    </cfRule>
  </conditionalFormatting>
  <conditionalFormatting sqref="G367:K367">
    <cfRule type="notContainsBlanks" dxfId="8219" priority="8520">
      <formula>LEN(TRIM(G367))&gt;0</formula>
    </cfRule>
    <cfRule type="notContainsBlanks" dxfId="8218" priority="8521">
      <formula>LEN(TRIM(G367))&gt;0</formula>
    </cfRule>
  </conditionalFormatting>
  <conditionalFormatting sqref="G367:K367">
    <cfRule type="notContainsBlanks" dxfId="8217" priority="8519">
      <formula>LEN(TRIM(G367))&gt;0</formula>
    </cfRule>
  </conditionalFormatting>
  <conditionalFormatting sqref="G367:K367">
    <cfRule type="notContainsBlanks" dxfId="8216" priority="8518">
      <formula>LEN(TRIM(G367))&gt;0</formula>
    </cfRule>
  </conditionalFormatting>
  <conditionalFormatting sqref="G367:K367">
    <cfRule type="notContainsBlanks" dxfId="8215" priority="8517">
      <formula>LEN(TRIM(G367))&gt;0</formula>
    </cfRule>
  </conditionalFormatting>
  <conditionalFormatting sqref="G367:K367">
    <cfRule type="notContainsBlanks" dxfId="8214" priority="8516">
      <formula>LEN(TRIM(G367))&gt;0</formula>
    </cfRule>
  </conditionalFormatting>
  <conditionalFormatting sqref="G367:K367">
    <cfRule type="notContainsBlanks" dxfId="8213" priority="8515">
      <formula>LEN(TRIM(G367))&gt;0</formula>
    </cfRule>
  </conditionalFormatting>
  <conditionalFormatting sqref="G367:K367">
    <cfRule type="notContainsBlanks" dxfId="8212" priority="8514">
      <formula>LEN(TRIM(G367))&gt;0</formula>
    </cfRule>
  </conditionalFormatting>
  <conditionalFormatting sqref="G367:K367">
    <cfRule type="notContainsBlanks" dxfId="8211" priority="8513">
      <formula>LEN(TRIM(G367))&gt;0</formula>
    </cfRule>
  </conditionalFormatting>
  <conditionalFormatting sqref="G367:K367">
    <cfRule type="notContainsBlanks" dxfId="8210" priority="8512">
      <formula>LEN(TRIM(G367))&gt;0</formula>
    </cfRule>
  </conditionalFormatting>
  <conditionalFormatting sqref="G367:K367">
    <cfRule type="notContainsBlanks" dxfId="8209" priority="8511">
      <formula>LEN(TRIM(G367))&gt;0</formula>
    </cfRule>
  </conditionalFormatting>
  <conditionalFormatting sqref="G367:K367">
    <cfRule type="notContainsBlanks" priority="8510">
      <formula>LEN(TRIM(G367))&gt;0</formula>
    </cfRule>
  </conditionalFormatting>
  <conditionalFormatting sqref="N367:R367">
    <cfRule type="notContainsBlanks" dxfId="8208" priority="8509">
      <formula>LEN(TRIM(N367))&gt;0</formula>
    </cfRule>
  </conditionalFormatting>
  <conditionalFormatting sqref="N367:R367">
    <cfRule type="notContainsBlanks" dxfId="8207" priority="8508">
      <formula>LEN(TRIM(N367))&gt;0</formula>
    </cfRule>
  </conditionalFormatting>
  <conditionalFormatting sqref="N367:R367">
    <cfRule type="notContainsBlanks" dxfId="8206" priority="8507">
      <formula>LEN(TRIM(N367))&gt;0</formula>
    </cfRule>
  </conditionalFormatting>
  <conditionalFormatting sqref="N367:R367">
    <cfRule type="notContainsBlanks" dxfId="8205" priority="8506">
      <formula>LEN(TRIM(N367))&gt;0</formula>
    </cfRule>
  </conditionalFormatting>
  <conditionalFormatting sqref="N367:R367">
    <cfRule type="notContainsBlanks" dxfId="8204" priority="8505">
      <formula>LEN(TRIM(N367))&gt;0</formula>
    </cfRule>
  </conditionalFormatting>
  <conditionalFormatting sqref="N367:R367">
    <cfRule type="notContainsBlanks" dxfId="8203" priority="8504">
      <formula>LEN(TRIM(N367))&gt;0</formula>
    </cfRule>
  </conditionalFormatting>
  <conditionalFormatting sqref="N367:R367">
    <cfRule type="notContainsBlanks" dxfId="8202" priority="8503">
      <formula>LEN(TRIM(N367))&gt;0</formula>
    </cfRule>
  </conditionalFormatting>
  <conditionalFormatting sqref="N367:R367">
    <cfRule type="notContainsBlanks" dxfId="8201" priority="8502">
      <formula>LEN(TRIM(N367))&gt;0</formula>
    </cfRule>
  </conditionalFormatting>
  <conditionalFormatting sqref="N367:R367">
    <cfRule type="notContainsBlanks" dxfId="8200" priority="8501">
      <formula>LEN(TRIM(N367))&gt;0</formula>
    </cfRule>
  </conditionalFormatting>
  <conditionalFormatting sqref="N367:R367">
    <cfRule type="notContainsBlanks" dxfId="8199" priority="8499">
      <formula>LEN(TRIM(N367))&gt;0</formula>
    </cfRule>
    <cfRule type="notContainsBlanks" dxfId="8198" priority="8500">
      <formula>LEN(TRIM(N367))&gt;0</formula>
    </cfRule>
  </conditionalFormatting>
  <conditionalFormatting sqref="N367:R367">
    <cfRule type="notContainsBlanks" dxfId="8197" priority="8498">
      <formula>LEN(TRIM(N367))&gt;0</formula>
    </cfRule>
  </conditionalFormatting>
  <conditionalFormatting sqref="N367:R367">
    <cfRule type="notContainsBlanks" dxfId="8196" priority="8497">
      <formula>LEN(TRIM(N367))&gt;0</formula>
    </cfRule>
  </conditionalFormatting>
  <conditionalFormatting sqref="N367:R367">
    <cfRule type="notContainsBlanks" dxfId="8195" priority="8496">
      <formula>LEN(TRIM(N367))&gt;0</formula>
    </cfRule>
  </conditionalFormatting>
  <conditionalFormatting sqref="N367:R367">
    <cfRule type="notContainsBlanks" dxfId="8194" priority="8495">
      <formula>LEN(TRIM(N367))&gt;0</formula>
    </cfRule>
  </conditionalFormatting>
  <conditionalFormatting sqref="N367:R367">
    <cfRule type="notContainsBlanks" dxfId="8193" priority="8494">
      <formula>LEN(TRIM(N367))&gt;0</formula>
    </cfRule>
  </conditionalFormatting>
  <conditionalFormatting sqref="N367:R367">
    <cfRule type="notContainsBlanks" dxfId="8192" priority="8493">
      <formula>LEN(TRIM(N367))&gt;0</formula>
    </cfRule>
  </conditionalFormatting>
  <conditionalFormatting sqref="N367:R367">
    <cfRule type="notContainsBlanks" dxfId="8191" priority="8492">
      <formula>LEN(TRIM(N367))&gt;0</formula>
    </cfRule>
  </conditionalFormatting>
  <conditionalFormatting sqref="N367:R367">
    <cfRule type="notContainsBlanks" dxfId="8190" priority="8491">
      <formula>LEN(TRIM(N367))&gt;0</formula>
    </cfRule>
  </conditionalFormatting>
  <conditionalFormatting sqref="N367:R367">
    <cfRule type="notContainsBlanks" dxfId="8189" priority="8490">
      <formula>LEN(TRIM(N367))&gt;0</formula>
    </cfRule>
  </conditionalFormatting>
  <conditionalFormatting sqref="N367:R367">
    <cfRule type="notContainsBlanks" priority="8489">
      <formula>LEN(TRIM(N367))&gt;0</formula>
    </cfRule>
  </conditionalFormatting>
  <conditionalFormatting sqref="U367:Y367">
    <cfRule type="notContainsBlanks" dxfId="8188" priority="8488">
      <formula>LEN(TRIM(U367))&gt;0</formula>
    </cfRule>
  </conditionalFormatting>
  <conditionalFormatting sqref="U367:Y367">
    <cfRule type="notContainsBlanks" dxfId="8187" priority="8487">
      <formula>LEN(TRIM(U367))&gt;0</formula>
    </cfRule>
  </conditionalFormatting>
  <conditionalFormatting sqref="U367:Y367">
    <cfRule type="notContainsBlanks" dxfId="8186" priority="8486">
      <formula>LEN(TRIM(U367))&gt;0</formula>
    </cfRule>
  </conditionalFormatting>
  <conditionalFormatting sqref="U367:Y367">
    <cfRule type="notContainsBlanks" dxfId="8185" priority="8485">
      <formula>LEN(TRIM(U367))&gt;0</formula>
    </cfRule>
  </conditionalFormatting>
  <conditionalFormatting sqref="U367:Y367">
    <cfRule type="notContainsBlanks" dxfId="8184" priority="8484">
      <formula>LEN(TRIM(U367))&gt;0</formula>
    </cfRule>
  </conditionalFormatting>
  <conditionalFormatting sqref="U367:Y367">
    <cfRule type="notContainsBlanks" dxfId="8183" priority="8483">
      <formula>LEN(TRIM(U367))&gt;0</formula>
    </cfRule>
  </conditionalFormatting>
  <conditionalFormatting sqref="U367:Y367">
    <cfRule type="notContainsBlanks" dxfId="8182" priority="8482">
      <formula>LEN(TRIM(U367))&gt;0</formula>
    </cfRule>
  </conditionalFormatting>
  <conditionalFormatting sqref="U367:Y367">
    <cfRule type="notContainsBlanks" dxfId="8181" priority="8481">
      <formula>LEN(TRIM(U367))&gt;0</formula>
    </cfRule>
  </conditionalFormatting>
  <conditionalFormatting sqref="U367:Y367">
    <cfRule type="notContainsBlanks" dxfId="8180" priority="8480">
      <formula>LEN(TRIM(U367))&gt;0</formula>
    </cfRule>
  </conditionalFormatting>
  <conditionalFormatting sqref="U367:Y367">
    <cfRule type="notContainsBlanks" dxfId="8179" priority="8478">
      <formula>LEN(TRIM(U367))&gt;0</formula>
    </cfRule>
    <cfRule type="notContainsBlanks" dxfId="8178" priority="8479">
      <formula>LEN(TRIM(U367))&gt;0</formula>
    </cfRule>
  </conditionalFormatting>
  <conditionalFormatting sqref="U367:Y367">
    <cfRule type="notContainsBlanks" dxfId="8177" priority="8477">
      <formula>LEN(TRIM(U367))&gt;0</formula>
    </cfRule>
  </conditionalFormatting>
  <conditionalFormatting sqref="U367:Y367">
    <cfRule type="notContainsBlanks" dxfId="8176" priority="8476">
      <formula>LEN(TRIM(U367))&gt;0</formula>
    </cfRule>
  </conditionalFormatting>
  <conditionalFormatting sqref="U367:Y367">
    <cfRule type="notContainsBlanks" dxfId="8175" priority="8475">
      <formula>LEN(TRIM(U367))&gt;0</formula>
    </cfRule>
  </conditionalFormatting>
  <conditionalFormatting sqref="U367:Y367">
    <cfRule type="notContainsBlanks" dxfId="8174" priority="8474">
      <formula>LEN(TRIM(U367))&gt;0</formula>
    </cfRule>
  </conditionalFormatting>
  <conditionalFormatting sqref="U367:Y367">
    <cfRule type="notContainsBlanks" dxfId="8173" priority="8473">
      <formula>LEN(TRIM(U367))&gt;0</formula>
    </cfRule>
  </conditionalFormatting>
  <conditionalFormatting sqref="U367:Y367">
    <cfRule type="notContainsBlanks" dxfId="8172" priority="8472">
      <formula>LEN(TRIM(U367))&gt;0</formula>
    </cfRule>
  </conditionalFormatting>
  <conditionalFormatting sqref="U367:Y367">
    <cfRule type="notContainsBlanks" dxfId="8171" priority="8471">
      <formula>LEN(TRIM(U367))&gt;0</formula>
    </cfRule>
  </conditionalFormatting>
  <conditionalFormatting sqref="U367:Y367">
    <cfRule type="notContainsBlanks" dxfId="8170" priority="8470">
      <formula>LEN(TRIM(U367))&gt;0</formula>
    </cfRule>
  </conditionalFormatting>
  <conditionalFormatting sqref="U367:Y367">
    <cfRule type="notContainsBlanks" dxfId="8169" priority="8469">
      <formula>LEN(TRIM(U367))&gt;0</formula>
    </cfRule>
  </conditionalFormatting>
  <conditionalFormatting sqref="U367:Y367">
    <cfRule type="notContainsBlanks" priority="8468">
      <formula>LEN(TRIM(U367))&gt;0</formula>
    </cfRule>
  </conditionalFormatting>
  <conditionalFormatting sqref="AB367:AF367">
    <cfRule type="notContainsBlanks" dxfId="8168" priority="8467">
      <formula>LEN(TRIM(AB367))&gt;0</formula>
    </cfRule>
  </conditionalFormatting>
  <conditionalFormatting sqref="AB367:AF367">
    <cfRule type="notContainsBlanks" dxfId="8167" priority="8466">
      <formula>LEN(TRIM(AB367))&gt;0</formula>
    </cfRule>
  </conditionalFormatting>
  <conditionalFormatting sqref="AB367:AF367">
    <cfRule type="notContainsBlanks" dxfId="8166" priority="8465">
      <formula>LEN(TRIM(AB367))&gt;0</formula>
    </cfRule>
  </conditionalFormatting>
  <conditionalFormatting sqref="AB367:AF367">
    <cfRule type="notContainsBlanks" dxfId="8165" priority="8464">
      <formula>LEN(TRIM(AB367))&gt;0</formula>
    </cfRule>
  </conditionalFormatting>
  <conditionalFormatting sqref="AB367:AF367">
    <cfRule type="notContainsBlanks" dxfId="8164" priority="8463">
      <formula>LEN(TRIM(AB367))&gt;0</formula>
    </cfRule>
  </conditionalFormatting>
  <conditionalFormatting sqref="AB367:AF367">
    <cfRule type="notContainsBlanks" dxfId="8163" priority="8462">
      <formula>LEN(TRIM(AB367))&gt;0</formula>
    </cfRule>
  </conditionalFormatting>
  <conditionalFormatting sqref="AB367:AF367">
    <cfRule type="notContainsBlanks" dxfId="8162" priority="8461">
      <formula>LEN(TRIM(AB367))&gt;0</formula>
    </cfRule>
  </conditionalFormatting>
  <conditionalFormatting sqref="AB367:AF367">
    <cfRule type="notContainsBlanks" dxfId="8161" priority="8460">
      <formula>LEN(TRIM(AB367))&gt;0</formula>
    </cfRule>
  </conditionalFormatting>
  <conditionalFormatting sqref="AB367:AF367">
    <cfRule type="notContainsBlanks" dxfId="8160" priority="8459">
      <formula>LEN(TRIM(AB367))&gt;0</formula>
    </cfRule>
  </conditionalFormatting>
  <conditionalFormatting sqref="AB367:AF367">
    <cfRule type="notContainsBlanks" dxfId="8159" priority="8457">
      <formula>LEN(TRIM(AB367))&gt;0</formula>
    </cfRule>
    <cfRule type="notContainsBlanks" dxfId="8158" priority="8458">
      <formula>LEN(TRIM(AB367))&gt;0</formula>
    </cfRule>
  </conditionalFormatting>
  <conditionalFormatting sqref="AB367:AF367">
    <cfRule type="notContainsBlanks" dxfId="8157" priority="8456">
      <formula>LEN(TRIM(AB367))&gt;0</formula>
    </cfRule>
  </conditionalFormatting>
  <conditionalFormatting sqref="AB367:AF367">
    <cfRule type="notContainsBlanks" dxfId="8156" priority="8455">
      <formula>LEN(TRIM(AB367))&gt;0</formula>
    </cfRule>
  </conditionalFormatting>
  <conditionalFormatting sqref="AB367:AF367">
    <cfRule type="notContainsBlanks" dxfId="8155" priority="8454">
      <formula>LEN(TRIM(AB367))&gt;0</formula>
    </cfRule>
  </conditionalFormatting>
  <conditionalFormatting sqref="AB367:AF367">
    <cfRule type="notContainsBlanks" dxfId="8154" priority="8453">
      <formula>LEN(TRIM(AB367))&gt;0</formula>
    </cfRule>
  </conditionalFormatting>
  <conditionalFormatting sqref="AB367:AF367">
    <cfRule type="notContainsBlanks" dxfId="8153" priority="8452">
      <formula>LEN(TRIM(AB367))&gt;0</formula>
    </cfRule>
  </conditionalFormatting>
  <conditionalFormatting sqref="AB367:AF367">
    <cfRule type="notContainsBlanks" dxfId="8152" priority="8451">
      <formula>LEN(TRIM(AB367))&gt;0</formula>
    </cfRule>
  </conditionalFormatting>
  <conditionalFormatting sqref="AB367:AF367">
    <cfRule type="notContainsBlanks" dxfId="8151" priority="8450">
      <formula>LEN(TRIM(AB367))&gt;0</formula>
    </cfRule>
  </conditionalFormatting>
  <conditionalFormatting sqref="AB367:AF367">
    <cfRule type="notContainsBlanks" dxfId="8150" priority="8449">
      <formula>LEN(TRIM(AB367))&gt;0</formula>
    </cfRule>
  </conditionalFormatting>
  <conditionalFormatting sqref="AB367:AF367">
    <cfRule type="notContainsBlanks" dxfId="8149" priority="8448">
      <formula>LEN(TRIM(AB367))&gt;0</formula>
    </cfRule>
  </conditionalFormatting>
  <conditionalFormatting sqref="AB367:AF367">
    <cfRule type="notContainsBlanks" priority="8447">
      <formula>LEN(TRIM(AB367))&gt;0</formula>
    </cfRule>
  </conditionalFormatting>
  <conditionalFormatting sqref="B365:E376 G367:K367 L365:L366 N367:R367 S365:S366 U367:Y367 Z365:Z366 AB367:AF367 AG365:AG366">
    <cfRule type="notContainsBlanks" dxfId="8148" priority="8446">
      <formula>LEN(TRIM(B365))&gt;0</formula>
    </cfRule>
  </conditionalFormatting>
  <conditionalFormatting sqref="G380">
    <cfRule type="notContainsBlanks" dxfId="8147" priority="8445">
      <formula>LEN(TRIM(G380))&gt;0</formula>
    </cfRule>
  </conditionalFormatting>
  <conditionalFormatting sqref="H380:K380">
    <cfRule type="notContainsBlanks" dxfId="8146" priority="8444">
      <formula>LEN(TRIM(H380))&gt;0</formula>
    </cfRule>
  </conditionalFormatting>
  <conditionalFormatting sqref="G380:K380">
    <cfRule type="notContainsBlanks" dxfId="8145" priority="8443">
      <formula>LEN(TRIM(G380))&gt;0</formula>
    </cfRule>
  </conditionalFormatting>
  <conditionalFormatting sqref="G380:K380">
    <cfRule type="notContainsBlanks" dxfId="8144" priority="8442">
      <formula>LEN(TRIM(G380))&gt;0</formula>
    </cfRule>
  </conditionalFormatting>
  <conditionalFormatting sqref="G380:K380">
    <cfRule type="notContainsBlanks" dxfId="8143" priority="8441">
      <formula>LEN(TRIM(G380))&gt;0</formula>
    </cfRule>
  </conditionalFormatting>
  <conditionalFormatting sqref="G380:K380">
    <cfRule type="notContainsBlanks" dxfId="8142" priority="8440">
      <formula>LEN(TRIM(G380))&gt;0</formula>
    </cfRule>
  </conditionalFormatting>
  <conditionalFormatting sqref="G380:K380">
    <cfRule type="notContainsBlanks" dxfId="8141" priority="8439">
      <formula>LEN(TRIM(G380))&gt;0</formula>
    </cfRule>
  </conditionalFormatting>
  <conditionalFormatting sqref="G380:K380">
    <cfRule type="notContainsBlanks" dxfId="8140" priority="8438">
      <formula>LEN(TRIM(G380))&gt;0</formula>
    </cfRule>
  </conditionalFormatting>
  <conditionalFormatting sqref="G380:K380">
    <cfRule type="notContainsBlanks" dxfId="8139" priority="8437">
      <formula>LEN(TRIM(G380))&gt;0</formula>
    </cfRule>
  </conditionalFormatting>
  <conditionalFormatting sqref="G380:K380">
    <cfRule type="notContainsBlanks" dxfId="8138" priority="8436">
      <formula>LEN(TRIM(G380))&gt;0</formula>
    </cfRule>
  </conditionalFormatting>
  <conditionalFormatting sqref="G380:K380">
    <cfRule type="notContainsBlanks" dxfId="8137" priority="8435">
      <formula>LEN(TRIM(G380))&gt;0</formula>
    </cfRule>
  </conditionalFormatting>
  <conditionalFormatting sqref="G380:K380">
    <cfRule type="notContainsBlanks" dxfId="8136" priority="8433">
      <formula>LEN(TRIM(G380))&gt;0</formula>
    </cfRule>
    <cfRule type="notContainsBlanks" dxfId="8135" priority="8434">
      <formula>LEN(TRIM(G380))&gt;0</formula>
    </cfRule>
  </conditionalFormatting>
  <conditionalFormatting sqref="G380:K380">
    <cfRule type="notContainsBlanks" dxfId="8134" priority="8432">
      <formula>LEN(TRIM(G380))&gt;0</formula>
    </cfRule>
  </conditionalFormatting>
  <conditionalFormatting sqref="G380:K380">
    <cfRule type="notContainsBlanks" dxfId="8133" priority="8431">
      <formula>LEN(TRIM(G380))&gt;0</formula>
    </cfRule>
  </conditionalFormatting>
  <conditionalFormatting sqref="G380:K380">
    <cfRule type="notContainsBlanks" dxfId="8132" priority="8430">
      <formula>LEN(TRIM(G380))&gt;0</formula>
    </cfRule>
  </conditionalFormatting>
  <conditionalFormatting sqref="G380:K380">
    <cfRule type="notContainsBlanks" dxfId="8131" priority="8429">
      <formula>LEN(TRIM(G380))&gt;0</formula>
    </cfRule>
  </conditionalFormatting>
  <conditionalFormatting sqref="G380:K380">
    <cfRule type="notContainsBlanks" dxfId="8130" priority="8428">
      <formula>LEN(TRIM(G380))&gt;0</formula>
    </cfRule>
  </conditionalFormatting>
  <conditionalFormatting sqref="G380:K380">
    <cfRule type="notContainsBlanks" dxfId="8129" priority="8427">
      <formula>LEN(TRIM(G380))&gt;0</formula>
    </cfRule>
  </conditionalFormatting>
  <conditionalFormatting sqref="G380:K380">
    <cfRule type="notContainsBlanks" dxfId="8128" priority="8426">
      <formula>LEN(TRIM(G380))&gt;0</formula>
    </cfRule>
  </conditionalFormatting>
  <conditionalFormatting sqref="G380:K380">
    <cfRule type="notContainsBlanks" dxfId="8127" priority="8425">
      <formula>LEN(TRIM(G380))&gt;0</formula>
    </cfRule>
  </conditionalFormatting>
  <conditionalFormatting sqref="G380:K380">
    <cfRule type="notContainsBlanks" dxfId="8126" priority="8424">
      <formula>LEN(TRIM(G380))&gt;0</formula>
    </cfRule>
  </conditionalFormatting>
  <conditionalFormatting sqref="G380:K380">
    <cfRule type="notContainsBlanks" priority="8423">
      <formula>LEN(TRIM(G380))&gt;0</formula>
    </cfRule>
  </conditionalFormatting>
  <conditionalFormatting sqref="G380:K380">
    <cfRule type="notContainsBlanks" dxfId="8125" priority="8422">
      <formula>LEN(TRIM(G380))&gt;0</formula>
    </cfRule>
  </conditionalFormatting>
  <conditionalFormatting sqref="N380:R380">
    <cfRule type="notContainsBlanks" dxfId="8124" priority="8421">
      <formula>LEN(TRIM(N380))&gt;0</formula>
    </cfRule>
  </conditionalFormatting>
  <conditionalFormatting sqref="N380:R380">
    <cfRule type="notContainsBlanks" dxfId="8123" priority="8420">
      <formula>LEN(TRIM(N380))&gt;0</formula>
    </cfRule>
  </conditionalFormatting>
  <conditionalFormatting sqref="N380:R380">
    <cfRule type="notContainsBlanks" dxfId="8122" priority="8419">
      <formula>LEN(TRIM(N380))&gt;0</formula>
    </cfRule>
  </conditionalFormatting>
  <conditionalFormatting sqref="N380:R380">
    <cfRule type="notContainsBlanks" dxfId="8121" priority="8418">
      <formula>LEN(TRIM(N380))&gt;0</formula>
    </cfRule>
  </conditionalFormatting>
  <conditionalFormatting sqref="N380:R380">
    <cfRule type="notContainsBlanks" dxfId="8120" priority="8417">
      <formula>LEN(TRIM(N380))&gt;0</formula>
    </cfRule>
  </conditionalFormatting>
  <conditionalFormatting sqref="N380:R380">
    <cfRule type="notContainsBlanks" dxfId="8119" priority="8416">
      <formula>LEN(TRIM(N380))&gt;0</formula>
    </cfRule>
  </conditionalFormatting>
  <conditionalFormatting sqref="N380:R380">
    <cfRule type="notContainsBlanks" dxfId="8118" priority="8415">
      <formula>LEN(TRIM(N380))&gt;0</formula>
    </cfRule>
  </conditionalFormatting>
  <conditionalFormatting sqref="N380:R380">
    <cfRule type="notContainsBlanks" dxfId="8117" priority="8414">
      <formula>LEN(TRIM(N380))&gt;0</formula>
    </cfRule>
  </conditionalFormatting>
  <conditionalFormatting sqref="N380:R380">
    <cfRule type="notContainsBlanks" dxfId="8116" priority="8413">
      <formula>LEN(TRIM(N380))&gt;0</formula>
    </cfRule>
  </conditionalFormatting>
  <conditionalFormatting sqref="N380:R380">
    <cfRule type="notContainsBlanks" dxfId="8115" priority="8411">
      <formula>LEN(TRIM(N380))&gt;0</formula>
    </cfRule>
    <cfRule type="notContainsBlanks" dxfId="8114" priority="8412">
      <formula>LEN(TRIM(N380))&gt;0</formula>
    </cfRule>
  </conditionalFormatting>
  <conditionalFormatting sqref="N380:R380">
    <cfRule type="notContainsBlanks" dxfId="8113" priority="8410">
      <formula>LEN(TRIM(N380))&gt;0</formula>
    </cfRule>
  </conditionalFormatting>
  <conditionalFormatting sqref="N380:R380">
    <cfRule type="notContainsBlanks" dxfId="8112" priority="8409">
      <formula>LEN(TRIM(N380))&gt;0</formula>
    </cfRule>
  </conditionalFormatting>
  <conditionalFormatting sqref="N380:R380">
    <cfRule type="notContainsBlanks" dxfId="8111" priority="8408">
      <formula>LEN(TRIM(N380))&gt;0</formula>
    </cfRule>
  </conditionalFormatting>
  <conditionalFormatting sqref="N380:R380">
    <cfRule type="notContainsBlanks" dxfId="8110" priority="8407">
      <formula>LEN(TRIM(N380))&gt;0</formula>
    </cfRule>
  </conditionalFormatting>
  <conditionalFormatting sqref="N380:R380">
    <cfRule type="notContainsBlanks" dxfId="8109" priority="8406">
      <formula>LEN(TRIM(N380))&gt;0</formula>
    </cfRule>
  </conditionalFormatting>
  <conditionalFormatting sqref="N380:R380">
    <cfRule type="notContainsBlanks" dxfId="8108" priority="8405">
      <formula>LEN(TRIM(N380))&gt;0</formula>
    </cfRule>
  </conditionalFormatting>
  <conditionalFormatting sqref="N380:R380">
    <cfRule type="notContainsBlanks" dxfId="8107" priority="8404">
      <formula>LEN(TRIM(N380))&gt;0</formula>
    </cfRule>
  </conditionalFormatting>
  <conditionalFormatting sqref="N380:R380">
    <cfRule type="notContainsBlanks" dxfId="8106" priority="8403">
      <formula>LEN(TRIM(N380))&gt;0</formula>
    </cfRule>
  </conditionalFormatting>
  <conditionalFormatting sqref="N380:R380">
    <cfRule type="notContainsBlanks" dxfId="8105" priority="8402">
      <formula>LEN(TRIM(N380))&gt;0</formula>
    </cfRule>
  </conditionalFormatting>
  <conditionalFormatting sqref="N380:R380">
    <cfRule type="notContainsBlanks" priority="8401">
      <formula>LEN(TRIM(N380))&gt;0</formula>
    </cfRule>
  </conditionalFormatting>
  <conditionalFormatting sqref="N380:R380">
    <cfRule type="notContainsBlanks" dxfId="8104" priority="8400">
      <formula>LEN(TRIM(N380))&gt;0</formula>
    </cfRule>
  </conditionalFormatting>
  <conditionalFormatting sqref="U380:Y380">
    <cfRule type="notContainsBlanks" dxfId="8103" priority="8399">
      <formula>LEN(TRIM(U380))&gt;0</formula>
    </cfRule>
  </conditionalFormatting>
  <conditionalFormatting sqref="U380:Y380">
    <cfRule type="notContainsBlanks" dxfId="8102" priority="8398">
      <formula>LEN(TRIM(U380))&gt;0</formula>
    </cfRule>
  </conditionalFormatting>
  <conditionalFormatting sqref="U380:Y380">
    <cfRule type="notContainsBlanks" dxfId="8101" priority="8397">
      <formula>LEN(TRIM(U380))&gt;0</formula>
    </cfRule>
  </conditionalFormatting>
  <conditionalFormatting sqref="U380:Y380">
    <cfRule type="notContainsBlanks" dxfId="8100" priority="8396">
      <formula>LEN(TRIM(U380))&gt;0</formula>
    </cfRule>
  </conditionalFormatting>
  <conditionalFormatting sqref="U380:Y380">
    <cfRule type="notContainsBlanks" dxfId="8099" priority="8395">
      <formula>LEN(TRIM(U380))&gt;0</formula>
    </cfRule>
  </conditionalFormatting>
  <conditionalFormatting sqref="U380:Y380">
    <cfRule type="notContainsBlanks" dxfId="8098" priority="8394">
      <formula>LEN(TRIM(U380))&gt;0</formula>
    </cfRule>
  </conditionalFormatting>
  <conditionalFormatting sqref="U380:Y380">
    <cfRule type="notContainsBlanks" dxfId="8097" priority="8393">
      <formula>LEN(TRIM(U380))&gt;0</formula>
    </cfRule>
  </conditionalFormatting>
  <conditionalFormatting sqref="U380:Y380">
    <cfRule type="notContainsBlanks" dxfId="8096" priority="8392">
      <formula>LEN(TRIM(U380))&gt;0</formula>
    </cfRule>
  </conditionalFormatting>
  <conditionalFormatting sqref="U380:Y380">
    <cfRule type="notContainsBlanks" dxfId="8095" priority="8391">
      <formula>LEN(TRIM(U380))&gt;0</formula>
    </cfRule>
  </conditionalFormatting>
  <conditionalFormatting sqref="U380:Y380">
    <cfRule type="notContainsBlanks" dxfId="8094" priority="8389">
      <formula>LEN(TRIM(U380))&gt;0</formula>
    </cfRule>
    <cfRule type="notContainsBlanks" dxfId="8093" priority="8390">
      <formula>LEN(TRIM(U380))&gt;0</formula>
    </cfRule>
  </conditionalFormatting>
  <conditionalFormatting sqref="U380:Y380">
    <cfRule type="notContainsBlanks" dxfId="8092" priority="8388">
      <formula>LEN(TRIM(U380))&gt;0</formula>
    </cfRule>
  </conditionalFormatting>
  <conditionalFormatting sqref="U380:Y380">
    <cfRule type="notContainsBlanks" dxfId="8091" priority="8387">
      <formula>LEN(TRIM(U380))&gt;0</formula>
    </cfRule>
  </conditionalFormatting>
  <conditionalFormatting sqref="U380:Y380">
    <cfRule type="notContainsBlanks" dxfId="8090" priority="8386">
      <formula>LEN(TRIM(U380))&gt;0</formula>
    </cfRule>
  </conditionalFormatting>
  <conditionalFormatting sqref="U380:Y380">
    <cfRule type="notContainsBlanks" dxfId="8089" priority="8385">
      <formula>LEN(TRIM(U380))&gt;0</formula>
    </cfRule>
  </conditionalFormatting>
  <conditionalFormatting sqref="U380:Y380">
    <cfRule type="notContainsBlanks" dxfId="8088" priority="8384">
      <formula>LEN(TRIM(U380))&gt;0</formula>
    </cfRule>
  </conditionalFormatting>
  <conditionalFormatting sqref="U380:Y380">
    <cfRule type="notContainsBlanks" dxfId="8087" priority="8383">
      <formula>LEN(TRIM(U380))&gt;0</formula>
    </cfRule>
  </conditionalFormatting>
  <conditionalFormatting sqref="U380:Y380">
    <cfRule type="notContainsBlanks" dxfId="8086" priority="8382">
      <formula>LEN(TRIM(U380))&gt;0</formula>
    </cfRule>
  </conditionalFormatting>
  <conditionalFormatting sqref="U380:Y380">
    <cfRule type="notContainsBlanks" dxfId="8085" priority="8381">
      <formula>LEN(TRIM(U380))&gt;0</formula>
    </cfRule>
  </conditionalFormatting>
  <conditionalFormatting sqref="U380:Y380">
    <cfRule type="notContainsBlanks" dxfId="8084" priority="8380">
      <formula>LEN(TRIM(U380))&gt;0</formula>
    </cfRule>
  </conditionalFormatting>
  <conditionalFormatting sqref="U380:Y380">
    <cfRule type="notContainsBlanks" priority="8379">
      <formula>LEN(TRIM(U380))&gt;0</formula>
    </cfRule>
  </conditionalFormatting>
  <conditionalFormatting sqref="U380:Y380">
    <cfRule type="notContainsBlanks" dxfId="8083" priority="8378">
      <formula>LEN(TRIM(U380))&gt;0</formula>
    </cfRule>
  </conditionalFormatting>
  <conditionalFormatting sqref="AB380:AF380">
    <cfRule type="notContainsBlanks" dxfId="8082" priority="8377">
      <formula>LEN(TRIM(AB380))&gt;0</formula>
    </cfRule>
  </conditionalFormatting>
  <conditionalFormatting sqref="AB380:AF380">
    <cfRule type="notContainsBlanks" dxfId="8081" priority="8376">
      <formula>LEN(TRIM(AB380))&gt;0</formula>
    </cfRule>
  </conditionalFormatting>
  <conditionalFormatting sqref="AB380:AF380">
    <cfRule type="notContainsBlanks" dxfId="8080" priority="8375">
      <formula>LEN(TRIM(AB380))&gt;0</formula>
    </cfRule>
  </conditionalFormatting>
  <conditionalFormatting sqref="AB380:AF380">
    <cfRule type="notContainsBlanks" dxfId="8079" priority="8374">
      <formula>LEN(TRIM(AB380))&gt;0</formula>
    </cfRule>
  </conditionalFormatting>
  <conditionalFormatting sqref="AB380:AF380">
    <cfRule type="notContainsBlanks" dxfId="8078" priority="8373">
      <formula>LEN(TRIM(AB380))&gt;0</formula>
    </cfRule>
  </conditionalFormatting>
  <conditionalFormatting sqref="AB380:AF380">
    <cfRule type="notContainsBlanks" dxfId="8077" priority="8372">
      <formula>LEN(TRIM(AB380))&gt;0</formula>
    </cfRule>
  </conditionalFormatting>
  <conditionalFormatting sqref="AB380:AF380">
    <cfRule type="notContainsBlanks" dxfId="8076" priority="8371">
      <formula>LEN(TRIM(AB380))&gt;0</formula>
    </cfRule>
  </conditionalFormatting>
  <conditionalFormatting sqref="AB380:AF380">
    <cfRule type="notContainsBlanks" dxfId="8075" priority="8370">
      <formula>LEN(TRIM(AB380))&gt;0</formula>
    </cfRule>
  </conditionalFormatting>
  <conditionalFormatting sqref="AB380:AF380">
    <cfRule type="notContainsBlanks" dxfId="8074" priority="8369">
      <formula>LEN(TRIM(AB380))&gt;0</formula>
    </cfRule>
  </conditionalFormatting>
  <conditionalFormatting sqref="AB380:AF380">
    <cfRule type="notContainsBlanks" dxfId="8073" priority="8367">
      <formula>LEN(TRIM(AB380))&gt;0</formula>
    </cfRule>
    <cfRule type="notContainsBlanks" dxfId="8072" priority="8368">
      <formula>LEN(TRIM(AB380))&gt;0</formula>
    </cfRule>
  </conditionalFormatting>
  <conditionalFormatting sqref="AB380:AF380">
    <cfRule type="notContainsBlanks" dxfId="8071" priority="8366">
      <formula>LEN(TRIM(AB380))&gt;0</formula>
    </cfRule>
  </conditionalFormatting>
  <conditionalFormatting sqref="AB380:AF380">
    <cfRule type="notContainsBlanks" dxfId="8070" priority="8365">
      <formula>LEN(TRIM(AB380))&gt;0</formula>
    </cfRule>
  </conditionalFormatting>
  <conditionalFormatting sqref="AB380:AF380">
    <cfRule type="notContainsBlanks" dxfId="8069" priority="8364">
      <formula>LEN(TRIM(AB380))&gt;0</formula>
    </cfRule>
  </conditionalFormatting>
  <conditionalFormatting sqref="AB380:AF380">
    <cfRule type="notContainsBlanks" dxfId="8068" priority="8363">
      <formula>LEN(TRIM(AB380))&gt;0</formula>
    </cfRule>
  </conditionalFormatting>
  <conditionalFormatting sqref="AB380:AF380">
    <cfRule type="notContainsBlanks" dxfId="8067" priority="8362">
      <formula>LEN(TRIM(AB380))&gt;0</formula>
    </cfRule>
  </conditionalFormatting>
  <conditionalFormatting sqref="AB380:AF380">
    <cfRule type="notContainsBlanks" dxfId="8066" priority="8361">
      <formula>LEN(TRIM(AB380))&gt;0</formula>
    </cfRule>
  </conditionalFormatting>
  <conditionalFormatting sqref="AB380:AF380">
    <cfRule type="notContainsBlanks" dxfId="8065" priority="8360">
      <formula>LEN(TRIM(AB380))&gt;0</formula>
    </cfRule>
  </conditionalFormatting>
  <conditionalFormatting sqref="AB380:AF380">
    <cfRule type="notContainsBlanks" dxfId="8064" priority="8359">
      <formula>LEN(TRIM(AB380))&gt;0</formula>
    </cfRule>
  </conditionalFormatting>
  <conditionalFormatting sqref="AB380:AF380">
    <cfRule type="notContainsBlanks" dxfId="8063" priority="8358">
      <formula>LEN(TRIM(AB380))&gt;0</formula>
    </cfRule>
  </conditionalFormatting>
  <conditionalFormatting sqref="AB380:AF380">
    <cfRule type="notContainsBlanks" priority="8357">
      <formula>LEN(TRIM(AB380))&gt;0</formula>
    </cfRule>
  </conditionalFormatting>
  <conditionalFormatting sqref="AB380:AF380">
    <cfRule type="notContainsBlanks" dxfId="8062" priority="8356">
      <formula>LEN(TRIM(AB380))&gt;0</formula>
    </cfRule>
  </conditionalFormatting>
  <conditionalFormatting sqref="B378:E389 G380:K380 L378:L379 N380:R380 S378:S380 U380:Y380 Z378:Z379 AB380:AF380 AG378:AG379">
    <cfRule type="notContainsBlanks" dxfId="8061" priority="8355">
      <formula>LEN(TRIM(B378))&gt;0</formula>
    </cfRule>
  </conditionalFormatting>
  <conditionalFormatting sqref="G393">
    <cfRule type="notContainsBlanks" dxfId="8060" priority="8354">
      <formula>LEN(TRIM(G393))&gt;0</formula>
    </cfRule>
  </conditionalFormatting>
  <conditionalFormatting sqref="H393:K393">
    <cfRule type="notContainsBlanks" dxfId="8059" priority="8353">
      <formula>LEN(TRIM(H393))&gt;0</formula>
    </cfRule>
  </conditionalFormatting>
  <conditionalFormatting sqref="G393:K393">
    <cfRule type="notContainsBlanks" dxfId="8058" priority="8352">
      <formula>LEN(TRIM(G393))&gt;0</formula>
    </cfRule>
  </conditionalFormatting>
  <conditionalFormatting sqref="G393:K393">
    <cfRule type="notContainsBlanks" dxfId="8057" priority="8351">
      <formula>LEN(TRIM(G393))&gt;0</formula>
    </cfRule>
  </conditionalFormatting>
  <conditionalFormatting sqref="G393:K393">
    <cfRule type="notContainsBlanks" dxfId="8056" priority="8350">
      <formula>LEN(TRIM(G393))&gt;0</formula>
    </cfRule>
  </conditionalFormatting>
  <conditionalFormatting sqref="G393:K393">
    <cfRule type="notContainsBlanks" dxfId="8055" priority="8349">
      <formula>LEN(TRIM(G393))&gt;0</formula>
    </cfRule>
  </conditionalFormatting>
  <conditionalFormatting sqref="G393:K393">
    <cfRule type="notContainsBlanks" dxfId="8054" priority="8348">
      <formula>LEN(TRIM(G393))&gt;0</formula>
    </cfRule>
  </conditionalFormatting>
  <conditionalFormatting sqref="G393:K393">
    <cfRule type="notContainsBlanks" dxfId="8053" priority="8347">
      <formula>LEN(TRIM(G393))&gt;0</formula>
    </cfRule>
  </conditionalFormatting>
  <conditionalFormatting sqref="G393:K393">
    <cfRule type="notContainsBlanks" dxfId="8052" priority="8346">
      <formula>LEN(TRIM(G393))&gt;0</formula>
    </cfRule>
  </conditionalFormatting>
  <conditionalFormatting sqref="G393:K393">
    <cfRule type="notContainsBlanks" dxfId="8051" priority="8345">
      <formula>LEN(TRIM(G393))&gt;0</formula>
    </cfRule>
  </conditionalFormatting>
  <conditionalFormatting sqref="G393:K393">
    <cfRule type="notContainsBlanks" dxfId="8050" priority="8344">
      <formula>LEN(TRIM(G393))&gt;0</formula>
    </cfRule>
  </conditionalFormatting>
  <conditionalFormatting sqref="G393:K393">
    <cfRule type="notContainsBlanks" dxfId="8049" priority="8342">
      <formula>LEN(TRIM(G393))&gt;0</formula>
    </cfRule>
    <cfRule type="notContainsBlanks" dxfId="8048" priority="8343">
      <formula>LEN(TRIM(G393))&gt;0</formula>
    </cfRule>
  </conditionalFormatting>
  <conditionalFormatting sqref="G393:K393">
    <cfRule type="notContainsBlanks" dxfId="8047" priority="8341">
      <formula>LEN(TRIM(G393))&gt;0</formula>
    </cfRule>
  </conditionalFormatting>
  <conditionalFormatting sqref="G393:K393">
    <cfRule type="notContainsBlanks" dxfId="8046" priority="8340">
      <formula>LEN(TRIM(G393))&gt;0</formula>
    </cfRule>
  </conditionalFormatting>
  <conditionalFormatting sqref="G393:K393">
    <cfRule type="notContainsBlanks" dxfId="8045" priority="8339">
      <formula>LEN(TRIM(G393))&gt;0</formula>
    </cfRule>
  </conditionalFormatting>
  <conditionalFormatting sqref="G393:K393">
    <cfRule type="notContainsBlanks" dxfId="8044" priority="8338">
      <formula>LEN(TRIM(G393))&gt;0</formula>
    </cfRule>
  </conditionalFormatting>
  <conditionalFormatting sqref="G393:K393">
    <cfRule type="notContainsBlanks" dxfId="8043" priority="8337">
      <formula>LEN(TRIM(G393))&gt;0</formula>
    </cfRule>
  </conditionalFormatting>
  <conditionalFormatting sqref="G393:K393">
    <cfRule type="notContainsBlanks" dxfId="8042" priority="8336">
      <formula>LEN(TRIM(G393))&gt;0</formula>
    </cfRule>
  </conditionalFormatting>
  <conditionalFormatting sqref="G393:K393">
    <cfRule type="notContainsBlanks" dxfId="8041" priority="8335">
      <formula>LEN(TRIM(G393))&gt;0</formula>
    </cfRule>
  </conditionalFormatting>
  <conditionalFormatting sqref="G393:K393">
    <cfRule type="notContainsBlanks" dxfId="8040" priority="8334">
      <formula>LEN(TRIM(G393))&gt;0</formula>
    </cfRule>
  </conditionalFormatting>
  <conditionalFormatting sqref="G393:K393">
    <cfRule type="notContainsBlanks" dxfId="8039" priority="8333">
      <formula>LEN(TRIM(G393))&gt;0</formula>
    </cfRule>
  </conditionalFormatting>
  <conditionalFormatting sqref="G393:K393">
    <cfRule type="notContainsBlanks" priority="8332">
      <formula>LEN(TRIM(G393))&gt;0</formula>
    </cfRule>
  </conditionalFormatting>
  <conditionalFormatting sqref="G393:K393">
    <cfRule type="notContainsBlanks" dxfId="8038" priority="8331">
      <formula>LEN(TRIM(G393))&gt;0</formula>
    </cfRule>
  </conditionalFormatting>
  <conditionalFormatting sqref="G393:K393">
    <cfRule type="notContainsBlanks" dxfId="8037" priority="8330">
      <formula>LEN(TRIM(G393))&gt;0</formula>
    </cfRule>
  </conditionalFormatting>
  <conditionalFormatting sqref="N393:R393">
    <cfRule type="notContainsBlanks" dxfId="8036" priority="8329">
      <formula>LEN(TRIM(N393))&gt;0</formula>
    </cfRule>
  </conditionalFormatting>
  <conditionalFormatting sqref="N393:R393">
    <cfRule type="notContainsBlanks" dxfId="8035" priority="8328">
      <formula>LEN(TRIM(N393))&gt;0</formula>
    </cfRule>
  </conditionalFormatting>
  <conditionalFormatting sqref="N393:R393">
    <cfRule type="notContainsBlanks" dxfId="8034" priority="8327">
      <formula>LEN(TRIM(N393))&gt;0</formula>
    </cfRule>
  </conditionalFormatting>
  <conditionalFormatting sqref="N393:R393">
    <cfRule type="notContainsBlanks" dxfId="8033" priority="8326">
      <formula>LEN(TRIM(N393))&gt;0</formula>
    </cfRule>
  </conditionalFormatting>
  <conditionalFormatting sqref="N393:R393">
    <cfRule type="notContainsBlanks" dxfId="8032" priority="8325">
      <formula>LEN(TRIM(N393))&gt;0</formula>
    </cfRule>
  </conditionalFormatting>
  <conditionalFormatting sqref="N393:R393">
    <cfRule type="notContainsBlanks" dxfId="8031" priority="8324">
      <formula>LEN(TRIM(N393))&gt;0</formula>
    </cfRule>
  </conditionalFormatting>
  <conditionalFormatting sqref="N393:R393">
    <cfRule type="notContainsBlanks" dxfId="8030" priority="8323">
      <formula>LEN(TRIM(N393))&gt;0</formula>
    </cfRule>
  </conditionalFormatting>
  <conditionalFormatting sqref="N393:R393">
    <cfRule type="notContainsBlanks" dxfId="8029" priority="8322">
      <formula>LEN(TRIM(N393))&gt;0</formula>
    </cfRule>
  </conditionalFormatting>
  <conditionalFormatting sqref="N393:R393">
    <cfRule type="notContainsBlanks" dxfId="8028" priority="8321">
      <formula>LEN(TRIM(N393))&gt;0</formula>
    </cfRule>
  </conditionalFormatting>
  <conditionalFormatting sqref="N393:R393">
    <cfRule type="notContainsBlanks" dxfId="8027" priority="8319">
      <formula>LEN(TRIM(N393))&gt;0</formula>
    </cfRule>
    <cfRule type="notContainsBlanks" dxfId="8026" priority="8320">
      <formula>LEN(TRIM(N393))&gt;0</formula>
    </cfRule>
  </conditionalFormatting>
  <conditionalFormatting sqref="N393:R393">
    <cfRule type="notContainsBlanks" dxfId="8025" priority="8318">
      <formula>LEN(TRIM(N393))&gt;0</formula>
    </cfRule>
  </conditionalFormatting>
  <conditionalFormatting sqref="N393:R393">
    <cfRule type="notContainsBlanks" dxfId="8024" priority="8317">
      <formula>LEN(TRIM(N393))&gt;0</formula>
    </cfRule>
  </conditionalFormatting>
  <conditionalFormatting sqref="N393:R393">
    <cfRule type="notContainsBlanks" dxfId="8023" priority="8316">
      <formula>LEN(TRIM(N393))&gt;0</formula>
    </cfRule>
  </conditionalFormatting>
  <conditionalFormatting sqref="N393:R393">
    <cfRule type="notContainsBlanks" dxfId="8022" priority="8315">
      <formula>LEN(TRIM(N393))&gt;0</formula>
    </cfRule>
  </conditionalFormatting>
  <conditionalFormatting sqref="N393:R393">
    <cfRule type="notContainsBlanks" dxfId="8021" priority="8314">
      <formula>LEN(TRIM(N393))&gt;0</formula>
    </cfRule>
  </conditionalFormatting>
  <conditionalFormatting sqref="N393:R393">
    <cfRule type="notContainsBlanks" dxfId="8020" priority="8313">
      <formula>LEN(TRIM(N393))&gt;0</formula>
    </cfRule>
  </conditionalFormatting>
  <conditionalFormatting sqref="N393:R393">
    <cfRule type="notContainsBlanks" dxfId="8019" priority="8312">
      <formula>LEN(TRIM(N393))&gt;0</formula>
    </cfRule>
  </conditionalFormatting>
  <conditionalFormatting sqref="N393:R393">
    <cfRule type="notContainsBlanks" dxfId="8018" priority="8311">
      <formula>LEN(TRIM(N393))&gt;0</formula>
    </cfRule>
  </conditionalFormatting>
  <conditionalFormatting sqref="N393:R393">
    <cfRule type="notContainsBlanks" dxfId="8017" priority="8310">
      <formula>LEN(TRIM(N393))&gt;0</formula>
    </cfRule>
  </conditionalFormatting>
  <conditionalFormatting sqref="N393:R393">
    <cfRule type="notContainsBlanks" priority="8309">
      <formula>LEN(TRIM(N393))&gt;0</formula>
    </cfRule>
  </conditionalFormatting>
  <conditionalFormatting sqref="N393:R393">
    <cfRule type="notContainsBlanks" dxfId="8016" priority="8308">
      <formula>LEN(TRIM(N393))&gt;0</formula>
    </cfRule>
  </conditionalFormatting>
  <conditionalFormatting sqref="N393:R393">
    <cfRule type="notContainsBlanks" dxfId="8015" priority="8307">
      <formula>LEN(TRIM(N393))&gt;0</formula>
    </cfRule>
  </conditionalFormatting>
  <conditionalFormatting sqref="U393:Y393">
    <cfRule type="notContainsBlanks" dxfId="8014" priority="8306">
      <formula>LEN(TRIM(U393))&gt;0</formula>
    </cfRule>
  </conditionalFormatting>
  <conditionalFormatting sqref="U393:Y393">
    <cfRule type="notContainsBlanks" dxfId="8013" priority="8305">
      <formula>LEN(TRIM(U393))&gt;0</formula>
    </cfRule>
  </conditionalFormatting>
  <conditionalFormatting sqref="U393:Y393">
    <cfRule type="notContainsBlanks" dxfId="8012" priority="8304">
      <formula>LEN(TRIM(U393))&gt;0</formula>
    </cfRule>
  </conditionalFormatting>
  <conditionalFormatting sqref="U393:Y393">
    <cfRule type="notContainsBlanks" dxfId="8011" priority="8303">
      <formula>LEN(TRIM(U393))&gt;0</formula>
    </cfRule>
  </conditionalFormatting>
  <conditionalFormatting sqref="U393:Y393">
    <cfRule type="notContainsBlanks" dxfId="8010" priority="8302">
      <formula>LEN(TRIM(U393))&gt;0</formula>
    </cfRule>
  </conditionalFormatting>
  <conditionalFormatting sqref="U393:Y393">
    <cfRule type="notContainsBlanks" dxfId="8009" priority="8301">
      <formula>LEN(TRIM(U393))&gt;0</formula>
    </cfRule>
  </conditionalFormatting>
  <conditionalFormatting sqref="U393:Y393">
    <cfRule type="notContainsBlanks" dxfId="8008" priority="8300">
      <formula>LEN(TRIM(U393))&gt;0</formula>
    </cfRule>
  </conditionalFormatting>
  <conditionalFormatting sqref="U393:Y393">
    <cfRule type="notContainsBlanks" dxfId="8007" priority="8299">
      <formula>LEN(TRIM(U393))&gt;0</formula>
    </cfRule>
  </conditionalFormatting>
  <conditionalFormatting sqref="U393:Y393">
    <cfRule type="notContainsBlanks" dxfId="8006" priority="8298">
      <formula>LEN(TRIM(U393))&gt;0</formula>
    </cfRule>
  </conditionalFormatting>
  <conditionalFormatting sqref="U393:Y393">
    <cfRule type="notContainsBlanks" dxfId="8005" priority="8296">
      <formula>LEN(TRIM(U393))&gt;0</formula>
    </cfRule>
    <cfRule type="notContainsBlanks" dxfId="8004" priority="8297">
      <formula>LEN(TRIM(U393))&gt;0</formula>
    </cfRule>
  </conditionalFormatting>
  <conditionalFormatting sqref="U393:Y393">
    <cfRule type="notContainsBlanks" dxfId="8003" priority="8295">
      <formula>LEN(TRIM(U393))&gt;0</formula>
    </cfRule>
  </conditionalFormatting>
  <conditionalFormatting sqref="U393:Y393">
    <cfRule type="notContainsBlanks" dxfId="8002" priority="8294">
      <formula>LEN(TRIM(U393))&gt;0</formula>
    </cfRule>
  </conditionalFormatting>
  <conditionalFormatting sqref="U393:Y393">
    <cfRule type="notContainsBlanks" dxfId="8001" priority="8293">
      <formula>LEN(TRIM(U393))&gt;0</formula>
    </cfRule>
  </conditionalFormatting>
  <conditionalFormatting sqref="U393:Y393">
    <cfRule type="notContainsBlanks" dxfId="8000" priority="8292">
      <formula>LEN(TRIM(U393))&gt;0</formula>
    </cfRule>
  </conditionalFormatting>
  <conditionalFormatting sqref="U393:Y393">
    <cfRule type="notContainsBlanks" dxfId="7999" priority="8291">
      <formula>LEN(TRIM(U393))&gt;0</formula>
    </cfRule>
  </conditionalFormatting>
  <conditionalFormatting sqref="U393:Y393">
    <cfRule type="notContainsBlanks" dxfId="7998" priority="8290">
      <formula>LEN(TRIM(U393))&gt;0</formula>
    </cfRule>
  </conditionalFormatting>
  <conditionalFormatting sqref="U393:Y393">
    <cfRule type="notContainsBlanks" dxfId="7997" priority="8289">
      <formula>LEN(TRIM(U393))&gt;0</formula>
    </cfRule>
  </conditionalFormatting>
  <conditionalFormatting sqref="U393:Y393">
    <cfRule type="notContainsBlanks" dxfId="7996" priority="8288">
      <formula>LEN(TRIM(U393))&gt;0</formula>
    </cfRule>
  </conditionalFormatting>
  <conditionalFormatting sqref="U393:Y393">
    <cfRule type="notContainsBlanks" dxfId="7995" priority="8287">
      <formula>LEN(TRIM(U393))&gt;0</formula>
    </cfRule>
  </conditionalFormatting>
  <conditionalFormatting sqref="U393:Y393">
    <cfRule type="notContainsBlanks" priority="8286">
      <formula>LEN(TRIM(U393))&gt;0</formula>
    </cfRule>
  </conditionalFormatting>
  <conditionalFormatting sqref="U393:Y393">
    <cfRule type="notContainsBlanks" dxfId="7994" priority="8285">
      <formula>LEN(TRIM(U393))&gt;0</formula>
    </cfRule>
  </conditionalFormatting>
  <conditionalFormatting sqref="U393:Y393">
    <cfRule type="notContainsBlanks" dxfId="7993" priority="8284">
      <formula>LEN(TRIM(U393))&gt;0</formula>
    </cfRule>
  </conditionalFormatting>
  <conditionalFormatting sqref="AB393:AF393">
    <cfRule type="notContainsBlanks" dxfId="7992" priority="8283">
      <formula>LEN(TRIM(AB393))&gt;0</formula>
    </cfRule>
  </conditionalFormatting>
  <conditionalFormatting sqref="AB393:AF393">
    <cfRule type="notContainsBlanks" dxfId="7991" priority="8282">
      <formula>LEN(TRIM(AB393))&gt;0</formula>
    </cfRule>
  </conditionalFormatting>
  <conditionalFormatting sqref="AB393:AF393">
    <cfRule type="notContainsBlanks" dxfId="7990" priority="8281">
      <formula>LEN(TRIM(AB393))&gt;0</formula>
    </cfRule>
  </conditionalFormatting>
  <conditionalFormatting sqref="AB393:AF393">
    <cfRule type="notContainsBlanks" dxfId="7989" priority="8280">
      <formula>LEN(TRIM(AB393))&gt;0</formula>
    </cfRule>
  </conditionalFormatting>
  <conditionalFormatting sqref="AB393:AF393">
    <cfRule type="notContainsBlanks" dxfId="7988" priority="8279">
      <formula>LEN(TRIM(AB393))&gt;0</formula>
    </cfRule>
  </conditionalFormatting>
  <conditionalFormatting sqref="AB393:AF393">
    <cfRule type="notContainsBlanks" dxfId="7987" priority="8278">
      <formula>LEN(TRIM(AB393))&gt;0</formula>
    </cfRule>
  </conditionalFormatting>
  <conditionalFormatting sqref="AB393:AF393">
    <cfRule type="notContainsBlanks" dxfId="7986" priority="8277">
      <formula>LEN(TRIM(AB393))&gt;0</formula>
    </cfRule>
  </conditionalFormatting>
  <conditionalFormatting sqref="AB393:AF393">
    <cfRule type="notContainsBlanks" dxfId="7985" priority="8276">
      <formula>LEN(TRIM(AB393))&gt;0</formula>
    </cfRule>
  </conditionalFormatting>
  <conditionalFormatting sqref="AB393:AF393">
    <cfRule type="notContainsBlanks" dxfId="7984" priority="8275">
      <formula>LEN(TRIM(AB393))&gt;0</formula>
    </cfRule>
  </conditionalFormatting>
  <conditionalFormatting sqref="AB393:AF393">
    <cfRule type="notContainsBlanks" dxfId="7983" priority="8273">
      <formula>LEN(TRIM(AB393))&gt;0</formula>
    </cfRule>
    <cfRule type="notContainsBlanks" dxfId="7982" priority="8274">
      <formula>LEN(TRIM(AB393))&gt;0</formula>
    </cfRule>
  </conditionalFormatting>
  <conditionalFormatting sqref="AB393:AF393">
    <cfRule type="notContainsBlanks" dxfId="7981" priority="8272">
      <formula>LEN(TRIM(AB393))&gt;0</formula>
    </cfRule>
  </conditionalFormatting>
  <conditionalFormatting sqref="AB393:AF393">
    <cfRule type="notContainsBlanks" dxfId="7980" priority="8271">
      <formula>LEN(TRIM(AB393))&gt;0</formula>
    </cfRule>
  </conditionalFormatting>
  <conditionalFormatting sqref="AB393:AF393">
    <cfRule type="notContainsBlanks" dxfId="7979" priority="8270">
      <formula>LEN(TRIM(AB393))&gt;0</formula>
    </cfRule>
  </conditionalFormatting>
  <conditionalFormatting sqref="AB393:AF393">
    <cfRule type="notContainsBlanks" dxfId="7978" priority="8269">
      <formula>LEN(TRIM(AB393))&gt;0</formula>
    </cfRule>
  </conditionalFormatting>
  <conditionalFormatting sqref="AB393:AF393">
    <cfRule type="notContainsBlanks" dxfId="7977" priority="8268">
      <formula>LEN(TRIM(AB393))&gt;0</formula>
    </cfRule>
  </conditionalFormatting>
  <conditionalFormatting sqref="AB393:AF393">
    <cfRule type="notContainsBlanks" dxfId="7976" priority="8267">
      <formula>LEN(TRIM(AB393))&gt;0</formula>
    </cfRule>
  </conditionalFormatting>
  <conditionalFormatting sqref="AB393:AF393">
    <cfRule type="notContainsBlanks" dxfId="7975" priority="8266">
      <formula>LEN(TRIM(AB393))&gt;0</formula>
    </cfRule>
  </conditionalFormatting>
  <conditionalFormatting sqref="AB393:AF393">
    <cfRule type="notContainsBlanks" dxfId="7974" priority="8265">
      <formula>LEN(TRIM(AB393))&gt;0</formula>
    </cfRule>
  </conditionalFormatting>
  <conditionalFormatting sqref="AB393:AF393">
    <cfRule type="notContainsBlanks" dxfId="7973" priority="8264">
      <formula>LEN(TRIM(AB393))&gt;0</formula>
    </cfRule>
  </conditionalFormatting>
  <conditionalFormatting sqref="AB393:AF393">
    <cfRule type="notContainsBlanks" priority="8263">
      <formula>LEN(TRIM(AB393))&gt;0</formula>
    </cfRule>
  </conditionalFormatting>
  <conditionalFormatting sqref="AB393:AF393">
    <cfRule type="notContainsBlanks" dxfId="7972" priority="8262">
      <formula>LEN(TRIM(AB393))&gt;0</formula>
    </cfRule>
  </conditionalFormatting>
  <conditionalFormatting sqref="AB393:AF393">
    <cfRule type="notContainsBlanks" dxfId="7971" priority="8261">
      <formula>LEN(TRIM(AB393))&gt;0</formula>
    </cfRule>
  </conditionalFormatting>
  <conditionalFormatting sqref="B391:E402 G393:K393 L391:L392 N393:R393 S391:S392 U393:Y393 Z391:Z392 AB393:AF393 AG391:AG392">
    <cfRule type="notContainsBlanks" dxfId="7970" priority="8260">
      <formula>LEN(TRIM(B391))&gt;0</formula>
    </cfRule>
  </conditionalFormatting>
  <conditionalFormatting sqref="G406">
    <cfRule type="notContainsBlanks" dxfId="7969" priority="8259">
      <formula>LEN(TRIM(G406))&gt;0</formula>
    </cfRule>
  </conditionalFormatting>
  <conditionalFormatting sqref="H406:K406">
    <cfRule type="notContainsBlanks" dxfId="7968" priority="8258">
      <formula>LEN(TRIM(H406))&gt;0</formula>
    </cfRule>
  </conditionalFormatting>
  <conditionalFormatting sqref="G406:K406">
    <cfRule type="notContainsBlanks" dxfId="7967" priority="8257">
      <formula>LEN(TRIM(G406))&gt;0</formula>
    </cfRule>
  </conditionalFormatting>
  <conditionalFormatting sqref="G406:K406">
    <cfRule type="notContainsBlanks" dxfId="7966" priority="8256">
      <formula>LEN(TRIM(G406))&gt;0</formula>
    </cfRule>
  </conditionalFormatting>
  <conditionalFormatting sqref="G406:K406">
    <cfRule type="notContainsBlanks" dxfId="7965" priority="8255">
      <formula>LEN(TRIM(G406))&gt;0</formula>
    </cfRule>
  </conditionalFormatting>
  <conditionalFormatting sqref="G406:K406">
    <cfRule type="notContainsBlanks" dxfId="7964" priority="8254">
      <formula>LEN(TRIM(G406))&gt;0</formula>
    </cfRule>
  </conditionalFormatting>
  <conditionalFormatting sqref="G406:K406">
    <cfRule type="notContainsBlanks" dxfId="7963" priority="8253">
      <formula>LEN(TRIM(G406))&gt;0</formula>
    </cfRule>
  </conditionalFormatting>
  <conditionalFormatting sqref="G406:K406">
    <cfRule type="notContainsBlanks" dxfId="7962" priority="8252">
      <formula>LEN(TRIM(G406))&gt;0</formula>
    </cfRule>
  </conditionalFormatting>
  <conditionalFormatting sqref="G406:K406">
    <cfRule type="notContainsBlanks" dxfId="7961" priority="8251">
      <formula>LEN(TRIM(G406))&gt;0</formula>
    </cfRule>
  </conditionalFormatting>
  <conditionalFormatting sqref="G406:K406">
    <cfRule type="notContainsBlanks" dxfId="7960" priority="8250">
      <formula>LEN(TRIM(G406))&gt;0</formula>
    </cfRule>
  </conditionalFormatting>
  <conditionalFormatting sqref="G406:K406">
    <cfRule type="notContainsBlanks" dxfId="7959" priority="8249">
      <formula>LEN(TRIM(G406))&gt;0</formula>
    </cfRule>
  </conditionalFormatting>
  <conditionalFormatting sqref="G406:K406">
    <cfRule type="notContainsBlanks" dxfId="7958" priority="8247">
      <formula>LEN(TRIM(G406))&gt;0</formula>
    </cfRule>
    <cfRule type="notContainsBlanks" dxfId="7957" priority="8248">
      <formula>LEN(TRIM(G406))&gt;0</formula>
    </cfRule>
  </conditionalFormatting>
  <conditionalFormatting sqref="G406:K406">
    <cfRule type="notContainsBlanks" dxfId="7956" priority="8246">
      <formula>LEN(TRIM(G406))&gt;0</formula>
    </cfRule>
  </conditionalFormatting>
  <conditionalFormatting sqref="G406:K406">
    <cfRule type="notContainsBlanks" dxfId="7955" priority="8245">
      <formula>LEN(TRIM(G406))&gt;0</formula>
    </cfRule>
  </conditionalFormatting>
  <conditionalFormatting sqref="G406:K406">
    <cfRule type="notContainsBlanks" dxfId="7954" priority="8244">
      <formula>LEN(TRIM(G406))&gt;0</formula>
    </cfRule>
  </conditionalFormatting>
  <conditionalFormatting sqref="G406:K406">
    <cfRule type="notContainsBlanks" dxfId="7953" priority="8243">
      <formula>LEN(TRIM(G406))&gt;0</formula>
    </cfRule>
  </conditionalFormatting>
  <conditionalFormatting sqref="G406:K406">
    <cfRule type="notContainsBlanks" dxfId="7952" priority="8242">
      <formula>LEN(TRIM(G406))&gt;0</formula>
    </cfRule>
  </conditionalFormatting>
  <conditionalFormatting sqref="G406:K406">
    <cfRule type="notContainsBlanks" dxfId="7951" priority="8241">
      <formula>LEN(TRIM(G406))&gt;0</formula>
    </cfRule>
  </conditionalFormatting>
  <conditionalFormatting sqref="G406:K406">
    <cfRule type="notContainsBlanks" dxfId="7950" priority="8240">
      <formula>LEN(TRIM(G406))&gt;0</formula>
    </cfRule>
  </conditionalFormatting>
  <conditionalFormatting sqref="G406:K406">
    <cfRule type="notContainsBlanks" dxfId="7949" priority="8239">
      <formula>LEN(TRIM(G406))&gt;0</formula>
    </cfRule>
  </conditionalFormatting>
  <conditionalFormatting sqref="G406:K406">
    <cfRule type="notContainsBlanks" dxfId="7948" priority="8238">
      <formula>LEN(TRIM(G406))&gt;0</formula>
    </cfRule>
  </conditionalFormatting>
  <conditionalFormatting sqref="G406:K406">
    <cfRule type="notContainsBlanks" priority="8237">
      <formula>LEN(TRIM(G406))&gt;0</formula>
    </cfRule>
  </conditionalFormatting>
  <conditionalFormatting sqref="G406:K406">
    <cfRule type="notContainsBlanks" dxfId="7947" priority="8236">
      <formula>LEN(TRIM(G406))&gt;0</formula>
    </cfRule>
  </conditionalFormatting>
  <conditionalFormatting sqref="G406:K406">
    <cfRule type="notContainsBlanks" dxfId="7946" priority="8235">
      <formula>LEN(TRIM(G406))&gt;0</formula>
    </cfRule>
  </conditionalFormatting>
  <conditionalFormatting sqref="G406:K406">
    <cfRule type="notContainsBlanks" dxfId="7945" priority="8234">
      <formula>LEN(TRIM(G406))&gt;0</formula>
    </cfRule>
  </conditionalFormatting>
  <conditionalFormatting sqref="N406:R406">
    <cfRule type="notContainsBlanks" dxfId="7944" priority="8233">
      <formula>LEN(TRIM(N406))&gt;0</formula>
    </cfRule>
  </conditionalFormatting>
  <conditionalFormatting sqref="N406:R406">
    <cfRule type="notContainsBlanks" dxfId="7943" priority="8232">
      <formula>LEN(TRIM(N406))&gt;0</formula>
    </cfRule>
  </conditionalFormatting>
  <conditionalFormatting sqref="N406:R406">
    <cfRule type="notContainsBlanks" dxfId="7942" priority="8231">
      <formula>LEN(TRIM(N406))&gt;0</formula>
    </cfRule>
  </conditionalFormatting>
  <conditionalFormatting sqref="N406:R406">
    <cfRule type="notContainsBlanks" dxfId="7941" priority="8230">
      <formula>LEN(TRIM(N406))&gt;0</formula>
    </cfRule>
  </conditionalFormatting>
  <conditionalFormatting sqref="N406:R406">
    <cfRule type="notContainsBlanks" dxfId="7940" priority="8229">
      <formula>LEN(TRIM(N406))&gt;0</formula>
    </cfRule>
  </conditionalFormatting>
  <conditionalFormatting sqref="N406:R406">
    <cfRule type="notContainsBlanks" dxfId="7939" priority="8228">
      <formula>LEN(TRIM(N406))&gt;0</formula>
    </cfRule>
  </conditionalFormatting>
  <conditionalFormatting sqref="N406:R406">
    <cfRule type="notContainsBlanks" dxfId="7938" priority="8227">
      <formula>LEN(TRIM(N406))&gt;0</formula>
    </cfRule>
  </conditionalFormatting>
  <conditionalFormatting sqref="N406:R406">
    <cfRule type="notContainsBlanks" dxfId="7937" priority="8226">
      <formula>LEN(TRIM(N406))&gt;0</formula>
    </cfRule>
  </conditionalFormatting>
  <conditionalFormatting sqref="N406:R406">
    <cfRule type="notContainsBlanks" dxfId="7936" priority="8225">
      <formula>LEN(TRIM(N406))&gt;0</formula>
    </cfRule>
  </conditionalFormatting>
  <conditionalFormatting sqref="N406:R406">
    <cfRule type="notContainsBlanks" dxfId="7935" priority="8223">
      <formula>LEN(TRIM(N406))&gt;0</formula>
    </cfRule>
    <cfRule type="notContainsBlanks" dxfId="7934" priority="8224">
      <formula>LEN(TRIM(N406))&gt;0</formula>
    </cfRule>
  </conditionalFormatting>
  <conditionalFormatting sqref="N406:R406">
    <cfRule type="notContainsBlanks" dxfId="7933" priority="8222">
      <formula>LEN(TRIM(N406))&gt;0</formula>
    </cfRule>
  </conditionalFormatting>
  <conditionalFormatting sqref="N406:R406">
    <cfRule type="notContainsBlanks" dxfId="7932" priority="8221">
      <formula>LEN(TRIM(N406))&gt;0</formula>
    </cfRule>
  </conditionalFormatting>
  <conditionalFormatting sqref="N406:R406">
    <cfRule type="notContainsBlanks" dxfId="7931" priority="8220">
      <formula>LEN(TRIM(N406))&gt;0</formula>
    </cfRule>
  </conditionalFormatting>
  <conditionalFormatting sqref="N406:R406">
    <cfRule type="notContainsBlanks" dxfId="7930" priority="8219">
      <formula>LEN(TRIM(N406))&gt;0</formula>
    </cfRule>
  </conditionalFormatting>
  <conditionalFormatting sqref="N406:R406">
    <cfRule type="notContainsBlanks" dxfId="7929" priority="8218">
      <formula>LEN(TRIM(N406))&gt;0</formula>
    </cfRule>
  </conditionalFormatting>
  <conditionalFormatting sqref="N406:R406">
    <cfRule type="notContainsBlanks" dxfId="7928" priority="8217">
      <formula>LEN(TRIM(N406))&gt;0</formula>
    </cfRule>
  </conditionalFormatting>
  <conditionalFormatting sqref="N406:R406">
    <cfRule type="notContainsBlanks" dxfId="7927" priority="8216">
      <formula>LEN(TRIM(N406))&gt;0</formula>
    </cfRule>
  </conditionalFormatting>
  <conditionalFormatting sqref="N406:R406">
    <cfRule type="notContainsBlanks" dxfId="7926" priority="8215">
      <formula>LEN(TRIM(N406))&gt;0</formula>
    </cfRule>
  </conditionalFormatting>
  <conditionalFormatting sqref="N406:R406">
    <cfRule type="notContainsBlanks" dxfId="7925" priority="8214">
      <formula>LEN(TRIM(N406))&gt;0</formula>
    </cfRule>
  </conditionalFormatting>
  <conditionalFormatting sqref="N406:R406">
    <cfRule type="notContainsBlanks" priority="8213">
      <formula>LEN(TRIM(N406))&gt;0</formula>
    </cfRule>
  </conditionalFormatting>
  <conditionalFormatting sqref="N406:R406">
    <cfRule type="notContainsBlanks" dxfId="7924" priority="8212">
      <formula>LEN(TRIM(N406))&gt;0</formula>
    </cfRule>
  </conditionalFormatting>
  <conditionalFormatting sqref="N406:R406">
    <cfRule type="notContainsBlanks" dxfId="7923" priority="8211">
      <formula>LEN(TRIM(N406))&gt;0</formula>
    </cfRule>
  </conditionalFormatting>
  <conditionalFormatting sqref="N406:R406">
    <cfRule type="notContainsBlanks" dxfId="7922" priority="8210">
      <formula>LEN(TRIM(N406))&gt;0</formula>
    </cfRule>
  </conditionalFormatting>
  <conditionalFormatting sqref="U406:Y406">
    <cfRule type="notContainsBlanks" dxfId="7921" priority="8209">
      <formula>LEN(TRIM(U406))&gt;0</formula>
    </cfRule>
  </conditionalFormatting>
  <conditionalFormatting sqref="U406:Y406">
    <cfRule type="notContainsBlanks" dxfId="7920" priority="8208">
      <formula>LEN(TRIM(U406))&gt;0</formula>
    </cfRule>
  </conditionalFormatting>
  <conditionalFormatting sqref="U406:Y406">
    <cfRule type="notContainsBlanks" dxfId="7919" priority="8207">
      <formula>LEN(TRIM(U406))&gt;0</formula>
    </cfRule>
  </conditionalFormatting>
  <conditionalFormatting sqref="U406:Y406">
    <cfRule type="notContainsBlanks" dxfId="7918" priority="8206">
      <formula>LEN(TRIM(U406))&gt;0</formula>
    </cfRule>
  </conditionalFormatting>
  <conditionalFormatting sqref="U406:Y406">
    <cfRule type="notContainsBlanks" dxfId="7917" priority="8205">
      <formula>LEN(TRIM(U406))&gt;0</formula>
    </cfRule>
  </conditionalFormatting>
  <conditionalFormatting sqref="U406:Y406">
    <cfRule type="notContainsBlanks" dxfId="7916" priority="8204">
      <formula>LEN(TRIM(U406))&gt;0</formula>
    </cfRule>
  </conditionalFormatting>
  <conditionalFormatting sqref="U406:Y406">
    <cfRule type="notContainsBlanks" dxfId="7915" priority="8203">
      <formula>LEN(TRIM(U406))&gt;0</formula>
    </cfRule>
  </conditionalFormatting>
  <conditionalFormatting sqref="U406:Y406">
    <cfRule type="notContainsBlanks" dxfId="7914" priority="8202">
      <formula>LEN(TRIM(U406))&gt;0</formula>
    </cfRule>
  </conditionalFormatting>
  <conditionalFormatting sqref="U406:Y406">
    <cfRule type="notContainsBlanks" dxfId="7913" priority="8201">
      <formula>LEN(TRIM(U406))&gt;0</formula>
    </cfRule>
  </conditionalFormatting>
  <conditionalFormatting sqref="U406:Y406">
    <cfRule type="notContainsBlanks" dxfId="7912" priority="8199">
      <formula>LEN(TRIM(U406))&gt;0</formula>
    </cfRule>
    <cfRule type="notContainsBlanks" dxfId="7911" priority="8200">
      <formula>LEN(TRIM(U406))&gt;0</formula>
    </cfRule>
  </conditionalFormatting>
  <conditionalFormatting sqref="U406:Y406">
    <cfRule type="notContainsBlanks" dxfId="7910" priority="8198">
      <formula>LEN(TRIM(U406))&gt;0</formula>
    </cfRule>
  </conditionalFormatting>
  <conditionalFormatting sqref="U406:Y406">
    <cfRule type="notContainsBlanks" dxfId="7909" priority="8197">
      <formula>LEN(TRIM(U406))&gt;0</formula>
    </cfRule>
  </conditionalFormatting>
  <conditionalFormatting sqref="U406:Y406">
    <cfRule type="notContainsBlanks" dxfId="7908" priority="8196">
      <formula>LEN(TRIM(U406))&gt;0</formula>
    </cfRule>
  </conditionalFormatting>
  <conditionalFormatting sqref="U406:Y406">
    <cfRule type="notContainsBlanks" dxfId="7907" priority="8195">
      <formula>LEN(TRIM(U406))&gt;0</formula>
    </cfRule>
  </conditionalFormatting>
  <conditionalFormatting sqref="U406:Y406">
    <cfRule type="notContainsBlanks" dxfId="7906" priority="8194">
      <formula>LEN(TRIM(U406))&gt;0</formula>
    </cfRule>
  </conditionalFormatting>
  <conditionalFormatting sqref="U406:Y406">
    <cfRule type="notContainsBlanks" dxfId="7905" priority="8193">
      <formula>LEN(TRIM(U406))&gt;0</formula>
    </cfRule>
  </conditionalFormatting>
  <conditionalFormatting sqref="U406:Y406">
    <cfRule type="notContainsBlanks" dxfId="7904" priority="8192">
      <formula>LEN(TRIM(U406))&gt;0</formula>
    </cfRule>
  </conditionalFormatting>
  <conditionalFormatting sqref="U406:Y406">
    <cfRule type="notContainsBlanks" dxfId="7903" priority="8191">
      <formula>LEN(TRIM(U406))&gt;0</formula>
    </cfRule>
  </conditionalFormatting>
  <conditionalFormatting sqref="U406:Y406">
    <cfRule type="notContainsBlanks" dxfId="7902" priority="8190">
      <formula>LEN(TRIM(U406))&gt;0</formula>
    </cfRule>
  </conditionalFormatting>
  <conditionalFormatting sqref="U406:Y406">
    <cfRule type="notContainsBlanks" priority="8189">
      <formula>LEN(TRIM(U406))&gt;0</formula>
    </cfRule>
  </conditionalFormatting>
  <conditionalFormatting sqref="U406:Y406">
    <cfRule type="notContainsBlanks" dxfId="7901" priority="8188">
      <formula>LEN(TRIM(U406))&gt;0</formula>
    </cfRule>
  </conditionalFormatting>
  <conditionalFormatting sqref="U406:Y406">
    <cfRule type="notContainsBlanks" dxfId="7900" priority="8187">
      <formula>LEN(TRIM(U406))&gt;0</formula>
    </cfRule>
  </conditionalFormatting>
  <conditionalFormatting sqref="U406:Y406">
    <cfRule type="notContainsBlanks" dxfId="7899" priority="8186">
      <formula>LEN(TRIM(U406))&gt;0</formula>
    </cfRule>
  </conditionalFormatting>
  <conditionalFormatting sqref="AB406:AF406">
    <cfRule type="notContainsBlanks" dxfId="7898" priority="8185">
      <formula>LEN(TRIM(AB406))&gt;0</formula>
    </cfRule>
  </conditionalFormatting>
  <conditionalFormatting sqref="AB406:AF406">
    <cfRule type="notContainsBlanks" dxfId="7897" priority="8184">
      <formula>LEN(TRIM(AB406))&gt;0</formula>
    </cfRule>
  </conditionalFormatting>
  <conditionalFormatting sqref="AB406:AF406">
    <cfRule type="notContainsBlanks" dxfId="7896" priority="8183">
      <formula>LEN(TRIM(AB406))&gt;0</formula>
    </cfRule>
  </conditionalFormatting>
  <conditionalFormatting sqref="AB406:AF406">
    <cfRule type="notContainsBlanks" dxfId="7895" priority="8182">
      <formula>LEN(TRIM(AB406))&gt;0</formula>
    </cfRule>
  </conditionalFormatting>
  <conditionalFormatting sqref="AB406:AF406">
    <cfRule type="notContainsBlanks" dxfId="7894" priority="8181">
      <formula>LEN(TRIM(AB406))&gt;0</formula>
    </cfRule>
  </conditionalFormatting>
  <conditionalFormatting sqref="AB406:AF406">
    <cfRule type="notContainsBlanks" dxfId="7893" priority="8180">
      <formula>LEN(TRIM(AB406))&gt;0</formula>
    </cfRule>
  </conditionalFormatting>
  <conditionalFormatting sqref="AB406:AF406">
    <cfRule type="notContainsBlanks" dxfId="7892" priority="8179">
      <formula>LEN(TRIM(AB406))&gt;0</formula>
    </cfRule>
  </conditionalFormatting>
  <conditionalFormatting sqref="AB406:AF406">
    <cfRule type="notContainsBlanks" dxfId="7891" priority="8178">
      <formula>LEN(TRIM(AB406))&gt;0</formula>
    </cfRule>
  </conditionalFormatting>
  <conditionalFormatting sqref="AB406:AF406">
    <cfRule type="notContainsBlanks" dxfId="7890" priority="8177">
      <formula>LEN(TRIM(AB406))&gt;0</formula>
    </cfRule>
  </conditionalFormatting>
  <conditionalFormatting sqref="AB406:AF406">
    <cfRule type="notContainsBlanks" dxfId="7889" priority="8175">
      <formula>LEN(TRIM(AB406))&gt;0</formula>
    </cfRule>
    <cfRule type="notContainsBlanks" dxfId="7888" priority="8176">
      <formula>LEN(TRIM(AB406))&gt;0</formula>
    </cfRule>
  </conditionalFormatting>
  <conditionalFormatting sqref="AB406:AF406">
    <cfRule type="notContainsBlanks" dxfId="7887" priority="8174">
      <formula>LEN(TRIM(AB406))&gt;0</formula>
    </cfRule>
  </conditionalFormatting>
  <conditionalFormatting sqref="AB406:AF406">
    <cfRule type="notContainsBlanks" dxfId="7886" priority="8173">
      <formula>LEN(TRIM(AB406))&gt;0</formula>
    </cfRule>
  </conditionalFormatting>
  <conditionalFormatting sqref="AB406:AF406">
    <cfRule type="notContainsBlanks" dxfId="7885" priority="8172">
      <formula>LEN(TRIM(AB406))&gt;0</formula>
    </cfRule>
  </conditionalFormatting>
  <conditionalFormatting sqref="AB406:AF406">
    <cfRule type="notContainsBlanks" dxfId="7884" priority="8171">
      <formula>LEN(TRIM(AB406))&gt;0</formula>
    </cfRule>
  </conditionalFormatting>
  <conditionalFormatting sqref="AB406:AF406">
    <cfRule type="notContainsBlanks" dxfId="7883" priority="8170">
      <formula>LEN(TRIM(AB406))&gt;0</formula>
    </cfRule>
  </conditionalFormatting>
  <conditionalFormatting sqref="AB406:AF406">
    <cfRule type="notContainsBlanks" dxfId="7882" priority="8169">
      <formula>LEN(TRIM(AB406))&gt;0</formula>
    </cfRule>
  </conditionalFormatting>
  <conditionalFormatting sqref="AB406:AF406">
    <cfRule type="notContainsBlanks" dxfId="7881" priority="8168">
      <formula>LEN(TRIM(AB406))&gt;0</formula>
    </cfRule>
  </conditionalFormatting>
  <conditionalFormatting sqref="AB406:AF406">
    <cfRule type="notContainsBlanks" dxfId="7880" priority="8167">
      <formula>LEN(TRIM(AB406))&gt;0</formula>
    </cfRule>
  </conditionalFormatting>
  <conditionalFormatting sqref="AB406:AF406">
    <cfRule type="notContainsBlanks" dxfId="7879" priority="8166">
      <formula>LEN(TRIM(AB406))&gt;0</formula>
    </cfRule>
  </conditionalFormatting>
  <conditionalFormatting sqref="AB406:AF406">
    <cfRule type="notContainsBlanks" priority="8165">
      <formula>LEN(TRIM(AB406))&gt;0</formula>
    </cfRule>
  </conditionalFormatting>
  <conditionalFormatting sqref="AB406:AF406">
    <cfRule type="notContainsBlanks" dxfId="7878" priority="8164">
      <formula>LEN(TRIM(AB406))&gt;0</formula>
    </cfRule>
  </conditionalFormatting>
  <conditionalFormatting sqref="AB406:AF406">
    <cfRule type="notContainsBlanks" dxfId="7877" priority="8163">
      <formula>LEN(TRIM(AB406))&gt;0</formula>
    </cfRule>
  </conditionalFormatting>
  <conditionalFormatting sqref="AB406:AF406">
    <cfRule type="notContainsBlanks" dxfId="7876" priority="8162">
      <formula>LEN(TRIM(AB406))&gt;0</formula>
    </cfRule>
  </conditionalFormatting>
  <conditionalFormatting sqref="B404:E415 G406:K406 L404:L405 N406:R406 S404:S405 U406:Y406 Z404:Z405 AB406:AF406 AG404:AG405">
    <cfRule type="notContainsBlanks" dxfId="7875" priority="8161">
      <formula>LEN(TRIM(B404))&gt;0</formula>
    </cfRule>
  </conditionalFormatting>
  <conditionalFormatting sqref="G419">
    <cfRule type="notContainsBlanks" dxfId="7874" priority="8160">
      <formula>LEN(TRIM(G419))&gt;0</formula>
    </cfRule>
  </conditionalFormatting>
  <conditionalFormatting sqref="H419:K419">
    <cfRule type="notContainsBlanks" dxfId="7873" priority="8159">
      <formula>LEN(TRIM(H419))&gt;0</formula>
    </cfRule>
  </conditionalFormatting>
  <conditionalFormatting sqref="G419:K419">
    <cfRule type="notContainsBlanks" dxfId="7872" priority="8158">
      <formula>LEN(TRIM(G419))&gt;0</formula>
    </cfRule>
  </conditionalFormatting>
  <conditionalFormatting sqref="G419:K419">
    <cfRule type="notContainsBlanks" dxfId="7871" priority="8157">
      <formula>LEN(TRIM(G419))&gt;0</formula>
    </cfRule>
  </conditionalFormatting>
  <conditionalFormatting sqref="G419:K419">
    <cfRule type="notContainsBlanks" dxfId="7870" priority="8156">
      <formula>LEN(TRIM(G419))&gt;0</formula>
    </cfRule>
  </conditionalFormatting>
  <conditionalFormatting sqref="G419:K419">
    <cfRule type="notContainsBlanks" dxfId="7869" priority="8155">
      <formula>LEN(TRIM(G419))&gt;0</formula>
    </cfRule>
  </conditionalFormatting>
  <conditionalFormatting sqref="G419:K419">
    <cfRule type="notContainsBlanks" dxfId="7868" priority="8154">
      <formula>LEN(TRIM(G419))&gt;0</formula>
    </cfRule>
  </conditionalFormatting>
  <conditionalFormatting sqref="G419:K419">
    <cfRule type="notContainsBlanks" dxfId="7867" priority="8153">
      <formula>LEN(TRIM(G419))&gt;0</formula>
    </cfRule>
  </conditionalFormatting>
  <conditionalFormatting sqref="G419:K419">
    <cfRule type="notContainsBlanks" dxfId="7866" priority="8152">
      <formula>LEN(TRIM(G419))&gt;0</formula>
    </cfRule>
  </conditionalFormatting>
  <conditionalFormatting sqref="G419:K419">
    <cfRule type="notContainsBlanks" dxfId="7865" priority="8151">
      <formula>LEN(TRIM(G419))&gt;0</formula>
    </cfRule>
  </conditionalFormatting>
  <conditionalFormatting sqref="G419:K419">
    <cfRule type="notContainsBlanks" dxfId="7864" priority="8150">
      <formula>LEN(TRIM(G419))&gt;0</formula>
    </cfRule>
  </conditionalFormatting>
  <conditionalFormatting sqref="G419:K419">
    <cfRule type="notContainsBlanks" dxfId="7863" priority="8148">
      <formula>LEN(TRIM(G419))&gt;0</formula>
    </cfRule>
    <cfRule type="notContainsBlanks" dxfId="7862" priority="8149">
      <formula>LEN(TRIM(G419))&gt;0</formula>
    </cfRule>
  </conditionalFormatting>
  <conditionalFormatting sqref="G419:K419">
    <cfRule type="notContainsBlanks" dxfId="7861" priority="8147">
      <formula>LEN(TRIM(G419))&gt;0</formula>
    </cfRule>
  </conditionalFormatting>
  <conditionalFormatting sqref="G419:K419">
    <cfRule type="notContainsBlanks" dxfId="7860" priority="8146">
      <formula>LEN(TRIM(G419))&gt;0</formula>
    </cfRule>
  </conditionalFormatting>
  <conditionalFormatting sqref="G419:K419">
    <cfRule type="notContainsBlanks" dxfId="7859" priority="8145">
      <formula>LEN(TRIM(G419))&gt;0</formula>
    </cfRule>
  </conditionalFormatting>
  <conditionalFormatting sqref="G419:K419">
    <cfRule type="notContainsBlanks" dxfId="7858" priority="8144">
      <formula>LEN(TRIM(G419))&gt;0</formula>
    </cfRule>
  </conditionalFormatting>
  <conditionalFormatting sqref="G419:K419">
    <cfRule type="notContainsBlanks" dxfId="7857" priority="8143">
      <formula>LEN(TRIM(G419))&gt;0</formula>
    </cfRule>
  </conditionalFormatting>
  <conditionalFormatting sqref="G419:K419">
    <cfRule type="notContainsBlanks" dxfId="7856" priority="8142">
      <formula>LEN(TRIM(G419))&gt;0</formula>
    </cfRule>
  </conditionalFormatting>
  <conditionalFormatting sqref="G419:K419">
    <cfRule type="notContainsBlanks" dxfId="7855" priority="8141">
      <formula>LEN(TRIM(G419))&gt;0</formula>
    </cfRule>
  </conditionalFormatting>
  <conditionalFormatting sqref="G419:K419">
    <cfRule type="notContainsBlanks" dxfId="7854" priority="8140">
      <formula>LEN(TRIM(G419))&gt;0</formula>
    </cfRule>
  </conditionalFormatting>
  <conditionalFormatting sqref="G419:K419">
    <cfRule type="notContainsBlanks" dxfId="7853" priority="8139">
      <formula>LEN(TRIM(G419))&gt;0</formula>
    </cfRule>
  </conditionalFormatting>
  <conditionalFormatting sqref="G419:K419">
    <cfRule type="notContainsBlanks" priority="8138">
      <formula>LEN(TRIM(G419))&gt;0</formula>
    </cfRule>
  </conditionalFormatting>
  <conditionalFormatting sqref="G419:K419">
    <cfRule type="notContainsBlanks" dxfId="7852" priority="8137">
      <formula>LEN(TRIM(G419))&gt;0</formula>
    </cfRule>
  </conditionalFormatting>
  <conditionalFormatting sqref="G419:K419">
    <cfRule type="notContainsBlanks" dxfId="7851" priority="8136">
      <formula>LEN(TRIM(G419))&gt;0</formula>
    </cfRule>
  </conditionalFormatting>
  <conditionalFormatting sqref="G419:K419">
    <cfRule type="notContainsBlanks" dxfId="7850" priority="8135">
      <formula>LEN(TRIM(G419))&gt;0</formula>
    </cfRule>
  </conditionalFormatting>
  <conditionalFormatting sqref="G419:K419">
    <cfRule type="notContainsBlanks" dxfId="7849" priority="8134">
      <formula>LEN(TRIM(G419))&gt;0</formula>
    </cfRule>
  </conditionalFormatting>
  <conditionalFormatting sqref="N419:R419">
    <cfRule type="notContainsBlanks" dxfId="7848" priority="8133">
      <formula>LEN(TRIM(N419))&gt;0</formula>
    </cfRule>
  </conditionalFormatting>
  <conditionalFormatting sqref="N419:R419">
    <cfRule type="notContainsBlanks" dxfId="7847" priority="8132">
      <formula>LEN(TRIM(N419))&gt;0</formula>
    </cfRule>
  </conditionalFormatting>
  <conditionalFormatting sqref="N419:R419">
    <cfRule type="notContainsBlanks" dxfId="7846" priority="8131">
      <formula>LEN(TRIM(N419))&gt;0</formula>
    </cfRule>
  </conditionalFormatting>
  <conditionalFormatting sqref="N419:R419">
    <cfRule type="notContainsBlanks" dxfId="7845" priority="8130">
      <formula>LEN(TRIM(N419))&gt;0</formula>
    </cfRule>
  </conditionalFormatting>
  <conditionalFormatting sqref="N419:R419">
    <cfRule type="notContainsBlanks" dxfId="7844" priority="8129">
      <formula>LEN(TRIM(N419))&gt;0</formula>
    </cfRule>
  </conditionalFormatting>
  <conditionalFormatting sqref="N419:R419">
    <cfRule type="notContainsBlanks" dxfId="7843" priority="8128">
      <formula>LEN(TRIM(N419))&gt;0</formula>
    </cfRule>
  </conditionalFormatting>
  <conditionalFormatting sqref="N419:R419">
    <cfRule type="notContainsBlanks" dxfId="7842" priority="8127">
      <formula>LEN(TRIM(N419))&gt;0</formula>
    </cfRule>
  </conditionalFormatting>
  <conditionalFormatting sqref="N419:R419">
    <cfRule type="notContainsBlanks" dxfId="7841" priority="8126">
      <formula>LEN(TRIM(N419))&gt;0</formula>
    </cfRule>
  </conditionalFormatting>
  <conditionalFormatting sqref="N419:R419">
    <cfRule type="notContainsBlanks" dxfId="7840" priority="8125">
      <formula>LEN(TRIM(N419))&gt;0</formula>
    </cfRule>
  </conditionalFormatting>
  <conditionalFormatting sqref="N419:R419">
    <cfRule type="notContainsBlanks" dxfId="7839" priority="8123">
      <formula>LEN(TRIM(N419))&gt;0</formula>
    </cfRule>
    <cfRule type="notContainsBlanks" dxfId="7838" priority="8124">
      <formula>LEN(TRIM(N419))&gt;0</formula>
    </cfRule>
  </conditionalFormatting>
  <conditionalFormatting sqref="N419:R419">
    <cfRule type="notContainsBlanks" dxfId="7837" priority="8122">
      <formula>LEN(TRIM(N419))&gt;0</formula>
    </cfRule>
  </conditionalFormatting>
  <conditionalFormatting sqref="N419:R419">
    <cfRule type="notContainsBlanks" dxfId="7836" priority="8121">
      <formula>LEN(TRIM(N419))&gt;0</formula>
    </cfRule>
  </conditionalFormatting>
  <conditionalFormatting sqref="N419:R419">
    <cfRule type="notContainsBlanks" dxfId="7835" priority="8120">
      <formula>LEN(TRIM(N419))&gt;0</formula>
    </cfRule>
  </conditionalFormatting>
  <conditionalFormatting sqref="N419:R419">
    <cfRule type="notContainsBlanks" dxfId="7834" priority="8119">
      <formula>LEN(TRIM(N419))&gt;0</formula>
    </cfRule>
  </conditionalFormatting>
  <conditionalFormatting sqref="N419:R419">
    <cfRule type="notContainsBlanks" dxfId="7833" priority="8118">
      <formula>LEN(TRIM(N419))&gt;0</formula>
    </cfRule>
  </conditionalFormatting>
  <conditionalFormatting sqref="N419:R419">
    <cfRule type="notContainsBlanks" dxfId="7832" priority="8117">
      <formula>LEN(TRIM(N419))&gt;0</formula>
    </cfRule>
  </conditionalFormatting>
  <conditionalFormatting sqref="N419:R419">
    <cfRule type="notContainsBlanks" dxfId="7831" priority="8116">
      <formula>LEN(TRIM(N419))&gt;0</formula>
    </cfRule>
  </conditionalFormatting>
  <conditionalFormatting sqref="N419:R419">
    <cfRule type="notContainsBlanks" dxfId="7830" priority="8115">
      <formula>LEN(TRIM(N419))&gt;0</formula>
    </cfRule>
  </conditionalFormatting>
  <conditionalFormatting sqref="N419:R419">
    <cfRule type="notContainsBlanks" dxfId="7829" priority="8114">
      <formula>LEN(TRIM(N419))&gt;0</formula>
    </cfRule>
  </conditionalFormatting>
  <conditionalFormatting sqref="N419:R419">
    <cfRule type="notContainsBlanks" priority="8113">
      <formula>LEN(TRIM(N419))&gt;0</formula>
    </cfRule>
  </conditionalFormatting>
  <conditionalFormatting sqref="N419:R419">
    <cfRule type="notContainsBlanks" dxfId="7828" priority="8112">
      <formula>LEN(TRIM(N419))&gt;0</formula>
    </cfRule>
  </conditionalFormatting>
  <conditionalFormatting sqref="N419:R419">
    <cfRule type="notContainsBlanks" dxfId="7827" priority="8111">
      <formula>LEN(TRIM(N419))&gt;0</formula>
    </cfRule>
  </conditionalFormatting>
  <conditionalFormatting sqref="N419:R419">
    <cfRule type="notContainsBlanks" dxfId="7826" priority="8110">
      <formula>LEN(TRIM(N419))&gt;0</formula>
    </cfRule>
  </conditionalFormatting>
  <conditionalFormatting sqref="N419:R419">
    <cfRule type="notContainsBlanks" dxfId="7825" priority="8109">
      <formula>LEN(TRIM(N419))&gt;0</formula>
    </cfRule>
  </conditionalFormatting>
  <conditionalFormatting sqref="U419:Y419">
    <cfRule type="notContainsBlanks" dxfId="7824" priority="8108">
      <formula>LEN(TRIM(U419))&gt;0</formula>
    </cfRule>
  </conditionalFormatting>
  <conditionalFormatting sqref="U419:Y419">
    <cfRule type="notContainsBlanks" dxfId="7823" priority="8107">
      <formula>LEN(TRIM(U419))&gt;0</formula>
    </cfRule>
  </conditionalFormatting>
  <conditionalFormatting sqref="U419:Y419">
    <cfRule type="notContainsBlanks" dxfId="7822" priority="8106">
      <formula>LEN(TRIM(U419))&gt;0</formula>
    </cfRule>
  </conditionalFormatting>
  <conditionalFormatting sqref="U419:Y419">
    <cfRule type="notContainsBlanks" dxfId="7821" priority="8105">
      <formula>LEN(TRIM(U419))&gt;0</formula>
    </cfRule>
  </conditionalFormatting>
  <conditionalFormatting sqref="U419:Y419">
    <cfRule type="notContainsBlanks" dxfId="7820" priority="8104">
      <formula>LEN(TRIM(U419))&gt;0</formula>
    </cfRule>
  </conditionalFormatting>
  <conditionalFormatting sqref="U419:Y419">
    <cfRule type="notContainsBlanks" dxfId="7819" priority="8103">
      <formula>LEN(TRIM(U419))&gt;0</formula>
    </cfRule>
  </conditionalFormatting>
  <conditionalFormatting sqref="U419:Y419">
    <cfRule type="notContainsBlanks" dxfId="7818" priority="8102">
      <formula>LEN(TRIM(U419))&gt;0</formula>
    </cfRule>
  </conditionalFormatting>
  <conditionalFormatting sqref="U419:Y419">
    <cfRule type="notContainsBlanks" dxfId="7817" priority="8101">
      <formula>LEN(TRIM(U419))&gt;0</formula>
    </cfRule>
  </conditionalFormatting>
  <conditionalFormatting sqref="U419:Y419">
    <cfRule type="notContainsBlanks" dxfId="7816" priority="8100">
      <formula>LEN(TRIM(U419))&gt;0</formula>
    </cfRule>
  </conditionalFormatting>
  <conditionalFormatting sqref="U419:Y419">
    <cfRule type="notContainsBlanks" dxfId="7815" priority="8098">
      <formula>LEN(TRIM(U419))&gt;0</formula>
    </cfRule>
    <cfRule type="notContainsBlanks" dxfId="7814" priority="8099">
      <formula>LEN(TRIM(U419))&gt;0</formula>
    </cfRule>
  </conditionalFormatting>
  <conditionalFormatting sqref="U419:Y419">
    <cfRule type="notContainsBlanks" dxfId="7813" priority="8097">
      <formula>LEN(TRIM(U419))&gt;0</formula>
    </cfRule>
  </conditionalFormatting>
  <conditionalFormatting sqref="U419:Y419">
    <cfRule type="notContainsBlanks" dxfId="7812" priority="8096">
      <formula>LEN(TRIM(U419))&gt;0</formula>
    </cfRule>
  </conditionalFormatting>
  <conditionalFormatting sqref="U419:Y419">
    <cfRule type="notContainsBlanks" dxfId="7811" priority="8095">
      <formula>LEN(TRIM(U419))&gt;0</formula>
    </cfRule>
  </conditionalFormatting>
  <conditionalFormatting sqref="U419:Y419">
    <cfRule type="notContainsBlanks" dxfId="7810" priority="8094">
      <formula>LEN(TRIM(U419))&gt;0</formula>
    </cfRule>
  </conditionalFormatting>
  <conditionalFormatting sqref="U419:Y419">
    <cfRule type="notContainsBlanks" dxfId="7809" priority="8093">
      <formula>LEN(TRIM(U419))&gt;0</formula>
    </cfRule>
  </conditionalFormatting>
  <conditionalFormatting sqref="U419:Y419">
    <cfRule type="notContainsBlanks" dxfId="7808" priority="8092">
      <formula>LEN(TRIM(U419))&gt;0</formula>
    </cfRule>
  </conditionalFormatting>
  <conditionalFormatting sqref="U419:Y419">
    <cfRule type="notContainsBlanks" dxfId="7807" priority="8091">
      <formula>LEN(TRIM(U419))&gt;0</formula>
    </cfRule>
  </conditionalFormatting>
  <conditionalFormatting sqref="U419:Y419">
    <cfRule type="notContainsBlanks" dxfId="7806" priority="8090">
      <formula>LEN(TRIM(U419))&gt;0</formula>
    </cfRule>
  </conditionalFormatting>
  <conditionalFormatting sqref="U419:Y419">
    <cfRule type="notContainsBlanks" dxfId="7805" priority="8089">
      <formula>LEN(TRIM(U419))&gt;0</formula>
    </cfRule>
  </conditionalFormatting>
  <conditionalFormatting sqref="U419:Y419">
    <cfRule type="notContainsBlanks" priority="8088">
      <formula>LEN(TRIM(U419))&gt;0</formula>
    </cfRule>
  </conditionalFormatting>
  <conditionalFormatting sqref="U419:Y419">
    <cfRule type="notContainsBlanks" dxfId="7804" priority="8087">
      <formula>LEN(TRIM(U419))&gt;0</formula>
    </cfRule>
  </conditionalFormatting>
  <conditionalFormatting sqref="U419:Y419">
    <cfRule type="notContainsBlanks" dxfId="7803" priority="8086">
      <formula>LEN(TRIM(U419))&gt;0</formula>
    </cfRule>
  </conditionalFormatting>
  <conditionalFormatting sqref="U419:Y419">
    <cfRule type="notContainsBlanks" dxfId="7802" priority="8085">
      <formula>LEN(TRIM(U419))&gt;0</formula>
    </cfRule>
  </conditionalFormatting>
  <conditionalFormatting sqref="U419:Y419">
    <cfRule type="notContainsBlanks" dxfId="7801" priority="8084">
      <formula>LEN(TRIM(U419))&gt;0</formula>
    </cfRule>
  </conditionalFormatting>
  <conditionalFormatting sqref="AB419:AF419">
    <cfRule type="notContainsBlanks" dxfId="7800" priority="8083">
      <formula>LEN(TRIM(AB419))&gt;0</formula>
    </cfRule>
  </conditionalFormatting>
  <conditionalFormatting sqref="AB419:AF419">
    <cfRule type="notContainsBlanks" dxfId="7799" priority="8082">
      <formula>LEN(TRIM(AB419))&gt;0</formula>
    </cfRule>
  </conditionalFormatting>
  <conditionalFormatting sqref="AB419:AF419">
    <cfRule type="notContainsBlanks" dxfId="7798" priority="8081">
      <formula>LEN(TRIM(AB419))&gt;0</formula>
    </cfRule>
  </conditionalFormatting>
  <conditionalFormatting sqref="AB419:AF419">
    <cfRule type="notContainsBlanks" dxfId="7797" priority="8080">
      <formula>LEN(TRIM(AB419))&gt;0</formula>
    </cfRule>
  </conditionalFormatting>
  <conditionalFormatting sqref="AB419:AF419">
    <cfRule type="notContainsBlanks" dxfId="7796" priority="8079">
      <formula>LEN(TRIM(AB419))&gt;0</formula>
    </cfRule>
  </conditionalFormatting>
  <conditionalFormatting sqref="AB419:AF419">
    <cfRule type="notContainsBlanks" dxfId="7795" priority="8078">
      <formula>LEN(TRIM(AB419))&gt;0</formula>
    </cfRule>
  </conditionalFormatting>
  <conditionalFormatting sqref="AB419:AF419">
    <cfRule type="notContainsBlanks" dxfId="7794" priority="8077">
      <formula>LEN(TRIM(AB419))&gt;0</formula>
    </cfRule>
  </conditionalFormatting>
  <conditionalFormatting sqref="AB419:AF419">
    <cfRule type="notContainsBlanks" dxfId="7793" priority="8076">
      <formula>LEN(TRIM(AB419))&gt;0</formula>
    </cfRule>
  </conditionalFormatting>
  <conditionalFormatting sqref="AB419:AF419">
    <cfRule type="notContainsBlanks" dxfId="7792" priority="8075">
      <formula>LEN(TRIM(AB419))&gt;0</formula>
    </cfRule>
  </conditionalFormatting>
  <conditionalFormatting sqref="AB419:AF419">
    <cfRule type="notContainsBlanks" dxfId="7791" priority="8073">
      <formula>LEN(TRIM(AB419))&gt;0</formula>
    </cfRule>
    <cfRule type="notContainsBlanks" dxfId="7790" priority="8074">
      <formula>LEN(TRIM(AB419))&gt;0</formula>
    </cfRule>
  </conditionalFormatting>
  <conditionalFormatting sqref="AB419:AF419">
    <cfRule type="notContainsBlanks" dxfId="7789" priority="8072">
      <formula>LEN(TRIM(AB419))&gt;0</formula>
    </cfRule>
  </conditionalFormatting>
  <conditionalFormatting sqref="AB419:AF419">
    <cfRule type="notContainsBlanks" dxfId="7788" priority="8071">
      <formula>LEN(TRIM(AB419))&gt;0</formula>
    </cfRule>
  </conditionalFormatting>
  <conditionalFormatting sqref="AB419:AF419">
    <cfRule type="notContainsBlanks" dxfId="7787" priority="8070">
      <formula>LEN(TRIM(AB419))&gt;0</formula>
    </cfRule>
  </conditionalFormatting>
  <conditionalFormatting sqref="AB419:AF419">
    <cfRule type="notContainsBlanks" dxfId="7786" priority="8069">
      <formula>LEN(TRIM(AB419))&gt;0</formula>
    </cfRule>
  </conditionalFormatting>
  <conditionalFormatting sqref="AB419:AF419">
    <cfRule type="notContainsBlanks" dxfId="7785" priority="8068">
      <formula>LEN(TRIM(AB419))&gt;0</formula>
    </cfRule>
  </conditionalFormatting>
  <conditionalFormatting sqref="AB419:AF419">
    <cfRule type="notContainsBlanks" dxfId="7784" priority="8067">
      <formula>LEN(TRIM(AB419))&gt;0</formula>
    </cfRule>
  </conditionalFormatting>
  <conditionalFormatting sqref="AB419:AF419">
    <cfRule type="notContainsBlanks" dxfId="7783" priority="8066">
      <formula>LEN(TRIM(AB419))&gt;0</formula>
    </cfRule>
  </conditionalFormatting>
  <conditionalFormatting sqref="AB419:AF419">
    <cfRule type="notContainsBlanks" dxfId="7782" priority="8065">
      <formula>LEN(TRIM(AB419))&gt;0</formula>
    </cfRule>
  </conditionalFormatting>
  <conditionalFormatting sqref="AB419:AF419">
    <cfRule type="notContainsBlanks" dxfId="7781" priority="8064">
      <formula>LEN(TRIM(AB419))&gt;0</formula>
    </cfRule>
  </conditionalFormatting>
  <conditionalFormatting sqref="AB419:AF419">
    <cfRule type="notContainsBlanks" priority="8063">
      <formula>LEN(TRIM(AB419))&gt;0</formula>
    </cfRule>
  </conditionalFormatting>
  <conditionalFormatting sqref="AB419:AF419">
    <cfRule type="notContainsBlanks" dxfId="7780" priority="8062">
      <formula>LEN(TRIM(AB419))&gt;0</formula>
    </cfRule>
  </conditionalFormatting>
  <conditionalFormatting sqref="AB419:AF419">
    <cfRule type="notContainsBlanks" dxfId="7779" priority="8061">
      <formula>LEN(TRIM(AB419))&gt;0</formula>
    </cfRule>
  </conditionalFormatting>
  <conditionalFormatting sqref="AB419:AF419">
    <cfRule type="notContainsBlanks" dxfId="7778" priority="8060">
      <formula>LEN(TRIM(AB419))&gt;0</formula>
    </cfRule>
  </conditionalFormatting>
  <conditionalFormatting sqref="AB419:AF419">
    <cfRule type="notContainsBlanks" dxfId="7777" priority="8059">
      <formula>LEN(TRIM(AB419))&gt;0</formula>
    </cfRule>
  </conditionalFormatting>
  <conditionalFormatting sqref="B417:E428 G419:K419 L417:L418 N419:R419 S417:S418 U419:Y419 Z417:Z418 AB419:AF419 AG417:AG418">
    <cfRule type="notContainsBlanks" dxfId="7776" priority="8058">
      <formula>LEN(TRIM(B417))&gt;0</formula>
    </cfRule>
  </conditionalFormatting>
  <conditionalFormatting sqref="G432">
    <cfRule type="notContainsBlanks" dxfId="7775" priority="8057">
      <formula>LEN(TRIM(G432))&gt;0</formula>
    </cfRule>
  </conditionalFormatting>
  <conditionalFormatting sqref="H432:K432">
    <cfRule type="notContainsBlanks" dxfId="7774" priority="8056">
      <formula>LEN(TRIM(H432))&gt;0</formula>
    </cfRule>
  </conditionalFormatting>
  <conditionalFormatting sqref="G432:K432">
    <cfRule type="notContainsBlanks" dxfId="7773" priority="8055">
      <formula>LEN(TRIM(G432))&gt;0</formula>
    </cfRule>
  </conditionalFormatting>
  <conditionalFormatting sqref="G432:K432">
    <cfRule type="notContainsBlanks" dxfId="7772" priority="8054">
      <formula>LEN(TRIM(G432))&gt;0</formula>
    </cfRule>
  </conditionalFormatting>
  <conditionalFormatting sqref="G432:K432">
    <cfRule type="notContainsBlanks" dxfId="7771" priority="8053">
      <formula>LEN(TRIM(G432))&gt;0</formula>
    </cfRule>
  </conditionalFormatting>
  <conditionalFormatting sqref="G432:K432">
    <cfRule type="notContainsBlanks" dxfId="7770" priority="8052">
      <formula>LEN(TRIM(G432))&gt;0</formula>
    </cfRule>
  </conditionalFormatting>
  <conditionalFormatting sqref="G432:K432">
    <cfRule type="notContainsBlanks" dxfId="7769" priority="8051">
      <formula>LEN(TRIM(G432))&gt;0</formula>
    </cfRule>
  </conditionalFormatting>
  <conditionalFormatting sqref="G432:K432">
    <cfRule type="notContainsBlanks" dxfId="7768" priority="8050">
      <formula>LEN(TRIM(G432))&gt;0</formula>
    </cfRule>
  </conditionalFormatting>
  <conditionalFormatting sqref="G432:K432">
    <cfRule type="notContainsBlanks" dxfId="7767" priority="8049">
      <formula>LEN(TRIM(G432))&gt;0</formula>
    </cfRule>
  </conditionalFormatting>
  <conditionalFormatting sqref="G432:K432">
    <cfRule type="notContainsBlanks" dxfId="7766" priority="8048">
      <formula>LEN(TRIM(G432))&gt;0</formula>
    </cfRule>
  </conditionalFormatting>
  <conditionalFormatting sqref="G432:K432">
    <cfRule type="notContainsBlanks" dxfId="7765" priority="8047">
      <formula>LEN(TRIM(G432))&gt;0</formula>
    </cfRule>
  </conditionalFormatting>
  <conditionalFormatting sqref="G432:K432">
    <cfRule type="notContainsBlanks" dxfId="7764" priority="8045">
      <formula>LEN(TRIM(G432))&gt;0</formula>
    </cfRule>
    <cfRule type="notContainsBlanks" dxfId="7763" priority="8046">
      <formula>LEN(TRIM(G432))&gt;0</formula>
    </cfRule>
  </conditionalFormatting>
  <conditionalFormatting sqref="G432:K432">
    <cfRule type="notContainsBlanks" dxfId="7762" priority="8044">
      <formula>LEN(TRIM(G432))&gt;0</formula>
    </cfRule>
  </conditionalFormatting>
  <conditionalFormatting sqref="G432:K432">
    <cfRule type="notContainsBlanks" dxfId="7761" priority="8043">
      <formula>LEN(TRIM(G432))&gt;0</formula>
    </cfRule>
  </conditionalFormatting>
  <conditionalFormatting sqref="G432:K432">
    <cfRule type="notContainsBlanks" dxfId="7760" priority="8042">
      <formula>LEN(TRIM(G432))&gt;0</formula>
    </cfRule>
  </conditionalFormatting>
  <conditionalFormatting sqref="G432:K432">
    <cfRule type="notContainsBlanks" dxfId="7759" priority="8041">
      <formula>LEN(TRIM(G432))&gt;0</formula>
    </cfRule>
  </conditionalFormatting>
  <conditionalFormatting sqref="G432:K432">
    <cfRule type="notContainsBlanks" dxfId="7758" priority="8040">
      <formula>LEN(TRIM(G432))&gt;0</formula>
    </cfRule>
  </conditionalFormatting>
  <conditionalFormatting sqref="G432:K432">
    <cfRule type="notContainsBlanks" dxfId="7757" priority="8039">
      <formula>LEN(TRIM(G432))&gt;0</formula>
    </cfRule>
  </conditionalFormatting>
  <conditionalFormatting sqref="G432:K432">
    <cfRule type="notContainsBlanks" dxfId="7756" priority="8038">
      <formula>LEN(TRIM(G432))&gt;0</formula>
    </cfRule>
  </conditionalFormatting>
  <conditionalFormatting sqref="G432:K432">
    <cfRule type="notContainsBlanks" dxfId="7755" priority="8037">
      <formula>LEN(TRIM(G432))&gt;0</formula>
    </cfRule>
  </conditionalFormatting>
  <conditionalFormatting sqref="G432:K432">
    <cfRule type="notContainsBlanks" dxfId="7754" priority="8036">
      <formula>LEN(TRIM(G432))&gt;0</formula>
    </cfRule>
  </conditionalFormatting>
  <conditionalFormatting sqref="G432:K432">
    <cfRule type="notContainsBlanks" priority="8035">
      <formula>LEN(TRIM(G432))&gt;0</formula>
    </cfRule>
  </conditionalFormatting>
  <conditionalFormatting sqref="G432:K432">
    <cfRule type="notContainsBlanks" dxfId="7753" priority="8034">
      <formula>LEN(TRIM(G432))&gt;0</formula>
    </cfRule>
  </conditionalFormatting>
  <conditionalFormatting sqref="G432:K432">
    <cfRule type="notContainsBlanks" dxfId="7752" priority="8033">
      <formula>LEN(TRIM(G432))&gt;0</formula>
    </cfRule>
  </conditionalFormatting>
  <conditionalFormatting sqref="G432:K432">
    <cfRule type="notContainsBlanks" dxfId="7751" priority="8032">
      <formula>LEN(TRIM(G432))&gt;0</formula>
    </cfRule>
  </conditionalFormatting>
  <conditionalFormatting sqref="G432:K432">
    <cfRule type="notContainsBlanks" dxfId="7750" priority="8031">
      <formula>LEN(TRIM(G432))&gt;0</formula>
    </cfRule>
  </conditionalFormatting>
  <conditionalFormatting sqref="G432:K432">
    <cfRule type="notContainsBlanks" dxfId="7749" priority="8030">
      <formula>LEN(TRIM(G432))&gt;0</formula>
    </cfRule>
  </conditionalFormatting>
  <conditionalFormatting sqref="N432:R432">
    <cfRule type="notContainsBlanks" dxfId="7748" priority="8029">
      <formula>LEN(TRIM(N432))&gt;0</formula>
    </cfRule>
  </conditionalFormatting>
  <conditionalFormatting sqref="N432:R432">
    <cfRule type="notContainsBlanks" dxfId="7747" priority="8028">
      <formula>LEN(TRIM(N432))&gt;0</formula>
    </cfRule>
  </conditionalFormatting>
  <conditionalFormatting sqref="N432:R432">
    <cfRule type="notContainsBlanks" dxfId="7746" priority="8027">
      <formula>LEN(TRIM(N432))&gt;0</formula>
    </cfRule>
  </conditionalFormatting>
  <conditionalFormatting sqref="N432:R432">
    <cfRule type="notContainsBlanks" dxfId="7745" priority="8026">
      <formula>LEN(TRIM(N432))&gt;0</formula>
    </cfRule>
  </conditionalFormatting>
  <conditionalFormatting sqref="N432:R432">
    <cfRule type="notContainsBlanks" dxfId="7744" priority="8025">
      <formula>LEN(TRIM(N432))&gt;0</formula>
    </cfRule>
  </conditionalFormatting>
  <conditionalFormatting sqref="N432:R432">
    <cfRule type="notContainsBlanks" dxfId="7743" priority="8024">
      <formula>LEN(TRIM(N432))&gt;0</formula>
    </cfRule>
  </conditionalFormatting>
  <conditionalFormatting sqref="N432:R432">
    <cfRule type="notContainsBlanks" dxfId="7742" priority="8023">
      <formula>LEN(TRIM(N432))&gt;0</formula>
    </cfRule>
  </conditionalFormatting>
  <conditionalFormatting sqref="N432:R432">
    <cfRule type="notContainsBlanks" dxfId="7741" priority="8022">
      <formula>LEN(TRIM(N432))&gt;0</formula>
    </cfRule>
  </conditionalFormatting>
  <conditionalFormatting sqref="N432:R432">
    <cfRule type="notContainsBlanks" dxfId="7740" priority="8021">
      <formula>LEN(TRIM(N432))&gt;0</formula>
    </cfRule>
  </conditionalFormatting>
  <conditionalFormatting sqref="N432:R432">
    <cfRule type="notContainsBlanks" dxfId="7739" priority="8019">
      <formula>LEN(TRIM(N432))&gt;0</formula>
    </cfRule>
    <cfRule type="notContainsBlanks" dxfId="7738" priority="8020">
      <formula>LEN(TRIM(N432))&gt;0</formula>
    </cfRule>
  </conditionalFormatting>
  <conditionalFormatting sqref="N432:R432">
    <cfRule type="notContainsBlanks" dxfId="7737" priority="8018">
      <formula>LEN(TRIM(N432))&gt;0</formula>
    </cfRule>
  </conditionalFormatting>
  <conditionalFormatting sqref="N432:R432">
    <cfRule type="notContainsBlanks" dxfId="7736" priority="8017">
      <formula>LEN(TRIM(N432))&gt;0</formula>
    </cfRule>
  </conditionalFormatting>
  <conditionalFormatting sqref="N432:R432">
    <cfRule type="notContainsBlanks" dxfId="7735" priority="8016">
      <formula>LEN(TRIM(N432))&gt;0</formula>
    </cfRule>
  </conditionalFormatting>
  <conditionalFormatting sqref="N432:R432">
    <cfRule type="notContainsBlanks" dxfId="7734" priority="8015">
      <formula>LEN(TRIM(N432))&gt;0</formula>
    </cfRule>
  </conditionalFormatting>
  <conditionalFormatting sqref="N432:R432">
    <cfRule type="notContainsBlanks" dxfId="7733" priority="8014">
      <formula>LEN(TRIM(N432))&gt;0</formula>
    </cfRule>
  </conditionalFormatting>
  <conditionalFormatting sqref="N432:R432">
    <cfRule type="notContainsBlanks" dxfId="7732" priority="8013">
      <formula>LEN(TRIM(N432))&gt;0</formula>
    </cfRule>
  </conditionalFormatting>
  <conditionalFormatting sqref="N432:R432">
    <cfRule type="notContainsBlanks" dxfId="7731" priority="8012">
      <formula>LEN(TRIM(N432))&gt;0</formula>
    </cfRule>
  </conditionalFormatting>
  <conditionalFormatting sqref="N432:R432">
    <cfRule type="notContainsBlanks" dxfId="7730" priority="8011">
      <formula>LEN(TRIM(N432))&gt;0</formula>
    </cfRule>
  </conditionalFormatting>
  <conditionalFormatting sqref="N432:R432">
    <cfRule type="notContainsBlanks" dxfId="7729" priority="8010">
      <formula>LEN(TRIM(N432))&gt;0</formula>
    </cfRule>
  </conditionalFormatting>
  <conditionalFormatting sqref="N432:R432">
    <cfRule type="notContainsBlanks" priority="8009">
      <formula>LEN(TRIM(N432))&gt;0</formula>
    </cfRule>
  </conditionalFormatting>
  <conditionalFormatting sqref="N432:R432">
    <cfRule type="notContainsBlanks" dxfId="7728" priority="8008">
      <formula>LEN(TRIM(N432))&gt;0</formula>
    </cfRule>
  </conditionalFormatting>
  <conditionalFormatting sqref="N432:R432">
    <cfRule type="notContainsBlanks" dxfId="7727" priority="8007">
      <formula>LEN(TRIM(N432))&gt;0</formula>
    </cfRule>
  </conditionalFormatting>
  <conditionalFormatting sqref="N432:R432">
    <cfRule type="notContainsBlanks" dxfId="7726" priority="8006">
      <formula>LEN(TRIM(N432))&gt;0</formula>
    </cfRule>
  </conditionalFormatting>
  <conditionalFormatting sqref="N432:R432">
    <cfRule type="notContainsBlanks" dxfId="7725" priority="8005">
      <formula>LEN(TRIM(N432))&gt;0</formula>
    </cfRule>
  </conditionalFormatting>
  <conditionalFormatting sqref="N432:R432">
    <cfRule type="notContainsBlanks" dxfId="7724" priority="8004">
      <formula>LEN(TRIM(N432))&gt;0</formula>
    </cfRule>
  </conditionalFormatting>
  <conditionalFormatting sqref="G445">
    <cfRule type="notContainsBlanks" dxfId="7723" priority="8003">
      <formula>LEN(TRIM(G445))&gt;0</formula>
    </cfRule>
  </conditionalFormatting>
  <conditionalFormatting sqref="H445:K445">
    <cfRule type="notContainsBlanks" dxfId="7722" priority="8002">
      <formula>LEN(TRIM(H445))&gt;0</formula>
    </cfRule>
  </conditionalFormatting>
  <conditionalFormatting sqref="G445:K445">
    <cfRule type="notContainsBlanks" dxfId="7721" priority="8001">
      <formula>LEN(TRIM(G445))&gt;0</formula>
    </cfRule>
  </conditionalFormatting>
  <conditionalFormatting sqref="G445:K445">
    <cfRule type="notContainsBlanks" dxfId="7720" priority="8000">
      <formula>LEN(TRIM(G445))&gt;0</formula>
    </cfRule>
  </conditionalFormatting>
  <conditionalFormatting sqref="G445:K445">
    <cfRule type="notContainsBlanks" dxfId="7719" priority="7999">
      <formula>LEN(TRIM(G445))&gt;0</formula>
    </cfRule>
  </conditionalFormatting>
  <conditionalFormatting sqref="G445:K445">
    <cfRule type="notContainsBlanks" dxfId="7718" priority="7998">
      <formula>LEN(TRIM(G445))&gt;0</formula>
    </cfRule>
  </conditionalFormatting>
  <conditionalFormatting sqref="G445:K445">
    <cfRule type="notContainsBlanks" dxfId="7717" priority="7997">
      <formula>LEN(TRIM(G445))&gt;0</formula>
    </cfRule>
  </conditionalFormatting>
  <conditionalFormatting sqref="G445:K445">
    <cfRule type="notContainsBlanks" dxfId="7716" priority="7996">
      <formula>LEN(TRIM(G445))&gt;0</formula>
    </cfRule>
  </conditionalFormatting>
  <conditionalFormatting sqref="G445:K445">
    <cfRule type="notContainsBlanks" dxfId="7715" priority="7995">
      <formula>LEN(TRIM(G445))&gt;0</formula>
    </cfRule>
  </conditionalFormatting>
  <conditionalFormatting sqref="G445:K445">
    <cfRule type="notContainsBlanks" dxfId="7714" priority="7994">
      <formula>LEN(TRIM(G445))&gt;0</formula>
    </cfRule>
  </conditionalFormatting>
  <conditionalFormatting sqref="G445:K445">
    <cfRule type="notContainsBlanks" dxfId="7713" priority="7993">
      <formula>LEN(TRIM(G445))&gt;0</formula>
    </cfRule>
  </conditionalFormatting>
  <conditionalFormatting sqref="G445:K445">
    <cfRule type="notContainsBlanks" dxfId="7712" priority="7991">
      <formula>LEN(TRIM(G445))&gt;0</formula>
    </cfRule>
    <cfRule type="notContainsBlanks" dxfId="7711" priority="7992">
      <formula>LEN(TRIM(G445))&gt;0</formula>
    </cfRule>
  </conditionalFormatting>
  <conditionalFormatting sqref="G445:K445">
    <cfRule type="notContainsBlanks" dxfId="7710" priority="7990">
      <formula>LEN(TRIM(G445))&gt;0</formula>
    </cfRule>
  </conditionalFormatting>
  <conditionalFormatting sqref="G445:K445">
    <cfRule type="notContainsBlanks" dxfId="7709" priority="7989">
      <formula>LEN(TRIM(G445))&gt;0</formula>
    </cfRule>
  </conditionalFormatting>
  <conditionalFormatting sqref="G445:K445">
    <cfRule type="notContainsBlanks" dxfId="7708" priority="7988">
      <formula>LEN(TRIM(G445))&gt;0</formula>
    </cfRule>
  </conditionalFormatting>
  <conditionalFormatting sqref="G445:K445">
    <cfRule type="notContainsBlanks" dxfId="7707" priority="7987">
      <formula>LEN(TRIM(G445))&gt;0</formula>
    </cfRule>
  </conditionalFormatting>
  <conditionalFormatting sqref="G445:K445">
    <cfRule type="notContainsBlanks" dxfId="7706" priority="7986">
      <formula>LEN(TRIM(G445))&gt;0</formula>
    </cfRule>
  </conditionalFormatting>
  <conditionalFormatting sqref="G445:K445">
    <cfRule type="notContainsBlanks" dxfId="7705" priority="7985">
      <formula>LEN(TRIM(G445))&gt;0</formula>
    </cfRule>
  </conditionalFormatting>
  <conditionalFormatting sqref="G445:K445">
    <cfRule type="notContainsBlanks" dxfId="7704" priority="7984">
      <formula>LEN(TRIM(G445))&gt;0</formula>
    </cfRule>
  </conditionalFormatting>
  <conditionalFormatting sqref="G445:K445">
    <cfRule type="notContainsBlanks" dxfId="7703" priority="7983">
      <formula>LEN(TRIM(G445))&gt;0</formula>
    </cfRule>
  </conditionalFormatting>
  <conditionalFormatting sqref="G445:K445">
    <cfRule type="notContainsBlanks" dxfId="7702" priority="7982">
      <formula>LEN(TRIM(G445))&gt;0</formula>
    </cfRule>
  </conditionalFormatting>
  <conditionalFormatting sqref="G445:K445">
    <cfRule type="notContainsBlanks" priority="7981">
      <formula>LEN(TRIM(G445))&gt;0</formula>
    </cfRule>
  </conditionalFormatting>
  <conditionalFormatting sqref="G445:K445">
    <cfRule type="notContainsBlanks" dxfId="7701" priority="7980">
      <formula>LEN(TRIM(G445))&gt;0</formula>
    </cfRule>
  </conditionalFormatting>
  <conditionalFormatting sqref="G445:K445">
    <cfRule type="notContainsBlanks" dxfId="7700" priority="7979">
      <formula>LEN(TRIM(G445))&gt;0</formula>
    </cfRule>
  </conditionalFormatting>
  <conditionalFormatting sqref="G445:K445">
    <cfRule type="notContainsBlanks" dxfId="7699" priority="7978">
      <formula>LEN(TRIM(G445))&gt;0</formula>
    </cfRule>
  </conditionalFormatting>
  <conditionalFormatting sqref="G445:K445">
    <cfRule type="notContainsBlanks" dxfId="7698" priority="7977">
      <formula>LEN(TRIM(G445))&gt;0</formula>
    </cfRule>
  </conditionalFormatting>
  <conditionalFormatting sqref="G445:K445">
    <cfRule type="notContainsBlanks" dxfId="7697" priority="7976">
      <formula>LEN(TRIM(G445))&gt;0</formula>
    </cfRule>
  </conditionalFormatting>
  <conditionalFormatting sqref="B430:E441 B443:E454 B456:E467 B469:E480 B482:E493 B495:E506 B508:E519 B521:E532 B534:E545 B547:E558 B560:E571 B573:E584 B586:E597 B599:E610 B612:E623 B625:E636 B638:E649 B651:E662 B664:E675 B677:E688 B690:E701 B703:E714 B716:E727 B729:E740 B742:E753 B755:E766 B768:E779 B781:E792 B794:E805 B807:E818 B820:E831 B833:E844 B846:E857 B859:E870 B872:E883 B885:E896 B898:E909 B911:E922 B924:E935 B937:E948 B950:E961 B963:E974 B976:E987 B989:E1000 B1002:E1013 B1015:E1026 B1028:E1039 B1041:E1052 B1054:E1065 B1067:E1078 B1080:E1091 B1093:E1104 B1106:E1117 B1119:E1130 B1132:E1143 B1145:E1156 B1158:E1169 B1171:E1182 B1184:E1195 B1197:E1208 B1210:E1221 B1223:E1234 B1236:E1247 B1249:E1260 B1262:E1273 B1275:E1286 B1288:E1299 B1301:E1312 B1314:E1325 B1327:E1338">
    <cfRule type="notContainsBlanks" dxfId="7696" priority="7975">
      <formula>LEN(TRIM(B430))&gt;0</formula>
    </cfRule>
  </conditionalFormatting>
  <conditionalFormatting sqref="G458">
    <cfRule type="notContainsBlanks" dxfId="7695" priority="7974">
      <formula>LEN(TRIM(G458))&gt;0</formula>
    </cfRule>
  </conditionalFormatting>
  <conditionalFormatting sqref="H458:K458">
    <cfRule type="notContainsBlanks" dxfId="7694" priority="7973">
      <formula>LEN(TRIM(H458))&gt;0</formula>
    </cfRule>
  </conditionalFormatting>
  <conditionalFormatting sqref="G458:K458">
    <cfRule type="notContainsBlanks" dxfId="7693" priority="7972">
      <formula>LEN(TRIM(G458))&gt;0</formula>
    </cfRule>
  </conditionalFormatting>
  <conditionalFormatting sqref="G458:K458">
    <cfRule type="notContainsBlanks" dxfId="7692" priority="7971">
      <formula>LEN(TRIM(G458))&gt;0</formula>
    </cfRule>
  </conditionalFormatting>
  <conditionalFormatting sqref="G458:K458">
    <cfRule type="notContainsBlanks" dxfId="7691" priority="7970">
      <formula>LEN(TRIM(G458))&gt;0</formula>
    </cfRule>
  </conditionalFormatting>
  <conditionalFormatting sqref="G458:K458">
    <cfRule type="notContainsBlanks" dxfId="7690" priority="7969">
      <formula>LEN(TRIM(G458))&gt;0</formula>
    </cfRule>
  </conditionalFormatting>
  <conditionalFormatting sqref="G458:K458">
    <cfRule type="notContainsBlanks" dxfId="7689" priority="7968">
      <formula>LEN(TRIM(G458))&gt;0</formula>
    </cfRule>
  </conditionalFormatting>
  <conditionalFormatting sqref="G458:K458">
    <cfRule type="notContainsBlanks" dxfId="7688" priority="7967">
      <formula>LEN(TRIM(G458))&gt;0</formula>
    </cfRule>
  </conditionalFormatting>
  <conditionalFormatting sqref="G458:K458">
    <cfRule type="notContainsBlanks" dxfId="7687" priority="7966">
      <formula>LEN(TRIM(G458))&gt;0</formula>
    </cfRule>
  </conditionalFormatting>
  <conditionalFormatting sqref="G458:K458">
    <cfRule type="notContainsBlanks" dxfId="7686" priority="7965">
      <formula>LEN(TRIM(G458))&gt;0</formula>
    </cfRule>
  </conditionalFormatting>
  <conditionalFormatting sqref="G458:K458">
    <cfRule type="notContainsBlanks" dxfId="7685" priority="7964">
      <formula>LEN(TRIM(G458))&gt;0</formula>
    </cfRule>
  </conditionalFormatting>
  <conditionalFormatting sqref="G458:K458">
    <cfRule type="notContainsBlanks" dxfId="7684" priority="7962">
      <formula>LEN(TRIM(G458))&gt;0</formula>
    </cfRule>
    <cfRule type="notContainsBlanks" dxfId="7683" priority="7963">
      <formula>LEN(TRIM(G458))&gt;0</formula>
    </cfRule>
  </conditionalFormatting>
  <conditionalFormatting sqref="G458:K458">
    <cfRule type="notContainsBlanks" dxfId="7682" priority="7961">
      <formula>LEN(TRIM(G458))&gt;0</formula>
    </cfRule>
  </conditionalFormatting>
  <conditionalFormatting sqref="G458:K458">
    <cfRule type="notContainsBlanks" dxfId="7681" priority="7960">
      <formula>LEN(TRIM(G458))&gt;0</formula>
    </cfRule>
  </conditionalFormatting>
  <conditionalFormatting sqref="G458:K458">
    <cfRule type="notContainsBlanks" dxfId="7680" priority="7959">
      <formula>LEN(TRIM(G458))&gt;0</formula>
    </cfRule>
  </conditionalFormatting>
  <conditionalFormatting sqref="G458:K458">
    <cfRule type="notContainsBlanks" dxfId="7679" priority="7958">
      <formula>LEN(TRIM(G458))&gt;0</formula>
    </cfRule>
  </conditionalFormatting>
  <conditionalFormatting sqref="G458:K458">
    <cfRule type="notContainsBlanks" dxfId="7678" priority="7957">
      <formula>LEN(TRIM(G458))&gt;0</formula>
    </cfRule>
  </conditionalFormatting>
  <conditionalFormatting sqref="G458:K458">
    <cfRule type="notContainsBlanks" dxfId="7677" priority="7956">
      <formula>LEN(TRIM(G458))&gt;0</formula>
    </cfRule>
  </conditionalFormatting>
  <conditionalFormatting sqref="G458:K458">
    <cfRule type="notContainsBlanks" dxfId="7676" priority="7955">
      <formula>LEN(TRIM(G458))&gt;0</formula>
    </cfRule>
  </conditionalFormatting>
  <conditionalFormatting sqref="G458:K458">
    <cfRule type="notContainsBlanks" dxfId="7675" priority="7954">
      <formula>LEN(TRIM(G458))&gt;0</formula>
    </cfRule>
  </conditionalFormatting>
  <conditionalFormatting sqref="G458:K458">
    <cfRule type="notContainsBlanks" dxfId="7674" priority="7953">
      <formula>LEN(TRIM(G458))&gt;0</formula>
    </cfRule>
  </conditionalFormatting>
  <conditionalFormatting sqref="G458:K458">
    <cfRule type="notContainsBlanks" priority="7952">
      <formula>LEN(TRIM(G458))&gt;0</formula>
    </cfRule>
  </conditionalFormatting>
  <conditionalFormatting sqref="G458:K458">
    <cfRule type="notContainsBlanks" dxfId="7673" priority="7951">
      <formula>LEN(TRIM(G458))&gt;0</formula>
    </cfRule>
  </conditionalFormatting>
  <conditionalFormatting sqref="G458:K458">
    <cfRule type="notContainsBlanks" dxfId="7672" priority="7950">
      <formula>LEN(TRIM(G458))&gt;0</formula>
    </cfRule>
  </conditionalFormatting>
  <conditionalFormatting sqref="G458:K458">
    <cfRule type="notContainsBlanks" dxfId="7671" priority="7949">
      <formula>LEN(TRIM(G458))&gt;0</formula>
    </cfRule>
  </conditionalFormatting>
  <conditionalFormatting sqref="G458:K458">
    <cfRule type="notContainsBlanks" dxfId="7670" priority="7948">
      <formula>LEN(TRIM(G458))&gt;0</formula>
    </cfRule>
  </conditionalFormatting>
  <conditionalFormatting sqref="G458:K458">
    <cfRule type="notContainsBlanks" dxfId="7669" priority="7947">
      <formula>LEN(TRIM(G458))&gt;0</formula>
    </cfRule>
  </conditionalFormatting>
  <conditionalFormatting sqref="G471">
    <cfRule type="notContainsBlanks" dxfId="7668" priority="7946">
      <formula>LEN(TRIM(G471))&gt;0</formula>
    </cfRule>
  </conditionalFormatting>
  <conditionalFormatting sqref="H471:K471">
    <cfRule type="notContainsBlanks" dxfId="7667" priority="7945">
      <formula>LEN(TRIM(H471))&gt;0</formula>
    </cfRule>
  </conditionalFormatting>
  <conditionalFormatting sqref="G471:K471">
    <cfRule type="notContainsBlanks" dxfId="7666" priority="7944">
      <formula>LEN(TRIM(G471))&gt;0</formula>
    </cfRule>
  </conditionalFormatting>
  <conditionalFormatting sqref="G471:K471">
    <cfRule type="notContainsBlanks" dxfId="7665" priority="7943">
      <formula>LEN(TRIM(G471))&gt;0</formula>
    </cfRule>
  </conditionalFormatting>
  <conditionalFormatting sqref="G471:K471">
    <cfRule type="notContainsBlanks" dxfId="7664" priority="7942">
      <formula>LEN(TRIM(G471))&gt;0</formula>
    </cfRule>
  </conditionalFormatting>
  <conditionalFormatting sqref="G471:K471">
    <cfRule type="notContainsBlanks" dxfId="7663" priority="7941">
      <formula>LEN(TRIM(G471))&gt;0</formula>
    </cfRule>
  </conditionalFormatting>
  <conditionalFormatting sqref="G471:K471">
    <cfRule type="notContainsBlanks" dxfId="7662" priority="7940">
      <formula>LEN(TRIM(G471))&gt;0</formula>
    </cfRule>
  </conditionalFormatting>
  <conditionalFormatting sqref="G471:K471">
    <cfRule type="notContainsBlanks" dxfId="7661" priority="7939">
      <formula>LEN(TRIM(G471))&gt;0</formula>
    </cfRule>
  </conditionalFormatting>
  <conditionalFormatting sqref="G471:K471">
    <cfRule type="notContainsBlanks" dxfId="7660" priority="7938">
      <formula>LEN(TRIM(G471))&gt;0</formula>
    </cfRule>
  </conditionalFormatting>
  <conditionalFormatting sqref="G471:K471">
    <cfRule type="notContainsBlanks" dxfId="7659" priority="7937">
      <formula>LEN(TRIM(G471))&gt;0</formula>
    </cfRule>
  </conditionalFormatting>
  <conditionalFormatting sqref="G471:K471">
    <cfRule type="notContainsBlanks" dxfId="7658" priority="7936">
      <formula>LEN(TRIM(G471))&gt;0</formula>
    </cfRule>
  </conditionalFormatting>
  <conditionalFormatting sqref="G471:K471">
    <cfRule type="notContainsBlanks" dxfId="7657" priority="7934">
      <formula>LEN(TRIM(G471))&gt;0</formula>
    </cfRule>
    <cfRule type="notContainsBlanks" dxfId="7656" priority="7935">
      <formula>LEN(TRIM(G471))&gt;0</formula>
    </cfRule>
  </conditionalFormatting>
  <conditionalFormatting sqref="G471:K471">
    <cfRule type="notContainsBlanks" dxfId="7655" priority="7933">
      <formula>LEN(TRIM(G471))&gt;0</formula>
    </cfRule>
  </conditionalFormatting>
  <conditionalFormatting sqref="G471:K471">
    <cfRule type="notContainsBlanks" dxfId="7654" priority="7932">
      <formula>LEN(TRIM(G471))&gt;0</formula>
    </cfRule>
  </conditionalFormatting>
  <conditionalFormatting sqref="G471:K471">
    <cfRule type="notContainsBlanks" dxfId="7653" priority="7931">
      <formula>LEN(TRIM(G471))&gt;0</formula>
    </cfRule>
  </conditionalFormatting>
  <conditionalFormatting sqref="G471:K471">
    <cfRule type="notContainsBlanks" dxfId="7652" priority="7930">
      <formula>LEN(TRIM(G471))&gt;0</formula>
    </cfRule>
  </conditionalFormatting>
  <conditionalFormatting sqref="G471:K471">
    <cfRule type="notContainsBlanks" dxfId="7651" priority="7929">
      <formula>LEN(TRIM(G471))&gt;0</formula>
    </cfRule>
  </conditionalFormatting>
  <conditionalFormatting sqref="G471:K471">
    <cfRule type="notContainsBlanks" dxfId="7650" priority="7928">
      <formula>LEN(TRIM(G471))&gt;0</formula>
    </cfRule>
  </conditionalFormatting>
  <conditionalFormatting sqref="G471:K471">
    <cfRule type="notContainsBlanks" dxfId="7649" priority="7927">
      <formula>LEN(TRIM(G471))&gt;0</formula>
    </cfRule>
  </conditionalFormatting>
  <conditionalFormatting sqref="G471:K471">
    <cfRule type="notContainsBlanks" dxfId="7648" priority="7926">
      <formula>LEN(TRIM(G471))&gt;0</formula>
    </cfRule>
  </conditionalFormatting>
  <conditionalFormatting sqref="G471:K471">
    <cfRule type="notContainsBlanks" dxfId="7647" priority="7925">
      <formula>LEN(TRIM(G471))&gt;0</formula>
    </cfRule>
  </conditionalFormatting>
  <conditionalFormatting sqref="G471:K471">
    <cfRule type="notContainsBlanks" priority="7924">
      <formula>LEN(TRIM(G471))&gt;0</formula>
    </cfRule>
  </conditionalFormatting>
  <conditionalFormatting sqref="G471:K471">
    <cfRule type="notContainsBlanks" dxfId="7646" priority="7923">
      <formula>LEN(TRIM(G471))&gt;0</formula>
    </cfRule>
  </conditionalFormatting>
  <conditionalFormatting sqref="G471:K471">
    <cfRule type="notContainsBlanks" dxfId="7645" priority="7922">
      <formula>LEN(TRIM(G471))&gt;0</formula>
    </cfRule>
  </conditionalFormatting>
  <conditionalFormatting sqref="G471:K471">
    <cfRule type="notContainsBlanks" dxfId="7644" priority="7921">
      <formula>LEN(TRIM(G471))&gt;0</formula>
    </cfRule>
  </conditionalFormatting>
  <conditionalFormatting sqref="G471:K471">
    <cfRule type="notContainsBlanks" dxfId="7643" priority="7920">
      <formula>LEN(TRIM(G471))&gt;0</formula>
    </cfRule>
  </conditionalFormatting>
  <conditionalFormatting sqref="G471:K471">
    <cfRule type="notContainsBlanks" dxfId="7642" priority="7919">
      <formula>LEN(TRIM(G471))&gt;0</formula>
    </cfRule>
  </conditionalFormatting>
  <conditionalFormatting sqref="G484">
    <cfRule type="notContainsBlanks" dxfId="7641" priority="7918">
      <formula>LEN(TRIM(G484))&gt;0</formula>
    </cfRule>
  </conditionalFormatting>
  <conditionalFormatting sqref="H484:K484">
    <cfRule type="notContainsBlanks" dxfId="7640" priority="7917">
      <formula>LEN(TRIM(H484))&gt;0</formula>
    </cfRule>
  </conditionalFormatting>
  <conditionalFormatting sqref="G484:K484">
    <cfRule type="notContainsBlanks" dxfId="7639" priority="7916">
      <formula>LEN(TRIM(G484))&gt;0</formula>
    </cfRule>
  </conditionalFormatting>
  <conditionalFormatting sqref="G484:K484">
    <cfRule type="notContainsBlanks" dxfId="7638" priority="7915">
      <formula>LEN(TRIM(G484))&gt;0</formula>
    </cfRule>
  </conditionalFormatting>
  <conditionalFormatting sqref="G484:K484">
    <cfRule type="notContainsBlanks" dxfId="7637" priority="7914">
      <formula>LEN(TRIM(G484))&gt;0</formula>
    </cfRule>
  </conditionalFormatting>
  <conditionalFormatting sqref="G484:K484">
    <cfRule type="notContainsBlanks" dxfId="7636" priority="7913">
      <formula>LEN(TRIM(G484))&gt;0</formula>
    </cfRule>
  </conditionalFormatting>
  <conditionalFormatting sqref="G484:K484">
    <cfRule type="notContainsBlanks" dxfId="7635" priority="7912">
      <formula>LEN(TRIM(G484))&gt;0</formula>
    </cfRule>
  </conditionalFormatting>
  <conditionalFormatting sqref="G484:K484">
    <cfRule type="notContainsBlanks" dxfId="7634" priority="7911">
      <formula>LEN(TRIM(G484))&gt;0</formula>
    </cfRule>
  </conditionalFormatting>
  <conditionalFormatting sqref="G484:K484">
    <cfRule type="notContainsBlanks" dxfId="7633" priority="7910">
      <formula>LEN(TRIM(G484))&gt;0</formula>
    </cfRule>
  </conditionalFormatting>
  <conditionalFormatting sqref="G484:K484">
    <cfRule type="notContainsBlanks" dxfId="7632" priority="7909">
      <formula>LEN(TRIM(G484))&gt;0</formula>
    </cfRule>
  </conditionalFormatting>
  <conditionalFormatting sqref="G484:K484">
    <cfRule type="notContainsBlanks" dxfId="7631" priority="7908">
      <formula>LEN(TRIM(G484))&gt;0</formula>
    </cfRule>
  </conditionalFormatting>
  <conditionalFormatting sqref="G484:K484">
    <cfRule type="notContainsBlanks" dxfId="7630" priority="7906">
      <formula>LEN(TRIM(G484))&gt;0</formula>
    </cfRule>
    <cfRule type="notContainsBlanks" dxfId="7629" priority="7907">
      <formula>LEN(TRIM(G484))&gt;0</formula>
    </cfRule>
  </conditionalFormatting>
  <conditionalFormatting sqref="G484:K484">
    <cfRule type="notContainsBlanks" dxfId="7628" priority="7905">
      <formula>LEN(TRIM(G484))&gt;0</formula>
    </cfRule>
  </conditionalFormatting>
  <conditionalFormatting sqref="G484:K484">
    <cfRule type="notContainsBlanks" dxfId="7627" priority="7904">
      <formula>LEN(TRIM(G484))&gt;0</formula>
    </cfRule>
  </conditionalFormatting>
  <conditionalFormatting sqref="G484:K484">
    <cfRule type="notContainsBlanks" dxfId="7626" priority="7903">
      <formula>LEN(TRIM(G484))&gt;0</formula>
    </cfRule>
  </conditionalFormatting>
  <conditionalFormatting sqref="G484:K484">
    <cfRule type="notContainsBlanks" dxfId="7625" priority="7902">
      <formula>LEN(TRIM(G484))&gt;0</formula>
    </cfRule>
  </conditionalFormatting>
  <conditionalFormatting sqref="G484:K484">
    <cfRule type="notContainsBlanks" dxfId="7624" priority="7901">
      <formula>LEN(TRIM(G484))&gt;0</formula>
    </cfRule>
  </conditionalFormatting>
  <conditionalFormatting sqref="G484:K484">
    <cfRule type="notContainsBlanks" dxfId="7623" priority="7900">
      <formula>LEN(TRIM(G484))&gt;0</formula>
    </cfRule>
  </conditionalFormatting>
  <conditionalFormatting sqref="G484:K484">
    <cfRule type="notContainsBlanks" dxfId="7622" priority="7899">
      <formula>LEN(TRIM(G484))&gt;0</formula>
    </cfRule>
  </conditionalFormatting>
  <conditionalFormatting sqref="G484:K484">
    <cfRule type="notContainsBlanks" dxfId="7621" priority="7898">
      <formula>LEN(TRIM(G484))&gt;0</formula>
    </cfRule>
  </conditionalFormatting>
  <conditionalFormatting sqref="G484:K484">
    <cfRule type="notContainsBlanks" dxfId="7620" priority="7897">
      <formula>LEN(TRIM(G484))&gt;0</formula>
    </cfRule>
  </conditionalFormatting>
  <conditionalFormatting sqref="G484:K484">
    <cfRule type="notContainsBlanks" priority="7896">
      <formula>LEN(TRIM(G484))&gt;0</formula>
    </cfRule>
  </conditionalFormatting>
  <conditionalFormatting sqref="G484:K484">
    <cfRule type="notContainsBlanks" dxfId="7619" priority="7895">
      <formula>LEN(TRIM(G484))&gt;0</formula>
    </cfRule>
  </conditionalFormatting>
  <conditionalFormatting sqref="G484:K484">
    <cfRule type="notContainsBlanks" dxfId="7618" priority="7894">
      <formula>LEN(TRIM(G484))&gt;0</formula>
    </cfRule>
  </conditionalFormatting>
  <conditionalFormatting sqref="G484:K484">
    <cfRule type="notContainsBlanks" dxfId="7617" priority="7893">
      <formula>LEN(TRIM(G484))&gt;0</formula>
    </cfRule>
  </conditionalFormatting>
  <conditionalFormatting sqref="G484:K484">
    <cfRule type="notContainsBlanks" dxfId="7616" priority="7892">
      <formula>LEN(TRIM(G484))&gt;0</formula>
    </cfRule>
  </conditionalFormatting>
  <conditionalFormatting sqref="G484:K484">
    <cfRule type="notContainsBlanks" dxfId="7615" priority="7891">
      <formula>LEN(TRIM(G484))&gt;0</formula>
    </cfRule>
  </conditionalFormatting>
  <conditionalFormatting sqref="G497">
    <cfRule type="notContainsBlanks" dxfId="7614" priority="7890">
      <formula>LEN(TRIM(G497))&gt;0</formula>
    </cfRule>
  </conditionalFormatting>
  <conditionalFormatting sqref="H497:K497">
    <cfRule type="notContainsBlanks" dxfId="7613" priority="7889">
      <formula>LEN(TRIM(H497))&gt;0</formula>
    </cfRule>
  </conditionalFormatting>
  <conditionalFormatting sqref="G497:K497">
    <cfRule type="notContainsBlanks" dxfId="7612" priority="7888">
      <formula>LEN(TRIM(G497))&gt;0</formula>
    </cfRule>
  </conditionalFormatting>
  <conditionalFormatting sqref="G497:K497">
    <cfRule type="notContainsBlanks" dxfId="7611" priority="7887">
      <formula>LEN(TRIM(G497))&gt;0</formula>
    </cfRule>
  </conditionalFormatting>
  <conditionalFormatting sqref="G497:K497">
    <cfRule type="notContainsBlanks" dxfId="7610" priority="7886">
      <formula>LEN(TRIM(G497))&gt;0</formula>
    </cfRule>
  </conditionalFormatting>
  <conditionalFormatting sqref="G497:K497">
    <cfRule type="notContainsBlanks" dxfId="7609" priority="7885">
      <formula>LEN(TRIM(G497))&gt;0</formula>
    </cfRule>
  </conditionalFormatting>
  <conditionalFormatting sqref="G497:K497">
    <cfRule type="notContainsBlanks" dxfId="7608" priority="7884">
      <formula>LEN(TRIM(G497))&gt;0</formula>
    </cfRule>
  </conditionalFormatting>
  <conditionalFormatting sqref="G497:K497">
    <cfRule type="notContainsBlanks" dxfId="7607" priority="7883">
      <formula>LEN(TRIM(G497))&gt;0</formula>
    </cfRule>
  </conditionalFormatting>
  <conditionalFormatting sqref="G497:K497">
    <cfRule type="notContainsBlanks" dxfId="7606" priority="7882">
      <formula>LEN(TRIM(G497))&gt;0</formula>
    </cfRule>
  </conditionalFormatting>
  <conditionalFormatting sqref="G497:K497">
    <cfRule type="notContainsBlanks" dxfId="7605" priority="7881">
      <formula>LEN(TRIM(G497))&gt;0</formula>
    </cfRule>
  </conditionalFormatting>
  <conditionalFormatting sqref="G497:K497">
    <cfRule type="notContainsBlanks" dxfId="7604" priority="7880">
      <formula>LEN(TRIM(G497))&gt;0</formula>
    </cfRule>
  </conditionalFormatting>
  <conditionalFormatting sqref="G497:K497">
    <cfRule type="notContainsBlanks" dxfId="7603" priority="7878">
      <formula>LEN(TRIM(G497))&gt;0</formula>
    </cfRule>
    <cfRule type="notContainsBlanks" dxfId="7602" priority="7879">
      <formula>LEN(TRIM(G497))&gt;0</formula>
    </cfRule>
  </conditionalFormatting>
  <conditionalFormatting sqref="G497:K497">
    <cfRule type="notContainsBlanks" dxfId="7601" priority="7877">
      <formula>LEN(TRIM(G497))&gt;0</formula>
    </cfRule>
  </conditionalFormatting>
  <conditionalFormatting sqref="G497:K497">
    <cfRule type="notContainsBlanks" dxfId="7600" priority="7876">
      <formula>LEN(TRIM(G497))&gt;0</formula>
    </cfRule>
  </conditionalFormatting>
  <conditionalFormatting sqref="G497:K497">
    <cfRule type="notContainsBlanks" dxfId="7599" priority="7875">
      <formula>LEN(TRIM(G497))&gt;0</formula>
    </cfRule>
  </conditionalFormatting>
  <conditionalFormatting sqref="G497:K497">
    <cfRule type="notContainsBlanks" dxfId="7598" priority="7874">
      <formula>LEN(TRIM(G497))&gt;0</formula>
    </cfRule>
  </conditionalFormatting>
  <conditionalFormatting sqref="G497:K497">
    <cfRule type="notContainsBlanks" dxfId="7597" priority="7873">
      <formula>LEN(TRIM(G497))&gt;0</formula>
    </cfRule>
  </conditionalFormatting>
  <conditionalFormatting sqref="G497:K497">
    <cfRule type="notContainsBlanks" dxfId="7596" priority="7872">
      <formula>LEN(TRIM(G497))&gt;0</formula>
    </cfRule>
  </conditionalFormatting>
  <conditionalFormatting sqref="G497:K497">
    <cfRule type="notContainsBlanks" dxfId="7595" priority="7871">
      <formula>LEN(TRIM(G497))&gt;0</formula>
    </cfRule>
  </conditionalFormatting>
  <conditionalFormatting sqref="G497:K497">
    <cfRule type="notContainsBlanks" dxfId="7594" priority="7870">
      <formula>LEN(TRIM(G497))&gt;0</formula>
    </cfRule>
  </conditionalFormatting>
  <conditionalFormatting sqref="G497:K497">
    <cfRule type="notContainsBlanks" dxfId="7593" priority="7869">
      <formula>LEN(TRIM(G497))&gt;0</formula>
    </cfRule>
  </conditionalFormatting>
  <conditionalFormatting sqref="G497:K497">
    <cfRule type="notContainsBlanks" priority="7868">
      <formula>LEN(TRIM(G497))&gt;0</formula>
    </cfRule>
  </conditionalFormatting>
  <conditionalFormatting sqref="G497:K497">
    <cfRule type="notContainsBlanks" dxfId="7592" priority="7867">
      <formula>LEN(TRIM(G497))&gt;0</formula>
    </cfRule>
  </conditionalFormatting>
  <conditionalFormatting sqref="G497:K497">
    <cfRule type="notContainsBlanks" dxfId="7591" priority="7866">
      <formula>LEN(TRIM(G497))&gt;0</formula>
    </cfRule>
  </conditionalFormatting>
  <conditionalFormatting sqref="G497:K497">
    <cfRule type="notContainsBlanks" dxfId="7590" priority="7865">
      <formula>LEN(TRIM(G497))&gt;0</formula>
    </cfRule>
  </conditionalFormatting>
  <conditionalFormatting sqref="G497:K497">
    <cfRule type="notContainsBlanks" dxfId="7589" priority="7864">
      <formula>LEN(TRIM(G497))&gt;0</formula>
    </cfRule>
  </conditionalFormatting>
  <conditionalFormatting sqref="G497:K497">
    <cfRule type="notContainsBlanks" dxfId="7588" priority="7863">
      <formula>LEN(TRIM(G497))&gt;0</formula>
    </cfRule>
  </conditionalFormatting>
  <conditionalFormatting sqref="G510">
    <cfRule type="notContainsBlanks" dxfId="7587" priority="7862">
      <formula>LEN(TRIM(G510))&gt;0</formula>
    </cfRule>
  </conditionalFormatting>
  <conditionalFormatting sqref="H510:K510">
    <cfRule type="notContainsBlanks" dxfId="7586" priority="7861">
      <formula>LEN(TRIM(H510))&gt;0</formula>
    </cfRule>
  </conditionalFormatting>
  <conditionalFormatting sqref="G510:K510">
    <cfRule type="notContainsBlanks" dxfId="7585" priority="7860">
      <formula>LEN(TRIM(G510))&gt;0</formula>
    </cfRule>
  </conditionalFormatting>
  <conditionalFormatting sqref="G510:K510">
    <cfRule type="notContainsBlanks" dxfId="7584" priority="7859">
      <formula>LEN(TRIM(G510))&gt;0</formula>
    </cfRule>
  </conditionalFormatting>
  <conditionalFormatting sqref="G510:K510">
    <cfRule type="notContainsBlanks" dxfId="7583" priority="7858">
      <formula>LEN(TRIM(G510))&gt;0</formula>
    </cfRule>
  </conditionalFormatting>
  <conditionalFormatting sqref="G510:K510">
    <cfRule type="notContainsBlanks" dxfId="7582" priority="7857">
      <formula>LEN(TRIM(G510))&gt;0</formula>
    </cfRule>
  </conditionalFormatting>
  <conditionalFormatting sqref="G510:K510">
    <cfRule type="notContainsBlanks" dxfId="7581" priority="7856">
      <formula>LEN(TRIM(G510))&gt;0</formula>
    </cfRule>
  </conditionalFormatting>
  <conditionalFormatting sqref="G510:K510">
    <cfRule type="notContainsBlanks" dxfId="7580" priority="7855">
      <formula>LEN(TRIM(G510))&gt;0</formula>
    </cfRule>
  </conditionalFormatting>
  <conditionalFormatting sqref="G510:K510">
    <cfRule type="notContainsBlanks" dxfId="7579" priority="7854">
      <formula>LEN(TRIM(G510))&gt;0</formula>
    </cfRule>
  </conditionalFormatting>
  <conditionalFormatting sqref="G510:K510">
    <cfRule type="notContainsBlanks" dxfId="7578" priority="7853">
      <formula>LEN(TRIM(G510))&gt;0</formula>
    </cfRule>
  </conditionalFormatting>
  <conditionalFormatting sqref="G510:K510">
    <cfRule type="notContainsBlanks" dxfId="7577" priority="7852">
      <formula>LEN(TRIM(G510))&gt;0</formula>
    </cfRule>
  </conditionalFormatting>
  <conditionalFormatting sqref="G510:K510">
    <cfRule type="notContainsBlanks" dxfId="7576" priority="7850">
      <formula>LEN(TRIM(G510))&gt;0</formula>
    </cfRule>
    <cfRule type="notContainsBlanks" dxfId="7575" priority="7851">
      <formula>LEN(TRIM(G510))&gt;0</formula>
    </cfRule>
  </conditionalFormatting>
  <conditionalFormatting sqref="G510:K510">
    <cfRule type="notContainsBlanks" dxfId="7574" priority="7849">
      <formula>LEN(TRIM(G510))&gt;0</formula>
    </cfRule>
  </conditionalFormatting>
  <conditionalFormatting sqref="G510:K510">
    <cfRule type="notContainsBlanks" dxfId="7573" priority="7848">
      <formula>LEN(TRIM(G510))&gt;0</formula>
    </cfRule>
  </conditionalFormatting>
  <conditionalFormatting sqref="G510:K510">
    <cfRule type="notContainsBlanks" dxfId="7572" priority="7847">
      <formula>LEN(TRIM(G510))&gt;0</formula>
    </cfRule>
  </conditionalFormatting>
  <conditionalFormatting sqref="G510:K510">
    <cfRule type="notContainsBlanks" dxfId="7571" priority="7846">
      <formula>LEN(TRIM(G510))&gt;0</formula>
    </cfRule>
  </conditionalFormatting>
  <conditionalFormatting sqref="G510:K510">
    <cfRule type="notContainsBlanks" dxfId="7570" priority="7845">
      <formula>LEN(TRIM(G510))&gt;0</formula>
    </cfRule>
  </conditionalFormatting>
  <conditionalFormatting sqref="G510:K510">
    <cfRule type="notContainsBlanks" dxfId="7569" priority="7844">
      <formula>LEN(TRIM(G510))&gt;0</formula>
    </cfRule>
  </conditionalFormatting>
  <conditionalFormatting sqref="G510:K510">
    <cfRule type="notContainsBlanks" dxfId="7568" priority="7843">
      <formula>LEN(TRIM(G510))&gt;0</formula>
    </cfRule>
  </conditionalFormatting>
  <conditionalFormatting sqref="G510:K510">
    <cfRule type="notContainsBlanks" dxfId="7567" priority="7842">
      <formula>LEN(TRIM(G510))&gt;0</formula>
    </cfRule>
  </conditionalFormatting>
  <conditionalFormatting sqref="G510:K510">
    <cfRule type="notContainsBlanks" dxfId="7566" priority="7841">
      <formula>LEN(TRIM(G510))&gt;0</formula>
    </cfRule>
  </conditionalFormatting>
  <conditionalFormatting sqref="G510:K510">
    <cfRule type="notContainsBlanks" priority="7840">
      <formula>LEN(TRIM(G510))&gt;0</formula>
    </cfRule>
  </conditionalFormatting>
  <conditionalFormatting sqref="G510:K510">
    <cfRule type="notContainsBlanks" dxfId="7565" priority="7839">
      <formula>LEN(TRIM(G510))&gt;0</formula>
    </cfRule>
  </conditionalFormatting>
  <conditionalFormatting sqref="G510:K510">
    <cfRule type="notContainsBlanks" dxfId="7564" priority="7838">
      <formula>LEN(TRIM(G510))&gt;0</formula>
    </cfRule>
  </conditionalFormatting>
  <conditionalFormatting sqref="G510:K510">
    <cfRule type="notContainsBlanks" dxfId="7563" priority="7837">
      <formula>LEN(TRIM(G510))&gt;0</formula>
    </cfRule>
  </conditionalFormatting>
  <conditionalFormatting sqref="G510:K510">
    <cfRule type="notContainsBlanks" dxfId="7562" priority="7836">
      <formula>LEN(TRIM(G510))&gt;0</formula>
    </cfRule>
  </conditionalFormatting>
  <conditionalFormatting sqref="G510:K510">
    <cfRule type="notContainsBlanks" dxfId="7561" priority="7835">
      <formula>LEN(TRIM(G510))&gt;0</formula>
    </cfRule>
  </conditionalFormatting>
  <conditionalFormatting sqref="G523">
    <cfRule type="notContainsBlanks" dxfId="7560" priority="7834">
      <formula>LEN(TRIM(G523))&gt;0</formula>
    </cfRule>
  </conditionalFormatting>
  <conditionalFormatting sqref="H523:K523">
    <cfRule type="notContainsBlanks" dxfId="7559" priority="7833">
      <formula>LEN(TRIM(H523))&gt;0</formula>
    </cfRule>
  </conditionalFormatting>
  <conditionalFormatting sqref="G523:K523">
    <cfRule type="notContainsBlanks" dxfId="7558" priority="7832">
      <formula>LEN(TRIM(G523))&gt;0</formula>
    </cfRule>
  </conditionalFormatting>
  <conditionalFormatting sqref="G523:K523">
    <cfRule type="notContainsBlanks" dxfId="7557" priority="7831">
      <formula>LEN(TRIM(G523))&gt;0</formula>
    </cfRule>
  </conditionalFormatting>
  <conditionalFormatting sqref="G523:K523">
    <cfRule type="notContainsBlanks" dxfId="7556" priority="7830">
      <formula>LEN(TRIM(G523))&gt;0</formula>
    </cfRule>
  </conditionalFormatting>
  <conditionalFormatting sqref="G523:K523">
    <cfRule type="notContainsBlanks" dxfId="7555" priority="7829">
      <formula>LEN(TRIM(G523))&gt;0</formula>
    </cfRule>
  </conditionalFormatting>
  <conditionalFormatting sqref="G523:K523">
    <cfRule type="notContainsBlanks" dxfId="7554" priority="7828">
      <formula>LEN(TRIM(G523))&gt;0</formula>
    </cfRule>
  </conditionalFormatting>
  <conditionalFormatting sqref="G523:K523">
    <cfRule type="notContainsBlanks" dxfId="7553" priority="7827">
      <formula>LEN(TRIM(G523))&gt;0</formula>
    </cfRule>
  </conditionalFormatting>
  <conditionalFormatting sqref="G523:K523">
    <cfRule type="notContainsBlanks" dxfId="7552" priority="7826">
      <formula>LEN(TRIM(G523))&gt;0</formula>
    </cfRule>
  </conditionalFormatting>
  <conditionalFormatting sqref="G523:K523">
    <cfRule type="notContainsBlanks" dxfId="7551" priority="7825">
      <formula>LEN(TRIM(G523))&gt;0</formula>
    </cfRule>
  </conditionalFormatting>
  <conditionalFormatting sqref="G523:K523">
    <cfRule type="notContainsBlanks" dxfId="7550" priority="7824">
      <formula>LEN(TRIM(G523))&gt;0</formula>
    </cfRule>
  </conditionalFormatting>
  <conditionalFormatting sqref="G523:K523">
    <cfRule type="notContainsBlanks" dxfId="7549" priority="7822">
      <formula>LEN(TRIM(G523))&gt;0</formula>
    </cfRule>
    <cfRule type="notContainsBlanks" dxfId="7548" priority="7823">
      <formula>LEN(TRIM(G523))&gt;0</formula>
    </cfRule>
  </conditionalFormatting>
  <conditionalFormatting sqref="G523:K523">
    <cfRule type="notContainsBlanks" dxfId="7547" priority="7821">
      <formula>LEN(TRIM(G523))&gt;0</formula>
    </cfRule>
  </conditionalFormatting>
  <conditionalFormatting sqref="G523:K523">
    <cfRule type="notContainsBlanks" dxfId="7546" priority="7820">
      <formula>LEN(TRIM(G523))&gt;0</formula>
    </cfRule>
  </conditionalFormatting>
  <conditionalFormatting sqref="G523:K523">
    <cfRule type="notContainsBlanks" dxfId="7545" priority="7819">
      <formula>LEN(TRIM(G523))&gt;0</formula>
    </cfRule>
  </conditionalFormatting>
  <conditionalFormatting sqref="G523:K523">
    <cfRule type="notContainsBlanks" dxfId="7544" priority="7818">
      <formula>LEN(TRIM(G523))&gt;0</formula>
    </cfRule>
  </conditionalFormatting>
  <conditionalFormatting sqref="G523:K523">
    <cfRule type="notContainsBlanks" dxfId="7543" priority="7817">
      <formula>LEN(TRIM(G523))&gt;0</formula>
    </cfRule>
  </conditionalFormatting>
  <conditionalFormatting sqref="G523:K523">
    <cfRule type="notContainsBlanks" dxfId="7542" priority="7816">
      <formula>LEN(TRIM(G523))&gt;0</formula>
    </cfRule>
  </conditionalFormatting>
  <conditionalFormatting sqref="G523:K523">
    <cfRule type="notContainsBlanks" dxfId="7541" priority="7815">
      <formula>LEN(TRIM(G523))&gt;0</formula>
    </cfRule>
  </conditionalFormatting>
  <conditionalFormatting sqref="G523:K523">
    <cfRule type="notContainsBlanks" dxfId="7540" priority="7814">
      <formula>LEN(TRIM(G523))&gt;0</formula>
    </cfRule>
  </conditionalFormatting>
  <conditionalFormatting sqref="G523:K523">
    <cfRule type="notContainsBlanks" dxfId="7539" priority="7813">
      <formula>LEN(TRIM(G523))&gt;0</formula>
    </cfRule>
  </conditionalFormatting>
  <conditionalFormatting sqref="G523:K523">
    <cfRule type="notContainsBlanks" priority="7812">
      <formula>LEN(TRIM(G523))&gt;0</formula>
    </cfRule>
  </conditionalFormatting>
  <conditionalFormatting sqref="G523:K523">
    <cfRule type="notContainsBlanks" dxfId="7538" priority="7811">
      <formula>LEN(TRIM(G523))&gt;0</formula>
    </cfRule>
  </conditionalFormatting>
  <conditionalFormatting sqref="G523:K523">
    <cfRule type="notContainsBlanks" dxfId="7537" priority="7810">
      <formula>LEN(TRIM(G523))&gt;0</formula>
    </cfRule>
  </conditionalFormatting>
  <conditionalFormatting sqref="G523:K523">
    <cfRule type="notContainsBlanks" dxfId="7536" priority="7809">
      <formula>LEN(TRIM(G523))&gt;0</formula>
    </cfRule>
  </conditionalFormatting>
  <conditionalFormatting sqref="G523:K523">
    <cfRule type="notContainsBlanks" dxfId="7535" priority="7808">
      <formula>LEN(TRIM(G523))&gt;0</formula>
    </cfRule>
  </conditionalFormatting>
  <conditionalFormatting sqref="G523:K523">
    <cfRule type="notContainsBlanks" dxfId="7534" priority="7807">
      <formula>LEN(TRIM(G523))&gt;0</formula>
    </cfRule>
  </conditionalFormatting>
  <conditionalFormatting sqref="G536">
    <cfRule type="notContainsBlanks" dxfId="7533" priority="7806">
      <formula>LEN(TRIM(G536))&gt;0</formula>
    </cfRule>
  </conditionalFormatting>
  <conditionalFormatting sqref="H536:K536">
    <cfRule type="notContainsBlanks" dxfId="7532" priority="7805">
      <formula>LEN(TRIM(H536))&gt;0</formula>
    </cfRule>
  </conditionalFormatting>
  <conditionalFormatting sqref="G536:K536">
    <cfRule type="notContainsBlanks" dxfId="7531" priority="7804">
      <formula>LEN(TRIM(G536))&gt;0</formula>
    </cfRule>
  </conditionalFormatting>
  <conditionalFormatting sqref="G536:K536">
    <cfRule type="notContainsBlanks" dxfId="7530" priority="7803">
      <formula>LEN(TRIM(G536))&gt;0</formula>
    </cfRule>
  </conditionalFormatting>
  <conditionalFormatting sqref="G536:K536">
    <cfRule type="notContainsBlanks" dxfId="7529" priority="7802">
      <formula>LEN(TRIM(G536))&gt;0</formula>
    </cfRule>
  </conditionalFormatting>
  <conditionalFormatting sqref="G536:K536">
    <cfRule type="notContainsBlanks" dxfId="7528" priority="7801">
      <formula>LEN(TRIM(G536))&gt;0</formula>
    </cfRule>
  </conditionalFormatting>
  <conditionalFormatting sqref="G536:K536">
    <cfRule type="notContainsBlanks" dxfId="7527" priority="7800">
      <formula>LEN(TRIM(G536))&gt;0</formula>
    </cfRule>
  </conditionalFormatting>
  <conditionalFormatting sqref="G536:K536">
    <cfRule type="notContainsBlanks" dxfId="7526" priority="7799">
      <formula>LEN(TRIM(G536))&gt;0</formula>
    </cfRule>
  </conditionalFormatting>
  <conditionalFormatting sqref="G536:K536">
    <cfRule type="notContainsBlanks" dxfId="7525" priority="7798">
      <formula>LEN(TRIM(G536))&gt;0</formula>
    </cfRule>
  </conditionalFormatting>
  <conditionalFormatting sqref="G536:K536">
    <cfRule type="notContainsBlanks" dxfId="7524" priority="7797">
      <formula>LEN(TRIM(G536))&gt;0</formula>
    </cfRule>
  </conditionalFormatting>
  <conditionalFormatting sqref="G536:K536">
    <cfRule type="notContainsBlanks" dxfId="7523" priority="7796">
      <formula>LEN(TRIM(G536))&gt;0</formula>
    </cfRule>
  </conditionalFormatting>
  <conditionalFormatting sqref="G536:K536">
    <cfRule type="notContainsBlanks" dxfId="7522" priority="7794">
      <formula>LEN(TRIM(G536))&gt;0</formula>
    </cfRule>
    <cfRule type="notContainsBlanks" dxfId="7521" priority="7795">
      <formula>LEN(TRIM(G536))&gt;0</formula>
    </cfRule>
  </conditionalFormatting>
  <conditionalFormatting sqref="G536:K536">
    <cfRule type="notContainsBlanks" dxfId="7520" priority="7793">
      <formula>LEN(TRIM(G536))&gt;0</formula>
    </cfRule>
  </conditionalFormatting>
  <conditionalFormatting sqref="G536:K536">
    <cfRule type="notContainsBlanks" dxfId="7519" priority="7792">
      <formula>LEN(TRIM(G536))&gt;0</formula>
    </cfRule>
  </conditionalFormatting>
  <conditionalFormatting sqref="G536:K536">
    <cfRule type="notContainsBlanks" dxfId="7518" priority="7791">
      <formula>LEN(TRIM(G536))&gt;0</formula>
    </cfRule>
  </conditionalFormatting>
  <conditionalFormatting sqref="G536:K536">
    <cfRule type="notContainsBlanks" dxfId="7517" priority="7790">
      <formula>LEN(TRIM(G536))&gt;0</formula>
    </cfRule>
  </conditionalFormatting>
  <conditionalFormatting sqref="G536:K536">
    <cfRule type="notContainsBlanks" dxfId="7516" priority="7789">
      <formula>LEN(TRIM(G536))&gt;0</formula>
    </cfRule>
  </conditionalFormatting>
  <conditionalFormatting sqref="G536:K536">
    <cfRule type="notContainsBlanks" dxfId="7515" priority="7788">
      <formula>LEN(TRIM(G536))&gt;0</formula>
    </cfRule>
  </conditionalFormatting>
  <conditionalFormatting sqref="G536:K536">
    <cfRule type="notContainsBlanks" dxfId="7514" priority="7787">
      <formula>LEN(TRIM(G536))&gt;0</formula>
    </cfRule>
  </conditionalFormatting>
  <conditionalFormatting sqref="G536:K536">
    <cfRule type="notContainsBlanks" dxfId="7513" priority="7786">
      <formula>LEN(TRIM(G536))&gt;0</formula>
    </cfRule>
  </conditionalFormatting>
  <conditionalFormatting sqref="G536:K536">
    <cfRule type="notContainsBlanks" dxfId="7512" priority="7785">
      <formula>LEN(TRIM(G536))&gt;0</formula>
    </cfRule>
  </conditionalFormatting>
  <conditionalFormatting sqref="G536:K536">
    <cfRule type="notContainsBlanks" priority="7784">
      <formula>LEN(TRIM(G536))&gt;0</formula>
    </cfRule>
  </conditionalFormatting>
  <conditionalFormatting sqref="G536:K536">
    <cfRule type="notContainsBlanks" dxfId="7511" priority="7783">
      <formula>LEN(TRIM(G536))&gt;0</formula>
    </cfRule>
  </conditionalFormatting>
  <conditionalFormatting sqref="G536:K536">
    <cfRule type="notContainsBlanks" dxfId="7510" priority="7782">
      <formula>LEN(TRIM(G536))&gt;0</formula>
    </cfRule>
  </conditionalFormatting>
  <conditionalFormatting sqref="G536:K536">
    <cfRule type="notContainsBlanks" dxfId="7509" priority="7781">
      <formula>LEN(TRIM(G536))&gt;0</formula>
    </cfRule>
  </conditionalFormatting>
  <conditionalFormatting sqref="G536:K536">
    <cfRule type="notContainsBlanks" dxfId="7508" priority="7780">
      <formula>LEN(TRIM(G536))&gt;0</formula>
    </cfRule>
  </conditionalFormatting>
  <conditionalFormatting sqref="G536:K536">
    <cfRule type="notContainsBlanks" dxfId="7507" priority="7779">
      <formula>LEN(TRIM(G536))&gt;0</formula>
    </cfRule>
  </conditionalFormatting>
  <conditionalFormatting sqref="G549">
    <cfRule type="notContainsBlanks" dxfId="7506" priority="7778">
      <formula>LEN(TRIM(G549))&gt;0</formula>
    </cfRule>
  </conditionalFormatting>
  <conditionalFormatting sqref="H549:K549">
    <cfRule type="notContainsBlanks" dxfId="7505" priority="7777">
      <formula>LEN(TRIM(H549))&gt;0</formula>
    </cfRule>
  </conditionalFormatting>
  <conditionalFormatting sqref="G549:K549">
    <cfRule type="notContainsBlanks" dxfId="7504" priority="7776">
      <formula>LEN(TRIM(G549))&gt;0</formula>
    </cfRule>
  </conditionalFormatting>
  <conditionalFormatting sqref="G549:K549">
    <cfRule type="notContainsBlanks" dxfId="7503" priority="7775">
      <formula>LEN(TRIM(G549))&gt;0</formula>
    </cfRule>
  </conditionalFormatting>
  <conditionalFormatting sqref="G549:K549">
    <cfRule type="notContainsBlanks" dxfId="7502" priority="7774">
      <formula>LEN(TRIM(G549))&gt;0</formula>
    </cfRule>
  </conditionalFormatting>
  <conditionalFormatting sqref="G549:K549">
    <cfRule type="notContainsBlanks" dxfId="7501" priority="7773">
      <formula>LEN(TRIM(G549))&gt;0</formula>
    </cfRule>
  </conditionalFormatting>
  <conditionalFormatting sqref="G549:K549">
    <cfRule type="notContainsBlanks" dxfId="7500" priority="7772">
      <formula>LEN(TRIM(G549))&gt;0</formula>
    </cfRule>
  </conditionalFormatting>
  <conditionalFormatting sqref="G549:K549">
    <cfRule type="notContainsBlanks" dxfId="7499" priority="7771">
      <formula>LEN(TRIM(G549))&gt;0</formula>
    </cfRule>
  </conditionalFormatting>
  <conditionalFormatting sqref="G549:K549">
    <cfRule type="notContainsBlanks" dxfId="7498" priority="7770">
      <formula>LEN(TRIM(G549))&gt;0</formula>
    </cfRule>
  </conditionalFormatting>
  <conditionalFormatting sqref="G549:K549">
    <cfRule type="notContainsBlanks" dxfId="7497" priority="7769">
      <formula>LEN(TRIM(G549))&gt;0</formula>
    </cfRule>
  </conditionalFormatting>
  <conditionalFormatting sqref="G549:K549">
    <cfRule type="notContainsBlanks" dxfId="7496" priority="7768">
      <formula>LEN(TRIM(G549))&gt;0</formula>
    </cfRule>
  </conditionalFormatting>
  <conditionalFormatting sqref="G549:K549">
    <cfRule type="notContainsBlanks" dxfId="7495" priority="7766">
      <formula>LEN(TRIM(G549))&gt;0</formula>
    </cfRule>
    <cfRule type="notContainsBlanks" dxfId="7494" priority="7767">
      <formula>LEN(TRIM(G549))&gt;0</formula>
    </cfRule>
  </conditionalFormatting>
  <conditionalFormatting sqref="G549:K549">
    <cfRule type="notContainsBlanks" dxfId="7493" priority="7765">
      <formula>LEN(TRIM(G549))&gt;0</formula>
    </cfRule>
  </conditionalFormatting>
  <conditionalFormatting sqref="G549:K549">
    <cfRule type="notContainsBlanks" dxfId="7492" priority="7764">
      <formula>LEN(TRIM(G549))&gt;0</formula>
    </cfRule>
  </conditionalFormatting>
  <conditionalFormatting sqref="G549:K549">
    <cfRule type="notContainsBlanks" dxfId="7491" priority="7763">
      <formula>LEN(TRIM(G549))&gt;0</formula>
    </cfRule>
  </conditionalFormatting>
  <conditionalFormatting sqref="G549:K549">
    <cfRule type="notContainsBlanks" dxfId="7490" priority="7762">
      <formula>LEN(TRIM(G549))&gt;0</formula>
    </cfRule>
  </conditionalFormatting>
  <conditionalFormatting sqref="G549:K549">
    <cfRule type="notContainsBlanks" dxfId="7489" priority="7761">
      <formula>LEN(TRIM(G549))&gt;0</formula>
    </cfRule>
  </conditionalFormatting>
  <conditionalFormatting sqref="G549:K549">
    <cfRule type="notContainsBlanks" dxfId="7488" priority="7760">
      <formula>LEN(TRIM(G549))&gt;0</formula>
    </cfRule>
  </conditionalFormatting>
  <conditionalFormatting sqref="G549:K549">
    <cfRule type="notContainsBlanks" dxfId="7487" priority="7759">
      <formula>LEN(TRIM(G549))&gt;0</formula>
    </cfRule>
  </conditionalFormatting>
  <conditionalFormatting sqref="G549:K549">
    <cfRule type="notContainsBlanks" dxfId="7486" priority="7758">
      <formula>LEN(TRIM(G549))&gt;0</formula>
    </cfRule>
  </conditionalFormatting>
  <conditionalFormatting sqref="G549:K549">
    <cfRule type="notContainsBlanks" dxfId="7485" priority="7757">
      <formula>LEN(TRIM(G549))&gt;0</formula>
    </cfRule>
  </conditionalFormatting>
  <conditionalFormatting sqref="G549:K549">
    <cfRule type="notContainsBlanks" priority="7756">
      <formula>LEN(TRIM(G549))&gt;0</formula>
    </cfRule>
  </conditionalFormatting>
  <conditionalFormatting sqref="G549:K549">
    <cfRule type="notContainsBlanks" dxfId="7484" priority="7755">
      <formula>LEN(TRIM(G549))&gt;0</formula>
    </cfRule>
  </conditionalFormatting>
  <conditionalFormatting sqref="G549:K549">
    <cfRule type="notContainsBlanks" dxfId="7483" priority="7754">
      <formula>LEN(TRIM(G549))&gt;0</formula>
    </cfRule>
  </conditionalFormatting>
  <conditionalFormatting sqref="G549:K549">
    <cfRule type="notContainsBlanks" dxfId="7482" priority="7753">
      <formula>LEN(TRIM(G549))&gt;0</formula>
    </cfRule>
  </conditionalFormatting>
  <conditionalFormatting sqref="G549:K549">
    <cfRule type="notContainsBlanks" dxfId="7481" priority="7752">
      <formula>LEN(TRIM(G549))&gt;0</formula>
    </cfRule>
  </conditionalFormatting>
  <conditionalFormatting sqref="G549:K549">
    <cfRule type="notContainsBlanks" dxfId="7480" priority="7751">
      <formula>LEN(TRIM(G549))&gt;0</formula>
    </cfRule>
  </conditionalFormatting>
  <conditionalFormatting sqref="G562">
    <cfRule type="notContainsBlanks" dxfId="7479" priority="7750">
      <formula>LEN(TRIM(G562))&gt;0</formula>
    </cfRule>
  </conditionalFormatting>
  <conditionalFormatting sqref="H562:K562">
    <cfRule type="notContainsBlanks" dxfId="7478" priority="7749">
      <formula>LEN(TRIM(H562))&gt;0</formula>
    </cfRule>
  </conditionalFormatting>
  <conditionalFormatting sqref="G562:K562">
    <cfRule type="notContainsBlanks" dxfId="7477" priority="7748">
      <formula>LEN(TRIM(G562))&gt;0</formula>
    </cfRule>
  </conditionalFormatting>
  <conditionalFormatting sqref="G562:K562">
    <cfRule type="notContainsBlanks" dxfId="7476" priority="7747">
      <formula>LEN(TRIM(G562))&gt;0</formula>
    </cfRule>
  </conditionalFormatting>
  <conditionalFormatting sqref="G562:K562">
    <cfRule type="notContainsBlanks" dxfId="7475" priority="7746">
      <formula>LEN(TRIM(G562))&gt;0</formula>
    </cfRule>
  </conditionalFormatting>
  <conditionalFormatting sqref="G562:K562">
    <cfRule type="notContainsBlanks" dxfId="7474" priority="7745">
      <formula>LEN(TRIM(G562))&gt;0</formula>
    </cfRule>
  </conditionalFormatting>
  <conditionalFormatting sqref="G562:K562">
    <cfRule type="notContainsBlanks" dxfId="7473" priority="7744">
      <formula>LEN(TRIM(G562))&gt;0</formula>
    </cfRule>
  </conditionalFormatting>
  <conditionalFormatting sqref="G562:K562">
    <cfRule type="notContainsBlanks" dxfId="7472" priority="7743">
      <formula>LEN(TRIM(G562))&gt;0</formula>
    </cfRule>
  </conditionalFormatting>
  <conditionalFormatting sqref="G562:K562">
    <cfRule type="notContainsBlanks" dxfId="7471" priority="7742">
      <formula>LEN(TRIM(G562))&gt;0</formula>
    </cfRule>
  </conditionalFormatting>
  <conditionalFormatting sqref="G562:K562">
    <cfRule type="notContainsBlanks" dxfId="7470" priority="7741">
      <formula>LEN(TRIM(G562))&gt;0</formula>
    </cfRule>
  </conditionalFormatting>
  <conditionalFormatting sqref="G562:K562">
    <cfRule type="notContainsBlanks" dxfId="7469" priority="7740">
      <formula>LEN(TRIM(G562))&gt;0</formula>
    </cfRule>
  </conditionalFormatting>
  <conditionalFormatting sqref="G562:K562">
    <cfRule type="notContainsBlanks" dxfId="7468" priority="7738">
      <formula>LEN(TRIM(G562))&gt;0</formula>
    </cfRule>
    <cfRule type="notContainsBlanks" dxfId="7467" priority="7739">
      <formula>LEN(TRIM(G562))&gt;0</formula>
    </cfRule>
  </conditionalFormatting>
  <conditionalFormatting sqref="G562:K562">
    <cfRule type="notContainsBlanks" dxfId="7466" priority="7737">
      <formula>LEN(TRIM(G562))&gt;0</formula>
    </cfRule>
  </conditionalFormatting>
  <conditionalFormatting sqref="G562:K562">
    <cfRule type="notContainsBlanks" dxfId="7465" priority="7736">
      <formula>LEN(TRIM(G562))&gt;0</formula>
    </cfRule>
  </conditionalFormatting>
  <conditionalFormatting sqref="G562:K562">
    <cfRule type="notContainsBlanks" dxfId="7464" priority="7735">
      <formula>LEN(TRIM(G562))&gt;0</formula>
    </cfRule>
  </conditionalFormatting>
  <conditionalFormatting sqref="G562:K562">
    <cfRule type="notContainsBlanks" dxfId="7463" priority="7734">
      <formula>LEN(TRIM(G562))&gt;0</formula>
    </cfRule>
  </conditionalFormatting>
  <conditionalFormatting sqref="G562:K562">
    <cfRule type="notContainsBlanks" dxfId="7462" priority="7733">
      <formula>LEN(TRIM(G562))&gt;0</formula>
    </cfRule>
  </conditionalFormatting>
  <conditionalFormatting sqref="G562:K562">
    <cfRule type="notContainsBlanks" dxfId="7461" priority="7732">
      <formula>LEN(TRIM(G562))&gt;0</formula>
    </cfRule>
  </conditionalFormatting>
  <conditionalFormatting sqref="G562:K562">
    <cfRule type="notContainsBlanks" dxfId="7460" priority="7731">
      <formula>LEN(TRIM(G562))&gt;0</formula>
    </cfRule>
  </conditionalFormatting>
  <conditionalFormatting sqref="G562:K562">
    <cfRule type="notContainsBlanks" dxfId="7459" priority="7730">
      <formula>LEN(TRIM(G562))&gt;0</formula>
    </cfRule>
  </conditionalFormatting>
  <conditionalFormatting sqref="G562:K562">
    <cfRule type="notContainsBlanks" dxfId="7458" priority="7729">
      <formula>LEN(TRIM(G562))&gt;0</formula>
    </cfRule>
  </conditionalFormatting>
  <conditionalFormatting sqref="G562:K562">
    <cfRule type="notContainsBlanks" priority="7728">
      <formula>LEN(TRIM(G562))&gt;0</formula>
    </cfRule>
  </conditionalFormatting>
  <conditionalFormatting sqref="G562:K562">
    <cfRule type="notContainsBlanks" dxfId="7457" priority="7727">
      <formula>LEN(TRIM(G562))&gt;0</formula>
    </cfRule>
  </conditionalFormatting>
  <conditionalFormatting sqref="G562:K562">
    <cfRule type="notContainsBlanks" dxfId="7456" priority="7726">
      <formula>LEN(TRIM(G562))&gt;0</formula>
    </cfRule>
  </conditionalFormatting>
  <conditionalFormatting sqref="G562:K562">
    <cfRule type="notContainsBlanks" dxfId="7455" priority="7725">
      <formula>LEN(TRIM(G562))&gt;0</formula>
    </cfRule>
  </conditionalFormatting>
  <conditionalFormatting sqref="G562:K562">
    <cfRule type="notContainsBlanks" dxfId="7454" priority="7724">
      <formula>LEN(TRIM(G562))&gt;0</formula>
    </cfRule>
  </conditionalFormatting>
  <conditionalFormatting sqref="G562:K562">
    <cfRule type="notContainsBlanks" dxfId="7453" priority="7723">
      <formula>LEN(TRIM(G562))&gt;0</formula>
    </cfRule>
  </conditionalFormatting>
  <conditionalFormatting sqref="G575">
    <cfRule type="notContainsBlanks" dxfId="7452" priority="7722">
      <formula>LEN(TRIM(G575))&gt;0</formula>
    </cfRule>
  </conditionalFormatting>
  <conditionalFormatting sqref="H575:K575">
    <cfRule type="notContainsBlanks" dxfId="7451" priority="7721">
      <formula>LEN(TRIM(H575))&gt;0</formula>
    </cfRule>
  </conditionalFormatting>
  <conditionalFormatting sqref="G575:K575">
    <cfRule type="notContainsBlanks" dxfId="7450" priority="7720">
      <formula>LEN(TRIM(G575))&gt;0</formula>
    </cfRule>
  </conditionalFormatting>
  <conditionalFormatting sqref="G575:K575">
    <cfRule type="notContainsBlanks" dxfId="7449" priority="7719">
      <formula>LEN(TRIM(G575))&gt;0</formula>
    </cfRule>
  </conditionalFormatting>
  <conditionalFormatting sqref="G575:K575">
    <cfRule type="notContainsBlanks" dxfId="7448" priority="7718">
      <formula>LEN(TRIM(G575))&gt;0</formula>
    </cfRule>
  </conditionalFormatting>
  <conditionalFormatting sqref="G575:K575">
    <cfRule type="notContainsBlanks" dxfId="7447" priority="7717">
      <formula>LEN(TRIM(G575))&gt;0</formula>
    </cfRule>
  </conditionalFormatting>
  <conditionalFormatting sqref="G575:K575">
    <cfRule type="notContainsBlanks" dxfId="7446" priority="7716">
      <formula>LEN(TRIM(G575))&gt;0</formula>
    </cfRule>
  </conditionalFormatting>
  <conditionalFormatting sqref="G575:K575">
    <cfRule type="notContainsBlanks" dxfId="7445" priority="7715">
      <formula>LEN(TRIM(G575))&gt;0</formula>
    </cfRule>
  </conditionalFormatting>
  <conditionalFormatting sqref="G575:K575">
    <cfRule type="notContainsBlanks" dxfId="7444" priority="7714">
      <formula>LEN(TRIM(G575))&gt;0</formula>
    </cfRule>
  </conditionalFormatting>
  <conditionalFormatting sqref="G575:K575">
    <cfRule type="notContainsBlanks" dxfId="7443" priority="7713">
      <formula>LEN(TRIM(G575))&gt;0</formula>
    </cfRule>
  </conditionalFormatting>
  <conditionalFormatting sqref="G575:K575">
    <cfRule type="notContainsBlanks" dxfId="7442" priority="7712">
      <formula>LEN(TRIM(G575))&gt;0</formula>
    </cfRule>
  </conditionalFormatting>
  <conditionalFormatting sqref="G575:K575">
    <cfRule type="notContainsBlanks" dxfId="7441" priority="7710">
      <formula>LEN(TRIM(G575))&gt;0</formula>
    </cfRule>
    <cfRule type="notContainsBlanks" dxfId="7440" priority="7711">
      <formula>LEN(TRIM(G575))&gt;0</formula>
    </cfRule>
  </conditionalFormatting>
  <conditionalFormatting sqref="G575:K575">
    <cfRule type="notContainsBlanks" dxfId="7439" priority="7709">
      <formula>LEN(TRIM(G575))&gt;0</formula>
    </cfRule>
  </conditionalFormatting>
  <conditionalFormatting sqref="G575:K575">
    <cfRule type="notContainsBlanks" dxfId="7438" priority="7708">
      <formula>LEN(TRIM(G575))&gt;0</formula>
    </cfRule>
  </conditionalFormatting>
  <conditionalFormatting sqref="G575:K575">
    <cfRule type="notContainsBlanks" dxfId="7437" priority="7707">
      <formula>LEN(TRIM(G575))&gt;0</formula>
    </cfRule>
  </conditionalFormatting>
  <conditionalFormatting sqref="G575:K575">
    <cfRule type="notContainsBlanks" dxfId="7436" priority="7706">
      <formula>LEN(TRIM(G575))&gt;0</formula>
    </cfRule>
  </conditionalFormatting>
  <conditionalFormatting sqref="G575:K575">
    <cfRule type="notContainsBlanks" dxfId="7435" priority="7705">
      <formula>LEN(TRIM(G575))&gt;0</formula>
    </cfRule>
  </conditionalFormatting>
  <conditionalFormatting sqref="G575:K575">
    <cfRule type="notContainsBlanks" dxfId="7434" priority="7704">
      <formula>LEN(TRIM(G575))&gt;0</formula>
    </cfRule>
  </conditionalFormatting>
  <conditionalFormatting sqref="G575:K575">
    <cfRule type="notContainsBlanks" dxfId="7433" priority="7703">
      <formula>LEN(TRIM(G575))&gt;0</formula>
    </cfRule>
  </conditionalFormatting>
  <conditionalFormatting sqref="G575:K575">
    <cfRule type="notContainsBlanks" dxfId="7432" priority="7702">
      <formula>LEN(TRIM(G575))&gt;0</formula>
    </cfRule>
  </conditionalFormatting>
  <conditionalFormatting sqref="G575:K575">
    <cfRule type="notContainsBlanks" dxfId="7431" priority="7701">
      <formula>LEN(TRIM(G575))&gt;0</formula>
    </cfRule>
  </conditionalFormatting>
  <conditionalFormatting sqref="G575:K575">
    <cfRule type="notContainsBlanks" priority="7700">
      <formula>LEN(TRIM(G575))&gt;0</formula>
    </cfRule>
  </conditionalFormatting>
  <conditionalFormatting sqref="G575:K575">
    <cfRule type="notContainsBlanks" dxfId="7430" priority="7699">
      <formula>LEN(TRIM(G575))&gt;0</formula>
    </cfRule>
  </conditionalFormatting>
  <conditionalFormatting sqref="G575:K575">
    <cfRule type="notContainsBlanks" dxfId="7429" priority="7698">
      <formula>LEN(TRIM(G575))&gt;0</formula>
    </cfRule>
  </conditionalFormatting>
  <conditionalFormatting sqref="G575:K575">
    <cfRule type="notContainsBlanks" dxfId="7428" priority="7697">
      <formula>LEN(TRIM(G575))&gt;0</formula>
    </cfRule>
  </conditionalFormatting>
  <conditionalFormatting sqref="G575:K575">
    <cfRule type="notContainsBlanks" dxfId="7427" priority="7696">
      <formula>LEN(TRIM(G575))&gt;0</formula>
    </cfRule>
  </conditionalFormatting>
  <conditionalFormatting sqref="G575:K575">
    <cfRule type="notContainsBlanks" dxfId="7426" priority="7695">
      <formula>LEN(TRIM(G575))&gt;0</formula>
    </cfRule>
  </conditionalFormatting>
  <conditionalFormatting sqref="G588">
    <cfRule type="notContainsBlanks" dxfId="7425" priority="7694">
      <formula>LEN(TRIM(G588))&gt;0</formula>
    </cfRule>
  </conditionalFormatting>
  <conditionalFormatting sqref="H588:K588">
    <cfRule type="notContainsBlanks" dxfId="7424" priority="7693">
      <formula>LEN(TRIM(H588))&gt;0</formula>
    </cfRule>
  </conditionalFormatting>
  <conditionalFormatting sqref="G588:K588">
    <cfRule type="notContainsBlanks" dxfId="7423" priority="7692">
      <formula>LEN(TRIM(G588))&gt;0</formula>
    </cfRule>
  </conditionalFormatting>
  <conditionalFormatting sqref="G588:K588">
    <cfRule type="notContainsBlanks" dxfId="7422" priority="7691">
      <formula>LEN(TRIM(G588))&gt;0</formula>
    </cfRule>
  </conditionalFormatting>
  <conditionalFormatting sqref="G588:K588">
    <cfRule type="notContainsBlanks" dxfId="7421" priority="7690">
      <formula>LEN(TRIM(G588))&gt;0</formula>
    </cfRule>
  </conditionalFormatting>
  <conditionalFormatting sqref="G588:K588">
    <cfRule type="notContainsBlanks" dxfId="7420" priority="7689">
      <formula>LEN(TRIM(G588))&gt;0</formula>
    </cfRule>
  </conditionalFormatting>
  <conditionalFormatting sqref="G588:K588">
    <cfRule type="notContainsBlanks" dxfId="7419" priority="7688">
      <formula>LEN(TRIM(G588))&gt;0</formula>
    </cfRule>
  </conditionalFormatting>
  <conditionalFormatting sqref="G588:K588">
    <cfRule type="notContainsBlanks" dxfId="7418" priority="7687">
      <formula>LEN(TRIM(G588))&gt;0</formula>
    </cfRule>
  </conditionalFormatting>
  <conditionalFormatting sqref="G588:K588">
    <cfRule type="notContainsBlanks" dxfId="7417" priority="7686">
      <formula>LEN(TRIM(G588))&gt;0</formula>
    </cfRule>
  </conditionalFormatting>
  <conditionalFormatting sqref="G588:K588">
    <cfRule type="notContainsBlanks" dxfId="7416" priority="7685">
      <formula>LEN(TRIM(G588))&gt;0</formula>
    </cfRule>
  </conditionalFormatting>
  <conditionalFormatting sqref="G588:K588">
    <cfRule type="notContainsBlanks" dxfId="7415" priority="7684">
      <formula>LEN(TRIM(G588))&gt;0</formula>
    </cfRule>
  </conditionalFormatting>
  <conditionalFormatting sqref="G588:K588">
    <cfRule type="notContainsBlanks" dxfId="7414" priority="7682">
      <formula>LEN(TRIM(G588))&gt;0</formula>
    </cfRule>
    <cfRule type="notContainsBlanks" dxfId="7413" priority="7683">
      <formula>LEN(TRIM(G588))&gt;0</formula>
    </cfRule>
  </conditionalFormatting>
  <conditionalFormatting sqref="G588:K588">
    <cfRule type="notContainsBlanks" dxfId="7412" priority="7681">
      <formula>LEN(TRIM(G588))&gt;0</formula>
    </cfRule>
  </conditionalFormatting>
  <conditionalFormatting sqref="G588:K588">
    <cfRule type="notContainsBlanks" dxfId="7411" priority="7680">
      <formula>LEN(TRIM(G588))&gt;0</formula>
    </cfRule>
  </conditionalFormatting>
  <conditionalFormatting sqref="G588:K588">
    <cfRule type="notContainsBlanks" dxfId="7410" priority="7679">
      <formula>LEN(TRIM(G588))&gt;0</formula>
    </cfRule>
  </conditionalFormatting>
  <conditionalFormatting sqref="G588:K588">
    <cfRule type="notContainsBlanks" dxfId="7409" priority="7678">
      <formula>LEN(TRIM(G588))&gt;0</formula>
    </cfRule>
  </conditionalFormatting>
  <conditionalFormatting sqref="G588:K588">
    <cfRule type="notContainsBlanks" dxfId="7408" priority="7677">
      <formula>LEN(TRIM(G588))&gt;0</formula>
    </cfRule>
  </conditionalFormatting>
  <conditionalFormatting sqref="G588:K588">
    <cfRule type="notContainsBlanks" dxfId="7407" priority="7676">
      <formula>LEN(TRIM(G588))&gt;0</formula>
    </cfRule>
  </conditionalFormatting>
  <conditionalFormatting sqref="G588:K588">
    <cfRule type="notContainsBlanks" dxfId="7406" priority="7675">
      <formula>LEN(TRIM(G588))&gt;0</formula>
    </cfRule>
  </conditionalFormatting>
  <conditionalFormatting sqref="G588:K588">
    <cfRule type="notContainsBlanks" dxfId="7405" priority="7674">
      <formula>LEN(TRIM(G588))&gt;0</formula>
    </cfRule>
  </conditionalFormatting>
  <conditionalFormatting sqref="G588:K588">
    <cfRule type="notContainsBlanks" dxfId="7404" priority="7673">
      <formula>LEN(TRIM(G588))&gt;0</formula>
    </cfRule>
  </conditionalFormatting>
  <conditionalFormatting sqref="G588:K588">
    <cfRule type="notContainsBlanks" priority="7672">
      <formula>LEN(TRIM(G588))&gt;0</formula>
    </cfRule>
  </conditionalFormatting>
  <conditionalFormatting sqref="G588:K588">
    <cfRule type="notContainsBlanks" dxfId="7403" priority="7671">
      <formula>LEN(TRIM(G588))&gt;0</formula>
    </cfRule>
  </conditionalFormatting>
  <conditionalFormatting sqref="G588:K588">
    <cfRule type="notContainsBlanks" dxfId="7402" priority="7670">
      <formula>LEN(TRIM(G588))&gt;0</formula>
    </cfRule>
  </conditionalFormatting>
  <conditionalFormatting sqref="G588:K588">
    <cfRule type="notContainsBlanks" dxfId="7401" priority="7669">
      <formula>LEN(TRIM(G588))&gt;0</formula>
    </cfRule>
  </conditionalFormatting>
  <conditionalFormatting sqref="G588:K588">
    <cfRule type="notContainsBlanks" dxfId="7400" priority="7668">
      <formula>LEN(TRIM(G588))&gt;0</formula>
    </cfRule>
  </conditionalFormatting>
  <conditionalFormatting sqref="G588:K588">
    <cfRule type="notContainsBlanks" dxfId="7399" priority="7667">
      <formula>LEN(TRIM(G588))&gt;0</formula>
    </cfRule>
  </conditionalFormatting>
  <conditionalFormatting sqref="G601">
    <cfRule type="notContainsBlanks" dxfId="7398" priority="7666">
      <formula>LEN(TRIM(G601))&gt;0</formula>
    </cfRule>
  </conditionalFormatting>
  <conditionalFormatting sqref="H601:K601">
    <cfRule type="notContainsBlanks" dxfId="7397" priority="7665">
      <formula>LEN(TRIM(H601))&gt;0</formula>
    </cfRule>
  </conditionalFormatting>
  <conditionalFormatting sqref="G601:K601">
    <cfRule type="notContainsBlanks" dxfId="7396" priority="7664">
      <formula>LEN(TRIM(G601))&gt;0</formula>
    </cfRule>
  </conditionalFormatting>
  <conditionalFormatting sqref="G601:K601">
    <cfRule type="notContainsBlanks" dxfId="7395" priority="7663">
      <formula>LEN(TRIM(G601))&gt;0</formula>
    </cfRule>
  </conditionalFormatting>
  <conditionalFormatting sqref="G601:K601">
    <cfRule type="notContainsBlanks" dxfId="7394" priority="7662">
      <formula>LEN(TRIM(G601))&gt;0</formula>
    </cfRule>
  </conditionalFormatting>
  <conditionalFormatting sqref="G601:K601">
    <cfRule type="notContainsBlanks" dxfId="7393" priority="7661">
      <formula>LEN(TRIM(G601))&gt;0</formula>
    </cfRule>
  </conditionalFormatting>
  <conditionalFormatting sqref="G601:K601">
    <cfRule type="notContainsBlanks" dxfId="7392" priority="7660">
      <formula>LEN(TRIM(G601))&gt;0</formula>
    </cfRule>
  </conditionalFormatting>
  <conditionalFormatting sqref="G601:K601">
    <cfRule type="notContainsBlanks" dxfId="7391" priority="7659">
      <formula>LEN(TRIM(G601))&gt;0</formula>
    </cfRule>
  </conditionalFormatting>
  <conditionalFormatting sqref="G601:K601">
    <cfRule type="notContainsBlanks" dxfId="7390" priority="7658">
      <formula>LEN(TRIM(G601))&gt;0</formula>
    </cfRule>
  </conditionalFormatting>
  <conditionalFormatting sqref="G601:K601">
    <cfRule type="notContainsBlanks" dxfId="7389" priority="7657">
      <formula>LEN(TRIM(G601))&gt;0</formula>
    </cfRule>
  </conditionalFormatting>
  <conditionalFormatting sqref="G601:K601">
    <cfRule type="notContainsBlanks" dxfId="7388" priority="7656">
      <formula>LEN(TRIM(G601))&gt;0</formula>
    </cfRule>
  </conditionalFormatting>
  <conditionalFormatting sqref="G601:K601">
    <cfRule type="notContainsBlanks" dxfId="7387" priority="7654">
      <formula>LEN(TRIM(G601))&gt;0</formula>
    </cfRule>
    <cfRule type="notContainsBlanks" dxfId="7386" priority="7655">
      <formula>LEN(TRIM(G601))&gt;0</formula>
    </cfRule>
  </conditionalFormatting>
  <conditionalFormatting sqref="G601:K601">
    <cfRule type="notContainsBlanks" dxfId="7385" priority="7653">
      <formula>LEN(TRIM(G601))&gt;0</formula>
    </cfRule>
  </conditionalFormatting>
  <conditionalFormatting sqref="G601:K601">
    <cfRule type="notContainsBlanks" dxfId="7384" priority="7652">
      <formula>LEN(TRIM(G601))&gt;0</formula>
    </cfRule>
  </conditionalFormatting>
  <conditionalFormatting sqref="G601:K601">
    <cfRule type="notContainsBlanks" dxfId="7383" priority="7651">
      <formula>LEN(TRIM(G601))&gt;0</formula>
    </cfRule>
  </conditionalFormatting>
  <conditionalFormatting sqref="G601:K601">
    <cfRule type="notContainsBlanks" dxfId="7382" priority="7650">
      <formula>LEN(TRIM(G601))&gt;0</formula>
    </cfRule>
  </conditionalFormatting>
  <conditionalFormatting sqref="G601:K601">
    <cfRule type="notContainsBlanks" dxfId="7381" priority="7649">
      <formula>LEN(TRIM(G601))&gt;0</formula>
    </cfRule>
  </conditionalFormatting>
  <conditionalFormatting sqref="G601:K601">
    <cfRule type="notContainsBlanks" dxfId="7380" priority="7648">
      <formula>LEN(TRIM(G601))&gt;0</formula>
    </cfRule>
  </conditionalFormatting>
  <conditionalFormatting sqref="G601:K601">
    <cfRule type="notContainsBlanks" dxfId="7379" priority="7647">
      <formula>LEN(TRIM(G601))&gt;0</formula>
    </cfRule>
  </conditionalFormatting>
  <conditionalFormatting sqref="G601:K601">
    <cfRule type="notContainsBlanks" dxfId="7378" priority="7646">
      <formula>LEN(TRIM(G601))&gt;0</formula>
    </cfRule>
  </conditionalFormatting>
  <conditionalFormatting sqref="G601:K601">
    <cfRule type="notContainsBlanks" dxfId="7377" priority="7645">
      <formula>LEN(TRIM(G601))&gt;0</formula>
    </cfRule>
  </conditionalFormatting>
  <conditionalFormatting sqref="G601:K601">
    <cfRule type="notContainsBlanks" priority="7644">
      <formula>LEN(TRIM(G601))&gt;0</formula>
    </cfRule>
  </conditionalFormatting>
  <conditionalFormatting sqref="G601:K601">
    <cfRule type="notContainsBlanks" dxfId="7376" priority="7643">
      <formula>LEN(TRIM(G601))&gt;0</formula>
    </cfRule>
  </conditionalFormatting>
  <conditionalFormatting sqref="G601:K601">
    <cfRule type="notContainsBlanks" dxfId="7375" priority="7642">
      <formula>LEN(TRIM(G601))&gt;0</formula>
    </cfRule>
  </conditionalFormatting>
  <conditionalFormatting sqref="G601:K601">
    <cfRule type="notContainsBlanks" dxfId="7374" priority="7641">
      <formula>LEN(TRIM(G601))&gt;0</formula>
    </cfRule>
  </conditionalFormatting>
  <conditionalFormatting sqref="G601:K601">
    <cfRule type="notContainsBlanks" dxfId="7373" priority="7640">
      <formula>LEN(TRIM(G601))&gt;0</formula>
    </cfRule>
  </conditionalFormatting>
  <conditionalFormatting sqref="G601:K601">
    <cfRule type="notContainsBlanks" dxfId="7372" priority="7639">
      <formula>LEN(TRIM(G601))&gt;0</formula>
    </cfRule>
  </conditionalFormatting>
  <conditionalFormatting sqref="G614">
    <cfRule type="notContainsBlanks" dxfId="7371" priority="7638">
      <formula>LEN(TRIM(G614))&gt;0</formula>
    </cfRule>
  </conditionalFormatting>
  <conditionalFormatting sqref="H614:K614">
    <cfRule type="notContainsBlanks" dxfId="7370" priority="7637">
      <formula>LEN(TRIM(H614))&gt;0</formula>
    </cfRule>
  </conditionalFormatting>
  <conditionalFormatting sqref="G614:K614">
    <cfRule type="notContainsBlanks" dxfId="7369" priority="7636">
      <formula>LEN(TRIM(G614))&gt;0</formula>
    </cfRule>
  </conditionalFormatting>
  <conditionalFormatting sqref="G614:K614">
    <cfRule type="notContainsBlanks" dxfId="7368" priority="7635">
      <formula>LEN(TRIM(G614))&gt;0</formula>
    </cfRule>
  </conditionalFormatting>
  <conditionalFormatting sqref="G614:K614">
    <cfRule type="notContainsBlanks" dxfId="7367" priority="7634">
      <formula>LEN(TRIM(G614))&gt;0</formula>
    </cfRule>
  </conditionalFormatting>
  <conditionalFormatting sqref="G614:K614">
    <cfRule type="notContainsBlanks" dxfId="7366" priority="7633">
      <formula>LEN(TRIM(G614))&gt;0</formula>
    </cfRule>
  </conditionalFormatting>
  <conditionalFormatting sqref="G614:K614">
    <cfRule type="notContainsBlanks" dxfId="7365" priority="7632">
      <formula>LEN(TRIM(G614))&gt;0</formula>
    </cfRule>
  </conditionalFormatting>
  <conditionalFormatting sqref="G614:K614">
    <cfRule type="notContainsBlanks" dxfId="7364" priority="7631">
      <formula>LEN(TRIM(G614))&gt;0</formula>
    </cfRule>
  </conditionalFormatting>
  <conditionalFormatting sqref="G614:K614">
    <cfRule type="notContainsBlanks" dxfId="7363" priority="7630">
      <formula>LEN(TRIM(G614))&gt;0</formula>
    </cfRule>
  </conditionalFormatting>
  <conditionalFormatting sqref="G614:K614">
    <cfRule type="notContainsBlanks" dxfId="7362" priority="7629">
      <formula>LEN(TRIM(G614))&gt;0</formula>
    </cfRule>
  </conditionalFormatting>
  <conditionalFormatting sqref="G614:K614">
    <cfRule type="notContainsBlanks" dxfId="7361" priority="7628">
      <formula>LEN(TRIM(G614))&gt;0</formula>
    </cfRule>
  </conditionalFormatting>
  <conditionalFormatting sqref="G614:K614">
    <cfRule type="notContainsBlanks" dxfId="7360" priority="7626">
      <formula>LEN(TRIM(G614))&gt;0</formula>
    </cfRule>
    <cfRule type="notContainsBlanks" dxfId="7359" priority="7627">
      <formula>LEN(TRIM(G614))&gt;0</formula>
    </cfRule>
  </conditionalFormatting>
  <conditionalFormatting sqref="G614:K614">
    <cfRule type="notContainsBlanks" dxfId="7358" priority="7625">
      <formula>LEN(TRIM(G614))&gt;0</formula>
    </cfRule>
  </conditionalFormatting>
  <conditionalFormatting sqref="G614:K614">
    <cfRule type="notContainsBlanks" dxfId="7357" priority="7624">
      <formula>LEN(TRIM(G614))&gt;0</formula>
    </cfRule>
  </conditionalFormatting>
  <conditionalFormatting sqref="G614:K614">
    <cfRule type="notContainsBlanks" dxfId="7356" priority="7623">
      <formula>LEN(TRIM(G614))&gt;0</formula>
    </cfRule>
  </conditionalFormatting>
  <conditionalFormatting sqref="G614:K614">
    <cfRule type="notContainsBlanks" dxfId="7355" priority="7622">
      <formula>LEN(TRIM(G614))&gt;0</formula>
    </cfRule>
  </conditionalFormatting>
  <conditionalFormatting sqref="G614:K614">
    <cfRule type="notContainsBlanks" dxfId="7354" priority="7621">
      <formula>LEN(TRIM(G614))&gt;0</formula>
    </cfRule>
  </conditionalFormatting>
  <conditionalFormatting sqref="G614:K614">
    <cfRule type="notContainsBlanks" dxfId="7353" priority="7620">
      <formula>LEN(TRIM(G614))&gt;0</formula>
    </cfRule>
  </conditionalFormatting>
  <conditionalFormatting sqref="G614:K614">
    <cfRule type="notContainsBlanks" dxfId="7352" priority="7619">
      <formula>LEN(TRIM(G614))&gt;0</formula>
    </cfRule>
  </conditionalFormatting>
  <conditionalFormatting sqref="G614:K614">
    <cfRule type="notContainsBlanks" dxfId="7351" priority="7618">
      <formula>LEN(TRIM(G614))&gt;0</formula>
    </cfRule>
  </conditionalFormatting>
  <conditionalFormatting sqref="G614:K614">
    <cfRule type="notContainsBlanks" dxfId="7350" priority="7617">
      <formula>LEN(TRIM(G614))&gt;0</formula>
    </cfRule>
  </conditionalFormatting>
  <conditionalFormatting sqref="G614:K614">
    <cfRule type="notContainsBlanks" priority="7616">
      <formula>LEN(TRIM(G614))&gt;0</formula>
    </cfRule>
  </conditionalFormatting>
  <conditionalFormatting sqref="G614:K614">
    <cfRule type="notContainsBlanks" dxfId="7349" priority="7615">
      <formula>LEN(TRIM(G614))&gt;0</formula>
    </cfRule>
  </conditionalFormatting>
  <conditionalFormatting sqref="G614:K614">
    <cfRule type="notContainsBlanks" dxfId="7348" priority="7614">
      <formula>LEN(TRIM(G614))&gt;0</formula>
    </cfRule>
  </conditionalFormatting>
  <conditionalFormatting sqref="G614:K614">
    <cfRule type="notContainsBlanks" dxfId="7347" priority="7613">
      <formula>LEN(TRIM(G614))&gt;0</formula>
    </cfRule>
  </conditionalFormatting>
  <conditionalFormatting sqref="G614:K614">
    <cfRule type="notContainsBlanks" dxfId="7346" priority="7612">
      <formula>LEN(TRIM(G614))&gt;0</formula>
    </cfRule>
  </conditionalFormatting>
  <conditionalFormatting sqref="G614:K614">
    <cfRule type="notContainsBlanks" dxfId="7345" priority="7611">
      <formula>LEN(TRIM(G614))&gt;0</formula>
    </cfRule>
  </conditionalFormatting>
  <conditionalFormatting sqref="G627">
    <cfRule type="notContainsBlanks" dxfId="7344" priority="7610">
      <formula>LEN(TRIM(G627))&gt;0</formula>
    </cfRule>
  </conditionalFormatting>
  <conditionalFormatting sqref="H627:K627">
    <cfRule type="notContainsBlanks" dxfId="7343" priority="7609">
      <formula>LEN(TRIM(H627))&gt;0</formula>
    </cfRule>
  </conditionalFormatting>
  <conditionalFormatting sqref="G627:K627">
    <cfRule type="notContainsBlanks" dxfId="7342" priority="7608">
      <formula>LEN(TRIM(G627))&gt;0</formula>
    </cfRule>
  </conditionalFormatting>
  <conditionalFormatting sqref="G627:K627">
    <cfRule type="notContainsBlanks" dxfId="7341" priority="7607">
      <formula>LEN(TRIM(G627))&gt;0</formula>
    </cfRule>
  </conditionalFormatting>
  <conditionalFormatting sqref="G627:K627">
    <cfRule type="notContainsBlanks" dxfId="7340" priority="7606">
      <formula>LEN(TRIM(G627))&gt;0</formula>
    </cfRule>
  </conditionalFormatting>
  <conditionalFormatting sqref="G627:K627">
    <cfRule type="notContainsBlanks" dxfId="7339" priority="7605">
      <formula>LEN(TRIM(G627))&gt;0</formula>
    </cfRule>
  </conditionalFormatting>
  <conditionalFormatting sqref="G627:K627">
    <cfRule type="notContainsBlanks" dxfId="7338" priority="7604">
      <formula>LEN(TRIM(G627))&gt;0</formula>
    </cfRule>
  </conditionalFormatting>
  <conditionalFormatting sqref="G627:K627">
    <cfRule type="notContainsBlanks" dxfId="7337" priority="7603">
      <formula>LEN(TRIM(G627))&gt;0</formula>
    </cfRule>
  </conditionalFormatting>
  <conditionalFormatting sqref="G627:K627">
    <cfRule type="notContainsBlanks" dxfId="7336" priority="7602">
      <formula>LEN(TRIM(G627))&gt;0</formula>
    </cfRule>
  </conditionalFormatting>
  <conditionalFormatting sqref="G627:K627">
    <cfRule type="notContainsBlanks" dxfId="7335" priority="7601">
      <formula>LEN(TRIM(G627))&gt;0</formula>
    </cfRule>
  </conditionalFormatting>
  <conditionalFormatting sqref="G627:K627">
    <cfRule type="notContainsBlanks" dxfId="7334" priority="7600">
      <formula>LEN(TRIM(G627))&gt;0</formula>
    </cfRule>
  </conditionalFormatting>
  <conditionalFormatting sqref="G627:K627">
    <cfRule type="notContainsBlanks" dxfId="7333" priority="7598">
      <formula>LEN(TRIM(G627))&gt;0</formula>
    </cfRule>
    <cfRule type="notContainsBlanks" dxfId="7332" priority="7599">
      <formula>LEN(TRIM(G627))&gt;0</formula>
    </cfRule>
  </conditionalFormatting>
  <conditionalFormatting sqref="G627:K627">
    <cfRule type="notContainsBlanks" dxfId="7331" priority="7597">
      <formula>LEN(TRIM(G627))&gt;0</formula>
    </cfRule>
  </conditionalFormatting>
  <conditionalFormatting sqref="G627:K627">
    <cfRule type="notContainsBlanks" dxfId="7330" priority="7596">
      <formula>LEN(TRIM(G627))&gt;0</formula>
    </cfRule>
  </conditionalFormatting>
  <conditionalFormatting sqref="G627:K627">
    <cfRule type="notContainsBlanks" dxfId="7329" priority="7595">
      <formula>LEN(TRIM(G627))&gt;0</formula>
    </cfRule>
  </conditionalFormatting>
  <conditionalFormatting sqref="G627:K627">
    <cfRule type="notContainsBlanks" dxfId="7328" priority="7594">
      <formula>LEN(TRIM(G627))&gt;0</formula>
    </cfRule>
  </conditionalFormatting>
  <conditionalFormatting sqref="G627:K627">
    <cfRule type="notContainsBlanks" dxfId="7327" priority="7593">
      <formula>LEN(TRIM(G627))&gt;0</formula>
    </cfRule>
  </conditionalFormatting>
  <conditionalFormatting sqref="G627:K627">
    <cfRule type="notContainsBlanks" dxfId="7326" priority="7592">
      <formula>LEN(TRIM(G627))&gt;0</formula>
    </cfRule>
  </conditionalFormatting>
  <conditionalFormatting sqref="G627:K627">
    <cfRule type="notContainsBlanks" dxfId="7325" priority="7591">
      <formula>LEN(TRIM(G627))&gt;0</formula>
    </cfRule>
  </conditionalFormatting>
  <conditionalFormatting sqref="G627:K627">
    <cfRule type="notContainsBlanks" dxfId="7324" priority="7590">
      <formula>LEN(TRIM(G627))&gt;0</formula>
    </cfRule>
  </conditionalFormatting>
  <conditionalFormatting sqref="G627:K627">
    <cfRule type="notContainsBlanks" dxfId="7323" priority="7589">
      <formula>LEN(TRIM(G627))&gt;0</formula>
    </cfRule>
  </conditionalFormatting>
  <conditionalFormatting sqref="G627:K627">
    <cfRule type="notContainsBlanks" priority="7588">
      <formula>LEN(TRIM(G627))&gt;0</formula>
    </cfRule>
  </conditionalFormatting>
  <conditionalFormatting sqref="G627:K627">
    <cfRule type="notContainsBlanks" dxfId="7322" priority="7587">
      <formula>LEN(TRIM(G627))&gt;0</formula>
    </cfRule>
  </conditionalFormatting>
  <conditionalFormatting sqref="G627:K627">
    <cfRule type="notContainsBlanks" dxfId="7321" priority="7586">
      <formula>LEN(TRIM(G627))&gt;0</formula>
    </cfRule>
  </conditionalFormatting>
  <conditionalFormatting sqref="G627:K627">
    <cfRule type="notContainsBlanks" dxfId="7320" priority="7585">
      <formula>LEN(TRIM(G627))&gt;0</formula>
    </cfRule>
  </conditionalFormatting>
  <conditionalFormatting sqref="G627:K627">
    <cfRule type="notContainsBlanks" dxfId="7319" priority="7584">
      <formula>LEN(TRIM(G627))&gt;0</formula>
    </cfRule>
  </conditionalFormatting>
  <conditionalFormatting sqref="G627:K627">
    <cfRule type="notContainsBlanks" dxfId="7318" priority="7583">
      <formula>LEN(TRIM(G627))&gt;0</formula>
    </cfRule>
  </conditionalFormatting>
  <conditionalFormatting sqref="G640">
    <cfRule type="notContainsBlanks" dxfId="7317" priority="7582">
      <formula>LEN(TRIM(G640))&gt;0</formula>
    </cfRule>
  </conditionalFormatting>
  <conditionalFormatting sqref="H640:K640">
    <cfRule type="notContainsBlanks" dxfId="7316" priority="7581">
      <formula>LEN(TRIM(H640))&gt;0</formula>
    </cfRule>
  </conditionalFormatting>
  <conditionalFormatting sqref="G640:K640">
    <cfRule type="notContainsBlanks" dxfId="7315" priority="7580">
      <formula>LEN(TRIM(G640))&gt;0</formula>
    </cfRule>
  </conditionalFormatting>
  <conditionalFormatting sqref="G640:K640">
    <cfRule type="notContainsBlanks" dxfId="7314" priority="7579">
      <formula>LEN(TRIM(G640))&gt;0</formula>
    </cfRule>
  </conditionalFormatting>
  <conditionalFormatting sqref="G640:K640">
    <cfRule type="notContainsBlanks" dxfId="7313" priority="7578">
      <formula>LEN(TRIM(G640))&gt;0</formula>
    </cfRule>
  </conditionalFormatting>
  <conditionalFormatting sqref="G640:K640">
    <cfRule type="notContainsBlanks" dxfId="7312" priority="7577">
      <formula>LEN(TRIM(G640))&gt;0</formula>
    </cfRule>
  </conditionalFormatting>
  <conditionalFormatting sqref="G640:K640">
    <cfRule type="notContainsBlanks" dxfId="7311" priority="7576">
      <formula>LEN(TRIM(G640))&gt;0</formula>
    </cfRule>
  </conditionalFormatting>
  <conditionalFormatting sqref="G640:K640">
    <cfRule type="notContainsBlanks" dxfId="7310" priority="7575">
      <formula>LEN(TRIM(G640))&gt;0</formula>
    </cfRule>
  </conditionalFormatting>
  <conditionalFormatting sqref="G640:K640">
    <cfRule type="notContainsBlanks" dxfId="7309" priority="7574">
      <formula>LEN(TRIM(G640))&gt;0</formula>
    </cfRule>
  </conditionalFormatting>
  <conditionalFormatting sqref="G640:K640">
    <cfRule type="notContainsBlanks" dxfId="7308" priority="7573">
      <formula>LEN(TRIM(G640))&gt;0</formula>
    </cfRule>
  </conditionalFormatting>
  <conditionalFormatting sqref="G640:K640">
    <cfRule type="notContainsBlanks" dxfId="7307" priority="7572">
      <formula>LEN(TRIM(G640))&gt;0</formula>
    </cfRule>
  </conditionalFormatting>
  <conditionalFormatting sqref="G640:K640">
    <cfRule type="notContainsBlanks" dxfId="7306" priority="7570">
      <formula>LEN(TRIM(G640))&gt;0</formula>
    </cfRule>
    <cfRule type="notContainsBlanks" dxfId="7305" priority="7571">
      <formula>LEN(TRIM(G640))&gt;0</formula>
    </cfRule>
  </conditionalFormatting>
  <conditionalFormatting sqref="G640:K640">
    <cfRule type="notContainsBlanks" dxfId="7304" priority="7569">
      <formula>LEN(TRIM(G640))&gt;0</formula>
    </cfRule>
  </conditionalFormatting>
  <conditionalFormatting sqref="G640:K640">
    <cfRule type="notContainsBlanks" dxfId="7303" priority="7568">
      <formula>LEN(TRIM(G640))&gt;0</formula>
    </cfRule>
  </conditionalFormatting>
  <conditionalFormatting sqref="G640:K640">
    <cfRule type="notContainsBlanks" dxfId="7302" priority="7567">
      <formula>LEN(TRIM(G640))&gt;0</formula>
    </cfRule>
  </conditionalFormatting>
  <conditionalFormatting sqref="G640:K640">
    <cfRule type="notContainsBlanks" dxfId="7301" priority="7566">
      <formula>LEN(TRIM(G640))&gt;0</formula>
    </cfRule>
  </conditionalFormatting>
  <conditionalFormatting sqref="G640:K640">
    <cfRule type="notContainsBlanks" dxfId="7300" priority="7565">
      <formula>LEN(TRIM(G640))&gt;0</formula>
    </cfRule>
  </conditionalFormatting>
  <conditionalFormatting sqref="G640:K640">
    <cfRule type="notContainsBlanks" dxfId="7299" priority="7564">
      <formula>LEN(TRIM(G640))&gt;0</formula>
    </cfRule>
  </conditionalFormatting>
  <conditionalFormatting sqref="G640:K640">
    <cfRule type="notContainsBlanks" dxfId="7298" priority="7563">
      <formula>LEN(TRIM(G640))&gt;0</formula>
    </cfRule>
  </conditionalFormatting>
  <conditionalFormatting sqref="G640:K640">
    <cfRule type="notContainsBlanks" dxfId="7297" priority="7562">
      <formula>LEN(TRIM(G640))&gt;0</formula>
    </cfRule>
  </conditionalFormatting>
  <conditionalFormatting sqref="G640:K640">
    <cfRule type="notContainsBlanks" dxfId="7296" priority="7561">
      <formula>LEN(TRIM(G640))&gt;0</formula>
    </cfRule>
  </conditionalFormatting>
  <conditionalFormatting sqref="G640:K640">
    <cfRule type="notContainsBlanks" priority="7560">
      <formula>LEN(TRIM(G640))&gt;0</formula>
    </cfRule>
  </conditionalFormatting>
  <conditionalFormatting sqref="G640:K640">
    <cfRule type="notContainsBlanks" dxfId="7295" priority="7559">
      <formula>LEN(TRIM(G640))&gt;0</formula>
    </cfRule>
  </conditionalFormatting>
  <conditionalFormatting sqref="G640:K640">
    <cfRule type="notContainsBlanks" dxfId="7294" priority="7558">
      <formula>LEN(TRIM(G640))&gt;0</formula>
    </cfRule>
  </conditionalFormatting>
  <conditionalFormatting sqref="G640:K640">
    <cfRule type="notContainsBlanks" dxfId="7293" priority="7557">
      <formula>LEN(TRIM(G640))&gt;0</formula>
    </cfRule>
  </conditionalFormatting>
  <conditionalFormatting sqref="G640:K640">
    <cfRule type="notContainsBlanks" dxfId="7292" priority="7556">
      <formula>LEN(TRIM(G640))&gt;0</formula>
    </cfRule>
  </conditionalFormatting>
  <conditionalFormatting sqref="G640:K640">
    <cfRule type="notContainsBlanks" dxfId="7291" priority="7555">
      <formula>LEN(TRIM(G640))&gt;0</formula>
    </cfRule>
  </conditionalFormatting>
  <conditionalFormatting sqref="G653">
    <cfRule type="notContainsBlanks" dxfId="7290" priority="7554">
      <formula>LEN(TRIM(G653))&gt;0</formula>
    </cfRule>
  </conditionalFormatting>
  <conditionalFormatting sqref="H653:K653">
    <cfRule type="notContainsBlanks" dxfId="7289" priority="7553">
      <formula>LEN(TRIM(H653))&gt;0</formula>
    </cfRule>
  </conditionalFormatting>
  <conditionalFormatting sqref="G653:K653">
    <cfRule type="notContainsBlanks" dxfId="7288" priority="7552">
      <formula>LEN(TRIM(G653))&gt;0</formula>
    </cfRule>
  </conditionalFormatting>
  <conditionalFormatting sqref="G653:K653">
    <cfRule type="notContainsBlanks" dxfId="7287" priority="7551">
      <formula>LEN(TRIM(G653))&gt;0</formula>
    </cfRule>
  </conditionalFormatting>
  <conditionalFormatting sqref="G653:K653">
    <cfRule type="notContainsBlanks" dxfId="7286" priority="7550">
      <formula>LEN(TRIM(G653))&gt;0</formula>
    </cfRule>
  </conditionalFormatting>
  <conditionalFormatting sqref="G653:K653">
    <cfRule type="notContainsBlanks" dxfId="7285" priority="7549">
      <formula>LEN(TRIM(G653))&gt;0</formula>
    </cfRule>
  </conditionalFormatting>
  <conditionalFormatting sqref="G653:K653">
    <cfRule type="notContainsBlanks" dxfId="7284" priority="7548">
      <formula>LEN(TRIM(G653))&gt;0</formula>
    </cfRule>
  </conditionalFormatting>
  <conditionalFormatting sqref="G653:K653">
    <cfRule type="notContainsBlanks" dxfId="7283" priority="7547">
      <formula>LEN(TRIM(G653))&gt;0</formula>
    </cfRule>
  </conditionalFormatting>
  <conditionalFormatting sqref="G653:K653">
    <cfRule type="notContainsBlanks" dxfId="7282" priority="7546">
      <formula>LEN(TRIM(G653))&gt;0</formula>
    </cfRule>
  </conditionalFormatting>
  <conditionalFormatting sqref="G653:K653">
    <cfRule type="notContainsBlanks" dxfId="7281" priority="7545">
      <formula>LEN(TRIM(G653))&gt;0</formula>
    </cfRule>
  </conditionalFormatting>
  <conditionalFormatting sqref="G653:K653">
    <cfRule type="notContainsBlanks" dxfId="7280" priority="7544">
      <formula>LEN(TRIM(G653))&gt;0</formula>
    </cfRule>
  </conditionalFormatting>
  <conditionalFormatting sqref="G653:K653">
    <cfRule type="notContainsBlanks" dxfId="7279" priority="7542">
      <formula>LEN(TRIM(G653))&gt;0</formula>
    </cfRule>
    <cfRule type="notContainsBlanks" dxfId="7278" priority="7543">
      <formula>LEN(TRIM(G653))&gt;0</formula>
    </cfRule>
  </conditionalFormatting>
  <conditionalFormatting sqref="G653:K653">
    <cfRule type="notContainsBlanks" dxfId="7277" priority="7541">
      <formula>LEN(TRIM(G653))&gt;0</formula>
    </cfRule>
  </conditionalFormatting>
  <conditionalFormatting sqref="G653:K653">
    <cfRule type="notContainsBlanks" dxfId="7276" priority="7540">
      <formula>LEN(TRIM(G653))&gt;0</formula>
    </cfRule>
  </conditionalFormatting>
  <conditionalFormatting sqref="G653:K653">
    <cfRule type="notContainsBlanks" dxfId="7275" priority="7539">
      <formula>LEN(TRIM(G653))&gt;0</formula>
    </cfRule>
  </conditionalFormatting>
  <conditionalFormatting sqref="G653:K653">
    <cfRule type="notContainsBlanks" dxfId="7274" priority="7538">
      <formula>LEN(TRIM(G653))&gt;0</formula>
    </cfRule>
  </conditionalFormatting>
  <conditionalFormatting sqref="G653:K653">
    <cfRule type="notContainsBlanks" dxfId="7273" priority="7537">
      <formula>LEN(TRIM(G653))&gt;0</formula>
    </cfRule>
  </conditionalFormatting>
  <conditionalFormatting sqref="G653:K653">
    <cfRule type="notContainsBlanks" dxfId="7272" priority="7536">
      <formula>LEN(TRIM(G653))&gt;0</formula>
    </cfRule>
  </conditionalFormatting>
  <conditionalFormatting sqref="G653:K653">
    <cfRule type="notContainsBlanks" dxfId="7271" priority="7535">
      <formula>LEN(TRIM(G653))&gt;0</formula>
    </cfRule>
  </conditionalFormatting>
  <conditionalFormatting sqref="G653:K653">
    <cfRule type="notContainsBlanks" dxfId="7270" priority="7534">
      <formula>LEN(TRIM(G653))&gt;0</formula>
    </cfRule>
  </conditionalFormatting>
  <conditionalFormatting sqref="G653:K653">
    <cfRule type="notContainsBlanks" dxfId="7269" priority="7533">
      <formula>LEN(TRIM(G653))&gt;0</formula>
    </cfRule>
  </conditionalFormatting>
  <conditionalFormatting sqref="G653:K653">
    <cfRule type="notContainsBlanks" priority="7532">
      <formula>LEN(TRIM(G653))&gt;0</formula>
    </cfRule>
  </conditionalFormatting>
  <conditionalFormatting sqref="G653:K653">
    <cfRule type="notContainsBlanks" dxfId="7268" priority="7531">
      <formula>LEN(TRIM(G653))&gt;0</formula>
    </cfRule>
  </conditionalFormatting>
  <conditionalFormatting sqref="G653:K653">
    <cfRule type="notContainsBlanks" dxfId="7267" priority="7530">
      <formula>LEN(TRIM(G653))&gt;0</formula>
    </cfRule>
  </conditionalFormatting>
  <conditionalFormatting sqref="G653:K653">
    <cfRule type="notContainsBlanks" dxfId="7266" priority="7529">
      <formula>LEN(TRIM(G653))&gt;0</formula>
    </cfRule>
  </conditionalFormatting>
  <conditionalFormatting sqref="G653:K653">
    <cfRule type="notContainsBlanks" dxfId="7265" priority="7528">
      <formula>LEN(TRIM(G653))&gt;0</formula>
    </cfRule>
  </conditionalFormatting>
  <conditionalFormatting sqref="G653:K653">
    <cfRule type="notContainsBlanks" dxfId="7264" priority="7527">
      <formula>LEN(TRIM(G653))&gt;0</formula>
    </cfRule>
  </conditionalFormatting>
  <conditionalFormatting sqref="G666">
    <cfRule type="notContainsBlanks" dxfId="7263" priority="7526">
      <formula>LEN(TRIM(G666))&gt;0</formula>
    </cfRule>
  </conditionalFormatting>
  <conditionalFormatting sqref="H666:K666">
    <cfRule type="notContainsBlanks" dxfId="7262" priority="7525">
      <formula>LEN(TRIM(H666))&gt;0</formula>
    </cfRule>
  </conditionalFormatting>
  <conditionalFormatting sqref="G666:K666">
    <cfRule type="notContainsBlanks" dxfId="7261" priority="7524">
      <formula>LEN(TRIM(G666))&gt;0</formula>
    </cfRule>
  </conditionalFormatting>
  <conditionalFormatting sqref="G666:K666">
    <cfRule type="notContainsBlanks" dxfId="7260" priority="7523">
      <formula>LEN(TRIM(G666))&gt;0</formula>
    </cfRule>
  </conditionalFormatting>
  <conditionalFormatting sqref="G666:K666">
    <cfRule type="notContainsBlanks" dxfId="7259" priority="7522">
      <formula>LEN(TRIM(G666))&gt;0</formula>
    </cfRule>
  </conditionalFormatting>
  <conditionalFormatting sqref="G666:K666">
    <cfRule type="notContainsBlanks" dxfId="7258" priority="7521">
      <formula>LEN(TRIM(G666))&gt;0</formula>
    </cfRule>
  </conditionalFormatting>
  <conditionalFormatting sqref="G666:K666">
    <cfRule type="notContainsBlanks" dxfId="7257" priority="7520">
      <formula>LEN(TRIM(G666))&gt;0</formula>
    </cfRule>
  </conditionalFormatting>
  <conditionalFormatting sqref="G666:K666">
    <cfRule type="notContainsBlanks" dxfId="7256" priority="7519">
      <formula>LEN(TRIM(G666))&gt;0</formula>
    </cfRule>
  </conditionalFormatting>
  <conditionalFormatting sqref="G666:K666">
    <cfRule type="notContainsBlanks" dxfId="7255" priority="7518">
      <formula>LEN(TRIM(G666))&gt;0</formula>
    </cfRule>
  </conditionalFormatting>
  <conditionalFormatting sqref="G666:K666">
    <cfRule type="notContainsBlanks" dxfId="7254" priority="7517">
      <formula>LEN(TRIM(G666))&gt;0</formula>
    </cfRule>
  </conditionalFormatting>
  <conditionalFormatting sqref="G666:K666">
    <cfRule type="notContainsBlanks" dxfId="7253" priority="7516">
      <formula>LEN(TRIM(G666))&gt;0</formula>
    </cfRule>
  </conditionalFormatting>
  <conditionalFormatting sqref="G666:K666">
    <cfRule type="notContainsBlanks" dxfId="7252" priority="7514">
      <formula>LEN(TRIM(G666))&gt;0</formula>
    </cfRule>
    <cfRule type="notContainsBlanks" dxfId="7251" priority="7515">
      <formula>LEN(TRIM(G666))&gt;0</formula>
    </cfRule>
  </conditionalFormatting>
  <conditionalFormatting sqref="G666:K666">
    <cfRule type="notContainsBlanks" dxfId="7250" priority="7513">
      <formula>LEN(TRIM(G666))&gt;0</formula>
    </cfRule>
  </conditionalFormatting>
  <conditionalFormatting sqref="G666:K666">
    <cfRule type="notContainsBlanks" dxfId="7249" priority="7512">
      <formula>LEN(TRIM(G666))&gt;0</formula>
    </cfRule>
  </conditionalFormatting>
  <conditionalFormatting sqref="G666:K666">
    <cfRule type="notContainsBlanks" dxfId="7248" priority="7511">
      <formula>LEN(TRIM(G666))&gt;0</formula>
    </cfRule>
  </conditionalFormatting>
  <conditionalFormatting sqref="G666:K666">
    <cfRule type="notContainsBlanks" dxfId="7247" priority="7510">
      <formula>LEN(TRIM(G666))&gt;0</formula>
    </cfRule>
  </conditionalFormatting>
  <conditionalFormatting sqref="G666:K666">
    <cfRule type="notContainsBlanks" dxfId="7246" priority="7509">
      <formula>LEN(TRIM(G666))&gt;0</formula>
    </cfRule>
  </conditionalFormatting>
  <conditionalFormatting sqref="G666:K666">
    <cfRule type="notContainsBlanks" dxfId="7245" priority="7508">
      <formula>LEN(TRIM(G666))&gt;0</formula>
    </cfRule>
  </conditionalFormatting>
  <conditionalFormatting sqref="G666:K666">
    <cfRule type="notContainsBlanks" dxfId="7244" priority="7507">
      <formula>LEN(TRIM(G666))&gt;0</formula>
    </cfRule>
  </conditionalFormatting>
  <conditionalFormatting sqref="G666:K666">
    <cfRule type="notContainsBlanks" dxfId="7243" priority="7506">
      <formula>LEN(TRIM(G666))&gt;0</formula>
    </cfRule>
  </conditionalFormatting>
  <conditionalFormatting sqref="G666:K666">
    <cfRule type="notContainsBlanks" dxfId="7242" priority="7505">
      <formula>LEN(TRIM(G666))&gt;0</formula>
    </cfRule>
  </conditionalFormatting>
  <conditionalFormatting sqref="G666:K666">
    <cfRule type="notContainsBlanks" priority="7504">
      <formula>LEN(TRIM(G666))&gt;0</formula>
    </cfRule>
  </conditionalFormatting>
  <conditionalFormatting sqref="G666:K666">
    <cfRule type="notContainsBlanks" dxfId="7241" priority="7503">
      <formula>LEN(TRIM(G666))&gt;0</formula>
    </cfRule>
  </conditionalFormatting>
  <conditionalFormatting sqref="G666:K666">
    <cfRule type="notContainsBlanks" dxfId="7240" priority="7502">
      <formula>LEN(TRIM(G666))&gt;0</formula>
    </cfRule>
  </conditionalFormatting>
  <conditionalFormatting sqref="G666:K666">
    <cfRule type="notContainsBlanks" dxfId="7239" priority="7501">
      <formula>LEN(TRIM(G666))&gt;0</formula>
    </cfRule>
  </conditionalFormatting>
  <conditionalFormatting sqref="G666:K666">
    <cfRule type="notContainsBlanks" dxfId="7238" priority="7500">
      <formula>LEN(TRIM(G666))&gt;0</formula>
    </cfRule>
  </conditionalFormatting>
  <conditionalFormatting sqref="G666:K666">
    <cfRule type="notContainsBlanks" dxfId="7237" priority="7499">
      <formula>LEN(TRIM(G666))&gt;0</formula>
    </cfRule>
  </conditionalFormatting>
  <conditionalFormatting sqref="G679">
    <cfRule type="notContainsBlanks" dxfId="7236" priority="7498">
      <formula>LEN(TRIM(G679))&gt;0</formula>
    </cfRule>
  </conditionalFormatting>
  <conditionalFormatting sqref="H679:K679">
    <cfRule type="notContainsBlanks" dxfId="7235" priority="7497">
      <formula>LEN(TRIM(H679))&gt;0</formula>
    </cfRule>
  </conditionalFormatting>
  <conditionalFormatting sqref="G679:K679">
    <cfRule type="notContainsBlanks" dxfId="7234" priority="7496">
      <formula>LEN(TRIM(G679))&gt;0</formula>
    </cfRule>
  </conditionalFormatting>
  <conditionalFormatting sqref="G679:K679">
    <cfRule type="notContainsBlanks" dxfId="7233" priority="7495">
      <formula>LEN(TRIM(G679))&gt;0</formula>
    </cfRule>
  </conditionalFormatting>
  <conditionalFormatting sqref="G679:K679">
    <cfRule type="notContainsBlanks" dxfId="7232" priority="7494">
      <formula>LEN(TRIM(G679))&gt;0</formula>
    </cfRule>
  </conditionalFormatting>
  <conditionalFormatting sqref="G679:K679">
    <cfRule type="notContainsBlanks" dxfId="7231" priority="7493">
      <formula>LEN(TRIM(G679))&gt;0</formula>
    </cfRule>
  </conditionalFormatting>
  <conditionalFormatting sqref="G679:K679">
    <cfRule type="notContainsBlanks" dxfId="7230" priority="7492">
      <formula>LEN(TRIM(G679))&gt;0</formula>
    </cfRule>
  </conditionalFormatting>
  <conditionalFormatting sqref="G679:K679">
    <cfRule type="notContainsBlanks" dxfId="7229" priority="7491">
      <formula>LEN(TRIM(G679))&gt;0</formula>
    </cfRule>
  </conditionalFormatting>
  <conditionalFormatting sqref="G679:K679">
    <cfRule type="notContainsBlanks" dxfId="7228" priority="7490">
      <formula>LEN(TRIM(G679))&gt;0</formula>
    </cfRule>
  </conditionalFormatting>
  <conditionalFormatting sqref="G679:K679">
    <cfRule type="notContainsBlanks" dxfId="7227" priority="7489">
      <formula>LEN(TRIM(G679))&gt;0</formula>
    </cfRule>
  </conditionalFormatting>
  <conditionalFormatting sqref="G679:K679">
    <cfRule type="notContainsBlanks" dxfId="7226" priority="7488">
      <formula>LEN(TRIM(G679))&gt;0</formula>
    </cfRule>
  </conditionalFormatting>
  <conditionalFormatting sqref="G679:K679">
    <cfRule type="notContainsBlanks" dxfId="7225" priority="7486">
      <formula>LEN(TRIM(G679))&gt;0</formula>
    </cfRule>
    <cfRule type="notContainsBlanks" dxfId="7224" priority="7487">
      <formula>LEN(TRIM(G679))&gt;0</formula>
    </cfRule>
  </conditionalFormatting>
  <conditionalFormatting sqref="G679:K679">
    <cfRule type="notContainsBlanks" dxfId="7223" priority="7485">
      <formula>LEN(TRIM(G679))&gt;0</formula>
    </cfRule>
  </conditionalFormatting>
  <conditionalFormatting sqref="G679:K679">
    <cfRule type="notContainsBlanks" dxfId="7222" priority="7484">
      <formula>LEN(TRIM(G679))&gt;0</formula>
    </cfRule>
  </conditionalFormatting>
  <conditionalFormatting sqref="G679:K679">
    <cfRule type="notContainsBlanks" dxfId="7221" priority="7483">
      <formula>LEN(TRIM(G679))&gt;0</formula>
    </cfRule>
  </conditionalFormatting>
  <conditionalFormatting sqref="G679:K679">
    <cfRule type="notContainsBlanks" dxfId="7220" priority="7482">
      <formula>LEN(TRIM(G679))&gt;0</formula>
    </cfRule>
  </conditionalFormatting>
  <conditionalFormatting sqref="G679:K679">
    <cfRule type="notContainsBlanks" dxfId="7219" priority="7481">
      <formula>LEN(TRIM(G679))&gt;0</formula>
    </cfRule>
  </conditionalFormatting>
  <conditionalFormatting sqref="G679:K679">
    <cfRule type="notContainsBlanks" dxfId="7218" priority="7480">
      <formula>LEN(TRIM(G679))&gt;0</formula>
    </cfRule>
  </conditionalFormatting>
  <conditionalFormatting sqref="G679:K679">
    <cfRule type="notContainsBlanks" dxfId="7217" priority="7479">
      <formula>LEN(TRIM(G679))&gt;0</formula>
    </cfRule>
  </conditionalFormatting>
  <conditionalFormatting sqref="G679:K679">
    <cfRule type="notContainsBlanks" dxfId="7216" priority="7478">
      <formula>LEN(TRIM(G679))&gt;0</formula>
    </cfRule>
  </conditionalFormatting>
  <conditionalFormatting sqref="G679:K679">
    <cfRule type="notContainsBlanks" dxfId="7215" priority="7477">
      <formula>LEN(TRIM(G679))&gt;0</formula>
    </cfRule>
  </conditionalFormatting>
  <conditionalFormatting sqref="G679:K679">
    <cfRule type="notContainsBlanks" priority="7476">
      <formula>LEN(TRIM(G679))&gt;0</formula>
    </cfRule>
  </conditionalFormatting>
  <conditionalFormatting sqref="G679:K679">
    <cfRule type="notContainsBlanks" dxfId="7214" priority="7475">
      <formula>LEN(TRIM(G679))&gt;0</formula>
    </cfRule>
  </conditionalFormatting>
  <conditionalFormatting sqref="G679:K679">
    <cfRule type="notContainsBlanks" dxfId="7213" priority="7474">
      <formula>LEN(TRIM(G679))&gt;0</formula>
    </cfRule>
  </conditionalFormatting>
  <conditionalFormatting sqref="G679:K679">
    <cfRule type="notContainsBlanks" dxfId="7212" priority="7473">
      <formula>LEN(TRIM(G679))&gt;0</formula>
    </cfRule>
  </conditionalFormatting>
  <conditionalFormatting sqref="G679:K679">
    <cfRule type="notContainsBlanks" dxfId="7211" priority="7472">
      <formula>LEN(TRIM(G679))&gt;0</formula>
    </cfRule>
  </conditionalFormatting>
  <conditionalFormatting sqref="G679:K679">
    <cfRule type="notContainsBlanks" dxfId="7210" priority="7471">
      <formula>LEN(TRIM(G679))&gt;0</formula>
    </cfRule>
  </conditionalFormatting>
  <conditionalFormatting sqref="G692">
    <cfRule type="notContainsBlanks" dxfId="7209" priority="7470">
      <formula>LEN(TRIM(G692))&gt;0</formula>
    </cfRule>
  </conditionalFormatting>
  <conditionalFormatting sqref="H692:K692">
    <cfRule type="notContainsBlanks" dxfId="7208" priority="7469">
      <formula>LEN(TRIM(H692))&gt;0</formula>
    </cfRule>
  </conditionalFormatting>
  <conditionalFormatting sqref="G692:K692">
    <cfRule type="notContainsBlanks" dxfId="7207" priority="7468">
      <formula>LEN(TRIM(G692))&gt;0</formula>
    </cfRule>
  </conditionalFormatting>
  <conditionalFormatting sqref="G692:K692">
    <cfRule type="notContainsBlanks" dxfId="7206" priority="7467">
      <formula>LEN(TRIM(G692))&gt;0</formula>
    </cfRule>
  </conditionalFormatting>
  <conditionalFormatting sqref="G692:K692">
    <cfRule type="notContainsBlanks" dxfId="7205" priority="7466">
      <formula>LEN(TRIM(G692))&gt;0</formula>
    </cfRule>
  </conditionalFormatting>
  <conditionalFormatting sqref="G692:K692">
    <cfRule type="notContainsBlanks" dxfId="7204" priority="7465">
      <formula>LEN(TRIM(G692))&gt;0</formula>
    </cfRule>
  </conditionalFormatting>
  <conditionalFormatting sqref="G692:K692">
    <cfRule type="notContainsBlanks" dxfId="7203" priority="7464">
      <formula>LEN(TRIM(G692))&gt;0</formula>
    </cfRule>
  </conditionalFormatting>
  <conditionalFormatting sqref="G692:K692">
    <cfRule type="notContainsBlanks" dxfId="7202" priority="7463">
      <formula>LEN(TRIM(G692))&gt;0</formula>
    </cfRule>
  </conditionalFormatting>
  <conditionalFormatting sqref="G692:K692">
    <cfRule type="notContainsBlanks" dxfId="7201" priority="7462">
      <formula>LEN(TRIM(G692))&gt;0</formula>
    </cfRule>
  </conditionalFormatting>
  <conditionalFormatting sqref="G692:K692">
    <cfRule type="notContainsBlanks" dxfId="7200" priority="7461">
      <formula>LEN(TRIM(G692))&gt;0</formula>
    </cfRule>
  </conditionalFormatting>
  <conditionalFormatting sqref="G692:K692">
    <cfRule type="notContainsBlanks" dxfId="7199" priority="7460">
      <formula>LEN(TRIM(G692))&gt;0</formula>
    </cfRule>
  </conditionalFormatting>
  <conditionalFormatting sqref="G692:K692">
    <cfRule type="notContainsBlanks" dxfId="7198" priority="7458">
      <formula>LEN(TRIM(G692))&gt;0</formula>
    </cfRule>
    <cfRule type="notContainsBlanks" dxfId="7197" priority="7459">
      <formula>LEN(TRIM(G692))&gt;0</formula>
    </cfRule>
  </conditionalFormatting>
  <conditionalFormatting sqref="G692:K692">
    <cfRule type="notContainsBlanks" dxfId="7196" priority="7457">
      <formula>LEN(TRIM(G692))&gt;0</formula>
    </cfRule>
  </conditionalFormatting>
  <conditionalFormatting sqref="G692:K692">
    <cfRule type="notContainsBlanks" dxfId="7195" priority="7456">
      <formula>LEN(TRIM(G692))&gt;0</formula>
    </cfRule>
  </conditionalFormatting>
  <conditionalFormatting sqref="G692:K692">
    <cfRule type="notContainsBlanks" dxfId="7194" priority="7455">
      <formula>LEN(TRIM(G692))&gt;0</formula>
    </cfRule>
  </conditionalFormatting>
  <conditionalFormatting sqref="G692:K692">
    <cfRule type="notContainsBlanks" dxfId="7193" priority="7454">
      <formula>LEN(TRIM(G692))&gt;0</formula>
    </cfRule>
  </conditionalFormatting>
  <conditionalFormatting sqref="G692:K692">
    <cfRule type="notContainsBlanks" dxfId="7192" priority="7453">
      <formula>LEN(TRIM(G692))&gt;0</formula>
    </cfRule>
  </conditionalFormatting>
  <conditionalFormatting sqref="G692:K692">
    <cfRule type="notContainsBlanks" dxfId="7191" priority="7452">
      <formula>LEN(TRIM(G692))&gt;0</formula>
    </cfRule>
  </conditionalFormatting>
  <conditionalFormatting sqref="G692:K692">
    <cfRule type="notContainsBlanks" dxfId="7190" priority="7451">
      <formula>LEN(TRIM(G692))&gt;0</formula>
    </cfRule>
  </conditionalFormatting>
  <conditionalFormatting sqref="G692:K692">
    <cfRule type="notContainsBlanks" dxfId="7189" priority="7450">
      <formula>LEN(TRIM(G692))&gt;0</formula>
    </cfRule>
  </conditionalFormatting>
  <conditionalFormatting sqref="G692:K692">
    <cfRule type="notContainsBlanks" dxfId="7188" priority="7449">
      <formula>LEN(TRIM(G692))&gt;0</formula>
    </cfRule>
  </conditionalFormatting>
  <conditionalFormatting sqref="G692:K692">
    <cfRule type="notContainsBlanks" priority="7448">
      <formula>LEN(TRIM(G692))&gt;0</formula>
    </cfRule>
  </conditionalFormatting>
  <conditionalFormatting sqref="G692:K692">
    <cfRule type="notContainsBlanks" dxfId="7187" priority="7447">
      <formula>LEN(TRIM(G692))&gt;0</formula>
    </cfRule>
  </conditionalFormatting>
  <conditionalFormatting sqref="G692:K692">
    <cfRule type="notContainsBlanks" dxfId="7186" priority="7446">
      <formula>LEN(TRIM(G692))&gt;0</formula>
    </cfRule>
  </conditionalFormatting>
  <conditionalFormatting sqref="G692:K692">
    <cfRule type="notContainsBlanks" dxfId="7185" priority="7445">
      <formula>LEN(TRIM(G692))&gt;0</formula>
    </cfRule>
  </conditionalFormatting>
  <conditionalFormatting sqref="G692:K692">
    <cfRule type="notContainsBlanks" dxfId="7184" priority="7444">
      <formula>LEN(TRIM(G692))&gt;0</formula>
    </cfRule>
  </conditionalFormatting>
  <conditionalFormatting sqref="G692:K692">
    <cfRule type="notContainsBlanks" dxfId="7183" priority="7443">
      <formula>LEN(TRIM(G692))&gt;0</formula>
    </cfRule>
  </conditionalFormatting>
  <conditionalFormatting sqref="G705">
    <cfRule type="notContainsBlanks" dxfId="7182" priority="7442">
      <formula>LEN(TRIM(G705))&gt;0</formula>
    </cfRule>
  </conditionalFormatting>
  <conditionalFormatting sqref="H705:K705">
    <cfRule type="notContainsBlanks" dxfId="7181" priority="7441">
      <formula>LEN(TRIM(H705))&gt;0</formula>
    </cfRule>
  </conditionalFormatting>
  <conditionalFormatting sqref="G705:K705">
    <cfRule type="notContainsBlanks" dxfId="7180" priority="7440">
      <formula>LEN(TRIM(G705))&gt;0</formula>
    </cfRule>
  </conditionalFormatting>
  <conditionalFormatting sqref="G705:K705">
    <cfRule type="notContainsBlanks" dxfId="7179" priority="7439">
      <formula>LEN(TRIM(G705))&gt;0</formula>
    </cfRule>
  </conditionalFormatting>
  <conditionalFormatting sqref="G705:K705">
    <cfRule type="notContainsBlanks" dxfId="7178" priority="7438">
      <formula>LEN(TRIM(G705))&gt;0</formula>
    </cfRule>
  </conditionalFormatting>
  <conditionalFormatting sqref="G705:K705">
    <cfRule type="notContainsBlanks" dxfId="7177" priority="7437">
      <formula>LEN(TRIM(G705))&gt;0</formula>
    </cfRule>
  </conditionalFormatting>
  <conditionalFormatting sqref="G705:K705">
    <cfRule type="notContainsBlanks" dxfId="7176" priority="7436">
      <formula>LEN(TRIM(G705))&gt;0</formula>
    </cfRule>
  </conditionalFormatting>
  <conditionalFormatting sqref="G705:K705">
    <cfRule type="notContainsBlanks" dxfId="7175" priority="7435">
      <formula>LEN(TRIM(G705))&gt;0</formula>
    </cfRule>
  </conditionalFormatting>
  <conditionalFormatting sqref="G705:K705">
    <cfRule type="notContainsBlanks" dxfId="7174" priority="7434">
      <formula>LEN(TRIM(G705))&gt;0</formula>
    </cfRule>
  </conditionalFormatting>
  <conditionalFormatting sqref="G705:K705">
    <cfRule type="notContainsBlanks" dxfId="7173" priority="7433">
      <formula>LEN(TRIM(G705))&gt;0</formula>
    </cfRule>
  </conditionalFormatting>
  <conditionalFormatting sqref="G705:K705">
    <cfRule type="notContainsBlanks" dxfId="7172" priority="7432">
      <formula>LEN(TRIM(G705))&gt;0</formula>
    </cfRule>
  </conditionalFormatting>
  <conditionalFormatting sqref="G705:K705">
    <cfRule type="notContainsBlanks" dxfId="7171" priority="7430">
      <formula>LEN(TRIM(G705))&gt;0</formula>
    </cfRule>
    <cfRule type="notContainsBlanks" dxfId="7170" priority="7431">
      <formula>LEN(TRIM(G705))&gt;0</formula>
    </cfRule>
  </conditionalFormatting>
  <conditionalFormatting sqref="G705:K705">
    <cfRule type="notContainsBlanks" dxfId="7169" priority="7429">
      <formula>LEN(TRIM(G705))&gt;0</formula>
    </cfRule>
  </conditionalFormatting>
  <conditionalFormatting sqref="G705:K705">
    <cfRule type="notContainsBlanks" dxfId="7168" priority="7428">
      <formula>LEN(TRIM(G705))&gt;0</formula>
    </cfRule>
  </conditionalFormatting>
  <conditionalFormatting sqref="G705:K705">
    <cfRule type="notContainsBlanks" dxfId="7167" priority="7427">
      <formula>LEN(TRIM(G705))&gt;0</formula>
    </cfRule>
  </conditionalFormatting>
  <conditionalFormatting sqref="G705:K705">
    <cfRule type="notContainsBlanks" dxfId="7166" priority="7426">
      <formula>LEN(TRIM(G705))&gt;0</formula>
    </cfRule>
  </conditionalFormatting>
  <conditionalFormatting sqref="G705:K705">
    <cfRule type="notContainsBlanks" dxfId="7165" priority="7425">
      <formula>LEN(TRIM(G705))&gt;0</formula>
    </cfRule>
  </conditionalFormatting>
  <conditionalFormatting sqref="G705:K705">
    <cfRule type="notContainsBlanks" dxfId="7164" priority="7424">
      <formula>LEN(TRIM(G705))&gt;0</formula>
    </cfRule>
  </conditionalFormatting>
  <conditionalFormatting sqref="G705:K705">
    <cfRule type="notContainsBlanks" dxfId="7163" priority="7423">
      <formula>LEN(TRIM(G705))&gt;0</formula>
    </cfRule>
  </conditionalFormatting>
  <conditionalFormatting sqref="G705:K705">
    <cfRule type="notContainsBlanks" dxfId="7162" priority="7422">
      <formula>LEN(TRIM(G705))&gt;0</formula>
    </cfRule>
  </conditionalFormatting>
  <conditionalFormatting sqref="G705:K705">
    <cfRule type="notContainsBlanks" dxfId="7161" priority="7421">
      <formula>LEN(TRIM(G705))&gt;0</formula>
    </cfRule>
  </conditionalFormatting>
  <conditionalFormatting sqref="G705:K705">
    <cfRule type="notContainsBlanks" priority="7420">
      <formula>LEN(TRIM(G705))&gt;0</formula>
    </cfRule>
  </conditionalFormatting>
  <conditionalFormatting sqref="G705:K705">
    <cfRule type="notContainsBlanks" dxfId="7160" priority="7419">
      <formula>LEN(TRIM(G705))&gt;0</formula>
    </cfRule>
  </conditionalFormatting>
  <conditionalFormatting sqref="G705:K705">
    <cfRule type="notContainsBlanks" dxfId="7159" priority="7418">
      <formula>LEN(TRIM(G705))&gt;0</formula>
    </cfRule>
  </conditionalFormatting>
  <conditionalFormatting sqref="G705:K705">
    <cfRule type="notContainsBlanks" dxfId="7158" priority="7417">
      <formula>LEN(TRIM(G705))&gt;0</formula>
    </cfRule>
  </conditionalFormatting>
  <conditionalFormatting sqref="G705:K705">
    <cfRule type="notContainsBlanks" dxfId="7157" priority="7416">
      <formula>LEN(TRIM(G705))&gt;0</formula>
    </cfRule>
  </conditionalFormatting>
  <conditionalFormatting sqref="G705:K705">
    <cfRule type="notContainsBlanks" dxfId="7156" priority="7415">
      <formula>LEN(TRIM(G705))&gt;0</formula>
    </cfRule>
  </conditionalFormatting>
  <conditionalFormatting sqref="G718">
    <cfRule type="notContainsBlanks" dxfId="7155" priority="7414">
      <formula>LEN(TRIM(G718))&gt;0</formula>
    </cfRule>
  </conditionalFormatting>
  <conditionalFormatting sqref="H718:K718">
    <cfRule type="notContainsBlanks" dxfId="7154" priority="7413">
      <formula>LEN(TRIM(H718))&gt;0</formula>
    </cfRule>
  </conditionalFormatting>
  <conditionalFormatting sqref="G718:K718">
    <cfRule type="notContainsBlanks" dxfId="7153" priority="7412">
      <formula>LEN(TRIM(G718))&gt;0</formula>
    </cfRule>
  </conditionalFormatting>
  <conditionalFormatting sqref="G718:K718">
    <cfRule type="notContainsBlanks" dxfId="7152" priority="7411">
      <formula>LEN(TRIM(G718))&gt;0</formula>
    </cfRule>
  </conditionalFormatting>
  <conditionalFormatting sqref="G718:K718">
    <cfRule type="notContainsBlanks" dxfId="7151" priority="7410">
      <formula>LEN(TRIM(G718))&gt;0</formula>
    </cfRule>
  </conditionalFormatting>
  <conditionalFormatting sqref="G718:K718">
    <cfRule type="notContainsBlanks" dxfId="7150" priority="7409">
      <formula>LEN(TRIM(G718))&gt;0</formula>
    </cfRule>
  </conditionalFormatting>
  <conditionalFormatting sqref="G718:K718">
    <cfRule type="notContainsBlanks" dxfId="7149" priority="7408">
      <formula>LEN(TRIM(G718))&gt;0</formula>
    </cfRule>
  </conditionalFormatting>
  <conditionalFormatting sqref="G718:K718">
    <cfRule type="notContainsBlanks" dxfId="7148" priority="7407">
      <formula>LEN(TRIM(G718))&gt;0</formula>
    </cfRule>
  </conditionalFormatting>
  <conditionalFormatting sqref="G718:K718">
    <cfRule type="notContainsBlanks" dxfId="7147" priority="7406">
      <formula>LEN(TRIM(G718))&gt;0</formula>
    </cfRule>
  </conditionalFormatting>
  <conditionalFormatting sqref="G718:K718">
    <cfRule type="notContainsBlanks" dxfId="7146" priority="7405">
      <formula>LEN(TRIM(G718))&gt;0</formula>
    </cfRule>
  </conditionalFormatting>
  <conditionalFormatting sqref="G718:K718">
    <cfRule type="notContainsBlanks" dxfId="7145" priority="7404">
      <formula>LEN(TRIM(G718))&gt;0</formula>
    </cfRule>
  </conditionalFormatting>
  <conditionalFormatting sqref="G718:K718">
    <cfRule type="notContainsBlanks" dxfId="7144" priority="7402">
      <formula>LEN(TRIM(G718))&gt;0</formula>
    </cfRule>
    <cfRule type="notContainsBlanks" dxfId="7143" priority="7403">
      <formula>LEN(TRIM(G718))&gt;0</formula>
    </cfRule>
  </conditionalFormatting>
  <conditionalFormatting sqref="G718:K718">
    <cfRule type="notContainsBlanks" dxfId="7142" priority="7401">
      <formula>LEN(TRIM(G718))&gt;0</formula>
    </cfRule>
  </conditionalFormatting>
  <conditionalFormatting sqref="G718:K718">
    <cfRule type="notContainsBlanks" dxfId="7141" priority="7400">
      <formula>LEN(TRIM(G718))&gt;0</formula>
    </cfRule>
  </conditionalFormatting>
  <conditionalFormatting sqref="G718:K718">
    <cfRule type="notContainsBlanks" dxfId="7140" priority="7399">
      <formula>LEN(TRIM(G718))&gt;0</formula>
    </cfRule>
  </conditionalFormatting>
  <conditionalFormatting sqref="G718:K718">
    <cfRule type="notContainsBlanks" dxfId="7139" priority="7398">
      <formula>LEN(TRIM(G718))&gt;0</formula>
    </cfRule>
  </conditionalFormatting>
  <conditionalFormatting sqref="G718:K718">
    <cfRule type="notContainsBlanks" dxfId="7138" priority="7397">
      <formula>LEN(TRIM(G718))&gt;0</formula>
    </cfRule>
  </conditionalFormatting>
  <conditionalFormatting sqref="G718:K718">
    <cfRule type="notContainsBlanks" dxfId="7137" priority="7396">
      <formula>LEN(TRIM(G718))&gt;0</formula>
    </cfRule>
  </conditionalFormatting>
  <conditionalFormatting sqref="G718:K718">
    <cfRule type="notContainsBlanks" dxfId="7136" priority="7395">
      <formula>LEN(TRIM(G718))&gt;0</formula>
    </cfRule>
  </conditionalFormatting>
  <conditionalFormatting sqref="G718:K718">
    <cfRule type="notContainsBlanks" dxfId="7135" priority="7394">
      <formula>LEN(TRIM(G718))&gt;0</formula>
    </cfRule>
  </conditionalFormatting>
  <conditionalFormatting sqref="G718:K718">
    <cfRule type="notContainsBlanks" dxfId="7134" priority="7393">
      <formula>LEN(TRIM(G718))&gt;0</formula>
    </cfRule>
  </conditionalFormatting>
  <conditionalFormatting sqref="G718:K718">
    <cfRule type="notContainsBlanks" priority="7392">
      <formula>LEN(TRIM(G718))&gt;0</formula>
    </cfRule>
  </conditionalFormatting>
  <conditionalFormatting sqref="G718:K718">
    <cfRule type="notContainsBlanks" dxfId="7133" priority="7391">
      <formula>LEN(TRIM(G718))&gt;0</formula>
    </cfRule>
  </conditionalFormatting>
  <conditionalFormatting sqref="G718:K718">
    <cfRule type="notContainsBlanks" dxfId="7132" priority="7390">
      <formula>LEN(TRIM(G718))&gt;0</formula>
    </cfRule>
  </conditionalFormatting>
  <conditionalFormatting sqref="G718:K718">
    <cfRule type="notContainsBlanks" dxfId="7131" priority="7389">
      <formula>LEN(TRIM(G718))&gt;0</formula>
    </cfRule>
  </conditionalFormatting>
  <conditionalFormatting sqref="G718:K718">
    <cfRule type="notContainsBlanks" dxfId="7130" priority="7388">
      <formula>LEN(TRIM(G718))&gt;0</formula>
    </cfRule>
  </conditionalFormatting>
  <conditionalFormatting sqref="G718:K718">
    <cfRule type="notContainsBlanks" dxfId="7129" priority="7387">
      <formula>LEN(TRIM(G718))&gt;0</formula>
    </cfRule>
  </conditionalFormatting>
  <conditionalFormatting sqref="G731">
    <cfRule type="notContainsBlanks" dxfId="7128" priority="7386">
      <formula>LEN(TRIM(G731))&gt;0</formula>
    </cfRule>
  </conditionalFormatting>
  <conditionalFormatting sqref="H731:K731">
    <cfRule type="notContainsBlanks" dxfId="7127" priority="7385">
      <formula>LEN(TRIM(H731))&gt;0</formula>
    </cfRule>
  </conditionalFormatting>
  <conditionalFormatting sqref="G731:K731">
    <cfRule type="notContainsBlanks" dxfId="7126" priority="7384">
      <formula>LEN(TRIM(G731))&gt;0</formula>
    </cfRule>
  </conditionalFormatting>
  <conditionalFormatting sqref="G731:K731">
    <cfRule type="notContainsBlanks" dxfId="7125" priority="7383">
      <formula>LEN(TRIM(G731))&gt;0</formula>
    </cfRule>
  </conditionalFormatting>
  <conditionalFormatting sqref="G731:K731">
    <cfRule type="notContainsBlanks" dxfId="7124" priority="7382">
      <formula>LEN(TRIM(G731))&gt;0</formula>
    </cfRule>
  </conditionalFormatting>
  <conditionalFormatting sqref="G731:K731">
    <cfRule type="notContainsBlanks" dxfId="7123" priority="7381">
      <formula>LEN(TRIM(G731))&gt;0</formula>
    </cfRule>
  </conditionalFormatting>
  <conditionalFormatting sqref="G731:K731">
    <cfRule type="notContainsBlanks" dxfId="7122" priority="7380">
      <formula>LEN(TRIM(G731))&gt;0</formula>
    </cfRule>
  </conditionalFormatting>
  <conditionalFormatting sqref="G731:K731">
    <cfRule type="notContainsBlanks" dxfId="7121" priority="7379">
      <formula>LEN(TRIM(G731))&gt;0</formula>
    </cfRule>
  </conditionalFormatting>
  <conditionalFormatting sqref="G731:K731">
    <cfRule type="notContainsBlanks" dxfId="7120" priority="7378">
      <formula>LEN(TRIM(G731))&gt;0</formula>
    </cfRule>
  </conditionalFormatting>
  <conditionalFormatting sqref="G731:K731">
    <cfRule type="notContainsBlanks" dxfId="7119" priority="7377">
      <formula>LEN(TRIM(G731))&gt;0</formula>
    </cfRule>
  </conditionalFormatting>
  <conditionalFormatting sqref="G731:K731">
    <cfRule type="notContainsBlanks" dxfId="7118" priority="7376">
      <formula>LEN(TRIM(G731))&gt;0</formula>
    </cfRule>
  </conditionalFormatting>
  <conditionalFormatting sqref="G731:K731">
    <cfRule type="notContainsBlanks" dxfId="7117" priority="7374">
      <formula>LEN(TRIM(G731))&gt;0</formula>
    </cfRule>
    <cfRule type="notContainsBlanks" dxfId="7116" priority="7375">
      <formula>LEN(TRIM(G731))&gt;0</formula>
    </cfRule>
  </conditionalFormatting>
  <conditionalFormatting sqref="G731:K731">
    <cfRule type="notContainsBlanks" dxfId="7115" priority="7373">
      <formula>LEN(TRIM(G731))&gt;0</formula>
    </cfRule>
  </conditionalFormatting>
  <conditionalFormatting sqref="G731:K731">
    <cfRule type="notContainsBlanks" dxfId="7114" priority="7372">
      <formula>LEN(TRIM(G731))&gt;0</formula>
    </cfRule>
  </conditionalFormatting>
  <conditionalFormatting sqref="G731:K731">
    <cfRule type="notContainsBlanks" dxfId="7113" priority="7371">
      <formula>LEN(TRIM(G731))&gt;0</formula>
    </cfRule>
  </conditionalFormatting>
  <conditionalFormatting sqref="G731:K731">
    <cfRule type="notContainsBlanks" dxfId="7112" priority="7370">
      <formula>LEN(TRIM(G731))&gt;0</formula>
    </cfRule>
  </conditionalFormatting>
  <conditionalFormatting sqref="G731:K731">
    <cfRule type="notContainsBlanks" dxfId="7111" priority="7369">
      <formula>LEN(TRIM(G731))&gt;0</formula>
    </cfRule>
  </conditionalFormatting>
  <conditionalFormatting sqref="G731:K731">
    <cfRule type="notContainsBlanks" dxfId="7110" priority="7368">
      <formula>LEN(TRIM(G731))&gt;0</formula>
    </cfRule>
  </conditionalFormatting>
  <conditionalFormatting sqref="G731:K731">
    <cfRule type="notContainsBlanks" dxfId="7109" priority="7367">
      <formula>LEN(TRIM(G731))&gt;0</formula>
    </cfRule>
  </conditionalFormatting>
  <conditionalFormatting sqref="G731:K731">
    <cfRule type="notContainsBlanks" dxfId="7108" priority="7366">
      <formula>LEN(TRIM(G731))&gt;0</formula>
    </cfRule>
  </conditionalFormatting>
  <conditionalFormatting sqref="G731:K731">
    <cfRule type="notContainsBlanks" dxfId="7107" priority="7365">
      <formula>LEN(TRIM(G731))&gt;0</formula>
    </cfRule>
  </conditionalFormatting>
  <conditionalFormatting sqref="G731:K731">
    <cfRule type="notContainsBlanks" priority="7364">
      <formula>LEN(TRIM(G731))&gt;0</formula>
    </cfRule>
  </conditionalFormatting>
  <conditionalFormatting sqref="G731:K731">
    <cfRule type="notContainsBlanks" dxfId="7106" priority="7363">
      <formula>LEN(TRIM(G731))&gt;0</formula>
    </cfRule>
  </conditionalFormatting>
  <conditionalFormatting sqref="G731:K731">
    <cfRule type="notContainsBlanks" dxfId="7105" priority="7362">
      <formula>LEN(TRIM(G731))&gt;0</formula>
    </cfRule>
  </conditionalFormatting>
  <conditionalFormatting sqref="G731:K731">
    <cfRule type="notContainsBlanks" dxfId="7104" priority="7361">
      <formula>LEN(TRIM(G731))&gt;0</formula>
    </cfRule>
  </conditionalFormatting>
  <conditionalFormatting sqref="G731:K731">
    <cfRule type="notContainsBlanks" dxfId="7103" priority="7360">
      <formula>LEN(TRIM(G731))&gt;0</formula>
    </cfRule>
  </conditionalFormatting>
  <conditionalFormatting sqref="G731:K731">
    <cfRule type="notContainsBlanks" dxfId="7102" priority="7359">
      <formula>LEN(TRIM(G731))&gt;0</formula>
    </cfRule>
  </conditionalFormatting>
  <conditionalFormatting sqref="G744">
    <cfRule type="notContainsBlanks" dxfId="7101" priority="7358">
      <formula>LEN(TRIM(G744))&gt;0</formula>
    </cfRule>
  </conditionalFormatting>
  <conditionalFormatting sqref="H744:K744">
    <cfRule type="notContainsBlanks" dxfId="7100" priority="7357">
      <formula>LEN(TRIM(H744))&gt;0</formula>
    </cfRule>
  </conditionalFormatting>
  <conditionalFormatting sqref="G744:K744">
    <cfRule type="notContainsBlanks" dxfId="7099" priority="7356">
      <formula>LEN(TRIM(G744))&gt;0</formula>
    </cfRule>
  </conditionalFormatting>
  <conditionalFormatting sqref="G744:K744">
    <cfRule type="notContainsBlanks" dxfId="7098" priority="7355">
      <formula>LEN(TRIM(G744))&gt;0</formula>
    </cfRule>
  </conditionalFormatting>
  <conditionalFormatting sqref="G744:K744">
    <cfRule type="notContainsBlanks" dxfId="7097" priority="7354">
      <formula>LEN(TRIM(G744))&gt;0</formula>
    </cfRule>
  </conditionalFormatting>
  <conditionalFormatting sqref="G744:K744">
    <cfRule type="notContainsBlanks" dxfId="7096" priority="7353">
      <formula>LEN(TRIM(G744))&gt;0</formula>
    </cfRule>
  </conditionalFormatting>
  <conditionalFormatting sqref="G744:K744">
    <cfRule type="notContainsBlanks" dxfId="7095" priority="7352">
      <formula>LEN(TRIM(G744))&gt;0</formula>
    </cfRule>
  </conditionalFormatting>
  <conditionalFormatting sqref="G744:K744">
    <cfRule type="notContainsBlanks" dxfId="7094" priority="7351">
      <formula>LEN(TRIM(G744))&gt;0</formula>
    </cfRule>
  </conditionalFormatting>
  <conditionalFormatting sqref="G744:K744">
    <cfRule type="notContainsBlanks" dxfId="7093" priority="7350">
      <formula>LEN(TRIM(G744))&gt;0</formula>
    </cfRule>
  </conditionalFormatting>
  <conditionalFormatting sqref="G744:K744">
    <cfRule type="notContainsBlanks" dxfId="7092" priority="7349">
      <formula>LEN(TRIM(G744))&gt;0</formula>
    </cfRule>
  </conditionalFormatting>
  <conditionalFormatting sqref="G744:K744">
    <cfRule type="notContainsBlanks" dxfId="7091" priority="7348">
      <formula>LEN(TRIM(G744))&gt;0</formula>
    </cfRule>
  </conditionalFormatting>
  <conditionalFormatting sqref="G744:K744">
    <cfRule type="notContainsBlanks" dxfId="7090" priority="7346">
      <formula>LEN(TRIM(G744))&gt;0</formula>
    </cfRule>
    <cfRule type="notContainsBlanks" dxfId="7089" priority="7347">
      <formula>LEN(TRIM(G744))&gt;0</formula>
    </cfRule>
  </conditionalFormatting>
  <conditionalFormatting sqref="G744:K744">
    <cfRule type="notContainsBlanks" dxfId="7088" priority="7345">
      <formula>LEN(TRIM(G744))&gt;0</formula>
    </cfRule>
  </conditionalFormatting>
  <conditionalFormatting sqref="G744:K744">
    <cfRule type="notContainsBlanks" dxfId="7087" priority="7344">
      <formula>LEN(TRIM(G744))&gt;0</formula>
    </cfRule>
  </conditionalFormatting>
  <conditionalFormatting sqref="G744:K744">
    <cfRule type="notContainsBlanks" dxfId="7086" priority="7343">
      <formula>LEN(TRIM(G744))&gt;0</formula>
    </cfRule>
  </conditionalFormatting>
  <conditionalFormatting sqref="G744:K744">
    <cfRule type="notContainsBlanks" dxfId="7085" priority="7342">
      <formula>LEN(TRIM(G744))&gt;0</formula>
    </cfRule>
  </conditionalFormatting>
  <conditionalFormatting sqref="G744:K744">
    <cfRule type="notContainsBlanks" dxfId="7084" priority="7341">
      <formula>LEN(TRIM(G744))&gt;0</formula>
    </cfRule>
  </conditionalFormatting>
  <conditionalFormatting sqref="G744:K744">
    <cfRule type="notContainsBlanks" dxfId="7083" priority="7340">
      <formula>LEN(TRIM(G744))&gt;0</formula>
    </cfRule>
  </conditionalFormatting>
  <conditionalFormatting sqref="G744:K744">
    <cfRule type="notContainsBlanks" dxfId="7082" priority="7339">
      <formula>LEN(TRIM(G744))&gt;0</formula>
    </cfRule>
  </conditionalFormatting>
  <conditionalFormatting sqref="G744:K744">
    <cfRule type="notContainsBlanks" dxfId="7081" priority="7338">
      <formula>LEN(TRIM(G744))&gt;0</formula>
    </cfRule>
  </conditionalFormatting>
  <conditionalFormatting sqref="G744:K744">
    <cfRule type="notContainsBlanks" dxfId="7080" priority="7337">
      <formula>LEN(TRIM(G744))&gt;0</formula>
    </cfRule>
  </conditionalFormatting>
  <conditionalFormatting sqref="G744:K744">
    <cfRule type="notContainsBlanks" priority="7336">
      <formula>LEN(TRIM(G744))&gt;0</formula>
    </cfRule>
  </conditionalFormatting>
  <conditionalFormatting sqref="G744:K744">
    <cfRule type="notContainsBlanks" dxfId="7079" priority="7335">
      <formula>LEN(TRIM(G744))&gt;0</formula>
    </cfRule>
  </conditionalFormatting>
  <conditionalFormatting sqref="G744:K744">
    <cfRule type="notContainsBlanks" dxfId="7078" priority="7334">
      <formula>LEN(TRIM(G744))&gt;0</formula>
    </cfRule>
  </conditionalFormatting>
  <conditionalFormatting sqref="G744:K744">
    <cfRule type="notContainsBlanks" dxfId="7077" priority="7333">
      <formula>LEN(TRIM(G744))&gt;0</formula>
    </cfRule>
  </conditionalFormatting>
  <conditionalFormatting sqref="G744:K744">
    <cfRule type="notContainsBlanks" dxfId="7076" priority="7332">
      <formula>LEN(TRIM(G744))&gt;0</formula>
    </cfRule>
  </conditionalFormatting>
  <conditionalFormatting sqref="G744:K744">
    <cfRule type="notContainsBlanks" dxfId="7075" priority="7331">
      <formula>LEN(TRIM(G744))&gt;0</formula>
    </cfRule>
  </conditionalFormatting>
  <conditionalFormatting sqref="G757">
    <cfRule type="notContainsBlanks" dxfId="7074" priority="7330">
      <formula>LEN(TRIM(G757))&gt;0</formula>
    </cfRule>
  </conditionalFormatting>
  <conditionalFormatting sqref="H757:K757">
    <cfRule type="notContainsBlanks" dxfId="7073" priority="7329">
      <formula>LEN(TRIM(H757))&gt;0</formula>
    </cfRule>
  </conditionalFormatting>
  <conditionalFormatting sqref="G757:K757">
    <cfRule type="notContainsBlanks" dxfId="7072" priority="7328">
      <formula>LEN(TRIM(G757))&gt;0</formula>
    </cfRule>
  </conditionalFormatting>
  <conditionalFormatting sqref="G757:K757">
    <cfRule type="notContainsBlanks" dxfId="7071" priority="7327">
      <formula>LEN(TRIM(G757))&gt;0</formula>
    </cfRule>
  </conditionalFormatting>
  <conditionalFormatting sqref="G757:K757">
    <cfRule type="notContainsBlanks" dxfId="7070" priority="7326">
      <formula>LEN(TRIM(G757))&gt;0</formula>
    </cfRule>
  </conditionalFormatting>
  <conditionalFormatting sqref="G757:K757">
    <cfRule type="notContainsBlanks" dxfId="7069" priority="7325">
      <formula>LEN(TRIM(G757))&gt;0</formula>
    </cfRule>
  </conditionalFormatting>
  <conditionalFormatting sqref="G757:K757">
    <cfRule type="notContainsBlanks" dxfId="7068" priority="7324">
      <formula>LEN(TRIM(G757))&gt;0</formula>
    </cfRule>
  </conditionalFormatting>
  <conditionalFormatting sqref="G757:K757">
    <cfRule type="notContainsBlanks" dxfId="7067" priority="7323">
      <formula>LEN(TRIM(G757))&gt;0</formula>
    </cfRule>
  </conditionalFormatting>
  <conditionalFormatting sqref="G757:K757">
    <cfRule type="notContainsBlanks" dxfId="7066" priority="7322">
      <formula>LEN(TRIM(G757))&gt;0</formula>
    </cfRule>
  </conditionalFormatting>
  <conditionalFormatting sqref="G757:K757">
    <cfRule type="notContainsBlanks" dxfId="7065" priority="7321">
      <formula>LEN(TRIM(G757))&gt;0</formula>
    </cfRule>
  </conditionalFormatting>
  <conditionalFormatting sqref="G757:K757">
    <cfRule type="notContainsBlanks" dxfId="7064" priority="7320">
      <formula>LEN(TRIM(G757))&gt;0</formula>
    </cfRule>
  </conditionalFormatting>
  <conditionalFormatting sqref="G757:K757">
    <cfRule type="notContainsBlanks" dxfId="7063" priority="7318">
      <formula>LEN(TRIM(G757))&gt;0</formula>
    </cfRule>
    <cfRule type="notContainsBlanks" dxfId="7062" priority="7319">
      <formula>LEN(TRIM(G757))&gt;0</formula>
    </cfRule>
  </conditionalFormatting>
  <conditionalFormatting sqref="G757:K757">
    <cfRule type="notContainsBlanks" dxfId="7061" priority="7317">
      <formula>LEN(TRIM(G757))&gt;0</formula>
    </cfRule>
  </conditionalFormatting>
  <conditionalFormatting sqref="G757:K757">
    <cfRule type="notContainsBlanks" dxfId="7060" priority="7316">
      <formula>LEN(TRIM(G757))&gt;0</formula>
    </cfRule>
  </conditionalFormatting>
  <conditionalFormatting sqref="G757:K757">
    <cfRule type="notContainsBlanks" dxfId="7059" priority="7315">
      <formula>LEN(TRIM(G757))&gt;0</formula>
    </cfRule>
  </conditionalFormatting>
  <conditionalFormatting sqref="G757:K757">
    <cfRule type="notContainsBlanks" dxfId="7058" priority="7314">
      <formula>LEN(TRIM(G757))&gt;0</formula>
    </cfRule>
  </conditionalFormatting>
  <conditionalFormatting sqref="G757:K757">
    <cfRule type="notContainsBlanks" dxfId="7057" priority="7313">
      <formula>LEN(TRIM(G757))&gt;0</formula>
    </cfRule>
  </conditionalFormatting>
  <conditionalFormatting sqref="G757:K757">
    <cfRule type="notContainsBlanks" dxfId="7056" priority="7312">
      <formula>LEN(TRIM(G757))&gt;0</formula>
    </cfRule>
  </conditionalFormatting>
  <conditionalFormatting sqref="G757:K757">
    <cfRule type="notContainsBlanks" dxfId="7055" priority="7311">
      <formula>LEN(TRIM(G757))&gt;0</formula>
    </cfRule>
  </conditionalFormatting>
  <conditionalFormatting sqref="G757:K757">
    <cfRule type="notContainsBlanks" dxfId="7054" priority="7310">
      <formula>LEN(TRIM(G757))&gt;0</formula>
    </cfRule>
  </conditionalFormatting>
  <conditionalFormatting sqref="G757:K757">
    <cfRule type="notContainsBlanks" dxfId="7053" priority="7309">
      <formula>LEN(TRIM(G757))&gt;0</formula>
    </cfRule>
  </conditionalFormatting>
  <conditionalFormatting sqref="G757:K757">
    <cfRule type="notContainsBlanks" priority="7308">
      <formula>LEN(TRIM(G757))&gt;0</formula>
    </cfRule>
  </conditionalFormatting>
  <conditionalFormatting sqref="G757:K757">
    <cfRule type="notContainsBlanks" dxfId="7052" priority="7307">
      <formula>LEN(TRIM(G757))&gt;0</formula>
    </cfRule>
  </conditionalFormatting>
  <conditionalFormatting sqref="G757:K757">
    <cfRule type="notContainsBlanks" dxfId="7051" priority="7306">
      <formula>LEN(TRIM(G757))&gt;0</formula>
    </cfRule>
  </conditionalFormatting>
  <conditionalFormatting sqref="G757:K757">
    <cfRule type="notContainsBlanks" dxfId="7050" priority="7305">
      <formula>LEN(TRIM(G757))&gt;0</formula>
    </cfRule>
  </conditionalFormatting>
  <conditionalFormatting sqref="G757:K757">
    <cfRule type="notContainsBlanks" dxfId="7049" priority="7304">
      <formula>LEN(TRIM(G757))&gt;0</formula>
    </cfRule>
  </conditionalFormatting>
  <conditionalFormatting sqref="G757:K757">
    <cfRule type="notContainsBlanks" dxfId="7048" priority="7303">
      <formula>LEN(TRIM(G757))&gt;0</formula>
    </cfRule>
  </conditionalFormatting>
  <conditionalFormatting sqref="G770">
    <cfRule type="notContainsBlanks" dxfId="7047" priority="7302">
      <formula>LEN(TRIM(G770))&gt;0</formula>
    </cfRule>
  </conditionalFormatting>
  <conditionalFormatting sqref="H770:K770">
    <cfRule type="notContainsBlanks" dxfId="7046" priority="7301">
      <formula>LEN(TRIM(H770))&gt;0</formula>
    </cfRule>
  </conditionalFormatting>
  <conditionalFormatting sqref="G770:K770">
    <cfRule type="notContainsBlanks" dxfId="7045" priority="7300">
      <formula>LEN(TRIM(G770))&gt;0</formula>
    </cfRule>
  </conditionalFormatting>
  <conditionalFormatting sqref="G770:K770">
    <cfRule type="notContainsBlanks" dxfId="7044" priority="7299">
      <formula>LEN(TRIM(G770))&gt;0</formula>
    </cfRule>
  </conditionalFormatting>
  <conditionalFormatting sqref="G770:K770">
    <cfRule type="notContainsBlanks" dxfId="7043" priority="7298">
      <formula>LEN(TRIM(G770))&gt;0</formula>
    </cfRule>
  </conditionalFormatting>
  <conditionalFormatting sqref="G770:K770">
    <cfRule type="notContainsBlanks" dxfId="7042" priority="7297">
      <formula>LEN(TRIM(G770))&gt;0</formula>
    </cfRule>
  </conditionalFormatting>
  <conditionalFormatting sqref="G770:K770">
    <cfRule type="notContainsBlanks" dxfId="7041" priority="7296">
      <formula>LEN(TRIM(G770))&gt;0</formula>
    </cfRule>
  </conditionalFormatting>
  <conditionalFormatting sqref="G770:K770">
    <cfRule type="notContainsBlanks" dxfId="7040" priority="7295">
      <formula>LEN(TRIM(G770))&gt;0</formula>
    </cfRule>
  </conditionalFormatting>
  <conditionalFormatting sqref="G770:K770">
    <cfRule type="notContainsBlanks" dxfId="7039" priority="7294">
      <formula>LEN(TRIM(G770))&gt;0</formula>
    </cfRule>
  </conditionalFormatting>
  <conditionalFormatting sqref="G770:K770">
    <cfRule type="notContainsBlanks" dxfId="7038" priority="7293">
      <formula>LEN(TRIM(G770))&gt;0</formula>
    </cfRule>
  </conditionalFormatting>
  <conditionalFormatting sqref="G770:K770">
    <cfRule type="notContainsBlanks" dxfId="7037" priority="7292">
      <formula>LEN(TRIM(G770))&gt;0</formula>
    </cfRule>
  </conditionalFormatting>
  <conditionalFormatting sqref="G770:K770">
    <cfRule type="notContainsBlanks" dxfId="7036" priority="7290">
      <formula>LEN(TRIM(G770))&gt;0</formula>
    </cfRule>
    <cfRule type="notContainsBlanks" dxfId="7035" priority="7291">
      <formula>LEN(TRIM(G770))&gt;0</formula>
    </cfRule>
  </conditionalFormatting>
  <conditionalFormatting sqref="G770:K770">
    <cfRule type="notContainsBlanks" dxfId="7034" priority="7289">
      <formula>LEN(TRIM(G770))&gt;0</formula>
    </cfRule>
  </conditionalFormatting>
  <conditionalFormatting sqref="G770:K770">
    <cfRule type="notContainsBlanks" dxfId="7033" priority="7288">
      <formula>LEN(TRIM(G770))&gt;0</formula>
    </cfRule>
  </conditionalFormatting>
  <conditionalFormatting sqref="G770:K770">
    <cfRule type="notContainsBlanks" dxfId="7032" priority="7287">
      <formula>LEN(TRIM(G770))&gt;0</formula>
    </cfRule>
  </conditionalFormatting>
  <conditionalFormatting sqref="G770:K770">
    <cfRule type="notContainsBlanks" dxfId="7031" priority="7286">
      <formula>LEN(TRIM(G770))&gt;0</formula>
    </cfRule>
  </conditionalFormatting>
  <conditionalFormatting sqref="G770:K770">
    <cfRule type="notContainsBlanks" dxfId="7030" priority="7285">
      <formula>LEN(TRIM(G770))&gt;0</formula>
    </cfRule>
  </conditionalFormatting>
  <conditionalFormatting sqref="G770:K770">
    <cfRule type="notContainsBlanks" dxfId="7029" priority="7284">
      <formula>LEN(TRIM(G770))&gt;0</formula>
    </cfRule>
  </conditionalFormatting>
  <conditionalFormatting sqref="G770:K770">
    <cfRule type="notContainsBlanks" dxfId="7028" priority="7283">
      <formula>LEN(TRIM(G770))&gt;0</formula>
    </cfRule>
  </conditionalFormatting>
  <conditionalFormatting sqref="G770:K770">
    <cfRule type="notContainsBlanks" dxfId="7027" priority="7282">
      <formula>LEN(TRIM(G770))&gt;0</formula>
    </cfRule>
  </conditionalFormatting>
  <conditionalFormatting sqref="G770:K770">
    <cfRule type="notContainsBlanks" dxfId="7026" priority="7281">
      <formula>LEN(TRIM(G770))&gt;0</formula>
    </cfRule>
  </conditionalFormatting>
  <conditionalFormatting sqref="G770:K770">
    <cfRule type="notContainsBlanks" priority="7280">
      <formula>LEN(TRIM(G770))&gt;0</formula>
    </cfRule>
  </conditionalFormatting>
  <conditionalFormatting sqref="G770:K770">
    <cfRule type="notContainsBlanks" dxfId="7025" priority="7279">
      <formula>LEN(TRIM(G770))&gt;0</formula>
    </cfRule>
  </conditionalFormatting>
  <conditionalFormatting sqref="G770:K770">
    <cfRule type="notContainsBlanks" dxfId="7024" priority="7278">
      <formula>LEN(TRIM(G770))&gt;0</formula>
    </cfRule>
  </conditionalFormatting>
  <conditionalFormatting sqref="G770:K770">
    <cfRule type="notContainsBlanks" dxfId="7023" priority="7277">
      <formula>LEN(TRIM(G770))&gt;0</formula>
    </cfRule>
  </conditionalFormatting>
  <conditionalFormatting sqref="G770:K770">
    <cfRule type="notContainsBlanks" dxfId="7022" priority="7276">
      <formula>LEN(TRIM(G770))&gt;0</formula>
    </cfRule>
  </conditionalFormatting>
  <conditionalFormatting sqref="G770:K770">
    <cfRule type="notContainsBlanks" dxfId="7021" priority="7275">
      <formula>LEN(TRIM(G770))&gt;0</formula>
    </cfRule>
  </conditionalFormatting>
  <conditionalFormatting sqref="G783">
    <cfRule type="notContainsBlanks" dxfId="7020" priority="7274">
      <formula>LEN(TRIM(G783))&gt;0</formula>
    </cfRule>
  </conditionalFormatting>
  <conditionalFormatting sqref="H783:K783">
    <cfRule type="notContainsBlanks" dxfId="7019" priority="7273">
      <formula>LEN(TRIM(H783))&gt;0</formula>
    </cfRule>
  </conditionalFormatting>
  <conditionalFormatting sqref="G783:K783">
    <cfRule type="notContainsBlanks" dxfId="7018" priority="7272">
      <formula>LEN(TRIM(G783))&gt;0</formula>
    </cfRule>
  </conditionalFormatting>
  <conditionalFormatting sqref="G783:K783">
    <cfRule type="notContainsBlanks" dxfId="7017" priority="7271">
      <formula>LEN(TRIM(G783))&gt;0</formula>
    </cfRule>
  </conditionalFormatting>
  <conditionalFormatting sqref="G783:K783">
    <cfRule type="notContainsBlanks" dxfId="7016" priority="7270">
      <formula>LEN(TRIM(G783))&gt;0</formula>
    </cfRule>
  </conditionalFormatting>
  <conditionalFormatting sqref="G783:K783">
    <cfRule type="notContainsBlanks" dxfId="7015" priority="7269">
      <formula>LEN(TRIM(G783))&gt;0</formula>
    </cfRule>
  </conditionalFormatting>
  <conditionalFormatting sqref="G783:K783">
    <cfRule type="notContainsBlanks" dxfId="7014" priority="7268">
      <formula>LEN(TRIM(G783))&gt;0</formula>
    </cfRule>
  </conditionalFormatting>
  <conditionalFormatting sqref="G783:K783">
    <cfRule type="notContainsBlanks" dxfId="7013" priority="7267">
      <formula>LEN(TRIM(G783))&gt;0</formula>
    </cfRule>
  </conditionalFormatting>
  <conditionalFormatting sqref="G783:K783">
    <cfRule type="notContainsBlanks" dxfId="7012" priority="7266">
      <formula>LEN(TRIM(G783))&gt;0</formula>
    </cfRule>
  </conditionalFormatting>
  <conditionalFormatting sqref="G783:K783">
    <cfRule type="notContainsBlanks" dxfId="7011" priority="7265">
      <formula>LEN(TRIM(G783))&gt;0</formula>
    </cfRule>
  </conditionalFormatting>
  <conditionalFormatting sqref="G783:K783">
    <cfRule type="notContainsBlanks" dxfId="7010" priority="7264">
      <formula>LEN(TRIM(G783))&gt;0</formula>
    </cfRule>
  </conditionalFormatting>
  <conditionalFormatting sqref="G783:K783">
    <cfRule type="notContainsBlanks" dxfId="7009" priority="7262">
      <formula>LEN(TRIM(G783))&gt;0</formula>
    </cfRule>
    <cfRule type="notContainsBlanks" dxfId="7008" priority="7263">
      <formula>LEN(TRIM(G783))&gt;0</formula>
    </cfRule>
  </conditionalFormatting>
  <conditionalFormatting sqref="G783:K783">
    <cfRule type="notContainsBlanks" dxfId="7007" priority="7261">
      <formula>LEN(TRIM(G783))&gt;0</formula>
    </cfRule>
  </conditionalFormatting>
  <conditionalFormatting sqref="G783:K783">
    <cfRule type="notContainsBlanks" dxfId="7006" priority="7260">
      <formula>LEN(TRIM(G783))&gt;0</formula>
    </cfRule>
  </conditionalFormatting>
  <conditionalFormatting sqref="G783:K783">
    <cfRule type="notContainsBlanks" dxfId="7005" priority="7259">
      <formula>LEN(TRIM(G783))&gt;0</formula>
    </cfRule>
  </conditionalFormatting>
  <conditionalFormatting sqref="G783:K783">
    <cfRule type="notContainsBlanks" dxfId="7004" priority="7258">
      <formula>LEN(TRIM(G783))&gt;0</formula>
    </cfRule>
  </conditionalFormatting>
  <conditionalFormatting sqref="G783:K783">
    <cfRule type="notContainsBlanks" dxfId="7003" priority="7257">
      <formula>LEN(TRIM(G783))&gt;0</formula>
    </cfRule>
  </conditionalFormatting>
  <conditionalFormatting sqref="G783:K783">
    <cfRule type="notContainsBlanks" dxfId="7002" priority="7256">
      <formula>LEN(TRIM(G783))&gt;0</formula>
    </cfRule>
  </conditionalFormatting>
  <conditionalFormatting sqref="G783:K783">
    <cfRule type="notContainsBlanks" dxfId="7001" priority="7255">
      <formula>LEN(TRIM(G783))&gt;0</formula>
    </cfRule>
  </conditionalFormatting>
  <conditionalFormatting sqref="G783:K783">
    <cfRule type="notContainsBlanks" dxfId="7000" priority="7254">
      <formula>LEN(TRIM(G783))&gt;0</formula>
    </cfRule>
  </conditionalFormatting>
  <conditionalFormatting sqref="G783:K783">
    <cfRule type="notContainsBlanks" dxfId="6999" priority="7253">
      <formula>LEN(TRIM(G783))&gt;0</formula>
    </cfRule>
  </conditionalFormatting>
  <conditionalFormatting sqref="G783:K783">
    <cfRule type="notContainsBlanks" priority="7252">
      <formula>LEN(TRIM(G783))&gt;0</formula>
    </cfRule>
  </conditionalFormatting>
  <conditionalFormatting sqref="G783:K783">
    <cfRule type="notContainsBlanks" dxfId="6998" priority="7251">
      <formula>LEN(TRIM(G783))&gt;0</formula>
    </cfRule>
  </conditionalFormatting>
  <conditionalFormatting sqref="G783:K783">
    <cfRule type="notContainsBlanks" dxfId="6997" priority="7250">
      <formula>LEN(TRIM(G783))&gt;0</formula>
    </cfRule>
  </conditionalFormatting>
  <conditionalFormatting sqref="G783:K783">
    <cfRule type="notContainsBlanks" dxfId="6996" priority="7249">
      <formula>LEN(TRIM(G783))&gt;0</formula>
    </cfRule>
  </conditionalFormatting>
  <conditionalFormatting sqref="G783:K783">
    <cfRule type="notContainsBlanks" dxfId="6995" priority="7248">
      <formula>LEN(TRIM(G783))&gt;0</formula>
    </cfRule>
  </conditionalFormatting>
  <conditionalFormatting sqref="G783:K783">
    <cfRule type="notContainsBlanks" dxfId="6994" priority="7247">
      <formula>LEN(TRIM(G783))&gt;0</formula>
    </cfRule>
  </conditionalFormatting>
  <conditionalFormatting sqref="G796">
    <cfRule type="notContainsBlanks" dxfId="6993" priority="7246">
      <formula>LEN(TRIM(G796))&gt;0</formula>
    </cfRule>
  </conditionalFormatting>
  <conditionalFormatting sqref="H796:K796">
    <cfRule type="notContainsBlanks" dxfId="6992" priority="7245">
      <formula>LEN(TRIM(H796))&gt;0</formula>
    </cfRule>
  </conditionalFormatting>
  <conditionalFormatting sqref="G796:K796">
    <cfRule type="notContainsBlanks" dxfId="6991" priority="7244">
      <formula>LEN(TRIM(G796))&gt;0</formula>
    </cfRule>
  </conditionalFormatting>
  <conditionalFormatting sqref="G796:K796">
    <cfRule type="notContainsBlanks" dxfId="6990" priority="7243">
      <formula>LEN(TRIM(G796))&gt;0</formula>
    </cfRule>
  </conditionalFormatting>
  <conditionalFormatting sqref="G796:K796">
    <cfRule type="notContainsBlanks" dxfId="6989" priority="7242">
      <formula>LEN(TRIM(G796))&gt;0</formula>
    </cfRule>
  </conditionalFormatting>
  <conditionalFormatting sqref="G796:K796">
    <cfRule type="notContainsBlanks" dxfId="6988" priority="7241">
      <formula>LEN(TRIM(G796))&gt;0</formula>
    </cfRule>
  </conditionalFormatting>
  <conditionalFormatting sqref="G796:K796">
    <cfRule type="notContainsBlanks" dxfId="6987" priority="7240">
      <formula>LEN(TRIM(G796))&gt;0</formula>
    </cfRule>
  </conditionalFormatting>
  <conditionalFormatting sqref="G796:K796">
    <cfRule type="notContainsBlanks" dxfId="6986" priority="7239">
      <formula>LEN(TRIM(G796))&gt;0</formula>
    </cfRule>
  </conditionalFormatting>
  <conditionalFormatting sqref="G796:K796">
    <cfRule type="notContainsBlanks" dxfId="6985" priority="7238">
      <formula>LEN(TRIM(G796))&gt;0</formula>
    </cfRule>
  </conditionalFormatting>
  <conditionalFormatting sqref="G796:K796">
    <cfRule type="notContainsBlanks" dxfId="6984" priority="7237">
      <formula>LEN(TRIM(G796))&gt;0</formula>
    </cfRule>
  </conditionalFormatting>
  <conditionalFormatting sqref="G796:K796">
    <cfRule type="notContainsBlanks" dxfId="6983" priority="7236">
      <formula>LEN(TRIM(G796))&gt;0</formula>
    </cfRule>
  </conditionalFormatting>
  <conditionalFormatting sqref="G796:K796">
    <cfRule type="notContainsBlanks" dxfId="6982" priority="7234">
      <formula>LEN(TRIM(G796))&gt;0</formula>
    </cfRule>
    <cfRule type="notContainsBlanks" dxfId="6981" priority="7235">
      <formula>LEN(TRIM(G796))&gt;0</formula>
    </cfRule>
  </conditionalFormatting>
  <conditionalFormatting sqref="G796:K796">
    <cfRule type="notContainsBlanks" dxfId="6980" priority="7233">
      <formula>LEN(TRIM(G796))&gt;0</formula>
    </cfRule>
  </conditionalFormatting>
  <conditionalFormatting sqref="G796:K796">
    <cfRule type="notContainsBlanks" dxfId="6979" priority="7232">
      <formula>LEN(TRIM(G796))&gt;0</formula>
    </cfRule>
  </conditionalFormatting>
  <conditionalFormatting sqref="G796:K796">
    <cfRule type="notContainsBlanks" dxfId="6978" priority="7231">
      <formula>LEN(TRIM(G796))&gt;0</formula>
    </cfRule>
  </conditionalFormatting>
  <conditionalFormatting sqref="G796:K796">
    <cfRule type="notContainsBlanks" dxfId="6977" priority="7230">
      <formula>LEN(TRIM(G796))&gt;0</formula>
    </cfRule>
  </conditionalFormatting>
  <conditionalFormatting sqref="G796:K796">
    <cfRule type="notContainsBlanks" dxfId="6976" priority="7229">
      <formula>LEN(TRIM(G796))&gt;0</formula>
    </cfRule>
  </conditionalFormatting>
  <conditionalFormatting sqref="G796:K796">
    <cfRule type="notContainsBlanks" dxfId="6975" priority="7228">
      <formula>LEN(TRIM(G796))&gt;0</formula>
    </cfRule>
  </conditionalFormatting>
  <conditionalFormatting sqref="G796:K796">
    <cfRule type="notContainsBlanks" dxfId="6974" priority="7227">
      <formula>LEN(TRIM(G796))&gt;0</formula>
    </cfRule>
  </conditionalFormatting>
  <conditionalFormatting sqref="G796:K796">
    <cfRule type="notContainsBlanks" dxfId="6973" priority="7226">
      <formula>LEN(TRIM(G796))&gt;0</formula>
    </cfRule>
  </conditionalFormatting>
  <conditionalFormatting sqref="G796:K796">
    <cfRule type="notContainsBlanks" dxfId="6972" priority="7225">
      <formula>LEN(TRIM(G796))&gt;0</formula>
    </cfRule>
  </conditionalFormatting>
  <conditionalFormatting sqref="G796:K796">
    <cfRule type="notContainsBlanks" priority="7224">
      <formula>LEN(TRIM(G796))&gt;0</formula>
    </cfRule>
  </conditionalFormatting>
  <conditionalFormatting sqref="G796:K796">
    <cfRule type="notContainsBlanks" dxfId="6971" priority="7223">
      <formula>LEN(TRIM(G796))&gt;0</formula>
    </cfRule>
  </conditionalFormatting>
  <conditionalFormatting sqref="G796:K796">
    <cfRule type="notContainsBlanks" dxfId="6970" priority="7222">
      <formula>LEN(TRIM(G796))&gt;0</formula>
    </cfRule>
  </conditionalFormatting>
  <conditionalFormatting sqref="G796:K796">
    <cfRule type="notContainsBlanks" dxfId="6969" priority="7221">
      <formula>LEN(TRIM(G796))&gt;0</formula>
    </cfRule>
  </conditionalFormatting>
  <conditionalFormatting sqref="G796:K796">
    <cfRule type="notContainsBlanks" dxfId="6968" priority="7220">
      <formula>LEN(TRIM(G796))&gt;0</formula>
    </cfRule>
  </conditionalFormatting>
  <conditionalFormatting sqref="G796:K796">
    <cfRule type="notContainsBlanks" dxfId="6967" priority="7219">
      <formula>LEN(TRIM(G796))&gt;0</formula>
    </cfRule>
  </conditionalFormatting>
  <conditionalFormatting sqref="G809">
    <cfRule type="notContainsBlanks" dxfId="6966" priority="7218">
      <formula>LEN(TRIM(G809))&gt;0</formula>
    </cfRule>
  </conditionalFormatting>
  <conditionalFormatting sqref="H809:K809">
    <cfRule type="notContainsBlanks" dxfId="6965" priority="7217">
      <formula>LEN(TRIM(H809))&gt;0</formula>
    </cfRule>
  </conditionalFormatting>
  <conditionalFormatting sqref="G809:K809">
    <cfRule type="notContainsBlanks" dxfId="6964" priority="7216">
      <formula>LEN(TRIM(G809))&gt;0</formula>
    </cfRule>
  </conditionalFormatting>
  <conditionalFormatting sqref="G809:K809">
    <cfRule type="notContainsBlanks" dxfId="6963" priority="7215">
      <formula>LEN(TRIM(G809))&gt;0</formula>
    </cfRule>
  </conditionalFormatting>
  <conditionalFormatting sqref="G809:K809">
    <cfRule type="notContainsBlanks" dxfId="6962" priority="7214">
      <formula>LEN(TRIM(G809))&gt;0</formula>
    </cfRule>
  </conditionalFormatting>
  <conditionalFormatting sqref="G809:K809">
    <cfRule type="notContainsBlanks" dxfId="6961" priority="7213">
      <formula>LEN(TRIM(G809))&gt;0</formula>
    </cfRule>
  </conditionalFormatting>
  <conditionalFormatting sqref="G809:K809">
    <cfRule type="notContainsBlanks" dxfId="6960" priority="7212">
      <formula>LEN(TRIM(G809))&gt;0</formula>
    </cfRule>
  </conditionalFormatting>
  <conditionalFormatting sqref="G809:K809">
    <cfRule type="notContainsBlanks" dxfId="6959" priority="7211">
      <formula>LEN(TRIM(G809))&gt;0</formula>
    </cfRule>
  </conditionalFormatting>
  <conditionalFormatting sqref="G809:K809">
    <cfRule type="notContainsBlanks" dxfId="6958" priority="7210">
      <formula>LEN(TRIM(G809))&gt;0</formula>
    </cfRule>
  </conditionalFormatting>
  <conditionalFormatting sqref="G809:K809">
    <cfRule type="notContainsBlanks" dxfId="6957" priority="7209">
      <formula>LEN(TRIM(G809))&gt;0</formula>
    </cfRule>
  </conditionalFormatting>
  <conditionalFormatting sqref="G809:K809">
    <cfRule type="notContainsBlanks" dxfId="6956" priority="7208">
      <formula>LEN(TRIM(G809))&gt;0</formula>
    </cfRule>
  </conditionalFormatting>
  <conditionalFormatting sqref="G809:K809">
    <cfRule type="notContainsBlanks" dxfId="6955" priority="7206">
      <formula>LEN(TRIM(G809))&gt;0</formula>
    </cfRule>
    <cfRule type="notContainsBlanks" dxfId="6954" priority="7207">
      <formula>LEN(TRIM(G809))&gt;0</formula>
    </cfRule>
  </conditionalFormatting>
  <conditionalFormatting sqref="G809:K809">
    <cfRule type="notContainsBlanks" dxfId="6953" priority="7205">
      <formula>LEN(TRIM(G809))&gt;0</formula>
    </cfRule>
  </conditionalFormatting>
  <conditionalFormatting sqref="G809:K809">
    <cfRule type="notContainsBlanks" dxfId="6952" priority="7204">
      <formula>LEN(TRIM(G809))&gt;0</formula>
    </cfRule>
  </conditionalFormatting>
  <conditionalFormatting sqref="G809:K809">
    <cfRule type="notContainsBlanks" dxfId="6951" priority="7203">
      <formula>LEN(TRIM(G809))&gt;0</formula>
    </cfRule>
  </conditionalFormatting>
  <conditionalFormatting sqref="G809:K809">
    <cfRule type="notContainsBlanks" dxfId="6950" priority="7202">
      <formula>LEN(TRIM(G809))&gt;0</formula>
    </cfRule>
  </conditionalFormatting>
  <conditionalFormatting sqref="G809:K809">
    <cfRule type="notContainsBlanks" dxfId="6949" priority="7201">
      <formula>LEN(TRIM(G809))&gt;0</formula>
    </cfRule>
  </conditionalFormatting>
  <conditionalFormatting sqref="G809:K809">
    <cfRule type="notContainsBlanks" dxfId="6948" priority="7200">
      <formula>LEN(TRIM(G809))&gt;0</formula>
    </cfRule>
  </conditionalFormatting>
  <conditionalFormatting sqref="G809:K809">
    <cfRule type="notContainsBlanks" dxfId="6947" priority="7199">
      <formula>LEN(TRIM(G809))&gt;0</formula>
    </cfRule>
  </conditionalFormatting>
  <conditionalFormatting sqref="G809:K809">
    <cfRule type="notContainsBlanks" dxfId="6946" priority="7198">
      <formula>LEN(TRIM(G809))&gt;0</formula>
    </cfRule>
  </conditionalFormatting>
  <conditionalFormatting sqref="G809:K809">
    <cfRule type="notContainsBlanks" dxfId="6945" priority="7197">
      <formula>LEN(TRIM(G809))&gt;0</formula>
    </cfRule>
  </conditionalFormatting>
  <conditionalFormatting sqref="G809:K809">
    <cfRule type="notContainsBlanks" priority="7196">
      <formula>LEN(TRIM(G809))&gt;0</formula>
    </cfRule>
  </conditionalFormatting>
  <conditionalFormatting sqref="G809:K809">
    <cfRule type="notContainsBlanks" dxfId="6944" priority="7195">
      <formula>LEN(TRIM(G809))&gt;0</formula>
    </cfRule>
  </conditionalFormatting>
  <conditionalFormatting sqref="G809:K809">
    <cfRule type="notContainsBlanks" dxfId="6943" priority="7194">
      <formula>LEN(TRIM(G809))&gt;0</formula>
    </cfRule>
  </conditionalFormatting>
  <conditionalFormatting sqref="G809:K809">
    <cfRule type="notContainsBlanks" dxfId="6942" priority="7193">
      <formula>LEN(TRIM(G809))&gt;0</formula>
    </cfRule>
  </conditionalFormatting>
  <conditionalFormatting sqref="G809:K809">
    <cfRule type="notContainsBlanks" dxfId="6941" priority="7192">
      <formula>LEN(TRIM(G809))&gt;0</formula>
    </cfRule>
  </conditionalFormatting>
  <conditionalFormatting sqref="G809:K809">
    <cfRule type="notContainsBlanks" dxfId="6940" priority="7191">
      <formula>LEN(TRIM(G809))&gt;0</formula>
    </cfRule>
  </conditionalFormatting>
  <conditionalFormatting sqref="G822">
    <cfRule type="notContainsBlanks" dxfId="6939" priority="7190">
      <formula>LEN(TRIM(G822))&gt;0</formula>
    </cfRule>
  </conditionalFormatting>
  <conditionalFormatting sqref="H822:K822">
    <cfRule type="notContainsBlanks" dxfId="6938" priority="7189">
      <formula>LEN(TRIM(H822))&gt;0</formula>
    </cfRule>
  </conditionalFormatting>
  <conditionalFormatting sqref="G822:K822">
    <cfRule type="notContainsBlanks" dxfId="6937" priority="7188">
      <formula>LEN(TRIM(G822))&gt;0</formula>
    </cfRule>
  </conditionalFormatting>
  <conditionalFormatting sqref="G822:K822">
    <cfRule type="notContainsBlanks" dxfId="6936" priority="7187">
      <formula>LEN(TRIM(G822))&gt;0</formula>
    </cfRule>
  </conditionalFormatting>
  <conditionalFormatting sqref="G822:K822">
    <cfRule type="notContainsBlanks" dxfId="6935" priority="7186">
      <formula>LEN(TRIM(G822))&gt;0</formula>
    </cfRule>
  </conditionalFormatting>
  <conditionalFormatting sqref="G822:K822">
    <cfRule type="notContainsBlanks" dxfId="6934" priority="7185">
      <formula>LEN(TRIM(G822))&gt;0</formula>
    </cfRule>
  </conditionalFormatting>
  <conditionalFormatting sqref="G822:K822">
    <cfRule type="notContainsBlanks" dxfId="6933" priority="7184">
      <formula>LEN(TRIM(G822))&gt;0</formula>
    </cfRule>
  </conditionalFormatting>
  <conditionalFormatting sqref="G822:K822">
    <cfRule type="notContainsBlanks" dxfId="6932" priority="7183">
      <formula>LEN(TRIM(G822))&gt;0</formula>
    </cfRule>
  </conditionalFormatting>
  <conditionalFormatting sqref="G822:K822">
    <cfRule type="notContainsBlanks" dxfId="6931" priority="7182">
      <formula>LEN(TRIM(G822))&gt;0</formula>
    </cfRule>
  </conditionalFormatting>
  <conditionalFormatting sqref="G822:K822">
    <cfRule type="notContainsBlanks" dxfId="6930" priority="7181">
      <formula>LEN(TRIM(G822))&gt;0</formula>
    </cfRule>
  </conditionalFormatting>
  <conditionalFormatting sqref="G822:K822">
    <cfRule type="notContainsBlanks" dxfId="6929" priority="7180">
      <formula>LEN(TRIM(G822))&gt;0</formula>
    </cfRule>
  </conditionalFormatting>
  <conditionalFormatting sqref="G822:K822">
    <cfRule type="notContainsBlanks" dxfId="6928" priority="7178">
      <formula>LEN(TRIM(G822))&gt;0</formula>
    </cfRule>
    <cfRule type="notContainsBlanks" dxfId="6927" priority="7179">
      <formula>LEN(TRIM(G822))&gt;0</formula>
    </cfRule>
  </conditionalFormatting>
  <conditionalFormatting sqref="G822:K822">
    <cfRule type="notContainsBlanks" dxfId="6926" priority="7177">
      <formula>LEN(TRIM(G822))&gt;0</formula>
    </cfRule>
  </conditionalFormatting>
  <conditionalFormatting sqref="G822:K822">
    <cfRule type="notContainsBlanks" dxfId="6925" priority="7176">
      <formula>LEN(TRIM(G822))&gt;0</formula>
    </cfRule>
  </conditionalFormatting>
  <conditionalFormatting sqref="G822:K822">
    <cfRule type="notContainsBlanks" dxfId="6924" priority="7175">
      <formula>LEN(TRIM(G822))&gt;0</formula>
    </cfRule>
  </conditionalFormatting>
  <conditionalFormatting sqref="G822:K822">
    <cfRule type="notContainsBlanks" dxfId="6923" priority="7174">
      <formula>LEN(TRIM(G822))&gt;0</formula>
    </cfRule>
  </conditionalFormatting>
  <conditionalFormatting sqref="G822:K822">
    <cfRule type="notContainsBlanks" dxfId="6922" priority="7173">
      <formula>LEN(TRIM(G822))&gt;0</formula>
    </cfRule>
  </conditionalFormatting>
  <conditionalFormatting sqref="G822:K822">
    <cfRule type="notContainsBlanks" dxfId="6921" priority="7172">
      <formula>LEN(TRIM(G822))&gt;0</formula>
    </cfRule>
  </conditionalFormatting>
  <conditionalFormatting sqref="G822:K822">
    <cfRule type="notContainsBlanks" dxfId="6920" priority="7171">
      <formula>LEN(TRIM(G822))&gt;0</formula>
    </cfRule>
  </conditionalFormatting>
  <conditionalFormatting sqref="G822:K822">
    <cfRule type="notContainsBlanks" dxfId="6919" priority="7170">
      <formula>LEN(TRIM(G822))&gt;0</formula>
    </cfRule>
  </conditionalFormatting>
  <conditionalFormatting sqref="G822:K822">
    <cfRule type="notContainsBlanks" dxfId="6918" priority="7169">
      <formula>LEN(TRIM(G822))&gt;0</formula>
    </cfRule>
  </conditionalFormatting>
  <conditionalFormatting sqref="G822:K822">
    <cfRule type="notContainsBlanks" priority="7168">
      <formula>LEN(TRIM(G822))&gt;0</formula>
    </cfRule>
  </conditionalFormatting>
  <conditionalFormatting sqref="G822:K822">
    <cfRule type="notContainsBlanks" dxfId="6917" priority="7167">
      <formula>LEN(TRIM(G822))&gt;0</formula>
    </cfRule>
  </conditionalFormatting>
  <conditionalFormatting sqref="G822:K822">
    <cfRule type="notContainsBlanks" dxfId="6916" priority="7166">
      <formula>LEN(TRIM(G822))&gt;0</formula>
    </cfRule>
  </conditionalFormatting>
  <conditionalFormatting sqref="G822:K822">
    <cfRule type="notContainsBlanks" dxfId="6915" priority="7165">
      <formula>LEN(TRIM(G822))&gt;0</formula>
    </cfRule>
  </conditionalFormatting>
  <conditionalFormatting sqref="G822:K822">
    <cfRule type="notContainsBlanks" dxfId="6914" priority="7164">
      <formula>LEN(TRIM(G822))&gt;0</formula>
    </cfRule>
  </conditionalFormatting>
  <conditionalFormatting sqref="G822:K822">
    <cfRule type="notContainsBlanks" dxfId="6913" priority="7163">
      <formula>LEN(TRIM(G822))&gt;0</formula>
    </cfRule>
  </conditionalFormatting>
  <conditionalFormatting sqref="G835">
    <cfRule type="notContainsBlanks" dxfId="6912" priority="7162">
      <formula>LEN(TRIM(G835))&gt;0</formula>
    </cfRule>
  </conditionalFormatting>
  <conditionalFormatting sqref="H835:K835">
    <cfRule type="notContainsBlanks" dxfId="6911" priority="7161">
      <formula>LEN(TRIM(H835))&gt;0</formula>
    </cfRule>
  </conditionalFormatting>
  <conditionalFormatting sqref="G835:K835">
    <cfRule type="notContainsBlanks" dxfId="6910" priority="7160">
      <formula>LEN(TRIM(G835))&gt;0</formula>
    </cfRule>
  </conditionalFormatting>
  <conditionalFormatting sqref="G835:K835">
    <cfRule type="notContainsBlanks" dxfId="6909" priority="7159">
      <formula>LEN(TRIM(G835))&gt;0</formula>
    </cfRule>
  </conditionalFormatting>
  <conditionalFormatting sqref="G835:K835">
    <cfRule type="notContainsBlanks" dxfId="6908" priority="7158">
      <formula>LEN(TRIM(G835))&gt;0</formula>
    </cfRule>
  </conditionalFormatting>
  <conditionalFormatting sqref="G835:K835">
    <cfRule type="notContainsBlanks" dxfId="6907" priority="7157">
      <formula>LEN(TRIM(G835))&gt;0</formula>
    </cfRule>
  </conditionalFormatting>
  <conditionalFormatting sqref="G835:K835">
    <cfRule type="notContainsBlanks" dxfId="6906" priority="7156">
      <formula>LEN(TRIM(G835))&gt;0</formula>
    </cfRule>
  </conditionalFormatting>
  <conditionalFormatting sqref="G835:K835">
    <cfRule type="notContainsBlanks" dxfId="6905" priority="7155">
      <formula>LEN(TRIM(G835))&gt;0</formula>
    </cfRule>
  </conditionalFormatting>
  <conditionalFormatting sqref="G835:K835">
    <cfRule type="notContainsBlanks" dxfId="6904" priority="7154">
      <formula>LEN(TRIM(G835))&gt;0</formula>
    </cfRule>
  </conditionalFormatting>
  <conditionalFormatting sqref="G835:K835">
    <cfRule type="notContainsBlanks" dxfId="6903" priority="7153">
      <formula>LEN(TRIM(G835))&gt;0</formula>
    </cfRule>
  </conditionalFormatting>
  <conditionalFormatting sqref="G835:K835">
    <cfRule type="notContainsBlanks" dxfId="6902" priority="7152">
      <formula>LEN(TRIM(G835))&gt;0</formula>
    </cfRule>
  </conditionalFormatting>
  <conditionalFormatting sqref="G835:K835">
    <cfRule type="notContainsBlanks" dxfId="6901" priority="7150">
      <formula>LEN(TRIM(G835))&gt;0</formula>
    </cfRule>
    <cfRule type="notContainsBlanks" dxfId="6900" priority="7151">
      <formula>LEN(TRIM(G835))&gt;0</formula>
    </cfRule>
  </conditionalFormatting>
  <conditionalFormatting sqref="G835:K835">
    <cfRule type="notContainsBlanks" dxfId="6899" priority="7149">
      <formula>LEN(TRIM(G835))&gt;0</formula>
    </cfRule>
  </conditionalFormatting>
  <conditionalFormatting sqref="G835:K835">
    <cfRule type="notContainsBlanks" dxfId="6898" priority="7148">
      <formula>LEN(TRIM(G835))&gt;0</formula>
    </cfRule>
  </conditionalFormatting>
  <conditionalFormatting sqref="G835:K835">
    <cfRule type="notContainsBlanks" dxfId="6897" priority="7147">
      <formula>LEN(TRIM(G835))&gt;0</formula>
    </cfRule>
  </conditionalFormatting>
  <conditionalFormatting sqref="G835:K835">
    <cfRule type="notContainsBlanks" dxfId="6896" priority="7146">
      <formula>LEN(TRIM(G835))&gt;0</formula>
    </cfRule>
  </conditionalFormatting>
  <conditionalFormatting sqref="G835:K835">
    <cfRule type="notContainsBlanks" dxfId="6895" priority="7145">
      <formula>LEN(TRIM(G835))&gt;0</formula>
    </cfRule>
  </conditionalFormatting>
  <conditionalFormatting sqref="G835:K835">
    <cfRule type="notContainsBlanks" dxfId="6894" priority="7144">
      <formula>LEN(TRIM(G835))&gt;0</formula>
    </cfRule>
  </conditionalFormatting>
  <conditionalFormatting sqref="G835:K835">
    <cfRule type="notContainsBlanks" dxfId="6893" priority="7143">
      <formula>LEN(TRIM(G835))&gt;0</formula>
    </cfRule>
  </conditionalFormatting>
  <conditionalFormatting sqref="G835:K835">
    <cfRule type="notContainsBlanks" dxfId="6892" priority="7142">
      <formula>LEN(TRIM(G835))&gt;0</formula>
    </cfRule>
  </conditionalFormatting>
  <conditionalFormatting sqref="G835:K835">
    <cfRule type="notContainsBlanks" dxfId="6891" priority="7141">
      <formula>LEN(TRIM(G835))&gt;0</formula>
    </cfRule>
  </conditionalFormatting>
  <conditionalFormatting sqref="G835:K835">
    <cfRule type="notContainsBlanks" priority="7140">
      <formula>LEN(TRIM(G835))&gt;0</formula>
    </cfRule>
  </conditionalFormatting>
  <conditionalFormatting sqref="G835:K835">
    <cfRule type="notContainsBlanks" dxfId="6890" priority="7139">
      <formula>LEN(TRIM(G835))&gt;0</formula>
    </cfRule>
  </conditionalFormatting>
  <conditionalFormatting sqref="G835:K835">
    <cfRule type="notContainsBlanks" dxfId="6889" priority="7138">
      <formula>LEN(TRIM(G835))&gt;0</formula>
    </cfRule>
  </conditionalFormatting>
  <conditionalFormatting sqref="G835:K835">
    <cfRule type="notContainsBlanks" dxfId="6888" priority="7137">
      <formula>LEN(TRIM(G835))&gt;0</formula>
    </cfRule>
  </conditionalFormatting>
  <conditionalFormatting sqref="G835:K835">
    <cfRule type="notContainsBlanks" dxfId="6887" priority="7136">
      <formula>LEN(TRIM(G835))&gt;0</formula>
    </cfRule>
  </conditionalFormatting>
  <conditionalFormatting sqref="G835:K835">
    <cfRule type="notContainsBlanks" dxfId="6886" priority="7135">
      <formula>LEN(TRIM(G835))&gt;0</formula>
    </cfRule>
  </conditionalFormatting>
  <conditionalFormatting sqref="G848">
    <cfRule type="notContainsBlanks" dxfId="6885" priority="7134">
      <formula>LEN(TRIM(G848))&gt;0</formula>
    </cfRule>
  </conditionalFormatting>
  <conditionalFormatting sqref="H848:K848">
    <cfRule type="notContainsBlanks" dxfId="6884" priority="7133">
      <formula>LEN(TRIM(H848))&gt;0</formula>
    </cfRule>
  </conditionalFormatting>
  <conditionalFormatting sqref="G848:K848">
    <cfRule type="notContainsBlanks" dxfId="6883" priority="7132">
      <formula>LEN(TRIM(G848))&gt;0</formula>
    </cfRule>
  </conditionalFormatting>
  <conditionalFormatting sqref="G848:K848">
    <cfRule type="notContainsBlanks" dxfId="6882" priority="7131">
      <formula>LEN(TRIM(G848))&gt;0</formula>
    </cfRule>
  </conditionalFormatting>
  <conditionalFormatting sqref="G848:K848">
    <cfRule type="notContainsBlanks" dxfId="6881" priority="7130">
      <formula>LEN(TRIM(G848))&gt;0</formula>
    </cfRule>
  </conditionalFormatting>
  <conditionalFormatting sqref="G848:K848">
    <cfRule type="notContainsBlanks" dxfId="6880" priority="7129">
      <formula>LEN(TRIM(G848))&gt;0</formula>
    </cfRule>
  </conditionalFormatting>
  <conditionalFormatting sqref="G848:K848">
    <cfRule type="notContainsBlanks" dxfId="6879" priority="7128">
      <formula>LEN(TRIM(G848))&gt;0</formula>
    </cfRule>
  </conditionalFormatting>
  <conditionalFormatting sqref="G848:K848">
    <cfRule type="notContainsBlanks" dxfId="6878" priority="7127">
      <formula>LEN(TRIM(G848))&gt;0</formula>
    </cfRule>
  </conditionalFormatting>
  <conditionalFormatting sqref="G848:K848">
    <cfRule type="notContainsBlanks" dxfId="6877" priority="7126">
      <formula>LEN(TRIM(G848))&gt;0</formula>
    </cfRule>
  </conditionalFormatting>
  <conditionalFormatting sqref="G848:K848">
    <cfRule type="notContainsBlanks" dxfId="6876" priority="7125">
      <formula>LEN(TRIM(G848))&gt;0</formula>
    </cfRule>
  </conditionalFormatting>
  <conditionalFormatting sqref="G848:K848">
    <cfRule type="notContainsBlanks" dxfId="6875" priority="7124">
      <formula>LEN(TRIM(G848))&gt;0</formula>
    </cfRule>
  </conditionalFormatting>
  <conditionalFormatting sqref="G848:K848">
    <cfRule type="notContainsBlanks" dxfId="6874" priority="7122">
      <formula>LEN(TRIM(G848))&gt;0</formula>
    </cfRule>
    <cfRule type="notContainsBlanks" dxfId="6873" priority="7123">
      <formula>LEN(TRIM(G848))&gt;0</formula>
    </cfRule>
  </conditionalFormatting>
  <conditionalFormatting sqref="G848:K848">
    <cfRule type="notContainsBlanks" dxfId="6872" priority="7121">
      <formula>LEN(TRIM(G848))&gt;0</formula>
    </cfRule>
  </conditionalFormatting>
  <conditionalFormatting sqref="G848:K848">
    <cfRule type="notContainsBlanks" dxfId="6871" priority="7120">
      <formula>LEN(TRIM(G848))&gt;0</formula>
    </cfRule>
  </conditionalFormatting>
  <conditionalFormatting sqref="G848:K848">
    <cfRule type="notContainsBlanks" dxfId="6870" priority="7119">
      <formula>LEN(TRIM(G848))&gt;0</formula>
    </cfRule>
  </conditionalFormatting>
  <conditionalFormatting sqref="G848:K848">
    <cfRule type="notContainsBlanks" dxfId="6869" priority="7118">
      <formula>LEN(TRIM(G848))&gt;0</formula>
    </cfRule>
  </conditionalFormatting>
  <conditionalFormatting sqref="G848:K848">
    <cfRule type="notContainsBlanks" dxfId="6868" priority="7117">
      <formula>LEN(TRIM(G848))&gt;0</formula>
    </cfRule>
  </conditionalFormatting>
  <conditionalFormatting sqref="G848:K848">
    <cfRule type="notContainsBlanks" dxfId="6867" priority="7116">
      <formula>LEN(TRIM(G848))&gt;0</formula>
    </cfRule>
  </conditionalFormatting>
  <conditionalFormatting sqref="G848:K848">
    <cfRule type="notContainsBlanks" dxfId="6866" priority="7115">
      <formula>LEN(TRIM(G848))&gt;0</formula>
    </cfRule>
  </conditionalFormatting>
  <conditionalFormatting sqref="G848:K848">
    <cfRule type="notContainsBlanks" dxfId="6865" priority="7114">
      <formula>LEN(TRIM(G848))&gt;0</formula>
    </cfRule>
  </conditionalFormatting>
  <conditionalFormatting sqref="G848:K848">
    <cfRule type="notContainsBlanks" dxfId="6864" priority="7113">
      <formula>LEN(TRIM(G848))&gt;0</formula>
    </cfRule>
  </conditionalFormatting>
  <conditionalFormatting sqref="G848:K848">
    <cfRule type="notContainsBlanks" priority="7112">
      <formula>LEN(TRIM(G848))&gt;0</formula>
    </cfRule>
  </conditionalFormatting>
  <conditionalFormatting sqref="G848:K848">
    <cfRule type="notContainsBlanks" dxfId="6863" priority="7111">
      <formula>LEN(TRIM(G848))&gt;0</formula>
    </cfRule>
  </conditionalFormatting>
  <conditionalFormatting sqref="G848:K848">
    <cfRule type="notContainsBlanks" dxfId="6862" priority="7110">
      <formula>LEN(TRIM(G848))&gt;0</formula>
    </cfRule>
  </conditionalFormatting>
  <conditionalFormatting sqref="G848:K848">
    <cfRule type="notContainsBlanks" dxfId="6861" priority="7109">
      <formula>LEN(TRIM(G848))&gt;0</formula>
    </cfRule>
  </conditionalFormatting>
  <conditionalFormatting sqref="G848:K848">
    <cfRule type="notContainsBlanks" dxfId="6860" priority="7108">
      <formula>LEN(TRIM(G848))&gt;0</formula>
    </cfRule>
  </conditionalFormatting>
  <conditionalFormatting sqref="G848:K848">
    <cfRule type="notContainsBlanks" dxfId="6859" priority="7107">
      <formula>LEN(TRIM(G848))&gt;0</formula>
    </cfRule>
  </conditionalFormatting>
  <conditionalFormatting sqref="G861">
    <cfRule type="notContainsBlanks" dxfId="6858" priority="7106">
      <formula>LEN(TRIM(G861))&gt;0</formula>
    </cfRule>
  </conditionalFormatting>
  <conditionalFormatting sqref="H861:K861">
    <cfRule type="notContainsBlanks" dxfId="6857" priority="7105">
      <formula>LEN(TRIM(H861))&gt;0</formula>
    </cfRule>
  </conditionalFormatting>
  <conditionalFormatting sqref="G861:K861">
    <cfRule type="notContainsBlanks" dxfId="6856" priority="7104">
      <formula>LEN(TRIM(G861))&gt;0</formula>
    </cfRule>
  </conditionalFormatting>
  <conditionalFormatting sqref="G861:K861">
    <cfRule type="notContainsBlanks" dxfId="6855" priority="7103">
      <formula>LEN(TRIM(G861))&gt;0</formula>
    </cfRule>
  </conditionalFormatting>
  <conditionalFormatting sqref="G861:K861">
    <cfRule type="notContainsBlanks" dxfId="6854" priority="7102">
      <formula>LEN(TRIM(G861))&gt;0</formula>
    </cfRule>
  </conditionalFormatting>
  <conditionalFormatting sqref="G861:K861">
    <cfRule type="notContainsBlanks" dxfId="6853" priority="7101">
      <formula>LEN(TRIM(G861))&gt;0</formula>
    </cfRule>
  </conditionalFormatting>
  <conditionalFormatting sqref="G861:K861">
    <cfRule type="notContainsBlanks" dxfId="6852" priority="7100">
      <formula>LEN(TRIM(G861))&gt;0</formula>
    </cfRule>
  </conditionalFormatting>
  <conditionalFormatting sqref="G861:K861">
    <cfRule type="notContainsBlanks" dxfId="6851" priority="7099">
      <formula>LEN(TRIM(G861))&gt;0</formula>
    </cfRule>
  </conditionalFormatting>
  <conditionalFormatting sqref="G861:K861">
    <cfRule type="notContainsBlanks" dxfId="6850" priority="7098">
      <formula>LEN(TRIM(G861))&gt;0</formula>
    </cfRule>
  </conditionalFormatting>
  <conditionalFormatting sqref="G861:K861">
    <cfRule type="notContainsBlanks" dxfId="6849" priority="7097">
      <formula>LEN(TRIM(G861))&gt;0</formula>
    </cfRule>
  </conditionalFormatting>
  <conditionalFormatting sqref="G861:K861">
    <cfRule type="notContainsBlanks" dxfId="6848" priority="7096">
      <formula>LEN(TRIM(G861))&gt;0</formula>
    </cfRule>
  </conditionalFormatting>
  <conditionalFormatting sqref="G861:K861">
    <cfRule type="notContainsBlanks" dxfId="6847" priority="7094">
      <formula>LEN(TRIM(G861))&gt;0</formula>
    </cfRule>
    <cfRule type="notContainsBlanks" dxfId="6846" priority="7095">
      <formula>LEN(TRIM(G861))&gt;0</formula>
    </cfRule>
  </conditionalFormatting>
  <conditionalFormatting sqref="G861:K861">
    <cfRule type="notContainsBlanks" dxfId="6845" priority="7093">
      <formula>LEN(TRIM(G861))&gt;0</formula>
    </cfRule>
  </conditionalFormatting>
  <conditionalFormatting sqref="G861:K861">
    <cfRule type="notContainsBlanks" dxfId="6844" priority="7092">
      <formula>LEN(TRIM(G861))&gt;0</formula>
    </cfRule>
  </conditionalFormatting>
  <conditionalFormatting sqref="G861:K861">
    <cfRule type="notContainsBlanks" dxfId="6843" priority="7091">
      <formula>LEN(TRIM(G861))&gt;0</formula>
    </cfRule>
  </conditionalFormatting>
  <conditionalFormatting sqref="G861:K861">
    <cfRule type="notContainsBlanks" dxfId="6842" priority="7090">
      <formula>LEN(TRIM(G861))&gt;0</formula>
    </cfRule>
  </conditionalFormatting>
  <conditionalFormatting sqref="G861:K861">
    <cfRule type="notContainsBlanks" dxfId="6841" priority="7089">
      <formula>LEN(TRIM(G861))&gt;0</formula>
    </cfRule>
  </conditionalFormatting>
  <conditionalFormatting sqref="G861:K861">
    <cfRule type="notContainsBlanks" dxfId="6840" priority="7088">
      <formula>LEN(TRIM(G861))&gt;0</formula>
    </cfRule>
  </conditionalFormatting>
  <conditionalFormatting sqref="G861:K861">
    <cfRule type="notContainsBlanks" dxfId="6839" priority="7087">
      <formula>LEN(TRIM(G861))&gt;0</formula>
    </cfRule>
  </conditionalFormatting>
  <conditionalFormatting sqref="G861:K861">
    <cfRule type="notContainsBlanks" dxfId="6838" priority="7086">
      <formula>LEN(TRIM(G861))&gt;0</formula>
    </cfRule>
  </conditionalFormatting>
  <conditionalFormatting sqref="G861:K861">
    <cfRule type="notContainsBlanks" dxfId="6837" priority="7085">
      <formula>LEN(TRIM(G861))&gt;0</formula>
    </cfRule>
  </conditionalFormatting>
  <conditionalFormatting sqref="G861:K861">
    <cfRule type="notContainsBlanks" priority="7084">
      <formula>LEN(TRIM(G861))&gt;0</formula>
    </cfRule>
  </conditionalFormatting>
  <conditionalFormatting sqref="G861:K861">
    <cfRule type="notContainsBlanks" dxfId="6836" priority="7083">
      <formula>LEN(TRIM(G861))&gt;0</formula>
    </cfRule>
  </conditionalFormatting>
  <conditionalFormatting sqref="G861:K861">
    <cfRule type="notContainsBlanks" dxfId="6835" priority="7082">
      <formula>LEN(TRIM(G861))&gt;0</formula>
    </cfRule>
  </conditionalFormatting>
  <conditionalFormatting sqref="G861:K861">
    <cfRule type="notContainsBlanks" dxfId="6834" priority="7081">
      <formula>LEN(TRIM(G861))&gt;0</formula>
    </cfRule>
  </conditionalFormatting>
  <conditionalFormatting sqref="G861:K861">
    <cfRule type="notContainsBlanks" dxfId="6833" priority="7080">
      <formula>LEN(TRIM(G861))&gt;0</formula>
    </cfRule>
  </conditionalFormatting>
  <conditionalFormatting sqref="G861:K861">
    <cfRule type="notContainsBlanks" dxfId="6832" priority="7079">
      <formula>LEN(TRIM(G861))&gt;0</formula>
    </cfRule>
  </conditionalFormatting>
  <conditionalFormatting sqref="G874">
    <cfRule type="notContainsBlanks" dxfId="6831" priority="7078">
      <formula>LEN(TRIM(G874))&gt;0</formula>
    </cfRule>
  </conditionalFormatting>
  <conditionalFormatting sqref="H874:K874">
    <cfRule type="notContainsBlanks" dxfId="6830" priority="7077">
      <formula>LEN(TRIM(H874))&gt;0</formula>
    </cfRule>
  </conditionalFormatting>
  <conditionalFormatting sqref="G874:K874">
    <cfRule type="notContainsBlanks" dxfId="6829" priority="7076">
      <formula>LEN(TRIM(G874))&gt;0</formula>
    </cfRule>
  </conditionalFormatting>
  <conditionalFormatting sqref="G874:K874">
    <cfRule type="notContainsBlanks" dxfId="6828" priority="7075">
      <formula>LEN(TRIM(G874))&gt;0</formula>
    </cfRule>
  </conditionalFormatting>
  <conditionalFormatting sqref="G874:K874">
    <cfRule type="notContainsBlanks" dxfId="6827" priority="7074">
      <formula>LEN(TRIM(G874))&gt;0</formula>
    </cfRule>
  </conditionalFormatting>
  <conditionalFormatting sqref="G874:K874">
    <cfRule type="notContainsBlanks" dxfId="6826" priority="7073">
      <formula>LEN(TRIM(G874))&gt;0</formula>
    </cfRule>
  </conditionalFormatting>
  <conditionalFormatting sqref="G874:K874">
    <cfRule type="notContainsBlanks" dxfId="6825" priority="7072">
      <formula>LEN(TRIM(G874))&gt;0</formula>
    </cfRule>
  </conditionalFormatting>
  <conditionalFormatting sqref="G874:K874">
    <cfRule type="notContainsBlanks" dxfId="6824" priority="7071">
      <formula>LEN(TRIM(G874))&gt;0</formula>
    </cfRule>
  </conditionalFormatting>
  <conditionalFormatting sqref="G874:K874">
    <cfRule type="notContainsBlanks" dxfId="6823" priority="7070">
      <formula>LEN(TRIM(G874))&gt;0</formula>
    </cfRule>
  </conditionalFormatting>
  <conditionalFormatting sqref="G874:K874">
    <cfRule type="notContainsBlanks" dxfId="6822" priority="7069">
      <formula>LEN(TRIM(G874))&gt;0</formula>
    </cfRule>
  </conditionalFormatting>
  <conditionalFormatting sqref="G874:K874">
    <cfRule type="notContainsBlanks" dxfId="6821" priority="7068">
      <formula>LEN(TRIM(G874))&gt;0</formula>
    </cfRule>
  </conditionalFormatting>
  <conditionalFormatting sqref="G874:K874">
    <cfRule type="notContainsBlanks" dxfId="6820" priority="7066">
      <formula>LEN(TRIM(G874))&gt;0</formula>
    </cfRule>
    <cfRule type="notContainsBlanks" dxfId="6819" priority="7067">
      <formula>LEN(TRIM(G874))&gt;0</formula>
    </cfRule>
  </conditionalFormatting>
  <conditionalFormatting sqref="G874:K874">
    <cfRule type="notContainsBlanks" dxfId="6818" priority="7065">
      <formula>LEN(TRIM(G874))&gt;0</formula>
    </cfRule>
  </conditionalFormatting>
  <conditionalFormatting sqref="G874:K874">
    <cfRule type="notContainsBlanks" dxfId="6817" priority="7064">
      <formula>LEN(TRIM(G874))&gt;0</formula>
    </cfRule>
  </conditionalFormatting>
  <conditionalFormatting sqref="G874:K874">
    <cfRule type="notContainsBlanks" dxfId="6816" priority="7063">
      <formula>LEN(TRIM(G874))&gt;0</formula>
    </cfRule>
  </conditionalFormatting>
  <conditionalFormatting sqref="G874:K874">
    <cfRule type="notContainsBlanks" dxfId="6815" priority="7062">
      <formula>LEN(TRIM(G874))&gt;0</formula>
    </cfRule>
  </conditionalFormatting>
  <conditionalFormatting sqref="G874:K874">
    <cfRule type="notContainsBlanks" dxfId="6814" priority="7061">
      <formula>LEN(TRIM(G874))&gt;0</formula>
    </cfRule>
  </conditionalFormatting>
  <conditionalFormatting sqref="G874:K874">
    <cfRule type="notContainsBlanks" dxfId="6813" priority="7060">
      <formula>LEN(TRIM(G874))&gt;0</formula>
    </cfRule>
  </conditionalFormatting>
  <conditionalFormatting sqref="G874:K874">
    <cfRule type="notContainsBlanks" dxfId="6812" priority="7059">
      <formula>LEN(TRIM(G874))&gt;0</formula>
    </cfRule>
  </conditionalFormatting>
  <conditionalFormatting sqref="G874:K874">
    <cfRule type="notContainsBlanks" dxfId="6811" priority="7058">
      <formula>LEN(TRIM(G874))&gt;0</formula>
    </cfRule>
  </conditionalFormatting>
  <conditionalFormatting sqref="G874:K874">
    <cfRule type="notContainsBlanks" dxfId="6810" priority="7057">
      <formula>LEN(TRIM(G874))&gt;0</formula>
    </cfRule>
  </conditionalFormatting>
  <conditionalFormatting sqref="G874:K874">
    <cfRule type="notContainsBlanks" priority="7056">
      <formula>LEN(TRIM(G874))&gt;0</formula>
    </cfRule>
  </conditionalFormatting>
  <conditionalFormatting sqref="G874:K874">
    <cfRule type="notContainsBlanks" dxfId="6809" priority="7055">
      <formula>LEN(TRIM(G874))&gt;0</formula>
    </cfRule>
  </conditionalFormatting>
  <conditionalFormatting sqref="G874:K874">
    <cfRule type="notContainsBlanks" dxfId="6808" priority="7054">
      <formula>LEN(TRIM(G874))&gt;0</formula>
    </cfRule>
  </conditionalFormatting>
  <conditionalFormatting sqref="G874:K874">
    <cfRule type="notContainsBlanks" dxfId="6807" priority="7053">
      <formula>LEN(TRIM(G874))&gt;0</formula>
    </cfRule>
  </conditionalFormatting>
  <conditionalFormatting sqref="G874:K874">
    <cfRule type="notContainsBlanks" dxfId="6806" priority="7052">
      <formula>LEN(TRIM(G874))&gt;0</formula>
    </cfRule>
  </conditionalFormatting>
  <conditionalFormatting sqref="G874:K874">
    <cfRule type="notContainsBlanks" dxfId="6805" priority="7051">
      <formula>LEN(TRIM(G874))&gt;0</formula>
    </cfRule>
  </conditionalFormatting>
  <conditionalFormatting sqref="G887">
    <cfRule type="notContainsBlanks" dxfId="6804" priority="7050">
      <formula>LEN(TRIM(G887))&gt;0</formula>
    </cfRule>
  </conditionalFormatting>
  <conditionalFormatting sqref="H887:K887">
    <cfRule type="notContainsBlanks" dxfId="6803" priority="7049">
      <formula>LEN(TRIM(H887))&gt;0</formula>
    </cfRule>
  </conditionalFormatting>
  <conditionalFormatting sqref="G887:K887">
    <cfRule type="notContainsBlanks" dxfId="6802" priority="7048">
      <formula>LEN(TRIM(G887))&gt;0</formula>
    </cfRule>
  </conditionalFormatting>
  <conditionalFormatting sqref="G887:K887">
    <cfRule type="notContainsBlanks" dxfId="6801" priority="7047">
      <formula>LEN(TRIM(G887))&gt;0</formula>
    </cfRule>
  </conditionalFormatting>
  <conditionalFormatting sqref="G887:K887">
    <cfRule type="notContainsBlanks" dxfId="6800" priority="7046">
      <formula>LEN(TRIM(G887))&gt;0</formula>
    </cfRule>
  </conditionalFormatting>
  <conditionalFormatting sqref="G887:K887">
    <cfRule type="notContainsBlanks" dxfId="6799" priority="7045">
      <formula>LEN(TRIM(G887))&gt;0</formula>
    </cfRule>
  </conditionalFormatting>
  <conditionalFormatting sqref="G887:K887">
    <cfRule type="notContainsBlanks" dxfId="6798" priority="7044">
      <formula>LEN(TRIM(G887))&gt;0</formula>
    </cfRule>
  </conditionalFormatting>
  <conditionalFormatting sqref="G887:K887">
    <cfRule type="notContainsBlanks" dxfId="6797" priority="7043">
      <formula>LEN(TRIM(G887))&gt;0</formula>
    </cfRule>
  </conditionalFormatting>
  <conditionalFormatting sqref="G887:K887">
    <cfRule type="notContainsBlanks" dxfId="6796" priority="7042">
      <formula>LEN(TRIM(G887))&gt;0</formula>
    </cfRule>
  </conditionalFormatting>
  <conditionalFormatting sqref="G887:K887">
    <cfRule type="notContainsBlanks" dxfId="6795" priority="7041">
      <formula>LEN(TRIM(G887))&gt;0</formula>
    </cfRule>
  </conditionalFormatting>
  <conditionalFormatting sqref="G887:K887">
    <cfRule type="notContainsBlanks" dxfId="6794" priority="7040">
      <formula>LEN(TRIM(G887))&gt;0</formula>
    </cfRule>
  </conditionalFormatting>
  <conditionalFormatting sqref="G887:K887">
    <cfRule type="notContainsBlanks" dxfId="6793" priority="7038">
      <formula>LEN(TRIM(G887))&gt;0</formula>
    </cfRule>
    <cfRule type="notContainsBlanks" dxfId="6792" priority="7039">
      <formula>LEN(TRIM(G887))&gt;0</formula>
    </cfRule>
  </conditionalFormatting>
  <conditionalFormatting sqref="G887:K887">
    <cfRule type="notContainsBlanks" dxfId="6791" priority="7037">
      <formula>LEN(TRIM(G887))&gt;0</formula>
    </cfRule>
  </conditionalFormatting>
  <conditionalFormatting sqref="G887:K887">
    <cfRule type="notContainsBlanks" dxfId="6790" priority="7036">
      <formula>LEN(TRIM(G887))&gt;0</formula>
    </cfRule>
  </conditionalFormatting>
  <conditionalFormatting sqref="G887:K887">
    <cfRule type="notContainsBlanks" dxfId="6789" priority="7035">
      <formula>LEN(TRIM(G887))&gt;0</formula>
    </cfRule>
  </conditionalFormatting>
  <conditionalFormatting sqref="G887:K887">
    <cfRule type="notContainsBlanks" dxfId="6788" priority="7034">
      <formula>LEN(TRIM(G887))&gt;0</formula>
    </cfRule>
  </conditionalFormatting>
  <conditionalFormatting sqref="G887:K887">
    <cfRule type="notContainsBlanks" dxfId="6787" priority="7033">
      <formula>LEN(TRIM(G887))&gt;0</formula>
    </cfRule>
  </conditionalFormatting>
  <conditionalFormatting sqref="G887:K887">
    <cfRule type="notContainsBlanks" dxfId="6786" priority="7032">
      <formula>LEN(TRIM(G887))&gt;0</formula>
    </cfRule>
  </conditionalFormatting>
  <conditionalFormatting sqref="G887:K887">
    <cfRule type="notContainsBlanks" dxfId="6785" priority="7031">
      <formula>LEN(TRIM(G887))&gt;0</formula>
    </cfRule>
  </conditionalFormatting>
  <conditionalFormatting sqref="G887:K887">
    <cfRule type="notContainsBlanks" dxfId="6784" priority="7030">
      <formula>LEN(TRIM(G887))&gt;0</formula>
    </cfRule>
  </conditionalFormatting>
  <conditionalFormatting sqref="G887:K887">
    <cfRule type="notContainsBlanks" dxfId="6783" priority="7029">
      <formula>LEN(TRIM(G887))&gt;0</formula>
    </cfRule>
  </conditionalFormatting>
  <conditionalFormatting sqref="G887:K887">
    <cfRule type="notContainsBlanks" priority="7028">
      <formula>LEN(TRIM(G887))&gt;0</formula>
    </cfRule>
  </conditionalFormatting>
  <conditionalFormatting sqref="G887:K887">
    <cfRule type="notContainsBlanks" dxfId="6782" priority="7027">
      <formula>LEN(TRIM(G887))&gt;0</formula>
    </cfRule>
  </conditionalFormatting>
  <conditionalFormatting sqref="G887:K887">
    <cfRule type="notContainsBlanks" dxfId="6781" priority="7026">
      <formula>LEN(TRIM(G887))&gt;0</formula>
    </cfRule>
  </conditionalFormatting>
  <conditionalFormatting sqref="G887:K887">
    <cfRule type="notContainsBlanks" dxfId="6780" priority="7025">
      <formula>LEN(TRIM(G887))&gt;0</formula>
    </cfRule>
  </conditionalFormatting>
  <conditionalFormatting sqref="G887:K887">
    <cfRule type="notContainsBlanks" dxfId="6779" priority="7024">
      <formula>LEN(TRIM(G887))&gt;0</formula>
    </cfRule>
  </conditionalFormatting>
  <conditionalFormatting sqref="G887:K887">
    <cfRule type="notContainsBlanks" dxfId="6778" priority="7023">
      <formula>LEN(TRIM(G887))&gt;0</formula>
    </cfRule>
  </conditionalFormatting>
  <conditionalFormatting sqref="G900">
    <cfRule type="notContainsBlanks" dxfId="6777" priority="7022">
      <formula>LEN(TRIM(G900))&gt;0</formula>
    </cfRule>
  </conditionalFormatting>
  <conditionalFormatting sqref="H900:K900">
    <cfRule type="notContainsBlanks" dxfId="6776" priority="7021">
      <formula>LEN(TRIM(H900))&gt;0</formula>
    </cfRule>
  </conditionalFormatting>
  <conditionalFormatting sqref="G900:K900">
    <cfRule type="notContainsBlanks" dxfId="6775" priority="7020">
      <formula>LEN(TRIM(G900))&gt;0</formula>
    </cfRule>
  </conditionalFormatting>
  <conditionalFormatting sqref="G900:K900">
    <cfRule type="notContainsBlanks" dxfId="6774" priority="7019">
      <formula>LEN(TRIM(G900))&gt;0</formula>
    </cfRule>
  </conditionalFormatting>
  <conditionalFormatting sqref="G900:K900">
    <cfRule type="notContainsBlanks" dxfId="6773" priority="7018">
      <formula>LEN(TRIM(G900))&gt;0</formula>
    </cfRule>
  </conditionalFormatting>
  <conditionalFormatting sqref="G900:K900">
    <cfRule type="notContainsBlanks" dxfId="6772" priority="7017">
      <formula>LEN(TRIM(G900))&gt;0</formula>
    </cfRule>
  </conditionalFormatting>
  <conditionalFormatting sqref="G900:K900">
    <cfRule type="notContainsBlanks" dxfId="6771" priority="7016">
      <formula>LEN(TRIM(G900))&gt;0</formula>
    </cfRule>
  </conditionalFormatting>
  <conditionalFormatting sqref="G900:K900">
    <cfRule type="notContainsBlanks" dxfId="6770" priority="7015">
      <formula>LEN(TRIM(G900))&gt;0</formula>
    </cfRule>
  </conditionalFormatting>
  <conditionalFormatting sqref="G900:K900">
    <cfRule type="notContainsBlanks" dxfId="6769" priority="7014">
      <formula>LEN(TRIM(G900))&gt;0</formula>
    </cfRule>
  </conditionalFormatting>
  <conditionalFormatting sqref="G900:K900">
    <cfRule type="notContainsBlanks" dxfId="6768" priority="7013">
      <formula>LEN(TRIM(G900))&gt;0</formula>
    </cfRule>
  </conditionalFormatting>
  <conditionalFormatting sqref="G900:K900">
    <cfRule type="notContainsBlanks" dxfId="6767" priority="7012">
      <formula>LEN(TRIM(G900))&gt;0</formula>
    </cfRule>
  </conditionalFormatting>
  <conditionalFormatting sqref="G900:K900">
    <cfRule type="notContainsBlanks" dxfId="6766" priority="7010">
      <formula>LEN(TRIM(G900))&gt;0</formula>
    </cfRule>
    <cfRule type="notContainsBlanks" dxfId="6765" priority="7011">
      <formula>LEN(TRIM(G900))&gt;0</formula>
    </cfRule>
  </conditionalFormatting>
  <conditionalFormatting sqref="G900:K900">
    <cfRule type="notContainsBlanks" dxfId="6764" priority="7009">
      <formula>LEN(TRIM(G900))&gt;0</formula>
    </cfRule>
  </conditionalFormatting>
  <conditionalFormatting sqref="G900:K900">
    <cfRule type="notContainsBlanks" dxfId="6763" priority="7008">
      <formula>LEN(TRIM(G900))&gt;0</formula>
    </cfRule>
  </conditionalFormatting>
  <conditionalFormatting sqref="G900:K900">
    <cfRule type="notContainsBlanks" dxfId="6762" priority="7007">
      <formula>LEN(TRIM(G900))&gt;0</formula>
    </cfRule>
  </conditionalFormatting>
  <conditionalFormatting sqref="G900:K900">
    <cfRule type="notContainsBlanks" dxfId="6761" priority="7006">
      <formula>LEN(TRIM(G900))&gt;0</formula>
    </cfRule>
  </conditionalFormatting>
  <conditionalFormatting sqref="G900:K900">
    <cfRule type="notContainsBlanks" dxfId="6760" priority="7005">
      <formula>LEN(TRIM(G900))&gt;0</formula>
    </cfRule>
  </conditionalFormatting>
  <conditionalFormatting sqref="G900:K900">
    <cfRule type="notContainsBlanks" dxfId="6759" priority="7004">
      <formula>LEN(TRIM(G900))&gt;0</formula>
    </cfRule>
  </conditionalFormatting>
  <conditionalFormatting sqref="G900:K900">
    <cfRule type="notContainsBlanks" dxfId="6758" priority="7003">
      <formula>LEN(TRIM(G900))&gt;0</formula>
    </cfRule>
  </conditionalFormatting>
  <conditionalFormatting sqref="G900:K900">
    <cfRule type="notContainsBlanks" dxfId="6757" priority="7002">
      <formula>LEN(TRIM(G900))&gt;0</formula>
    </cfRule>
  </conditionalFormatting>
  <conditionalFormatting sqref="G900:K900">
    <cfRule type="notContainsBlanks" dxfId="6756" priority="7001">
      <formula>LEN(TRIM(G900))&gt;0</formula>
    </cfRule>
  </conditionalFormatting>
  <conditionalFormatting sqref="G900:K900">
    <cfRule type="notContainsBlanks" priority="7000">
      <formula>LEN(TRIM(G900))&gt;0</formula>
    </cfRule>
  </conditionalFormatting>
  <conditionalFormatting sqref="G900:K900">
    <cfRule type="notContainsBlanks" dxfId="6755" priority="6999">
      <formula>LEN(TRIM(G900))&gt;0</formula>
    </cfRule>
  </conditionalFormatting>
  <conditionalFormatting sqref="G900:K900">
    <cfRule type="notContainsBlanks" dxfId="6754" priority="6998">
      <formula>LEN(TRIM(G900))&gt;0</formula>
    </cfRule>
  </conditionalFormatting>
  <conditionalFormatting sqref="G900:K900">
    <cfRule type="notContainsBlanks" dxfId="6753" priority="6997">
      <formula>LEN(TRIM(G900))&gt;0</formula>
    </cfRule>
  </conditionalFormatting>
  <conditionalFormatting sqref="G900:K900">
    <cfRule type="notContainsBlanks" dxfId="6752" priority="6996">
      <formula>LEN(TRIM(G900))&gt;0</formula>
    </cfRule>
  </conditionalFormatting>
  <conditionalFormatting sqref="G900:K900">
    <cfRule type="notContainsBlanks" dxfId="6751" priority="6995">
      <formula>LEN(TRIM(G900))&gt;0</formula>
    </cfRule>
  </conditionalFormatting>
  <conditionalFormatting sqref="G913">
    <cfRule type="notContainsBlanks" dxfId="6750" priority="6994">
      <formula>LEN(TRIM(G913))&gt;0</formula>
    </cfRule>
  </conditionalFormatting>
  <conditionalFormatting sqref="H913:K913">
    <cfRule type="notContainsBlanks" dxfId="6749" priority="6993">
      <formula>LEN(TRIM(H913))&gt;0</formula>
    </cfRule>
  </conditionalFormatting>
  <conditionalFormatting sqref="G913:K913">
    <cfRule type="notContainsBlanks" dxfId="6748" priority="6992">
      <formula>LEN(TRIM(G913))&gt;0</formula>
    </cfRule>
  </conditionalFormatting>
  <conditionalFormatting sqref="G913:K913">
    <cfRule type="notContainsBlanks" dxfId="6747" priority="6991">
      <formula>LEN(TRIM(G913))&gt;0</formula>
    </cfRule>
  </conditionalFormatting>
  <conditionalFormatting sqref="G913:K913">
    <cfRule type="notContainsBlanks" dxfId="6746" priority="6990">
      <formula>LEN(TRIM(G913))&gt;0</formula>
    </cfRule>
  </conditionalFormatting>
  <conditionalFormatting sqref="G913:K913">
    <cfRule type="notContainsBlanks" dxfId="6745" priority="6989">
      <formula>LEN(TRIM(G913))&gt;0</formula>
    </cfRule>
  </conditionalFormatting>
  <conditionalFormatting sqref="G913:K913">
    <cfRule type="notContainsBlanks" dxfId="6744" priority="6988">
      <formula>LEN(TRIM(G913))&gt;0</formula>
    </cfRule>
  </conditionalFormatting>
  <conditionalFormatting sqref="G913:K913">
    <cfRule type="notContainsBlanks" dxfId="6743" priority="6987">
      <formula>LEN(TRIM(G913))&gt;0</formula>
    </cfRule>
  </conditionalFormatting>
  <conditionalFormatting sqref="G913:K913">
    <cfRule type="notContainsBlanks" dxfId="6742" priority="6986">
      <formula>LEN(TRIM(G913))&gt;0</formula>
    </cfRule>
  </conditionalFormatting>
  <conditionalFormatting sqref="G913:K913">
    <cfRule type="notContainsBlanks" dxfId="6741" priority="6985">
      <formula>LEN(TRIM(G913))&gt;0</formula>
    </cfRule>
  </conditionalFormatting>
  <conditionalFormatting sqref="G913:K913">
    <cfRule type="notContainsBlanks" dxfId="6740" priority="6984">
      <formula>LEN(TRIM(G913))&gt;0</formula>
    </cfRule>
  </conditionalFormatting>
  <conditionalFormatting sqref="G913:K913">
    <cfRule type="notContainsBlanks" dxfId="6739" priority="6982">
      <formula>LEN(TRIM(G913))&gt;0</formula>
    </cfRule>
    <cfRule type="notContainsBlanks" dxfId="6738" priority="6983">
      <formula>LEN(TRIM(G913))&gt;0</formula>
    </cfRule>
  </conditionalFormatting>
  <conditionalFormatting sqref="G913:K913">
    <cfRule type="notContainsBlanks" dxfId="6737" priority="6981">
      <formula>LEN(TRIM(G913))&gt;0</formula>
    </cfRule>
  </conditionalFormatting>
  <conditionalFormatting sqref="G913:K913">
    <cfRule type="notContainsBlanks" dxfId="6736" priority="6980">
      <formula>LEN(TRIM(G913))&gt;0</formula>
    </cfRule>
  </conditionalFormatting>
  <conditionalFormatting sqref="G913:K913">
    <cfRule type="notContainsBlanks" dxfId="6735" priority="6979">
      <formula>LEN(TRIM(G913))&gt;0</formula>
    </cfRule>
  </conditionalFormatting>
  <conditionalFormatting sqref="G913:K913">
    <cfRule type="notContainsBlanks" dxfId="6734" priority="6978">
      <formula>LEN(TRIM(G913))&gt;0</formula>
    </cfRule>
  </conditionalFormatting>
  <conditionalFormatting sqref="G913:K913">
    <cfRule type="notContainsBlanks" dxfId="6733" priority="6977">
      <formula>LEN(TRIM(G913))&gt;0</formula>
    </cfRule>
  </conditionalFormatting>
  <conditionalFormatting sqref="G913:K913">
    <cfRule type="notContainsBlanks" dxfId="6732" priority="6976">
      <formula>LEN(TRIM(G913))&gt;0</formula>
    </cfRule>
  </conditionalFormatting>
  <conditionalFormatting sqref="G913:K913">
    <cfRule type="notContainsBlanks" dxfId="6731" priority="6975">
      <formula>LEN(TRIM(G913))&gt;0</formula>
    </cfRule>
  </conditionalFormatting>
  <conditionalFormatting sqref="G913:K913">
    <cfRule type="notContainsBlanks" dxfId="6730" priority="6974">
      <formula>LEN(TRIM(G913))&gt;0</formula>
    </cfRule>
  </conditionalFormatting>
  <conditionalFormatting sqref="G913:K913">
    <cfRule type="notContainsBlanks" dxfId="6729" priority="6973">
      <formula>LEN(TRIM(G913))&gt;0</formula>
    </cfRule>
  </conditionalFormatting>
  <conditionalFormatting sqref="G913:K913">
    <cfRule type="notContainsBlanks" priority="6972">
      <formula>LEN(TRIM(G913))&gt;0</formula>
    </cfRule>
  </conditionalFormatting>
  <conditionalFormatting sqref="G913:K913">
    <cfRule type="notContainsBlanks" dxfId="6728" priority="6971">
      <formula>LEN(TRIM(G913))&gt;0</formula>
    </cfRule>
  </conditionalFormatting>
  <conditionalFormatting sqref="G913:K913">
    <cfRule type="notContainsBlanks" dxfId="6727" priority="6970">
      <formula>LEN(TRIM(G913))&gt;0</formula>
    </cfRule>
  </conditionalFormatting>
  <conditionalFormatting sqref="G913:K913">
    <cfRule type="notContainsBlanks" dxfId="6726" priority="6969">
      <formula>LEN(TRIM(G913))&gt;0</formula>
    </cfRule>
  </conditionalFormatting>
  <conditionalFormatting sqref="G913:K913">
    <cfRule type="notContainsBlanks" dxfId="6725" priority="6968">
      <formula>LEN(TRIM(G913))&gt;0</formula>
    </cfRule>
  </conditionalFormatting>
  <conditionalFormatting sqref="G913:K913">
    <cfRule type="notContainsBlanks" dxfId="6724" priority="6967">
      <formula>LEN(TRIM(G913))&gt;0</formula>
    </cfRule>
  </conditionalFormatting>
  <conditionalFormatting sqref="G926">
    <cfRule type="notContainsBlanks" dxfId="6723" priority="6966">
      <formula>LEN(TRIM(G926))&gt;0</formula>
    </cfRule>
  </conditionalFormatting>
  <conditionalFormatting sqref="H926:K926">
    <cfRule type="notContainsBlanks" dxfId="6722" priority="6965">
      <formula>LEN(TRIM(H926))&gt;0</formula>
    </cfRule>
  </conditionalFormatting>
  <conditionalFormatting sqref="G926:K926">
    <cfRule type="notContainsBlanks" dxfId="6721" priority="6964">
      <formula>LEN(TRIM(G926))&gt;0</formula>
    </cfRule>
  </conditionalFormatting>
  <conditionalFormatting sqref="G926:K926">
    <cfRule type="notContainsBlanks" dxfId="6720" priority="6963">
      <formula>LEN(TRIM(G926))&gt;0</formula>
    </cfRule>
  </conditionalFormatting>
  <conditionalFormatting sqref="G926:K926">
    <cfRule type="notContainsBlanks" dxfId="6719" priority="6962">
      <formula>LEN(TRIM(G926))&gt;0</formula>
    </cfRule>
  </conditionalFormatting>
  <conditionalFormatting sqref="G926:K926">
    <cfRule type="notContainsBlanks" dxfId="6718" priority="6961">
      <formula>LEN(TRIM(G926))&gt;0</formula>
    </cfRule>
  </conditionalFormatting>
  <conditionalFormatting sqref="G926:K926">
    <cfRule type="notContainsBlanks" dxfId="6717" priority="6960">
      <formula>LEN(TRIM(G926))&gt;0</formula>
    </cfRule>
  </conditionalFormatting>
  <conditionalFormatting sqref="G926:K926">
    <cfRule type="notContainsBlanks" dxfId="6716" priority="6959">
      <formula>LEN(TRIM(G926))&gt;0</formula>
    </cfRule>
  </conditionalFormatting>
  <conditionalFormatting sqref="G926:K926">
    <cfRule type="notContainsBlanks" dxfId="6715" priority="6958">
      <formula>LEN(TRIM(G926))&gt;0</formula>
    </cfRule>
  </conditionalFormatting>
  <conditionalFormatting sqref="G926:K926">
    <cfRule type="notContainsBlanks" dxfId="6714" priority="6957">
      <formula>LEN(TRIM(G926))&gt;0</formula>
    </cfRule>
  </conditionalFormatting>
  <conditionalFormatting sqref="G926:K926">
    <cfRule type="notContainsBlanks" dxfId="6713" priority="6956">
      <formula>LEN(TRIM(G926))&gt;0</formula>
    </cfRule>
  </conditionalFormatting>
  <conditionalFormatting sqref="G926:K926">
    <cfRule type="notContainsBlanks" dxfId="6712" priority="6954">
      <formula>LEN(TRIM(G926))&gt;0</formula>
    </cfRule>
    <cfRule type="notContainsBlanks" dxfId="6711" priority="6955">
      <formula>LEN(TRIM(G926))&gt;0</formula>
    </cfRule>
  </conditionalFormatting>
  <conditionalFormatting sqref="G926:K926">
    <cfRule type="notContainsBlanks" dxfId="6710" priority="6953">
      <formula>LEN(TRIM(G926))&gt;0</formula>
    </cfRule>
  </conditionalFormatting>
  <conditionalFormatting sqref="G926:K926">
    <cfRule type="notContainsBlanks" dxfId="6709" priority="6952">
      <formula>LEN(TRIM(G926))&gt;0</formula>
    </cfRule>
  </conditionalFormatting>
  <conditionalFormatting sqref="G926:K926">
    <cfRule type="notContainsBlanks" dxfId="6708" priority="6951">
      <formula>LEN(TRIM(G926))&gt;0</formula>
    </cfRule>
  </conditionalFormatting>
  <conditionalFormatting sqref="G926:K926">
    <cfRule type="notContainsBlanks" dxfId="6707" priority="6950">
      <formula>LEN(TRIM(G926))&gt;0</formula>
    </cfRule>
  </conditionalFormatting>
  <conditionalFormatting sqref="G926:K926">
    <cfRule type="notContainsBlanks" dxfId="6706" priority="6949">
      <formula>LEN(TRIM(G926))&gt;0</formula>
    </cfRule>
  </conditionalFormatting>
  <conditionalFormatting sqref="G926:K926">
    <cfRule type="notContainsBlanks" dxfId="6705" priority="6948">
      <formula>LEN(TRIM(G926))&gt;0</formula>
    </cfRule>
  </conditionalFormatting>
  <conditionalFormatting sqref="G926:K926">
    <cfRule type="notContainsBlanks" dxfId="6704" priority="6947">
      <formula>LEN(TRIM(G926))&gt;0</formula>
    </cfRule>
  </conditionalFormatting>
  <conditionalFormatting sqref="G926:K926">
    <cfRule type="notContainsBlanks" dxfId="6703" priority="6946">
      <formula>LEN(TRIM(G926))&gt;0</formula>
    </cfRule>
  </conditionalFormatting>
  <conditionalFormatting sqref="G926:K926">
    <cfRule type="notContainsBlanks" dxfId="6702" priority="6945">
      <formula>LEN(TRIM(G926))&gt;0</formula>
    </cfRule>
  </conditionalFormatting>
  <conditionalFormatting sqref="G926:K926">
    <cfRule type="notContainsBlanks" priority="6944">
      <formula>LEN(TRIM(G926))&gt;0</formula>
    </cfRule>
  </conditionalFormatting>
  <conditionalFormatting sqref="G926:K926">
    <cfRule type="notContainsBlanks" dxfId="6701" priority="6943">
      <formula>LEN(TRIM(G926))&gt;0</formula>
    </cfRule>
  </conditionalFormatting>
  <conditionalFormatting sqref="G926:K926">
    <cfRule type="notContainsBlanks" dxfId="6700" priority="6942">
      <formula>LEN(TRIM(G926))&gt;0</formula>
    </cfRule>
  </conditionalFormatting>
  <conditionalFormatting sqref="G926:K926">
    <cfRule type="notContainsBlanks" dxfId="6699" priority="6941">
      <formula>LEN(TRIM(G926))&gt;0</formula>
    </cfRule>
  </conditionalFormatting>
  <conditionalFormatting sqref="G926:K926">
    <cfRule type="notContainsBlanks" dxfId="6698" priority="6940">
      <formula>LEN(TRIM(G926))&gt;0</formula>
    </cfRule>
  </conditionalFormatting>
  <conditionalFormatting sqref="G926:K926">
    <cfRule type="notContainsBlanks" dxfId="6697" priority="6939">
      <formula>LEN(TRIM(G926))&gt;0</formula>
    </cfRule>
  </conditionalFormatting>
  <conditionalFormatting sqref="G939">
    <cfRule type="notContainsBlanks" dxfId="6696" priority="6938">
      <formula>LEN(TRIM(G939))&gt;0</formula>
    </cfRule>
  </conditionalFormatting>
  <conditionalFormatting sqref="H939:K939">
    <cfRule type="notContainsBlanks" dxfId="6695" priority="6937">
      <formula>LEN(TRIM(H939))&gt;0</formula>
    </cfRule>
  </conditionalFormatting>
  <conditionalFormatting sqref="G939:K939">
    <cfRule type="notContainsBlanks" dxfId="6694" priority="6936">
      <formula>LEN(TRIM(G939))&gt;0</formula>
    </cfRule>
  </conditionalFormatting>
  <conditionalFormatting sqref="G939:K939">
    <cfRule type="notContainsBlanks" dxfId="6693" priority="6935">
      <formula>LEN(TRIM(G939))&gt;0</formula>
    </cfRule>
  </conditionalFormatting>
  <conditionalFormatting sqref="G939:K939">
    <cfRule type="notContainsBlanks" dxfId="6692" priority="6934">
      <formula>LEN(TRIM(G939))&gt;0</formula>
    </cfRule>
  </conditionalFormatting>
  <conditionalFormatting sqref="G939:K939">
    <cfRule type="notContainsBlanks" dxfId="6691" priority="6933">
      <formula>LEN(TRIM(G939))&gt;0</formula>
    </cfRule>
  </conditionalFormatting>
  <conditionalFormatting sqref="G939:K939">
    <cfRule type="notContainsBlanks" dxfId="6690" priority="6932">
      <formula>LEN(TRIM(G939))&gt;0</formula>
    </cfRule>
  </conditionalFormatting>
  <conditionalFormatting sqref="G939:K939">
    <cfRule type="notContainsBlanks" dxfId="6689" priority="6931">
      <formula>LEN(TRIM(G939))&gt;0</formula>
    </cfRule>
  </conditionalFormatting>
  <conditionalFormatting sqref="G939:K939">
    <cfRule type="notContainsBlanks" dxfId="6688" priority="6930">
      <formula>LEN(TRIM(G939))&gt;0</formula>
    </cfRule>
  </conditionalFormatting>
  <conditionalFormatting sqref="G939:K939">
    <cfRule type="notContainsBlanks" dxfId="6687" priority="6929">
      <formula>LEN(TRIM(G939))&gt;0</formula>
    </cfRule>
  </conditionalFormatting>
  <conditionalFormatting sqref="G939:K939">
    <cfRule type="notContainsBlanks" dxfId="6686" priority="6928">
      <formula>LEN(TRIM(G939))&gt;0</formula>
    </cfRule>
  </conditionalFormatting>
  <conditionalFormatting sqref="G939:K939">
    <cfRule type="notContainsBlanks" dxfId="6685" priority="6926">
      <formula>LEN(TRIM(G939))&gt;0</formula>
    </cfRule>
    <cfRule type="notContainsBlanks" dxfId="6684" priority="6927">
      <formula>LEN(TRIM(G939))&gt;0</formula>
    </cfRule>
  </conditionalFormatting>
  <conditionalFormatting sqref="G939:K939">
    <cfRule type="notContainsBlanks" dxfId="6683" priority="6925">
      <formula>LEN(TRIM(G939))&gt;0</formula>
    </cfRule>
  </conditionalFormatting>
  <conditionalFormatting sqref="G939:K939">
    <cfRule type="notContainsBlanks" dxfId="6682" priority="6924">
      <formula>LEN(TRIM(G939))&gt;0</formula>
    </cfRule>
  </conditionalFormatting>
  <conditionalFormatting sqref="G939:K939">
    <cfRule type="notContainsBlanks" dxfId="6681" priority="6923">
      <formula>LEN(TRIM(G939))&gt;0</formula>
    </cfRule>
  </conditionalFormatting>
  <conditionalFormatting sqref="G939:K939">
    <cfRule type="notContainsBlanks" dxfId="6680" priority="6922">
      <formula>LEN(TRIM(G939))&gt;0</formula>
    </cfRule>
  </conditionalFormatting>
  <conditionalFormatting sqref="G939:K939">
    <cfRule type="notContainsBlanks" dxfId="6679" priority="6921">
      <formula>LEN(TRIM(G939))&gt;0</formula>
    </cfRule>
  </conditionalFormatting>
  <conditionalFormatting sqref="G939:K939">
    <cfRule type="notContainsBlanks" dxfId="6678" priority="6920">
      <formula>LEN(TRIM(G939))&gt;0</formula>
    </cfRule>
  </conditionalFormatting>
  <conditionalFormatting sqref="G939:K939">
    <cfRule type="notContainsBlanks" dxfId="6677" priority="6919">
      <formula>LEN(TRIM(G939))&gt;0</formula>
    </cfRule>
  </conditionalFormatting>
  <conditionalFormatting sqref="G939:K939">
    <cfRule type="notContainsBlanks" dxfId="6676" priority="6918">
      <formula>LEN(TRIM(G939))&gt;0</formula>
    </cfRule>
  </conditionalFormatting>
  <conditionalFormatting sqref="G939:K939">
    <cfRule type="notContainsBlanks" dxfId="6675" priority="6917">
      <formula>LEN(TRIM(G939))&gt;0</formula>
    </cfRule>
  </conditionalFormatting>
  <conditionalFormatting sqref="G939:K939">
    <cfRule type="notContainsBlanks" priority="6916">
      <formula>LEN(TRIM(G939))&gt;0</formula>
    </cfRule>
  </conditionalFormatting>
  <conditionalFormatting sqref="G939:K939">
    <cfRule type="notContainsBlanks" dxfId="6674" priority="6915">
      <formula>LEN(TRIM(G939))&gt;0</formula>
    </cfRule>
  </conditionalFormatting>
  <conditionalFormatting sqref="G939:K939">
    <cfRule type="notContainsBlanks" dxfId="6673" priority="6914">
      <formula>LEN(TRIM(G939))&gt;0</formula>
    </cfRule>
  </conditionalFormatting>
  <conditionalFormatting sqref="G939:K939">
    <cfRule type="notContainsBlanks" dxfId="6672" priority="6913">
      <formula>LEN(TRIM(G939))&gt;0</formula>
    </cfRule>
  </conditionalFormatting>
  <conditionalFormatting sqref="G939:K939">
    <cfRule type="notContainsBlanks" dxfId="6671" priority="6912">
      <formula>LEN(TRIM(G939))&gt;0</formula>
    </cfRule>
  </conditionalFormatting>
  <conditionalFormatting sqref="G939:K939">
    <cfRule type="notContainsBlanks" dxfId="6670" priority="6911">
      <formula>LEN(TRIM(G939))&gt;0</formula>
    </cfRule>
  </conditionalFormatting>
  <conditionalFormatting sqref="G952">
    <cfRule type="notContainsBlanks" dxfId="6669" priority="6910">
      <formula>LEN(TRIM(G952))&gt;0</formula>
    </cfRule>
  </conditionalFormatting>
  <conditionalFormatting sqref="H952:K952">
    <cfRule type="notContainsBlanks" dxfId="6668" priority="6909">
      <formula>LEN(TRIM(H952))&gt;0</formula>
    </cfRule>
  </conditionalFormatting>
  <conditionalFormatting sqref="G952:K952">
    <cfRule type="notContainsBlanks" dxfId="6667" priority="6908">
      <formula>LEN(TRIM(G952))&gt;0</formula>
    </cfRule>
  </conditionalFormatting>
  <conditionalFormatting sqref="G952:K952">
    <cfRule type="notContainsBlanks" dxfId="6666" priority="6907">
      <formula>LEN(TRIM(G952))&gt;0</formula>
    </cfRule>
  </conditionalFormatting>
  <conditionalFormatting sqref="G952:K952">
    <cfRule type="notContainsBlanks" dxfId="6665" priority="6906">
      <formula>LEN(TRIM(G952))&gt;0</formula>
    </cfRule>
  </conditionalFormatting>
  <conditionalFormatting sqref="G952:K952">
    <cfRule type="notContainsBlanks" dxfId="6664" priority="6905">
      <formula>LEN(TRIM(G952))&gt;0</formula>
    </cfRule>
  </conditionalFormatting>
  <conditionalFormatting sqref="G952:K952">
    <cfRule type="notContainsBlanks" dxfId="6663" priority="6904">
      <formula>LEN(TRIM(G952))&gt;0</formula>
    </cfRule>
  </conditionalFormatting>
  <conditionalFormatting sqref="G952:K952">
    <cfRule type="notContainsBlanks" dxfId="6662" priority="6903">
      <formula>LEN(TRIM(G952))&gt;0</formula>
    </cfRule>
  </conditionalFormatting>
  <conditionalFormatting sqref="G952:K952">
    <cfRule type="notContainsBlanks" dxfId="6661" priority="6902">
      <formula>LEN(TRIM(G952))&gt;0</formula>
    </cfRule>
  </conditionalFormatting>
  <conditionalFormatting sqref="G952:K952">
    <cfRule type="notContainsBlanks" dxfId="6660" priority="6901">
      <formula>LEN(TRIM(G952))&gt;0</formula>
    </cfRule>
  </conditionalFormatting>
  <conditionalFormatting sqref="G952:K952">
    <cfRule type="notContainsBlanks" dxfId="6659" priority="6900">
      <formula>LEN(TRIM(G952))&gt;0</formula>
    </cfRule>
  </conditionalFormatting>
  <conditionalFormatting sqref="G952:K952">
    <cfRule type="notContainsBlanks" dxfId="6658" priority="6898">
      <formula>LEN(TRIM(G952))&gt;0</formula>
    </cfRule>
    <cfRule type="notContainsBlanks" dxfId="6657" priority="6899">
      <formula>LEN(TRIM(G952))&gt;0</formula>
    </cfRule>
  </conditionalFormatting>
  <conditionalFormatting sqref="G952:K952">
    <cfRule type="notContainsBlanks" dxfId="6656" priority="6897">
      <formula>LEN(TRIM(G952))&gt;0</formula>
    </cfRule>
  </conditionalFormatting>
  <conditionalFormatting sqref="G952:K952">
    <cfRule type="notContainsBlanks" dxfId="6655" priority="6896">
      <formula>LEN(TRIM(G952))&gt;0</formula>
    </cfRule>
  </conditionalFormatting>
  <conditionalFormatting sqref="G952:K952">
    <cfRule type="notContainsBlanks" dxfId="6654" priority="6895">
      <formula>LEN(TRIM(G952))&gt;0</formula>
    </cfRule>
  </conditionalFormatting>
  <conditionalFormatting sqref="G952:K952">
    <cfRule type="notContainsBlanks" dxfId="6653" priority="6894">
      <formula>LEN(TRIM(G952))&gt;0</formula>
    </cfRule>
  </conditionalFormatting>
  <conditionalFormatting sqref="G952:K952">
    <cfRule type="notContainsBlanks" dxfId="6652" priority="6893">
      <formula>LEN(TRIM(G952))&gt;0</formula>
    </cfRule>
  </conditionalFormatting>
  <conditionalFormatting sqref="G952:K952">
    <cfRule type="notContainsBlanks" dxfId="6651" priority="6892">
      <formula>LEN(TRIM(G952))&gt;0</formula>
    </cfRule>
  </conditionalFormatting>
  <conditionalFormatting sqref="G952:K952">
    <cfRule type="notContainsBlanks" dxfId="6650" priority="6891">
      <formula>LEN(TRIM(G952))&gt;0</formula>
    </cfRule>
  </conditionalFormatting>
  <conditionalFormatting sqref="G952:K952">
    <cfRule type="notContainsBlanks" dxfId="6649" priority="6890">
      <formula>LEN(TRIM(G952))&gt;0</formula>
    </cfRule>
  </conditionalFormatting>
  <conditionalFormatting sqref="G952:K952">
    <cfRule type="notContainsBlanks" dxfId="6648" priority="6889">
      <formula>LEN(TRIM(G952))&gt;0</formula>
    </cfRule>
  </conditionalFormatting>
  <conditionalFormatting sqref="G952:K952">
    <cfRule type="notContainsBlanks" priority="6888">
      <formula>LEN(TRIM(G952))&gt;0</formula>
    </cfRule>
  </conditionalFormatting>
  <conditionalFormatting sqref="G952:K952">
    <cfRule type="notContainsBlanks" dxfId="6647" priority="6887">
      <formula>LEN(TRIM(G952))&gt;0</formula>
    </cfRule>
  </conditionalFormatting>
  <conditionalFormatting sqref="G952:K952">
    <cfRule type="notContainsBlanks" dxfId="6646" priority="6886">
      <formula>LEN(TRIM(G952))&gt;0</formula>
    </cfRule>
  </conditionalFormatting>
  <conditionalFormatting sqref="G952:K952">
    <cfRule type="notContainsBlanks" dxfId="6645" priority="6885">
      <formula>LEN(TRIM(G952))&gt;0</formula>
    </cfRule>
  </conditionalFormatting>
  <conditionalFormatting sqref="G952:K952">
    <cfRule type="notContainsBlanks" dxfId="6644" priority="6884">
      <formula>LEN(TRIM(G952))&gt;0</formula>
    </cfRule>
  </conditionalFormatting>
  <conditionalFormatting sqref="G952:K952">
    <cfRule type="notContainsBlanks" dxfId="6643" priority="6883">
      <formula>LEN(TRIM(G952))&gt;0</formula>
    </cfRule>
  </conditionalFormatting>
  <conditionalFormatting sqref="G965">
    <cfRule type="notContainsBlanks" dxfId="6642" priority="6882">
      <formula>LEN(TRIM(G965))&gt;0</formula>
    </cfRule>
  </conditionalFormatting>
  <conditionalFormatting sqref="H965:K965">
    <cfRule type="notContainsBlanks" dxfId="6641" priority="6881">
      <formula>LEN(TRIM(H965))&gt;0</formula>
    </cfRule>
  </conditionalFormatting>
  <conditionalFormatting sqref="G965:K965">
    <cfRule type="notContainsBlanks" dxfId="6640" priority="6880">
      <formula>LEN(TRIM(G965))&gt;0</formula>
    </cfRule>
  </conditionalFormatting>
  <conditionalFormatting sqref="G965:K965">
    <cfRule type="notContainsBlanks" dxfId="6639" priority="6879">
      <formula>LEN(TRIM(G965))&gt;0</formula>
    </cfRule>
  </conditionalFormatting>
  <conditionalFormatting sqref="G965:K965">
    <cfRule type="notContainsBlanks" dxfId="6638" priority="6878">
      <formula>LEN(TRIM(G965))&gt;0</formula>
    </cfRule>
  </conditionalFormatting>
  <conditionalFormatting sqref="G965:K965">
    <cfRule type="notContainsBlanks" dxfId="6637" priority="6877">
      <formula>LEN(TRIM(G965))&gt;0</formula>
    </cfRule>
  </conditionalFormatting>
  <conditionalFormatting sqref="G965:K965">
    <cfRule type="notContainsBlanks" dxfId="6636" priority="6876">
      <formula>LEN(TRIM(G965))&gt;0</formula>
    </cfRule>
  </conditionalFormatting>
  <conditionalFormatting sqref="G965:K965">
    <cfRule type="notContainsBlanks" dxfId="6635" priority="6875">
      <formula>LEN(TRIM(G965))&gt;0</formula>
    </cfRule>
  </conditionalFormatting>
  <conditionalFormatting sqref="G965:K965">
    <cfRule type="notContainsBlanks" dxfId="6634" priority="6874">
      <formula>LEN(TRIM(G965))&gt;0</formula>
    </cfRule>
  </conditionalFormatting>
  <conditionalFormatting sqref="G965:K965">
    <cfRule type="notContainsBlanks" dxfId="6633" priority="6873">
      <formula>LEN(TRIM(G965))&gt;0</formula>
    </cfRule>
  </conditionalFormatting>
  <conditionalFormatting sqref="G965:K965">
    <cfRule type="notContainsBlanks" dxfId="6632" priority="6872">
      <formula>LEN(TRIM(G965))&gt;0</formula>
    </cfRule>
  </conditionalFormatting>
  <conditionalFormatting sqref="G965:K965">
    <cfRule type="notContainsBlanks" dxfId="6631" priority="6870">
      <formula>LEN(TRIM(G965))&gt;0</formula>
    </cfRule>
    <cfRule type="notContainsBlanks" dxfId="6630" priority="6871">
      <formula>LEN(TRIM(G965))&gt;0</formula>
    </cfRule>
  </conditionalFormatting>
  <conditionalFormatting sqref="G965:K965">
    <cfRule type="notContainsBlanks" dxfId="6629" priority="6869">
      <formula>LEN(TRIM(G965))&gt;0</formula>
    </cfRule>
  </conditionalFormatting>
  <conditionalFormatting sqref="G965:K965">
    <cfRule type="notContainsBlanks" dxfId="6628" priority="6868">
      <formula>LEN(TRIM(G965))&gt;0</formula>
    </cfRule>
  </conditionalFormatting>
  <conditionalFormatting sqref="G965:K965">
    <cfRule type="notContainsBlanks" dxfId="6627" priority="6867">
      <formula>LEN(TRIM(G965))&gt;0</formula>
    </cfRule>
  </conditionalFormatting>
  <conditionalFormatting sqref="G965:K965">
    <cfRule type="notContainsBlanks" dxfId="6626" priority="6866">
      <formula>LEN(TRIM(G965))&gt;0</formula>
    </cfRule>
  </conditionalFormatting>
  <conditionalFormatting sqref="G965:K965">
    <cfRule type="notContainsBlanks" dxfId="6625" priority="6865">
      <formula>LEN(TRIM(G965))&gt;0</formula>
    </cfRule>
  </conditionalFormatting>
  <conditionalFormatting sqref="G965:K965">
    <cfRule type="notContainsBlanks" dxfId="6624" priority="6864">
      <formula>LEN(TRIM(G965))&gt;0</formula>
    </cfRule>
  </conditionalFormatting>
  <conditionalFormatting sqref="G965:K965">
    <cfRule type="notContainsBlanks" dxfId="6623" priority="6863">
      <formula>LEN(TRIM(G965))&gt;0</formula>
    </cfRule>
  </conditionalFormatting>
  <conditionalFormatting sqref="G965:K965">
    <cfRule type="notContainsBlanks" dxfId="6622" priority="6862">
      <formula>LEN(TRIM(G965))&gt;0</formula>
    </cfRule>
  </conditionalFormatting>
  <conditionalFormatting sqref="G965:K965">
    <cfRule type="notContainsBlanks" dxfId="6621" priority="6861">
      <formula>LEN(TRIM(G965))&gt;0</formula>
    </cfRule>
  </conditionalFormatting>
  <conditionalFormatting sqref="G965:K965">
    <cfRule type="notContainsBlanks" priority="6860">
      <formula>LEN(TRIM(G965))&gt;0</formula>
    </cfRule>
  </conditionalFormatting>
  <conditionalFormatting sqref="G965:K965">
    <cfRule type="notContainsBlanks" dxfId="6620" priority="6859">
      <formula>LEN(TRIM(G965))&gt;0</formula>
    </cfRule>
  </conditionalFormatting>
  <conditionalFormatting sqref="G965:K965">
    <cfRule type="notContainsBlanks" dxfId="6619" priority="6858">
      <formula>LEN(TRIM(G965))&gt;0</formula>
    </cfRule>
  </conditionalFormatting>
  <conditionalFormatting sqref="G965:K965">
    <cfRule type="notContainsBlanks" dxfId="6618" priority="6857">
      <formula>LEN(TRIM(G965))&gt;0</formula>
    </cfRule>
  </conditionalFormatting>
  <conditionalFormatting sqref="G965:K965">
    <cfRule type="notContainsBlanks" dxfId="6617" priority="6856">
      <formula>LEN(TRIM(G965))&gt;0</formula>
    </cfRule>
  </conditionalFormatting>
  <conditionalFormatting sqref="G965:K965">
    <cfRule type="notContainsBlanks" dxfId="6616" priority="6855">
      <formula>LEN(TRIM(G965))&gt;0</formula>
    </cfRule>
  </conditionalFormatting>
  <conditionalFormatting sqref="G978">
    <cfRule type="notContainsBlanks" dxfId="6615" priority="6854">
      <formula>LEN(TRIM(G978))&gt;0</formula>
    </cfRule>
  </conditionalFormatting>
  <conditionalFormatting sqref="H978:K978">
    <cfRule type="notContainsBlanks" dxfId="6614" priority="6853">
      <formula>LEN(TRIM(H978))&gt;0</formula>
    </cfRule>
  </conditionalFormatting>
  <conditionalFormatting sqref="G978:K978">
    <cfRule type="notContainsBlanks" dxfId="6613" priority="6852">
      <formula>LEN(TRIM(G978))&gt;0</formula>
    </cfRule>
  </conditionalFormatting>
  <conditionalFormatting sqref="G978:K978">
    <cfRule type="notContainsBlanks" dxfId="6612" priority="6851">
      <formula>LEN(TRIM(G978))&gt;0</formula>
    </cfRule>
  </conditionalFormatting>
  <conditionalFormatting sqref="G978:K978">
    <cfRule type="notContainsBlanks" dxfId="6611" priority="6850">
      <formula>LEN(TRIM(G978))&gt;0</formula>
    </cfRule>
  </conditionalFormatting>
  <conditionalFormatting sqref="G978:K978">
    <cfRule type="notContainsBlanks" dxfId="6610" priority="6849">
      <formula>LEN(TRIM(G978))&gt;0</formula>
    </cfRule>
  </conditionalFormatting>
  <conditionalFormatting sqref="G978:K978">
    <cfRule type="notContainsBlanks" dxfId="6609" priority="6848">
      <formula>LEN(TRIM(G978))&gt;0</formula>
    </cfRule>
  </conditionalFormatting>
  <conditionalFormatting sqref="G978:K978">
    <cfRule type="notContainsBlanks" dxfId="6608" priority="6847">
      <formula>LEN(TRIM(G978))&gt;0</formula>
    </cfRule>
  </conditionalFormatting>
  <conditionalFormatting sqref="G978:K978">
    <cfRule type="notContainsBlanks" dxfId="6607" priority="6846">
      <formula>LEN(TRIM(G978))&gt;0</formula>
    </cfRule>
  </conditionalFormatting>
  <conditionalFormatting sqref="G978:K978">
    <cfRule type="notContainsBlanks" dxfId="6606" priority="6845">
      <formula>LEN(TRIM(G978))&gt;0</formula>
    </cfRule>
  </conditionalFormatting>
  <conditionalFormatting sqref="G978:K978">
    <cfRule type="notContainsBlanks" dxfId="6605" priority="6844">
      <formula>LEN(TRIM(G978))&gt;0</formula>
    </cfRule>
  </conditionalFormatting>
  <conditionalFormatting sqref="G978:K978">
    <cfRule type="notContainsBlanks" dxfId="6604" priority="6842">
      <formula>LEN(TRIM(G978))&gt;0</formula>
    </cfRule>
    <cfRule type="notContainsBlanks" dxfId="6603" priority="6843">
      <formula>LEN(TRIM(G978))&gt;0</formula>
    </cfRule>
  </conditionalFormatting>
  <conditionalFormatting sqref="G978:K978">
    <cfRule type="notContainsBlanks" dxfId="6602" priority="6841">
      <formula>LEN(TRIM(G978))&gt;0</formula>
    </cfRule>
  </conditionalFormatting>
  <conditionalFormatting sqref="G978:K978">
    <cfRule type="notContainsBlanks" dxfId="6601" priority="6840">
      <formula>LEN(TRIM(G978))&gt;0</formula>
    </cfRule>
  </conditionalFormatting>
  <conditionalFormatting sqref="G978:K978">
    <cfRule type="notContainsBlanks" dxfId="6600" priority="6839">
      <formula>LEN(TRIM(G978))&gt;0</formula>
    </cfRule>
  </conditionalFormatting>
  <conditionalFormatting sqref="G978:K978">
    <cfRule type="notContainsBlanks" dxfId="6599" priority="6838">
      <formula>LEN(TRIM(G978))&gt;0</formula>
    </cfRule>
  </conditionalFormatting>
  <conditionalFormatting sqref="G978:K978">
    <cfRule type="notContainsBlanks" dxfId="6598" priority="6837">
      <formula>LEN(TRIM(G978))&gt;0</formula>
    </cfRule>
  </conditionalFormatting>
  <conditionalFormatting sqref="G978:K978">
    <cfRule type="notContainsBlanks" dxfId="6597" priority="6836">
      <formula>LEN(TRIM(G978))&gt;0</formula>
    </cfRule>
  </conditionalFormatting>
  <conditionalFormatting sqref="G978:K978">
    <cfRule type="notContainsBlanks" dxfId="6596" priority="6835">
      <formula>LEN(TRIM(G978))&gt;0</formula>
    </cfRule>
  </conditionalFormatting>
  <conditionalFormatting sqref="G978:K978">
    <cfRule type="notContainsBlanks" dxfId="6595" priority="6834">
      <formula>LEN(TRIM(G978))&gt;0</formula>
    </cfRule>
  </conditionalFormatting>
  <conditionalFormatting sqref="G978:K978">
    <cfRule type="notContainsBlanks" dxfId="6594" priority="6833">
      <formula>LEN(TRIM(G978))&gt;0</formula>
    </cfRule>
  </conditionalFormatting>
  <conditionalFormatting sqref="G978:K978">
    <cfRule type="notContainsBlanks" priority="6832">
      <formula>LEN(TRIM(G978))&gt;0</formula>
    </cfRule>
  </conditionalFormatting>
  <conditionalFormatting sqref="G978:K978">
    <cfRule type="notContainsBlanks" dxfId="6593" priority="6831">
      <formula>LEN(TRIM(G978))&gt;0</formula>
    </cfRule>
  </conditionalFormatting>
  <conditionalFormatting sqref="G978:K978">
    <cfRule type="notContainsBlanks" dxfId="6592" priority="6830">
      <formula>LEN(TRIM(G978))&gt;0</formula>
    </cfRule>
  </conditionalFormatting>
  <conditionalFormatting sqref="G978:K978">
    <cfRule type="notContainsBlanks" dxfId="6591" priority="6829">
      <formula>LEN(TRIM(G978))&gt;0</formula>
    </cfRule>
  </conditionalFormatting>
  <conditionalFormatting sqref="G978:K978">
    <cfRule type="notContainsBlanks" dxfId="6590" priority="6828">
      <formula>LEN(TRIM(G978))&gt;0</formula>
    </cfRule>
  </conditionalFormatting>
  <conditionalFormatting sqref="G978:K978">
    <cfRule type="notContainsBlanks" dxfId="6589" priority="6827">
      <formula>LEN(TRIM(G978))&gt;0</formula>
    </cfRule>
  </conditionalFormatting>
  <conditionalFormatting sqref="G991">
    <cfRule type="notContainsBlanks" dxfId="6588" priority="6826">
      <formula>LEN(TRIM(G991))&gt;0</formula>
    </cfRule>
  </conditionalFormatting>
  <conditionalFormatting sqref="H991:K991">
    <cfRule type="notContainsBlanks" dxfId="6587" priority="6825">
      <formula>LEN(TRIM(H991))&gt;0</formula>
    </cfRule>
  </conditionalFormatting>
  <conditionalFormatting sqref="G991:K991">
    <cfRule type="notContainsBlanks" dxfId="6586" priority="6824">
      <formula>LEN(TRIM(G991))&gt;0</formula>
    </cfRule>
  </conditionalFormatting>
  <conditionalFormatting sqref="G991:K991">
    <cfRule type="notContainsBlanks" dxfId="6585" priority="6823">
      <formula>LEN(TRIM(G991))&gt;0</formula>
    </cfRule>
  </conditionalFormatting>
  <conditionalFormatting sqref="G991:K991">
    <cfRule type="notContainsBlanks" dxfId="6584" priority="6822">
      <formula>LEN(TRIM(G991))&gt;0</formula>
    </cfRule>
  </conditionalFormatting>
  <conditionalFormatting sqref="G991:K991">
    <cfRule type="notContainsBlanks" dxfId="6583" priority="6821">
      <formula>LEN(TRIM(G991))&gt;0</formula>
    </cfRule>
  </conditionalFormatting>
  <conditionalFormatting sqref="G991:K991">
    <cfRule type="notContainsBlanks" dxfId="6582" priority="6820">
      <formula>LEN(TRIM(G991))&gt;0</formula>
    </cfRule>
  </conditionalFormatting>
  <conditionalFormatting sqref="G991:K991">
    <cfRule type="notContainsBlanks" dxfId="6581" priority="6819">
      <formula>LEN(TRIM(G991))&gt;0</formula>
    </cfRule>
  </conditionalFormatting>
  <conditionalFormatting sqref="G991:K991">
    <cfRule type="notContainsBlanks" dxfId="6580" priority="6818">
      <formula>LEN(TRIM(G991))&gt;0</formula>
    </cfRule>
  </conditionalFormatting>
  <conditionalFormatting sqref="G991:K991">
    <cfRule type="notContainsBlanks" dxfId="6579" priority="6817">
      <formula>LEN(TRIM(G991))&gt;0</formula>
    </cfRule>
  </conditionalFormatting>
  <conditionalFormatting sqref="G991:K991">
    <cfRule type="notContainsBlanks" dxfId="6578" priority="6816">
      <formula>LEN(TRIM(G991))&gt;0</formula>
    </cfRule>
  </conditionalFormatting>
  <conditionalFormatting sqref="G991:K991">
    <cfRule type="notContainsBlanks" dxfId="6577" priority="6814">
      <formula>LEN(TRIM(G991))&gt;0</formula>
    </cfRule>
    <cfRule type="notContainsBlanks" dxfId="6576" priority="6815">
      <formula>LEN(TRIM(G991))&gt;0</formula>
    </cfRule>
  </conditionalFormatting>
  <conditionalFormatting sqref="G991:K991">
    <cfRule type="notContainsBlanks" dxfId="6575" priority="6813">
      <formula>LEN(TRIM(G991))&gt;0</formula>
    </cfRule>
  </conditionalFormatting>
  <conditionalFormatting sqref="G991:K991">
    <cfRule type="notContainsBlanks" dxfId="6574" priority="6812">
      <formula>LEN(TRIM(G991))&gt;0</formula>
    </cfRule>
  </conditionalFormatting>
  <conditionalFormatting sqref="G991:K991">
    <cfRule type="notContainsBlanks" dxfId="6573" priority="6811">
      <formula>LEN(TRIM(G991))&gt;0</formula>
    </cfRule>
  </conditionalFormatting>
  <conditionalFormatting sqref="G991:K991">
    <cfRule type="notContainsBlanks" dxfId="6572" priority="6810">
      <formula>LEN(TRIM(G991))&gt;0</formula>
    </cfRule>
  </conditionalFormatting>
  <conditionalFormatting sqref="G991:K991">
    <cfRule type="notContainsBlanks" dxfId="6571" priority="6809">
      <formula>LEN(TRIM(G991))&gt;0</formula>
    </cfRule>
  </conditionalFormatting>
  <conditionalFormatting sqref="G991:K991">
    <cfRule type="notContainsBlanks" dxfId="6570" priority="6808">
      <formula>LEN(TRIM(G991))&gt;0</formula>
    </cfRule>
  </conditionalFormatting>
  <conditionalFormatting sqref="G991:K991">
    <cfRule type="notContainsBlanks" dxfId="6569" priority="6807">
      <formula>LEN(TRIM(G991))&gt;0</formula>
    </cfRule>
  </conditionalFormatting>
  <conditionalFormatting sqref="G991:K991">
    <cfRule type="notContainsBlanks" dxfId="6568" priority="6806">
      <formula>LEN(TRIM(G991))&gt;0</formula>
    </cfRule>
  </conditionalFormatting>
  <conditionalFormatting sqref="G991:K991">
    <cfRule type="notContainsBlanks" dxfId="6567" priority="6805">
      <formula>LEN(TRIM(G991))&gt;0</formula>
    </cfRule>
  </conditionalFormatting>
  <conditionalFormatting sqref="G991:K991">
    <cfRule type="notContainsBlanks" priority="6804">
      <formula>LEN(TRIM(G991))&gt;0</formula>
    </cfRule>
  </conditionalFormatting>
  <conditionalFormatting sqref="G991:K991">
    <cfRule type="notContainsBlanks" dxfId="6566" priority="6803">
      <formula>LEN(TRIM(G991))&gt;0</formula>
    </cfRule>
  </conditionalFormatting>
  <conditionalFormatting sqref="G991:K991">
    <cfRule type="notContainsBlanks" dxfId="6565" priority="6802">
      <formula>LEN(TRIM(G991))&gt;0</formula>
    </cfRule>
  </conditionalFormatting>
  <conditionalFormatting sqref="G991:K991">
    <cfRule type="notContainsBlanks" dxfId="6564" priority="6801">
      <formula>LEN(TRIM(G991))&gt;0</formula>
    </cfRule>
  </conditionalFormatting>
  <conditionalFormatting sqref="G991:K991">
    <cfRule type="notContainsBlanks" dxfId="6563" priority="6800">
      <formula>LEN(TRIM(G991))&gt;0</formula>
    </cfRule>
  </conditionalFormatting>
  <conditionalFormatting sqref="G991:K991">
    <cfRule type="notContainsBlanks" dxfId="6562" priority="6799">
      <formula>LEN(TRIM(G991))&gt;0</formula>
    </cfRule>
  </conditionalFormatting>
  <conditionalFormatting sqref="G1004">
    <cfRule type="notContainsBlanks" dxfId="6561" priority="6798">
      <formula>LEN(TRIM(G1004))&gt;0</formula>
    </cfRule>
  </conditionalFormatting>
  <conditionalFormatting sqref="H1004:K1004">
    <cfRule type="notContainsBlanks" dxfId="6560" priority="6797">
      <formula>LEN(TRIM(H1004))&gt;0</formula>
    </cfRule>
  </conditionalFormatting>
  <conditionalFormatting sqref="G1004:K1004">
    <cfRule type="notContainsBlanks" dxfId="6559" priority="6796">
      <formula>LEN(TRIM(G1004))&gt;0</formula>
    </cfRule>
  </conditionalFormatting>
  <conditionalFormatting sqref="G1004:K1004">
    <cfRule type="notContainsBlanks" dxfId="6558" priority="6795">
      <formula>LEN(TRIM(G1004))&gt;0</formula>
    </cfRule>
  </conditionalFormatting>
  <conditionalFormatting sqref="G1004:K1004">
    <cfRule type="notContainsBlanks" dxfId="6557" priority="6794">
      <formula>LEN(TRIM(G1004))&gt;0</formula>
    </cfRule>
  </conditionalFormatting>
  <conditionalFormatting sqref="G1004:K1004">
    <cfRule type="notContainsBlanks" dxfId="6556" priority="6793">
      <formula>LEN(TRIM(G1004))&gt;0</formula>
    </cfRule>
  </conditionalFormatting>
  <conditionalFormatting sqref="G1004:K1004">
    <cfRule type="notContainsBlanks" dxfId="6555" priority="6792">
      <formula>LEN(TRIM(G1004))&gt;0</formula>
    </cfRule>
  </conditionalFormatting>
  <conditionalFormatting sqref="G1004:K1004">
    <cfRule type="notContainsBlanks" dxfId="6554" priority="6791">
      <formula>LEN(TRIM(G1004))&gt;0</formula>
    </cfRule>
  </conditionalFormatting>
  <conditionalFormatting sqref="G1004:K1004">
    <cfRule type="notContainsBlanks" dxfId="6553" priority="6790">
      <formula>LEN(TRIM(G1004))&gt;0</formula>
    </cfRule>
  </conditionalFormatting>
  <conditionalFormatting sqref="G1004:K1004">
    <cfRule type="notContainsBlanks" dxfId="6552" priority="6789">
      <formula>LEN(TRIM(G1004))&gt;0</formula>
    </cfRule>
  </conditionalFormatting>
  <conditionalFormatting sqref="G1004:K1004">
    <cfRule type="notContainsBlanks" dxfId="6551" priority="6788">
      <formula>LEN(TRIM(G1004))&gt;0</formula>
    </cfRule>
  </conditionalFormatting>
  <conditionalFormatting sqref="G1004:K1004">
    <cfRule type="notContainsBlanks" dxfId="6550" priority="6786">
      <formula>LEN(TRIM(G1004))&gt;0</formula>
    </cfRule>
    <cfRule type="notContainsBlanks" dxfId="6549" priority="6787">
      <formula>LEN(TRIM(G1004))&gt;0</formula>
    </cfRule>
  </conditionalFormatting>
  <conditionalFormatting sqref="G1004:K1004">
    <cfRule type="notContainsBlanks" dxfId="6548" priority="6785">
      <formula>LEN(TRIM(G1004))&gt;0</formula>
    </cfRule>
  </conditionalFormatting>
  <conditionalFormatting sqref="G1004:K1004">
    <cfRule type="notContainsBlanks" dxfId="6547" priority="6784">
      <formula>LEN(TRIM(G1004))&gt;0</formula>
    </cfRule>
  </conditionalFormatting>
  <conditionalFormatting sqref="G1004:K1004">
    <cfRule type="notContainsBlanks" dxfId="6546" priority="6783">
      <formula>LEN(TRIM(G1004))&gt;0</formula>
    </cfRule>
  </conditionalFormatting>
  <conditionalFormatting sqref="G1004:K1004">
    <cfRule type="notContainsBlanks" dxfId="6545" priority="6782">
      <formula>LEN(TRIM(G1004))&gt;0</formula>
    </cfRule>
  </conditionalFormatting>
  <conditionalFormatting sqref="G1004:K1004">
    <cfRule type="notContainsBlanks" dxfId="6544" priority="6781">
      <formula>LEN(TRIM(G1004))&gt;0</formula>
    </cfRule>
  </conditionalFormatting>
  <conditionalFormatting sqref="G1004:K1004">
    <cfRule type="notContainsBlanks" dxfId="6543" priority="6780">
      <formula>LEN(TRIM(G1004))&gt;0</formula>
    </cfRule>
  </conditionalFormatting>
  <conditionalFormatting sqref="G1004:K1004">
    <cfRule type="notContainsBlanks" dxfId="6542" priority="6779">
      <formula>LEN(TRIM(G1004))&gt;0</formula>
    </cfRule>
  </conditionalFormatting>
  <conditionalFormatting sqref="G1004:K1004">
    <cfRule type="notContainsBlanks" dxfId="6541" priority="6778">
      <formula>LEN(TRIM(G1004))&gt;0</formula>
    </cfRule>
  </conditionalFormatting>
  <conditionalFormatting sqref="G1004:K1004">
    <cfRule type="notContainsBlanks" dxfId="6540" priority="6777">
      <formula>LEN(TRIM(G1004))&gt;0</formula>
    </cfRule>
  </conditionalFormatting>
  <conditionalFormatting sqref="G1004:K1004">
    <cfRule type="notContainsBlanks" priority="6776">
      <formula>LEN(TRIM(G1004))&gt;0</formula>
    </cfRule>
  </conditionalFormatting>
  <conditionalFormatting sqref="G1004:K1004">
    <cfRule type="notContainsBlanks" dxfId="6539" priority="6775">
      <formula>LEN(TRIM(G1004))&gt;0</formula>
    </cfRule>
  </conditionalFormatting>
  <conditionalFormatting sqref="G1004:K1004">
    <cfRule type="notContainsBlanks" dxfId="6538" priority="6774">
      <formula>LEN(TRIM(G1004))&gt;0</formula>
    </cfRule>
  </conditionalFormatting>
  <conditionalFormatting sqref="G1004:K1004">
    <cfRule type="notContainsBlanks" dxfId="6537" priority="6773">
      <formula>LEN(TRIM(G1004))&gt;0</formula>
    </cfRule>
  </conditionalFormatting>
  <conditionalFormatting sqref="G1004:K1004">
    <cfRule type="notContainsBlanks" dxfId="6536" priority="6772">
      <formula>LEN(TRIM(G1004))&gt;0</formula>
    </cfRule>
  </conditionalFormatting>
  <conditionalFormatting sqref="G1004:K1004">
    <cfRule type="notContainsBlanks" dxfId="6535" priority="6771">
      <formula>LEN(TRIM(G1004))&gt;0</formula>
    </cfRule>
  </conditionalFormatting>
  <conditionalFormatting sqref="G1017">
    <cfRule type="notContainsBlanks" dxfId="6534" priority="6770">
      <formula>LEN(TRIM(G1017))&gt;0</formula>
    </cfRule>
  </conditionalFormatting>
  <conditionalFormatting sqref="H1017:K1017">
    <cfRule type="notContainsBlanks" dxfId="6533" priority="6769">
      <formula>LEN(TRIM(H1017))&gt;0</formula>
    </cfRule>
  </conditionalFormatting>
  <conditionalFormatting sqref="G1017:K1017">
    <cfRule type="notContainsBlanks" dxfId="6532" priority="6768">
      <formula>LEN(TRIM(G1017))&gt;0</formula>
    </cfRule>
  </conditionalFormatting>
  <conditionalFormatting sqref="G1017:K1017">
    <cfRule type="notContainsBlanks" dxfId="6531" priority="6767">
      <formula>LEN(TRIM(G1017))&gt;0</formula>
    </cfRule>
  </conditionalFormatting>
  <conditionalFormatting sqref="G1017:K1017">
    <cfRule type="notContainsBlanks" dxfId="6530" priority="6766">
      <formula>LEN(TRIM(G1017))&gt;0</formula>
    </cfRule>
  </conditionalFormatting>
  <conditionalFormatting sqref="G1017:K1017">
    <cfRule type="notContainsBlanks" dxfId="6529" priority="6765">
      <formula>LEN(TRIM(G1017))&gt;0</formula>
    </cfRule>
  </conditionalFormatting>
  <conditionalFormatting sqref="G1017:K1017">
    <cfRule type="notContainsBlanks" dxfId="6528" priority="6764">
      <formula>LEN(TRIM(G1017))&gt;0</formula>
    </cfRule>
  </conditionalFormatting>
  <conditionalFormatting sqref="G1017:K1017">
    <cfRule type="notContainsBlanks" dxfId="6527" priority="6763">
      <formula>LEN(TRIM(G1017))&gt;0</formula>
    </cfRule>
  </conditionalFormatting>
  <conditionalFormatting sqref="G1017:K1017">
    <cfRule type="notContainsBlanks" dxfId="6526" priority="6762">
      <formula>LEN(TRIM(G1017))&gt;0</formula>
    </cfRule>
  </conditionalFormatting>
  <conditionalFormatting sqref="G1017:K1017">
    <cfRule type="notContainsBlanks" dxfId="6525" priority="6761">
      <formula>LEN(TRIM(G1017))&gt;0</formula>
    </cfRule>
  </conditionalFormatting>
  <conditionalFormatting sqref="G1017:K1017">
    <cfRule type="notContainsBlanks" dxfId="6524" priority="6760">
      <formula>LEN(TRIM(G1017))&gt;0</formula>
    </cfRule>
  </conditionalFormatting>
  <conditionalFormatting sqref="G1017:K1017">
    <cfRule type="notContainsBlanks" dxfId="6523" priority="6758">
      <formula>LEN(TRIM(G1017))&gt;0</formula>
    </cfRule>
    <cfRule type="notContainsBlanks" dxfId="6522" priority="6759">
      <formula>LEN(TRIM(G1017))&gt;0</formula>
    </cfRule>
  </conditionalFormatting>
  <conditionalFormatting sqref="G1017:K1017">
    <cfRule type="notContainsBlanks" dxfId="6521" priority="6757">
      <formula>LEN(TRIM(G1017))&gt;0</formula>
    </cfRule>
  </conditionalFormatting>
  <conditionalFormatting sqref="G1017:K1017">
    <cfRule type="notContainsBlanks" dxfId="6520" priority="6756">
      <formula>LEN(TRIM(G1017))&gt;0</formula>
    </cfRule>
  </conditionalFormatting>
  <conditionalFormatting sqref="G1017:K1017">
    <cfRule type="notContainsBlanks" dxfId="6519" priority="6755">
      <formula>LEN(TRIM(G1017))&gt;0</formula>
    </cfRule>
  </conditionalFormatting>
  <conditionalFormatting sqref="G1017:K1017">
    <cfRule type="notContainsBlanks" dxfId="6518" priority="6754">
      <formula>LEN(TRIM(G1017))&gt;0</formula>
    </cfRule>
  </conditionalFormatting>
  <conditionalFormatting sqref="G1017:K1017">
    <cfRule type="notContainsBlanks" dxfId="6517" priority="6753">
      <formula>LEN(TRIM(G1017))&gt;0</formula>
    </cfRule>
  </conditionalFormatting>
  <conditionalFormatting sqref="G1017:K1017">
    <cfRule type="notContainsBlanks" dxfId="6516" priority="6752">
      <formula>LEN(TRIM(G1017))&gt;0</formula>
    </cfRule>
  </conditionalFormatting>
  <conditionalFormatting sqref="G1017:K1017">
    <cfRule type="notContainsBlanks" dxfId="6515" priority="6751">
      <formula>LEN(TRIM(G1017))&gt;0</formula>
    </cfRule>
  </conditionalFormatting>
  <conditionalFormatting sqref="G1017:K1017">
    <cfRule type="notContainsBlanks" dxfId="6514" priority="6750">
      <formula>LEN(TRIM(G1017))&gt;0</formula>
    </cfRule>
  </conditionalFormatting>
  <conditionalFormatting sqref="G1017:K1017">
    <cfRule type="notContainsBlanks" dxfId="6513" priority="6749">
      <formula>LEN(TRIM(G1017))&gt;0</formula>
    </cfRule>
  </conditionalFormatting>
  <conditionalFormatting sqref="G1017:K1017">
    <cfRule type="notContainsBlanks" priority="6748">
      <formula>LEN(TRIM(G1017))&gt;0</formula>
    </cfRule>
  </conditionalFormatting>
  <conditionalFormatting sqref="G1017:K1017">
    <cfRule type="notContainsBlanks" dxfId="6512" priority="6747">
      <formula>LEN(TRIM(G1017))&gt;0</formula>
    </cfRule>
  </conditionalFormatting>
  <conditionalFormatting sqref="G1017:K1017">
    <cfRule type="notContainsBlanks" dxfId="6511" priority="6746">
      <formula>LEN(TRIM(G1017))&gt;0</formula>
    </cfRule>
  </conditionalFormatting>
  <conditionalFormatting sqref="G1017:K1017">
    <cfRule type="notContainsBlanks" dxfId="6510" priority="6745">
      <formula>LEN(TRIM(G1017))&gt;0</formula>
    </cfRule>
  </conditionalFormatting>
  <conditionalFormatting sqref="G1017:K1017">
    <cfRule type="notContainsBlanks" dxfId="6509" priority="6744">
      <formula>LEN(TRIM(G1017))&gt;0</formula>
    </cfRule>
  </conditionalFormatting>
  <conditionalFormatting sqref="G1017:K1017">
    <cfRule type="notContainsBlanks" dxfId="6508" priority="6743">
      <formula>LEN(TRIM(G1017))&gt;0</formula>
    </cfRule>
  </conditionalFormatting>
  <conditionalFormatting sqref="G1030">
    <cfRule type="notContainsBlanks" dxfId="6507" priority="6742">
      <formula>LEN(TRIM(G1030))&gt;0</formula>
    </cfRule>
  </conditionalFormatting>
  <conditionalFormatting sqref="H1030:K1030">
    <cfRule type="notContainsBlanks" dxfId="6506" priority="6741">
      <formula>LEN(TRIM(H1030))&gt;0</formula>
    </cfRule>
  </conditionalFormatting>
  <conditionalFormatting sqref="G1030:K1030">
    <cfRule type="notContainsBlanks" dxfId="6505" priority="6740">
      <formula>LEN(TRIM(G1030))&gt;0</formula>
    </cfRule>
  </conditionalFormatting>
  <conditionalFormatting sqref="G1030:K1030">
    <cfRule type="notContainsBlanks" dxfId="6504" priority="6739">
      <formula>LEN(TRIM(G1030))&gt;0</formula>
    </cfRule>
  </conditionalFormatting>
  <conditionalFormatting sqref="G1030:K1030">
    <cfRule type="notContainsBlanks" dxfId="6503" priority="6738">
      <formula>LEN(TRIM(G1030))&gt;0</formula>
    </cfRule>
  </conditionalFormatting>
  <conditionalFormatting sqref="G1030:K1030">
    <cfRule type="notContainsBlanks" dxfId="6502" priority="6737">
      <formula>LEN(TRIM(G1030))&gt;0</formula>
    </cfRule>
  </conditionalFormatting>
  <conditionalFormatting sqref="G1030:K1030">
    <cfRule type="notContainsBlanks" dxfId="6501" priority="6736">
      <formula>LEN(TRIM(G1030))&gt;0</formula>
    </cfRule>
  </conditionalFormatting>
  <conditionalFormatting sqref="G1030:K1030">
    <cfRule type="notContainsBlanks" dxfId="6500" priority="6735">
      <formula>LEN(TRIM(G1030))&gt;0</formula>
    </cfRule>
  </conditionalFormatting>
  <conditionalFormatting sqref="G1030:K1030">
    <cfRule type="notContainsBlanks" dxfId="6499" priority="6734">
      <formula>LEN(TRIM(G1030))&gt;0</formula>
    </cfRule>
  </conditionalFormatting>
  <conditionalFormatting sqref="G1030:K1030">
    <cfRule type="notContainsBlanks" dxfId="6498" priority="6733">
      <formula>LEN(TRIM(G1030))&gt;0</formula>
    </cfRule>
  </conditionalFormatting>
  <conditionalFormatting sqref="G1030:K1030">
    <cfRule type="notContainsBlanks" dxfId="6497" priority="6732">
      <formula>LEN(TRIM(G1030))&gt;0</formula>
    </cfRule>
  </conditionalFormatting>
  <conditionalFormatting sqref="G1030:K1030">
    <cfRule type="notContainsBlanks" dxfId="6496" priority="6730">
      <formula>LEN(TRIM(G1030))&gt;0</formula>
    </cfRule>
    <cfRule type="notContainsBlanks" dxfId="6495" priority="6731">
      <formula>LEN(TRIM(G1030))&gt;0</formula>
    </cfRule>
  </conditionalFormatting>
  <conditionalFormatting sqref="G1030:K1030">
    <cfRule type="notContainsBlanks" dxfId="6494" priority="6729">
      <formula>LEN(TRIM(G1030))&gt;0</formula>
    </cfRule>
  </conditionalFormatting>
  <conditionalFormatting sqref="G1030:K1030">
    <cfRule type="notContainsBlanks" dxfId="6493" priority="6728">
      <formula>LEN(TRIM(G1030))&gt;0</formula>
    </cfRule>
  </conditionalFormatting>
  <conditionalFormatting sqref="G1030:K1030">
    <cfRule type="notContainsBlanks" dxfId="6492" priority="6727">
      <formula>LEN(TRIM(G1030))&gt;0</formula>
    </cfRule>
  </conditionalFormatting>
  <conditionalFormatting sqref="G1030:K1030">
    <cfRule type="notContainsBlanks" dxfId="6491" priority="6726">
      <formula>LEN(TRIM(G1030))&gt;0</formula>
    </cfRule>
  </conditionalFormatting>
  <conditionalFormatting sqref="G1030:K1030">
    <cfRule type="notContainsBlanks" dxfId="6490" priority="6725">
      <formula>LEN(TRIM(G1030))&gt;0</formula>
    </cfRule>
  </conditionalFormatting>
  <conditionalFormatting sqref="G1030:K1030">
    <cfRule type="notContainsBlanks" dxfId="6489" priority="6724">
      <formula>LEN(TRIM(G1030))&gt;0</formula>
    </cfRule>
  </conditionalFormatting>
  <conditionalFormatting sqref="G1030:K1030">
    <cfRule type="notContainsBlanks" dxfId="6488" priority="6723">
      <formula>LEN(TRIM(G1030))&gt;0</formula>
    </cfRule>
  </conditionalFormatting>
  <conditionalFormatting sqref="G1030:K1030">
    <cfRule type="notContainsBlanks" dxfId="6487" priority="6722">
      <formula>LEN(TRIM(G1030))&gt;0</formula>
    </cfRule>
  </conditionalFormatting>
  <conditionalFormatting sqref="G1030:K1030">
    <cfRule type="notContainsBlanks" dxfId="6486" priority="6721">
      <formula>LEN(TRIM(G1030))&gt;0</formula>
    </cfRule>
  </conditionalFormatting>
  <conditionalFormatting sqref="G1030:K1030">
    <cfRule type="notContainsBlanks" priority="6720">
      <formula>LEN(TRIM(G1030))&gt;0</formula>
    </cfRule>
  </conditionalFormatting>
  <conditionalFormatting sqref="G1030:K1030">
    <cfRule type="notContainsBlanks" dxfId="6485" priority="6719">
      <formula>LEN(TRIM(G1030))&gt;0</formula>
    </cfRule>
  </conditionalFormatting>
  <conditionalFormatting sqref="G1030:K1030">
    <cfRule type="notContainsBlanks" dxfId="6484" priority="6718">
      <formula>LEN(TRIM(G1030))&gt;0</formula>
    </cfRule>
  </conditionalFormatting>
  <conditionalFormatting sqref="G1030:K1030">
    <cfRule type="notContainsBlanks" dxfId="6483" priority="6717">
      <formula>LEN(TRIM(G1030))&gt;0</formula>
    </cfRule>
  </conditionalFormatting>
  <conditionalFormatting sqref="G1030:K1030">
    <cfRule type="notContainsBlanks" dxfId="6482" priority="6716">
      <formula>LEN(TRIM(G1030))&gt;0</formula>
    </cfRule>
  </conditionalFormatting>
  <conditionalFormatting sqref="G1030:K1030">
    <cfRule type="notContainsBlanks" dxfId="6481" priority="6715">
      <formula>LEN(TRIM(G1030))&gt;0</formula>
    </cfRule>
  </conditionalFormatting>
  <conditionalFormatting sqref="G1043">
    <cfRule type="notContainsBlanks" dxfId="6480" priority="6714">
      <formula>LEN(TRIM(G1043))&gt;0</formula>
    </cfRule>
  </conditionalFormatting>
  <conditionalFormatting sqref="H1043:K1043">
    <cfRule type="notContainsBlanks" dxfId="6479" priority="6713">
      <formula>LEN(TRIM(H1043))&gt;0</formula>
    </cfRule>
  </conditionalFormatting>
  <conditionalFormatting sqref="G1043:K1043">
    <cfRule type="notContainsBlanks" dxfId="6478" priority="6712">
      <formula>LEN(TRIM(G1043))&gt;0</formula>
    </cfRule>
  </conditionalFormatting>
  <conditionalFormatting sqref="G1043:K1043">
    <cfRule type="notContainsBlanks" dxfId="6477" priority="6711">
      <formula>LEN(TRIM(G1043))&gt;0</formula>
    </cfRule>
  </conditionalFormatting>
  <conditionalFormatting sqref="G1043:K1043">
    <cfRule type="notContainsBlanks" dxfId="6476" priority="6710">
      <formula>LEN(TRIM(G1043))&gt;0</formula>
    </cfRule>
  </conditionalFormatting>
  <conditionalFormatting sqref="G1043:K1043">
    <cfRule type="notContainsBlanks" dxfId="6475" priority="6709">
      <formula>LEN(TRIM(G1043))&gt;0</formula>
    </cfRule>
  </conditionalFormatting>
  <conditionalFormatting sqref="G1043:K1043">
    <cfRule type="notContainsBlanks" dxfId="6474" priority="6708">
      <formula>LEN(TRIM(G1043))&gt;0</formula>
    </cfRule>
  </conditionalFormatting>
  <conditionalFormatting sqref="G1043:K1043">
    <cfRule type="notContainsBlanks" dxfId="6473" priority="6707">
      <formula>LEN(TRIM(G1043))&gt;0</formula>
    </cfRule>
  </conditionalFormatting>
  <conditionalFormatting sqref="G1043:K1043">
    <cfRule type="notContainsBlanks" dxfId="6472" priority="6706">
      <formula>LEN(TRIM(G1043))&gt;0</formula>
    </cfRule>
  </conditionalFormatting>
  <conditionalFormatting sqref="G1043:K1043">
    <cfRule type="notContainsBlanks" dxfId="6471" priority="6705">
      <formula>LEN(TRIM(G1043))&gt;0</formula>
    </cfRule>
  </conditionalFormatting>
  <conditionalFormatting sqref="G1043:K1043">
    <cfRule type="notContainsBlanks" dxfId="6470" priority="6704">
      <formula>LEN(TRIM(G1043))&gt;0</formula>
    </cfRule>
  </conditionalFormatting>
  <conditionalFormatting sqref="G1043:K1043">
    <cfRule type="notContainsBlanks" dxfId="6469" priority="6702">
      <formula>LEN(TRIM(G1043))&gt;0</formula>
    </cfRule>
    <cfRule type="notContainsBlanks" dxfId="6468" priority="6703">
      <formula>LEN(TRIM(G1043))&gt;0</formula>
    </cfRule>
  </conditionalFormatting>
  <conditionalFormatting sqref="G1043:K1043">
    <cfRule type="notContainsBlanks" dxfId="6467" priority="6701">
      <formula>LEN(TRIM(G1043))&gt;0</formula>
    </cfRule>
  </conditionalFormatting>
  <conditionalFormatting sqref="G1043:K1043">
    <cfRule type="notContainsBlanks" dxfId="6466" priority="6700">
      <formula>LEN(TRIM(G1043))&gt;0</formula>
    </cfRule>
  </conditionalFormatting>
  <conditionalFormatting sqref="G1043:K1043">
    <cfRule type="notContainsBlanks" dxfId="6465" priority="6699">
      <formula>LEN(TRIM(G1043))&gt;0</formula>
    </cfRule>
  </conditionalFormatting>
  <conditionalFormatting sqref="G1043:K1043">
    <cfRule type="notContainsBlanks" dxfId="6464" priority="6698">
      <formula>LEN(TRIM(G1043))&gt;0</formula>
    </cfRule>
  </conditionalFormatting>
  <conditionalFormatting sqref="G1043:K1043">
    <cfRule type="notContainsBlanks" dxfId="6463" priority="6697">
      <formula>LEN(TRIM(G1043))&gt;0</formula>
    </cfRule>
  </conditionalFormatting>
  <conditionalFormatting sqref="G1043:K1043">
    <cfRule type="notContainsBlanks" dxfId="6462" priority="6696">
      <formula>LEN(TRIM(G1043))&gt;0</formula>
    </cfRule>
  </conditionalFormatting>
  <conditionalFormatting sqref="G1043:K1043">
    <cfRule type="notContainsBlanks" dxfId="6461" priority="6695">
      <formula>LEN(TRIM(G1043))&gt;0</formula>
    </cfRule>
  </conditionalFormatting>
  <conditionalFormatting sqref="G1043:K1043">
    <cfRule type="notContainsBlanks" dxfId="6460" priority="6694">
      <formula>LEN(TRIM(G1043))&gt;0</formula>
    </cfRule>
  </conditionalFormatting>
  <conditionalFormatting sqref="G1043:K1043">
    <cfRule type="notContainsBlanks" dxfId="6459" priority="6693">
      <formula>LEN(TRIM(G1043))&gt;0</formula>
    </cfRule>
  </conditionalFormatting>
  <conditionalFormatting sqref="G1043:K1043">
    <cfRule type="notContainsBlanks" priority="6692">
      <formula>LEN(TRIM(G1043))&gt;0</formula>
    </cfRule>
  </conditionalFormatting>
  <conditionalFormatting sqref="G1043:K1043">
    <cfRule type="notContainsBlanks" dxfId="6458" priority="6691">
      <formula>LEN(TRIM(G1043))&gt;0</formula>
    </cfRule>
  </conditionalFormatting>
  <conditionalFormatting sqref="G1043:K1043">
    <cfRule type="notContainsBlanks" dxfId="6457" priority="6690">
      <formula>LEN(TRIM(G1043))&gt;0</formula>
    </cfRule>
  </conditionalFormatting>
  <conditionalFormatting sqref="G1043:K1043">
    <cfRule type="notContainsBlanks" dxfId="6456" priority="6689">
      <formula>LEN(TRIM(G1043))&gt;0</formula>
    </cfRule>
  </conditionalFormatting>
  <conditionalFormatting sqref="G1043:K1043">
    <cfRule type="notContainsBlanks" dxfId="6455" priority="6688">
      <formula>LEN(TRIM(G1043))&gt;0</formula>
    </cfRule>
  </conditionalFormatting>
  <conditionalFormatting sqref="G1043:K1043">
    <cfRule type="notContainsBlanks" dxfId="6454" priority="6687">
      <formula>LEN(TRIM(G1043))&gt;0</formula>
    </cfRule>
  </conditionalFormatting>
  <conditionalFormatting sqref="G1056">
    <cfRule type="notContainsBlanks" dxfId="6453" priority="6686">
      <formula>LEN(TRIM(G1056))&gt;0</formula>
    </cfRule>
  </conditionalFormatting>
  <conditionalFormatting sqref="H1056:K1056">
    <cfRule type="notContainsBlanks" dxfId="6452" priority="6685">
      <formula>LEN(TRIM(H1056))&gt;0</formula>
    </cfRule>
  </conditionalFormatting>
  <conditionalFormatting sqref="G1056:K1056">
    <cfRule type="notContainsBlanks" dxfId="6451" priority="6684">
      <formula>LEN(TRIM(G1056))&gt;0</formula>
    </cfRule>
  </conditionalFormatting>
  <conditionalFormatting sqref="G1056:K1056">
    <cfRule type="notContainsBlanks" dxfId="6450" priority="6683">
      <formula>LEN(TRIM(G1056))&gt;0</formula>
    </cfRule>
  </conditionalFormatting>
  <conditionalFormatting sqref="G1056:K1056">
    <cfRule type="notContainsBlanks" dxfId="6449" priority="6682">
      <formula>LEN(TRIM(G1056))&gt;0</formula>
    </cfRule>
  </conditionalFormatting>
  <conditionalFormatting sqref="G1056:K1056">
    <cfRule type="notContainsBlanks" dxfId="6448" priority="6681">
      <formula>LEN(TRIM(G1056))&gt;0</formula>
    </cfRule>
  </conditionalFormatting>
  <conditionalFormatting sqref="G1056:K1056">
    <cfRule type="notContainsBlanks" dxfId="6447" priority="6680">
      <formula>LEN(TRIM(G1056))&gt;0</formula>
    </cfRule>
  </conditionalFormatting>
  <conditionalFormatting sqref="G1056:K1056">
    <cfRule type="notContainsBlanks" dxfId="6446" priority="6679">
      <formula>LEN(TRIM(G1056))&gt;0</formula>
    </cfRule>
  </conditionalFormatting>
  <conditionalFormatting sqref="G1056:K1056">
    <cfRule type="notContainsBlanks" dxfId="6445" priority="6678">
      <formula>LEN(TRIM(G1056))&gt;0</formula>
    </cfRule>
  </conditionalFormatting>
  <conditionalFormatting sqref="G1056:K1056">
    <cfRule type="notContainsBlanks" dxfId="6444" priority="6677">
      <formula>LEN(TRIM(G1056))&gt;0</formula>
    </cfRule>
  </conditionalFormatting>
  <conditionalFormatting sqref="G1056:K1056">
    <cfRule type="notContainsBlanks" dxfId="6443" priority="6676">
      <formula>LEN(TRIM(G1056))&gt;0</formula>
    </cfRule>
  </conditionalFormatting>
  <conditionalFormatting sqref="G1056:K1056">
    <cfRule type="notContainsBlanks" dxfId="6442" priority="6674">
      <formula>LEN(TRIM(G1056))&gt;0</formula>
    </cfRule>
    <cfRule type="notContainsBlanks" dxfId="6441" priority="6675">
      <formula>LEN(TRIM(G1056))&gt;0</formula>
    </cfRule>
  </conditionalFormatting>
  <conditionalFormatting sqref="G1056:K1056">
    <cfRule type="notContainsBlanks" dxfId="6440" priority="6673">
      <formula>LEN(TRIM(G1056))&gt;0</formula>
    </cfRule>
  </conditionalFormatting>
  <conditionalFormatting sqref="G1056:K1056">
    <cfRule type="notContainsBlanks" dxfId="6439" priority="6672">
      <formula>LEN(TRIM(G1056))&gt;0</formula>
    </cfRule>
  </conditionalFormatting>
  <conditionalFormatting sqref="G1056:K1056">
    <cfRule type="notContainsBlanks" dxfId="6438" priority="6671">
      <formula>LEN(TRIM(G1056))&gt;0</formula>
    </cfRule>
  </conditionalFormatting>
  <conditionalFormatting sqref="G1056:K1056">
    <cfRule type="notContainsBlanks" dxfId="6437" priority="6670">
      <formula>LEN(TRIM(G1056))&gt;0</formula>
    </cfRule>
  </conditionalFormatting>
  <conditionalFormatting sqref="G1056:K1056">
    <cfRule type="notContainsBlanks" dxfId="6436" priority="6669">
      <formula>LEN(TRIM(G1056))&gt;0</formula>
    </cfRule>
  </conditionalFormatting>
  <conditionalFormatting sqref="G1056:K1056">
    <cfRule type="notContainsBlanks" dxfId="6435" priority="6668">
      <formula>LEN(TRIM(G1056))&gt;0</formula>
    </cfRule>
  </conditionalFormatting>
  <conditionalFormatting sqref="G1056:K1056">
    <cfRule type="notContainsBlanks" dxfId="6434" priority="6667">
      <formula>LEN(TRIM(G1056))&gt;0</formula>
    </cfRule>
  </conditionalFormatting>
  <conditionalFormatting sqref="G1056:K1056">
    <cfRule type="notContainsBlanks" dxfId="6433" priority="6666">
      <formula>LEN(TRIM(G1056))&gt;0</formula>
    </cfRule>
  </conditionalFormatting>
  <conditionalFormatting sqref="G1056:K1056">
    <cfRule type="notContainsBlanks" dxfId="6432" priority="6665">
      <formula>LEN(TRIM(G1056))&gt;0</formula>
    </cfRule>
  </conditionalFormatting>
  <conditionalFormatting sqref="G1056:K1056">
    <cfRule type="notContainsBlanks" priority="6664">
      <formula>LEN(TRIM(G1056))&gt;0</formula>
    </cfRule>
  </conditionalFormatting>
  <conditionalFormatting sqref="G1056:K1056">
    <cfRule type="notContainsBlanks" dxfId="6431" priority="6663">
      <formula>LEN(TRIM(G1056))&gt;0</formula>
    </cfRule>
  </conditionalFormatting>
  <conditionalFormatting sqref="G1056:K1056">
    <cfRule type="notContainsBlanks" dxfId="6430" priority="6662">
      <formula>LEN(TRIM(G1056))&gt;0</formula>
    </cfRule>
  </conditionalFormatting>
  <conditionalFormatting sqref="G1056:K1056">
    <cfRule type="notContainsBlanks" dxfId="6429" priority="6661">
      <formula>LEN(TRIM(G1056))&gt;0</formula>
    </cfRule>
  </conditionalFormatting>
  <conditionalFormatting sqref="G1056:K1056">
    <cfRule type="notContainsBlanks" dxfId="6428" priority="6660">
      <formula>LEN(TRIM(G1056))&gt;0</formula>
    </cfRule>
  </conditionalFormatting>
  <conditionalFormatting sqref="G1056:K1056">
    <cfRule type="notContainsBlanks" dxfId="6427" priority="6659">
      <formula>LEN(TRIM(G1056))&gt;0</formula>
    </cfRule>
  </conditionalFormatting>
  <conditionalFormatting sqref="G1069">
    <cfRule type="notContainsBlanks" dxfId="6426" priority="6658">
      <formula>LEN(TRIM(G1069))&gt;0</formula>
    </cfRule>
  </conditionalFormatting>
  <conditionalFormatting sqref="H1069:K1069">
    <cfRule type="notContainsBlanks" dxfId="6425" priority="6657">
      <formula>LEN(TRIM(H1069))&gt;0</formula>
    </cfRule>
  </conditionalFormatting>
  <conditionalFormatting sqref="G1069:K1069">
    <cfRule type="notContainsBlanks" dxfId="6424" priority="6656">
      <formula>LEN(TRIM(G1069))&gt;0</formula>
    </cfRule>
  </conditionalFormatting>
  <conditionalFormatting sqref="G1069:K1069">
    <cfRule type="notContainsBlanks" dxfId="6423" priority="6655">
      <formula>LEN(TRIM(G1069))&gt;0</formula>
    </cfRule>
  </conditionalFormatting>
  <conditionalFormatting sqref="G1069:K1069">
    <cfRule type="notContainsBlanks" dxfId="6422" priority="6654">
      <formula>LEN(TRIM(G1069))&gt;0</formula>
    </cfRule>
  </conditionalFormatting>
  <conditionalFormatting sqref="G1069:K1069">
    <cfRule type="notContainsBlanks" dxfId="6421" priority="6653">
      <formula>LEN(TRIM(G1069))&gt;0</formula>
    </cfRule>
  </conditionalFormatting>
  <conditionalFormatting sqref="G1069:K1069">
    <cfRule type="notContainsBlanks" dxfId="6420" priority="6652">
      <formula>LEN(TRIM(G1069))&gt;0</formula>
    </cfRule>
  </conditionalFormatting>
  <conditionalFormatting sqref="G1069:K1069">
    <cfRule type="notContainsBlanks" dxfId="6419" priority="6651">
      <formula>LEN(TRIM(G1069))&gt;0</formula>
    </cfRule>
  </conditionalFormatting>
  <conditionalFormatting sqref="G1069:K1069">
    <cfRule type="notContainsBlanks" dxfId="6418" priority="6650">
      <formula>LEN(TRIM(G1069))&gt;0</formula>
    </cfRule>
  </conditionalFormatting>
  <conditionalFormatting sqref="G1069:K1069">
    <cfRule type="notContainsBlanks" dxfId="6417" priority="6649">
      <formula>LEN(TRIM(G1069))&gt;0</formula>
    </cfRule>
  </conditionalFormatting>
  <conditionalFormatting sqref="G1069:K1069">
    <cfRule type="notContainsBlanks" dxfId="6416" priority="6648">
      <formula>LEN(TRIM(G1069))&gt;0</formula>
    </cfRule>
  </conditionalFormatting>
  <conditionalFormatting sqref="G1069:K1069">
    <cfRule type="notContainsBlanks" dxfId="6415" priority="6646">
      <formula>LEN(TRIM(G1069))&gt;0</formula>
    </cfRule>
    <cfRule type="notContainsBlanks" dxfId="6414" priority="6647">
      <formula>LEN(TRIM(G1069))&gt;0</formula>
    </cfRule>
  </conditionalFormatting>
  <conditionalFormatting sqref="G1069:K1069">
    <cfRule type="notContainsBlanks" dxfId="6413" priority="6645">
      <formula>LEN(TRIM(G1069))&gt;0</formula>
    </cfRule>
  </conditionalFormatting>
  <conditionalFormatting sqref="G1069:K1069">
    <cfRule type="notContainsBlanks" dxfId="6412" priority="6644">
      <formula>LEN(TRIM(G1069))&gt;0</formula>
    </cfRule>
  </conditionalFormatting>
  <conditionalFormatting sqref="G1069:K1069">
    <cfRule type="notContainsBlanks" dxfId="6411" priority="6643">
      <formula>LEN(TRIM(G1069))&gt;0</formula>
    </cfRule>
  </conditionalFormatting>
  <conditionalFormatting sqref="G1069:K1069">
    <cfRule type="notContainsBlanks" dxfId="6410" priority="6642">
      <formula>LEN(TRIM(G1069))&gt;0</formula>
    </cfRule>
  </conditionalFormatting>
  <conditionalFormatting sqref="G1069:K1069">
    <cfRule type="notContainsBlanks" dxfId="6409" priority="6641">
      <formula>LEN(TRIM(G1069))&gt;0</formula>
    </cfRule>
  </conditionalFormatting>
  <conditionalFormatting sqref="G1069:K1069">
    <cfRule type="notContainsBlanks" dxfId="6408" priority="6640">
      <formula>LEN(TRIM(G1069))&gt;0</formula>
    </cfRule>
  </conditionalFormatting>
  <conditionalFormatting sqref="G1069:K1069">
    <cfRule type="notContainsBlanks" dxfId="6407" priority="6639">
      <formula>LEN(TRIM(G1069))&gt;0</formula>
    </cfRule>
  </conditionalFormatting>
  <conditionalFormatting sqref="G1069:K1069">
    <cfRule type="notContainsBlanks" dxfId="6406" priority="6638">
      <formula>LEN(TRIM(G1069))&gt;0</formula>
    </cfRule>
  </conditionalFormatting>
  <conditionalFormatting sqref="G1069:K1069">
    <cfRule type="notContainsBlanks" dxfId="6405" priority="6637">
      <formula>LEN(TRIM(G1069))&gt;0</formula>
    </cfRule>
  </conditionalFormatting>
  <conditionalFormatting sqref="G1069:K1069">
    <cfRule type="notContainsBlanks" priority="6636">
      <formula>LEN(TRIM(G1069))&gt;0</formula>
    </cfRule>
  </conditionalFormatting>
  <conditionalFormatting sqref="G1069:K1069">
    <cfRule type="notContainsBlanks" dxfId="6404" priority="6635">
      <formula>LEN(TRIM(G1069))&gt;0</formula>
    </cfRule>
  </conditionalFormatting>
  <conditionalFormatting sqref="G1069:K1069">
    <cfRule type="notContainsBlanks" dxfId="6403" priority="6634">
      <formula>LEN(TRIM(G1069))&gt;0</formula>
    </cfRule>
  </conditionalFormatting>
  <conditionalFormatting sqref="G1069:K1069">
    <cfRule type="notContainsBlanks" dxfId="6402" priority="6633">
      <formula>LEN(TRIM(G1069))&gt;0</formula>
    </cfRule>
  </conditionalFormatting>
  <conditionalFormatting sqref="G1069:K1069">
    <cfRule type="notContainsBlanks" dxfId="6401" priority="6632">
      <formula>LEN(TRIM(G1069))&gt;0</formula>
    </cfRule>
  </conditionalFormatting>
  <conditionalFormatting sqref="G1069:K1069">
    <cfRule type="notContainsBlanks" dxfId="6400" priority="6631">
      <formula>LEN(TRIM(G1069))&gt;0</formula>
    </cfRule>
  </conditionalFormatting>
  <conditionalFormatting sqref="G1082">
    <cfRule type="notContainsBlanks" dxfId="6399" priority="6630">
      <formula>LEN(TRIM(G1082))&gt;0</formula>
    </cfRule>
  </conditionalFormatting>
  <conditionalFormatting sqref="H1082:K1082">
    <cfRule type="notContainsBlanks" dxfId="6398" priority="6629">
      <formula>LEN(TRIM(H1082))&gt;0</formula>
    </cfRule>
  </conditionalFormatting>
  <conditionalFormatting sqref="G1082:K1082">
    <cfRule type="notContainsBlanks" dxfId="6397" priority="6628">
      <formula>LEN(TRIM(G1082))&gt;0</formula>
    </cfRule>
  </conditionalFormatting>
  <conditionalFormatting sqref="G1082:K1082">
    <cfRule type="notContainsBlanks" dxfId="6396" priority="6627">
      <formula>LEN(TRIM(G1082))&gt;0</formula>
    </cfRule>
  </conditionalFormatting>
  <conditionalFormatting sqref="G1082:K1082">
    <cfRule type="notContainsBlanks" dxfId="6395" priority="6626">
      <formula>LEN(TRIM(G1082))&gt;0</formula>
    </cfRule>
  </conditionalFormatting>
  <conditionalFormatting sqref="G1082:K1082">
    <cfRule type="notContainsBlanks" dxfId="6394" priority="6625">
      <formula>LEN(TRIM(G1082))&gt;0</formula>
    </cfRule>
  </conditionalFormatting>
  <conditionalFormatting sqref="G1082:K1082">
    <cfRule type="notContainsBlanks" dxfId="6393" priority="6624">
      <formula>LEN(TRIM(G1082))&gt;0</formula>
    </cfRule>
  </conditionalFormatting>
  <conditionalFormatting sqref="G1082:K1082">
    <cfRule type="notContainsBlanks" dxfId="6392" priority="6623">
      <formula>LEN(TRIM(G1082))&gt;0</formula>
    </cfRule>
  </conditionalFormatting>
  <conditionalFormatting sqref="G1082:K1082">
    <cfRule type="notContainsBlanks" dxfId="6391" priority="6622">
      <formula>LEN(TRIM(G1082))&gt;0</formula>
    </cfRule>
  </conditionalFormatting>
  <conditionalFormatting sqref="G1082:K1082">
    <cfRule type="notContainsBlanks" dxfId="6390" priority="6621">
      <formula>LEN(TRIM(G1082))&gt;0</formula>
    </cfRule>
  </conditionalFormatting>
  <conditionalFormatting sqref="G1082:K1082">
    <cfRule type="notContainsBlanks" dxfId="6389" priority="6620">
      <formula>LEN(TRIM(G1082))&gt;0</formula>
    </cfRule>
  </conditionalFormatting>
  <conditionalFormatting sqref="G1082:K1082">
    <cfRule type="notContainsBlanks" dxfId="6388" priority="6618">
      <formula>LEN(TRIM(G1082))&gt;0</formula>
    </cfRule>
    <cfRule type="notContainsBlanks" dxfId="6387" priority="6619">
      <formula>LEN(TRIM(G1082))&gt;0</formula>
    </cfRule>
  </conditionalFormatting>
  <conditionalFormatting sqref="G1082:K1082">
    <cfRule type="notContainsBlanks" dxfId="6386" priority="6617">
      <formula>LEN(TRIM(G1082))&gt;0</formula>
    </cfRule>
  </conditionalFormatting>
  <conditionalFormatting sqref="G1082:K1082">
    <cfRule type="notContainsBlanks" dxfId="6385" priority="6616">
      <formula>LEN(TRIM(G1082))&gt;0</formula>
    </cfRule>
  </conditionalFormatting>
  <conditionalFormatting sqref="G1082:K1082">
    <cfRule type="notContainsBlanks" dxfId="6384" priority="6615">
      <formula>LEN(TRIM(G1082))&gt;0</formula>
    </cfRule>
  </conditionalFormatting>
  <conditionalFormatting sqref="G1082:K1082">
    <cfRule type="notContainsBlanks" dxfId="6383" priority="6614">
      <formula>LEN(TRIM(G1082))&gt;0</formula>
    </cfRule>
  </conditionalFormatting>
  <conditionalFormatting sqref="G1082:K1082">
    <cfRule type="notContainsBlanks" dxfId="6382" priority="6613">
      <formula>LEN(TRIM(G1082))&gt;0</formula>
    </cfRule>
  </conditionalFormatting>
  <conditionalFormatting sqref="G1082:K1082">
    <cfRule type="notContainsBlanks" dxfId="6381" priority="6612">
      <formula>LEN(TRIM(G1082))&gt;0</formula>
    </cfRule>
  </conditionalFormatting>
  <conditionalFormatting sqref="G1082:K1082">
    <cfRule type="notContainsBlanks" dxfId="6380" priority="6611">
      <formula>LEN(TRIM(G1082))&gt;0</formula>
    </cfRule>
  </conditionalFormatting>
  <conditionalFormatting sqref="G1082:K1082">
    <cfRule type="notContainsBlanks" dxfId="6379" priority="6610">
      <formula>LEN(TRIM(G1082))&gt;0</formula>
    </cfRule>
  </conditionalFormatting>
  <conditionalFormatting sqref="G1082:K1082">
    <cfRule type="notContainsBlanks" dxfId="6378" priority="6609">
      <formula>LEN(TRIM(G1082))&gt;0</formula>
    </cfRule>
  </conditionalFormatting>
  <conditionalFormatting sqref="G1082:K1082">
    <cfRule type="notContainsBlanks" priority="6608">
      <formula>LEN(TRIM(G1082))&gt;0</formula>
    </cfRule>
  </conditionalFormatting>
  <conditionalFormatting sqref="G1082:K1082">
    <cfRule type="notContainsBlanks" dxfId="6377" priority="6607">
      <formula>LEN(TRIM(G1082))&gt;0</formula>
    </cfRule>
  </conditionalFormatting>
  <conditionalFormatting sqref="G1082:K1082">
    <cfRule type="notContainsBlanks" dxfId="6376" priority="6606">
      <formula>LEN(TRIM(G1082))&gt;0</formula>
    </cfRule>
  </conditionalFormatting>
  <conditionalFormatting sqref="G1082:K1082">
    <cfRule type="notContainsBlanks" dxfId="6375" priority="6605">
      <formula>LEN(TRIM(G1082))&gt;0</formula>
    </cfRule>
  </conditionalFormatting>
  <conditionalFormatting sqref="G1082:K1082">
    <cfRule type="notContainsBlanks" dxfId="6374" priority="6604">
      <formula>LEN(TRIM(G1082))&gt;0</formula>
    </cfRule>
  </conditionalFormatting>
  <conditionalFormatting sqref="G1082:K1082">
    <cfRule type="notContainsBlanks" dxfId="6373" priority="6603">
      <formula>LEN(TRIM(G1082))&gt;0</formula>
    </cfRule>
  </conditionalFormatting>
  <conditionalFormatting sqref="G1095">
    <cfRule type="notContainsBlanks" dxfId="6372" priority="6602">
      <formula>LEN(TRIM(G1095))&gt;0</formula>
    </cfRule>
  </conditionalFormatting>
  <conditionalFormatting sqref="H1095:K1095">
    <cfRule type="notContainsBlanks" dxfId="6371" priority="6601">
      <formula>LEN(TRIM(H1095))&gt;0</formula>
    </cfRule>
  </conditionalFormatting>
  <conditionalFormatting sqref="G1095:K1095">
    <cfRule type="notContainsBlanks" dxfId="6370" priority="6600">
      <formula>LEN(TRIM(G1095))&gt;0</formula>
    </cfRule>
  </conditionalFormatting>
  <conditionalFormatting sqref="G1095:K1095">
    <cfRule type="notContainsBlanks" dxfId="6369" priority="6599">
      <formula>LEN(TRIM(G1095))&gt;0</formula>
    </cfRule>
  </conditionalFormatting>
  <conditionalFormatting sqref="G1095:K1095">
    <cfRule type="notContainsBlanks" dxfId="6368" priority="6598">
      <formula>LEN(TRIM(G1095))&gt;0</formula>
    </cfRule>
  </conditionalFormatting>
  <conditionalFormatting sqref="G1095:K1095">
    <cfRule type="notContainsBlanks" dxfId="6367" priority="6597">
      <formula>LEN(TRIM(G1095))&gt;0</formula>
    </cfRule>
  </conditionalFormatting>
  <conditionalFormatting sqref="G1095:K1095">
    <cfRule type="notContainsBlanks" dxfId="6366" priority="6596">
      <formula>LEN(TRIM(G1095))&gt;0</formula>
    </cfRule>
  </conditionalFormatting>
  <conditionalFormatting sqref="G1095:K1095">
    <cfRule type="notContainsBlanks" dxfId="6365" priority="6595">
      <formula>LEN(TRIM(G1095))&gt;0</formula>
    </cfRule>
  </conditionalFormatting>
  <conditionalFormatting sqref="G1095:K1095">
    <cfRule type="notContainsBlanks" dxfId="6364" priority="6594">
      <formula>LEN(TRIM(G1095))&gt;0</formula>
    </cfRule>
  </conditionalFormatting>
  <conditionalFormatting sqref="G1095:K1095">
    <cfRule type="notContainsBlanks" dxfId="6363" priority="6593">
      <formula>LEN(TRIM(G1095))&gt;0</formula>
    </cfRule>
  </conditionalFormatting>
  <conditionalFormatting sqref="G1095:K1095">
    <cfRule type="notContainsBlanks" dxfId="6362" priority="6592">
      <formula>LEN(TRIM(G1095))&gt;0</formula>
    </cfRule>
  </conditionalFormatting>
  <conditionalFormatting sqref="G1095:K1095">
    <cfRule type="notContainsBlanks" dxfId="6361" priority="6590">
      <formula>LEN(TRIM(G1095))&gt;0</formula>
    </cfRule>
    <cfRule type="notContainsBlanks" dxfId="6360" priority="6591">
      <formula>LEN(TRIM(G1095))&gt;0</formula>
    </cfRule>
  </conditionalFormatting>
  <conditionalFormatting sqref="G1095:K1095">
    <cfRule type="notContainsBlanks" dxfId="6359" priority="6589">
      <formula>LEN(TRIM(G1095))&gt;0</formula>
    </cfRule>
  </conditionalFormatting>
  <conditionalFormatting sqref="G1095:K1095">
    <cfRule type="notContainsBlanks" dxfId="6358" priority="6588">
      <formula>LEN(TRIM(G1095))&gt;0</formula>
    </cfRule>
  </conditionalFormatting>
  <conditionalFormatting sqref="G1095:K1095">
    <cfRule type="notContainsBlanks" dxfId="6357" priority="6587">
      <formula>LEN(TRIM(G1095))&gt;0</formula>
    </cfRule>
  </conditionalFormatting>
  <conditionalFormatting sqref="G1095:K1095">
    <cfRule type="notContainsBlanks" dxfId="6356" priority="6586">
      <formula>LEN(TRIM(G1095))&gt;0</formula>
    </cfRule>
  </conditionalFormatting>
  <conditionalFormatting sqref="G1095:K1095">
    <cfRule type="notContainsBlanks" dxfId="6355" priority="6585">
      <formula>LEN(TRIM(G1095))&gt;0</formula>
    </cfRule>
  </conditionalFormatting>
  <conditionalFormatting sqref="G1095:K1095">
    <cfRule type="notContainsBlanks" dxfId="6354" priority="6584">
      <formula>LEN(TRIM(G1095))&gt;0</formula>
    </cfRule>
  </conditionalFormatting>
  <conditionalFormatting sqref="G1095:K1095">
    <cfRule type="notContainsBlanks" dxfId="6353" priority="6583">
      <formula>LEN(TRIM(G1095))&gt;0</formula>
    </cfRule>
  </conditionalFormatting>
  <conditionalFormatting sqref="G1095:K1095">
    <cfRule type="notContainsBlanks" dxfId="6352" priority="6582">
      <formula>LEN(TRIM(G1095))&gt;0</formula>
    </cfRule>
  </conditionalFormatting>
  <conditionalFormatting sqref="G1095:K1095">
    <cfRule type="notContainsBlanks" dxfId="6351" priority="6581">
      <formula>LEN(TRIM(G1095))&gt;0</formula>
    </cfRule>
  </conditionalFormatting>
  <conditionalFormatting sqref="G1095:K1095">
    <cfRule type="notContainsBlanks" priority="6580">
      <formula>LEN(TRIM(G1095))&gt;0</formula>
    </cfRule>
  </conditionalFormatting>
  <conditionalFormatting sqref="G1095:K1095">
    <cfRule type="notContainsBlanks" dxfId="6350" priority="6579">
      <formula>LEN(TRIM(G1095))&gt;0</formula>
    </cfRule>
  </conditionalFormatting>
  <conditionalFormatting sqref="G1095:K1095">
    <cfRule type="notContainsBlanks" dxfId="6349" priority="6578">
      <formula>LEN(TRIM(G1095))&gt;0</formula>
    </cfRule>
  </conditionalFormatting>
  <conditionalFormatting sqref="G1095:K1095">
    <cfRule type="notContainsBlanks" dxfId="6348" priority="6577">
      <formula>LEN(TRIM(G1095))&gt;0</formula>
    </cfRule>
  </conditionalFormatting>
  <conditionalFormatting sqref="G1095:K1095">
    <cfRule type="notContainsBlanks" dxfId="6347" priority="6576">
      <formula>LEN(TRIM(G1095))&gt;0</formula>
    </cfRule>
  </conditionalFormatting>
  <conditionalFormatting sqref="G1095:K1095">
    <cfRule type="notContainsBlanks" dxfId="6346" priority="6575">
      <formula>LEN(TRIM(G1095))&gt;0</formula>
    </cfRule>
  </conditionalFormatting>
  <conditionalFormatting sqref="G1108">
    <cfRule type="notContainsBlanks" dxfId="6345" priority="6574">
      <formula>LEN(TRIM(G1108))&gt;0</formula>
    </cfRule>
  </conditionalFormatting>
  <conditionalFormatting sqref="H1108:K1108">
    <cfRule type="notContainsBlanks" dxfId="6344" priority="6573">
      <formula>LEN(TRIM(H1108))&gt;0</formula>
    </cfRule>
  </conditionalFormatting>
  <conditionalFormatting sqref="G1108:K1108">
    <cfRule type="notContainsBlanks" dxfId="6343" priority="6572">
      <formula>LEN(TRIM(G1108))&gt;0</formula>
    </cfRule>
  </conditionalFormatting>
  <conditionalFormatting sqref="G1108:K1108">
    <cfRule type="notContainsBlanks" dxfId="6342" priority="6571">
      <formula>LEN(TRIM(G1108))&gt;0</formula>
    </cfRule>
  </conditionalFormatting>
  <conditionalFormatting sqref="G1108:K1108">
    <cfRule type="notContainsBlanks" dxfId="6341" priority="6570">
      <formula>LEN(TRIM(G1108))&gt;0</formula>
    </cfRule>
  </conditionalFormatting>
  <conditionalFormatting sqref="G1108:K1108">
    <cfRule type="notContainsBlanks" dxfId="6340" priority="6569">
      <formula>LEN(TRIM(G1108))&gt;0</formula>
    </cfRule>
  </conditionalFormatting>
  <conditionalFormatting sqref="G1108:K1108">
    <cfRule type="notContainsBlanks" dxfId="6339" priority="6568">
      <formula>LEN(TRIM(G1108))&gt;0</formula>
    </cfRule>
  </conditionalFormatting>
  <conditionalFormatting sqref="G1108:K1108">
    <cfRule type="notContainsBlanks" dxfId="6338" priority="6567">
      <formula>LEN(TRIM(G1108))&gt;0</formula>
    </cfRule>
  </conditionalFormatting>
  <conditionalFormatting sqref="G1108:K1108">
    <cfRule type="notContainsBlanks" dxfId="6337" priority="6566">
      <formula>LEN(TRIM(G1108))&gt;0</formula>
    </cfRule>
  </conditionalFormatting>
  <conditionalFormatting sqref="G1108:K1108">
    <cfRule type="notContainsBlanks" dxfId="6336" priority="6565">
      <formula>LEN(TRIM(G1108))&gt;0</formula>
    </cfRule>
  </conditionalFormatting>
  <conditionalFormatting sqref="G1108:K1108">
    <cfRule type="notContainsBlanks" dxfId="6335" priority="6564">
      <formula>LEN(TRIM(G1108))&gt;0</formula>
    </cfRule>
  </conditionalFormatting>
  <conditionalFormatting sqref="G1108:K1108">
    <cfRule type="notContainsBlanks" dxfId="6334" priority="6562">
      <formula>LEN(TRIM(G1108))&gt;0</formula>
    </cfRule>
    <cfRule type="notContainsBlanks" dxfId="6333" priority="6563">
      <formula>LEN(TRIM(G1108))&gt;0</formula>
    </cfRule>
  </conditionalFormatting>
  <conditionalFormatting sqref="G1108:K1108">
    <cfRule type="notContainsBlanks" dxfId="6332" priority="6561">
      <formula>LEN(TRIM(G1108))&gt;0</formula>
    </cfRule>
  </conditionalFormatting>
  <conditionalFormatting sqref="G1108:K1108">
    <cfRule type="notContainsBlanks" dxfId="6331" priority="6560">
      <formula>LEN(TRIM(G1108))&gt;0</formula>
    </cfRule>
  </conditionalFormatting>
  <conditionalFormatting sqref="G1108:K1108">
    <cfRule type="notContainsBlanks" dxfId="6330" priority="6559">
      <formula>LEN(TRIM(G1108))&gt;0</formula>
    </cfRule>
  </conditionalFormatting>
  <conditionalFormatting sqref="G1108:K1108">
    <cfRule type="notContainsBlanks" dxfId="6329" priority="6558">
      <formula>LEN(TRIM(G1108))&gt;0</formula>
    </cfRule>
  </conditionalFormatting>
  <conditionalFormatting sqref="G1108:K1108">
    <cfRule type="notContainsBlanks" dxfId="6328" priority="6557">
      <formula>LEN(TRIM(G1108))&gt;0</formula>
    </cfRule>
  </conditionalFormatting>
  <conditionalFormatting sqref="G1108:K1108">
    <cfRule type="notContainsBlanks" dxfId="6327" priority="6556">
      <formula>LEN(TRIM(G1108))&gt;0</formula>
    </cfRule>
  </conditionalFormatting>
  <conditionalFormatting sqref="G1108:K1108">
    <cfRule type="notContainsBlanks" dxfId="6326" priority="6555">
      <formula>LEN(TRIM(G1108))&gt;0</formula>
    </cfRule>
  </conditionalFormatting>
  <conditionalFormatting sqref="G1108:K1108">
    <cfRule type="notContainsBlanks" dxfId="6325" priority="6554">
      <formula>LEN(TRIM(G1108))&gt;0</formula>
    </cfRule>
  </conditionalFormatting>
  <conditionalFormatting sqref="G1108:K1108">
    <cfRule type="notContainsBlanks" dxfId="6324" priority="6553">
      <formula>LEN(TRIM(G1108))&gt;0</formula>
    </cfRule>
  </conditionalFormatting>
  <conditionalFormatting sqref="G1108:K1108">
    <cfRule type="notContainsBlanks" priority="6552">
      <formula>LEN(TRIM(G1108))&gt;0</formula>
    </cfRule>
  </conditionalFormatting>
  <conditionalFormatting sqref="G1108:K1108">
    <cfRule type="notContainsBlanks" dxfId="6323" priority="6551">
      <formula>LEN(TRIM(G1108))&gt;0</formula>
    </cfRule>
  </conditionalFormatting>
  <conditionalFormatting sqref="G1108:K1108">
    <cfRule type="notContainsBlanks" dxfId="6322" priority="6550">
      <formula>LEN(TRIM(G1108))&gt;0</formula>
    </cfRule>
  </conditionalFormatting>
  <conditionalFormatting sqref="G1108:K1108">
    <cfRule type="notContainsBlanks" dxfId="6321" priority="6549">
      <formula>LEN(TRIM(G1108))&gt;0</formula>
    </cfRule>
  </conditionalFormatting>
  <conditionalFormatting sqref="G1108:K1108">
    <cfRule type="notContainsBlanks" dxfId="6320" priority="6548">
      <formula>LEN(TRIM(G1108))&gt;0</formula>
    </cfRule>
  </conditionalFormatting>
  <conditionalFormatting sqref="G1108:K1108">
    <cfRule type="notContainsBlanks" dxfId="6319" priority="6547">
      <formula>LEN(TRIM(G1108))&gt;0</formula>
    </cfRule>
  </conditionalFormatting>
  <conditionalFormatting sqref="G1121">
    <cfRule type="notContainsBlanks" dxfId="6318" priority="6546">
      <formula>LEN(TRIM(G1121))&gt;0</formula>
    </cfRule>
  </conditionalFormatting>
  <conditionalFormatting sqref="H1121:K1121">
    <cfRule type="notContainsBlanks" dxfId="6317" priority="6545">
      <formula>LEN(TRIM(H1121))&gt;0</formula>
    </cfRule>
  </conditionalFormatting>
  <conditionalFormatting sqref="G1121:K1121">
    <cfRule type="notContainsBlanks" dxfId="6316" priority="6544">
      <formula>LEN(TRIM(G1121))&gt;0</formula>
    </cfRule>
  </conditionalFormatting>
  <conditionalFormatting sqref="G1121:K1121">
    <cfRule type="notContainsBlanks" dxfId="6315" priority="6543">
      <formula>LEN(TRIM(G1121))&gt;0</formula>
    </cfRule>
  </conditionalFormatting>
  <conditionalFormatting sqref="G1121:K1121">
    <cfRule type="notContainsBlanks" dxfId="6314" priority="6542">
      <formula>LEN(TRIM(G1121))&gt;0</formula>
    </cfRule>
  </conditionalFormatting>
  <conditionalFormatting sqref="G1121:K1121">
    <cfRule type="notContainsBlanks" dxfId="6313" priority="6541">
      <formula>LEN(TRIM(G1121))&gt;0</formula>
    </cfRule>
  </conditionalFormatting>
  <conditionalFormatting sqref="G1121:K1121">
    <cfRule type="notContainsBlanks" dxfId="6312" priority="6540">
      <formula>LEN(TRIM(G1121))&gt;0</formula>
    </cfRule>
  </conditionalFormatting>
  <conditionalFormatting sqref="G1121:K1121">
    <cfRule type="notContainsBlanks" dxfId="6311" priority="6539">
      <formula>LEN(TRIM(G1121))&gt;0</formula>
    </cfRule>
  </conditionalFormatting>
  <conditionalFormatting sqref="G1121:K1121">
    <cfRule type="notContainsBlanks" dxfId="6310" priority="6538">
      <formula>LEN(TRIM(G1121))&gt;0</formula>
    </cfRule>
  </conditionalFormatting>
  <conditionalFormatting sqref="G1121:K1121">
    <cfRule type="notContainsBlanks" dxfId="6309" priority="6537">
      <formula>LEN(TRIM(G1121))&gt;0</formula>
    </cfRule>
  </conditionalFormatting>
  <conditionalFormatting sqref="G1121:K1121">
    <cfRule type="notContainsBlanks" dxfId="6308" priority="6536">
      <formula>LEN(TRIM(G1121))&gt;0</formula>
    </cfRule>
  </conditionalFormatting>
  <conditionalFormatting sqref="G1121:K1121">
    <cfRule type="notContainsBlanks" dxfId="6307" priority="6534">
      <formula>LEN(TRIM(G1121))&gt;0</formula>
    </cfRule>
    <cfRule type="notContainsBlanks" dxfId="6306" priority="6535">
      <formula>LEN(TRIM(G1121))&gt;0</formula>
    </cfRule>
  </conditionalFormatting>
  <conditionalFormatting sqref="G1121:K1121">
    <cfRule type="notContainsBlanks" dxfId="6305" priority="6533">
      <formula>LEN(TRIM(G1121))&gt;0</formula>
    </cfRule>
  </conditionalFormatting>
  <conditionalFormatting sqref="G1121:K1121">
    <cfRule type="notContainsBlanks" dxfId="6304" priority="6532">
      <formula>LEN(TRIM(G1121))&gt;0</formula>
    </cfRule>
  </conditionalFormatting>
  <conditionalFormatting sqref="G1121:K1121">
    <cfRule type="notContainsBlanks" dxfId="6303" priority="6531">
      <formula>LEN(TRIM(G1121))&gt;0</formula>
    </cfRule>
  </conditionalFormatting>
  <conditionalFormatting sqref="G1121:K1121">
    <cfRule type="notContainsBlanks" dxfId="6302" priority="6530">
      <formula>LEN(TRIM(G1121))&gt;0</formula>
    </cfRule>
  </conditionalFormatting>
  <conditionalFormatting sqref="G1121:K1121">
    <cfRule type="notContainsBlanks" dxfId="6301" priority="6529">
      <formula>LEN(TRIM(G1121))&gt;0</formula>
    </cfRule>
  </conditionalFormatting>
  <conditionalFormatting sqref="G1121:K1121">
    <cfRule type="notContainsBlanks" dxfId="6300" priority="6528">
      <formula>LEN(TRIM(G1121))&gt;0</formula>
    </cfRule>
  </conditionalFormatting>
  <conditionalFormatting sqref="G1121:K1121">
    <cfRule type="notContainsBlanks" dxfId="6299" priority="6527">
      <formula>LEN(TRIM(G1121))&gt;0</formula>
    </cfRule>
  </conditionalFormatting>
  <conditionalFormatting sqref="G1121:K1121">
    <cfRule type="notContainsBlanks" dxfId="6298" priority="6526">
      <formula>LEN(TRIM(G1121))&gt;0</formula>
    </cfRule>
  </conditionalFormatting>
  <conditionalFormatting sqref="G1121:K1121">
    <cfRule type="notContainsBlanks" dxfId="6297" priority="6525">
      <formula>LEN(TRIM(G1121))&gt;0</formula>
    </cfRule>
  </conditionalFormatting>
  <conditionalFormatting sqref="G1121:K1121">
    <cfRule type="notContainsBlanks" priority="6524">
      <formula>LEN(TRIM(G1121))&gt;0</formula>
    </cfRule>
  </conditionalFormatting>
  <conditionalFormatting sqref="G1121:K1121">
    <cfRule type="notContainsBlanks" dxfId="6296" priority="6523">
      <formula>LEN(TRIM(G1121))&gt;0</formula>
    </cfRule>
  </conditionalFormatting>
  <conditionalFormatting sqref="G1121:K1121">
    <cfRule type="notContainsBlanks" dxfId="6295" priority="6522">
      <formula>LEN(TRIM(G1121))&gt;0</formula>
    </cfRule>
  </conditionalFormatting>
  <conditionalFormatting sqref="G1121:K1121">
    <cfRule type="notContainsBlanks" dxfId="6294" priority="6521">
      <formula>LEN(TRIM(G1121))&gt;0</formula>
    </cfRule>
  </conditionalFormatting>
  <conditionalFormatting sqref="G1121:K1121">
    <cfRule type="notContainsBlanks" dxfId="6293" priority="6520">
      <formula>LEN(TRIM(G1121))&gt;0</formula>
    </cfRule>
  </conditionalFormatting>
  <conditionalFormatting sqref="G1121:K1121">
    <cfRule type="notContainsBlanks" dxfId="6292" priority="6519">
      <formula>LEN(TRIM(G1121))&gt;0</formula>
    </cfRule>
  </conditionalFormatting>
  <conditionalFormatting sqref="G1134">
    <cfRule type="notContainsBlanks" dxfId="6291" priority="6518">
      <formula>LEN(TRIM(G1134))&gt;0</formula>
    </cfRule>
  </conditionalFormatting>
  <conditionalFormatting sqref="H1134:K1134">
    <cfRule type="notContainsBlanks" dxfId="6290" priority="6517">
      <formula>LEN(TRIM(H1134))&gt;0</formula>
    </cfRule>
  </conditionalFormatting>
  <conditionalFormatting sqref="G1134:K1134">
    <cfRule type="notContainsBlanks" dxfId="6289" priority="6516">
      <formula>LEN(TRIM(G1134))&gt;0</formula>
    </cfRule>
  </conditionalFormatting>
  <conditionalFormatting sqref="G1134:K1134">
    <cfRule type="notContainsBlanks" dxfId="6288" priority="6515">
      <formula>LEN(TRIM(G1134))&gt;0</formula>
    </cfRule>
  </conditionalFormatting>
  <conditionalFormatting sqref="G1134:K1134">
    <cfRule type="notContainsBlanks" dxfId="6287" priority="6514">
      <formula>LEN(TRIM(G1134))&gt;0</formula>
    </cfRule>
  </conditionalFormatting>
  <conditionalFormatting sqref="G1134:K1134">
    <cfRule type="notContainsBlanks" dxfId="6286" priority="6513">
      <formula>LEN(TRIM(G1134))&gt;0</formula>
    </cfRule>
  </conditionalFormatting>
  <conditionalFormatting sqref="G1134:K1134">
    <cfRule type="notContainsBlanks" dxfId="6285" priority="6512">
      <formula>LEN(TRIM(G1134))&gt;0</formula>
    </cfRule>
  </conditionalFormatting>
  <conditionalFormatting sqref="G1134:K1134">
    <cfRule type="notContainsBlanks" dxfId="6284" priority="6511">
      <formula>LEN(TRIM(G1134))&gt;0</formula>
    </cfRule>
  </conditionalFormatting>
  <conditionalFormatting sqref="G1134:K1134">
    <cfRule type="notContainsBlanks" dxfId="6283" priority="6510">
      <formula>LEN(TRIM(G1134))&gt;0</formula>
    </cfRule>
  </conditionalFormatting>
  <conditionalFormatting sqref="G1134:K1134">
    <cfRule type="notContainsBlanks" dxfId="6282" priority="6509">
      <formula>LEN(TRIM(G1134))&gt;0</formula>
    </cfRule>
  </conditionalFormatting>
  <conditionalFormatting sqref="G1134:K1134">
    <cfRule type="notContainsBlanks" dxfId="6281" priority="6508">
      <formula>LEN(TRIM(G1134))&gt;0</formula>
    </cfRule>
  </conditionalFormatting>
  <conditionalFormatting sqref="G1134:K1134">
    <cfRule type="notContainsBlanks" dxfId="6280" priority="6506">
      <formula>LEN(TRIM(G1134))&gt;0</formula>
    </cfRule>
    <cfRule type="notContainsBlanks" dxfId="6279" priority="6507">
      <formula>LEN(TRIM(G1134))&gt;0</formula>
    </cfRule>
  </conditionalFormatting>
  <conditionalFormatting sqref="G1134:K1134">
    <cfRule type="notContainsBlanks" dxfId="6278" priority="6505">
      <formula>LEN(TRIM(G1134))&gt;0</formula>
    </cfRule>
  </conditionalFormatting>
  <conditionalFormatting sqref="G1134:K1134">
    <cfRule type="notContainsBlanks" dxfId="6277" priority="6504">
      <formula>LEN(TRIM(G1134))&gt;0</formula>
    </cfRule>
  </conditionalFormatting>
  <conditionalFormatting sqref="G1134:K1134">
    <cfRule type="notContainsBlanks" dxfId="6276" priority="6503">
      <formula>LEN(TRIM(G1134))&gt;0</formula>
    </cfRule>
  </conditionalFormatting>
  <conditionalFormatting sqref="G1134:K1134">
    <cfRule type="notContainsBlanks" dxfId="6275" priority="6502">
      <formula>LEN(TRIM(G1134))&gt;0</formula>
    </cfRule>
  </conditionalFormatting>
  <conditionalFormatting sqref="G1134:K1134">
    <cfRule type="notContainsBlanks" dxfId="6274" priority="6501">
      <formula>LEN(TRIM(G1134))&gt;0</formula>
    </cfRule>
  </conditionalFormatting>
  <conditionalFormatting sqref="G1134:K1134">
    <cfRule type="notContainsBlanks" dxfId="6273" priority="6500">
      <formula>LEN(TRIM(G1134))&gt;0</formula>
    </cfRule>
  </conditionalFormatting>
  <conditionalFormatting sqref="G1134:K1134">
    <cfRule type="notContainsBlanks" dxfId="6272" priority="6499">
      <formula>LEN(TRIM(G1134))&gt;0</formula>
    </cfRule>
  </conditionalFormatting>
  <conditionalFormatting sqref="G1134:K1134">
    <cfRule type="notContainsBlanks" dxfId="6271" priority="6498">
      <formula>LEN(TRIM(G1134))&gt;0</formula>
    </cfRule>
  </conditionalFormatting>
  <conditionalFormatting sqref="G1134:K1134">
    <cfRule type="notContainsBlanks" dxfId="6270" priority="6497">
      <formula>LEN(TRIM(G1134))&gt;0</formula>
    </cfRule>
  </conditionalFormatting>
  <conditionalFormatting sqref="G1134:K1134">
    <cfRule type="notContainsBlanks" priority="6496">
      <formula>LEN(TRIM(G1134))&gt;0</formula>
    </cfRule>
  </conditionalFormatting>
  <conditionalFormatting sqref="G1134:K1134">
    <cfRule type="notContainsBlanks" dxfId="6269" priority="6495">
      <formula>LEN(TRIM(G1134))&gt;0</formula>
    </cfRule>
  </conditionalFormatting>
  <conditionalFormatting sqref="G1134:K1134">
    <cfRule type="notContainsBlanks" dxfId="6268" priority="6494">
      <formula>LEN(TRIM(G1134))&gt;0</formula>
    </cfRule>
  </conditionalFormatting>
  <conditionalFormatting sqref="G1134:K1134">
    <cfRule type="notContainsBlanks" dxfId="6267" priority="6493">
      <formula>LEN(TRIM(G1134))&gt;0</formula>
    </cfRule>
  </conditionalFormatting>
  <conditionalFormatting sqref="G1134:K1134">
    <cfRule type="notContainsBlanks" dxfId="6266" priority="6492">
      <formula>LEN(TRIM(G1134))&gt;0</formula>
    </cfRule>
  </conditionalFormatting>
  <conditionalFormatting sqref="G1134:K1134">
    <cfRule type="notContainsBlanks" dxfId="6265" priority="6491">
      <formula>LEN(TRIM(G1134))&gt;0</formula>
    </cfRule>
  </conditionalFormatting>
  <conditionalFormatting sqref="G1147">
    <cfRule type="notContainsBlanks" dxfId="6264" priority="6490">
      <formula>LEN(TRIM(G1147))&gt;0</formula>
    </cfRule>
  </conditionalFormatting>
  <conditionalFormatting sqref="H1147:K1147">
    <cfRule type="notContainsBlanks" dxfId="6263" priority="6489">
      <formula>LEN(TRIM(H1147))&gt;0</formula>
    </cfRule>
  </conditionalFormatting>
  <conditionalFormatting sqref="G1147:K1147">
    <cfRule type="notContainsBlanks" dxfId="6262" priority="6488">
      <formula>LEN(TRIM(G1147))&gt;0</formula>
    </cfRule>
  </conditionalFormatting>
  <conditionalFormatting sqref="G1147:K1147">
    <cfRule type="notContainsBlanks" dxfId="6261" priority="6487">
      <formula>LEN(TRIM(G1147))&gt;0</formula>
    </cfRule>
  </conditionalFormatting>
  <conditionalFormatting sqref="G1147:K1147">
    <cfRule type="notContainsBlanks" dxfId="6260" priority="6486">
      <formula>LEN(TRIM(G1147))&gt;0</formula>
    </cfRule>
  </conditionalFormatting>
  <conditionalFormatting sqref="G1147:K1147">
    <cfRule type="notContainsBlanks" dxfId="6259" priority="6485">
      <formula>LEN(TRIM(G1147))&gt;0</formula>
    </cfRule>
  </conditionalFormatting>
  <conditionalFormatting sqref="G1147:K1147">
    <cfRule type="notContainsBlanks" dxfId="6258" priority="6484">
      <formula>LEN(TRIM(G1147))&gt;0</formula>
    </cfRule>
  </conditionalFormatting>
  <conditionalFormatting sqref="G1147:K1147">
    <cfRule type="notContainsBlanks" dxfId="6257" priority="6483">
      <formula>LEN(TRIM(G1147))&gt;0</formula>
    </cfRule>
  </conditionalFormatting>
  <conditionalFormatting sqref="G1147:K1147">
    <cfRule type="notContainsBlanks" dxfId="6256" priority="6482">
      <formula>LEN(TRIM(G1147))&gt;0</formula>
    </cfRule>
  </conditionalFormatting>
  <conditionalFormatting sqref="G1147:K1147">
    <cfRule type="notContainsBlanks" dxfId="6255" priority="6481">
      <formula>LEN(TRIM(G1147))&gt;0</formula>
    </cfRule>
  </conditionalFormatting>
  <conditionalFormatting sqref="G1147:K1147">
    <cfRule type="notContainsBlanks" dxfId="6254" priority="6480">
      <formula>LEN(TRIM(G1147))&gt;0</formula>
    </cfRule>
  </conditionalFormatting>
  <conditionalFormatting sqref="G1147:K1147">
    <cfRule type="notContainsBlanks" dxfId="6253" priority="6478">
      <formula>LEN(TRIM(G1147))&gt;0</formula>
    </cfRule>
    <cfRule type="notContainsBlanks" dxfId="6252" priority="6479">
      <formula>LEN(TRIM(G1147))&gt;0</formula>
    </cfRule>
  </conditionalFormatting>
  <conditionalFormatting sqref="G1147:K1147">
    <cfRule type="notContainsBlanks" dxfId="6251" priority="6477">
      <formula>LEN(TRIM(G1147))&gt;0</formula>
    </cfRule>
  </conditionalFormatting>
  <conditionalFormatting sqref="G1147:K1147">
    <cfRule type="notContainsBlanks" dxfId="6250" priority="6476">
      <formula>LEN(TRIM(G1147))&gt;0</formula>
    </cfRule>
  </conditionalFormatting>
  <conditionalFormatting sqref="G1147:K1147">
    <cfRule type="notContainsBlanks" dxfId="6249" priority="6475">
      <formula>LEN(TRIM(G1147))&gt;0</formula>
    </cfRule>
  </conditionalFormatting>
  <conditionalFormatting sqref="G1147:K1147">
    <cfRule type="notContainsBlanks" dxfId="6248" priority="6474">
      <formula>LEN(TRIM(G1147))&gt;0</formula>
    </cfRule>
  </conditionalFormatting>
  <conditionalFormatting sqref="G1147:K1147">
    <cfRule type="notContainsBlanks" dxfId="6247" priority="6473">
      <formula>LEN(TRIM(G1147))&gt;0</formula>
    </cfRule>
  </conditionalFormatting>
  <conditionalFormatting sqref="G1147:K1147">
    <cfRule type="notContainsBlanks" dxfId="6246" priority="6472">
      <formula>LEN(TRIM(G1147))&gt;0</formula>
    </cfRule>
  </conditionalFormatting>
  <conditionalFormatting sqref="G1147:K1147">
    <cfRule type="notContainsBlanks" dxfId="6245" priority="6471">
      <formula>LEN(TRIM(G1147))&gt;0</formula>
    </cfRule>
  </conditionalFormatting>
  <conditionalFormatting sqref="G1147:K1147">
    <cfRule type="notContainsBlanks" dxfId="6244" priority="6470">
      <formula>LEN(TRIM(G1147))&gt;0</formula>
    </cfRule>
  </conditionalFormatting>
  <conditionalFormatting sqref="G1147:K1147">
    <cfRule type="notContainsBlanks" dxfId="6243" priority="6469">
      <formula>LEN(TRIM(G1147))&gt;0</formula>
    </cfRule>
  </conditionalFormatting>
  <conditionalFormatting sqref="G1147:K1147">
    <cfRule type="notContainsBlanks" priority="6468">
      <formula>LEN(TRIM(G1147))&gt;0</formula>
    </cfRule>
  </conditionalFormatting>
  <conditionalFormatting sqref="G1147:K1147">
    <cfRule type="notContainsBlanks" dxfId="6242" priority="6467">
      <formula>LEN(TRIM(G1147))&gt;0</formula>
    </cfRule>
  </conditionalFormatting>
  <conditionalFormatting sqref="G1147:K1147">
    <cfRule type="notContainsBlanks" dxfId="6241" priority="6466">
      <formula>LEN(TRIM(G1147))&gt;0</formula>
    </cfRule>
  </conditionalFormatting>
  <conditionalFormatting sqref="G1147:K1147">
    <cfRule type="notContainsBlanks" dxfId="6240" priority="6465">
      <formula>LEN(TRIM(G1147))&gt;0</formula>
    </cfRule>
  </conditionalFormatting>
  <conditionalFormatting sqref="G1147:K1147">
    <cfRule type="notContainsBlanks" dxfId="6239" priority="6464">
      <formula>LEN(TRIM(G1147))&gt;0</formula>
    </cfRule>
  </conditionalFormatting>
  <conditionalFormatting sqref="G1147:K1147">
    <cfRule type="notContainsBlanks" dxfId="6238" priority="6463">
      <formula>LEN(TRIM(G1147))&gt;0</formula>
    </cfRule>
  </conditionalFormatting>
  <conditionalFormatting sqref="G1160">
    <cfRule type="notContainsBlanks" dxfId="6237" priority="6462">
      <formula>LEN(TRIM(G1160))&gt;0</formula>
    </cfRule>
  </conditionalFormatting>
  <conditionalFormatting sqref="H1160:K1160">
    <cfRule type="notContainsBlanks" dxfId="6236" priority="6461">
      <formula>LEN(TRIM(H1160))&gt;0</formula>
    </cfRule>
  </conditionalFormatting>
  <conditionalFormatting sqref="G1160:K1160">
    <cfRule type="notContainsBlanks" dxfId="6235" priority="6460">
      <formula>LEN(TRIM(G1160))&gt;0</formula>
    </cfRule>
  </conditionalFormatting>
  <conditionalFormatting sqref="G1160:K1160">
    <cfRule type="notContainsBlanks" dxfId="6234" priority="6459">
      <formula>LEN(TRIM(G1160))&gt;0</formula>
    </cfRule>
  </conditionalFormatting>
  <conditionalFormatting sqref="G1160:K1160">
    <cfRule type="notContainsBlanks" dxfId="6233" priority="6458">
      <formula>LEN(TRIM(G1160))&gt;0</formula>
    </cfRule>
  </conditionalFormatting>
  <conditionalFormatting sqref="G1160:K1160">
    <cfRule type="notContainsBlanks" dxfId="6232" priority="6457">
      <formula>LEN(TRIM(G1160))&gt;0</formula>
    </cfRule>
  </conditionalFormatting>
  <conditionalFormatting sqref="G1160:K1160">
    <cfRule type="notContainsBlanks" dxfId="6231" priority="6456">
      <formula>LEN(TRIM(G1160))&gt;0</formula>
    </cfRule>
  </conditionalFormatting>
  <conditionalFormatting sqref="G1160:K1160">
    <cfRule type="notContainsBlanks" dxfId="6230" priority="6455">
      <formula>LEN(TRIM(G1160))&gt;0</formula>
    </cfRule>
  </conditionalFormatting>
  <conditionalFormatting sqref="G1160:K1160">
    <cfRule type="notContainsBlanks" dxfId="6229" priority="6454">
      <formula>LEN(TRIM(G1160))&gt;0</formula>
    </cfRule>
  </conditionalFormatting>
  <conditionalFormatting sqref="G1160:K1160">
    <cfRule type="notContainsBlanks" dxfId="6228" priority="6453">
      <formula>LEN(TRIM(G1160))&gt;0</formula>
    </cfRule>
  </conditionalFormatting>
  <conditionalFormatting sqref="G1160:K1160">
    <cfRule type="notContainsBlanks" dxfId="6227" priority="6452">
      <formula>LEN(TRIM(G1160))&gt;0</formula>
    </cfRule>
  </conditionalFormatting>
  <conditionalFormatting sqref="G1160:K1160">
    <cfRule type="notContainsBlanks" dxfId="6226" priority="6450">
      <formula>LEN(TRIM(G1160))&gt;0</formula>
    </cfRule>
    <cfRule type="notContainsBlanks" dxfId="6225" priority="6451">
      <formula>LEN(TRIM(G1160))&gt;0</formula>
    </cfRule>
  </conditionalFormatting>
  <conditionalFormatting sqref="G1160:K1160">
    <cfRule type="notContainsBlanks" dxfId="6224" priority="6449">
      <formula>LEN(TRIM(G1160))&gt;0</formula>
    </cfRule>
  </conditionalFormatting>
  <conditionalFormatting sqref="G1160:K1160">
    <cfRule type="notContainsBlanks" dxfId="6223" priority="6448">
      <formula>LEN(TRIM(G1160))&gt;0</formula>
    </cfRule>
  </conditionalFormatting>
  <conditionalFormatting sqref="G1160:K1160">
    <cfRule type="notContainsBlanks" dxfId="6222" priority="6447">
      <formula>LEN(TRIM(G1160))&gt;0</formula>
    </cfRule>
  </conditionalFormatting>
  <conditionalFormatting sqref="G1160:K1160">
    <cfRule type="notContainsBlanks" dxfId="6221" priority="6446">
      <formula>LEN(TRIM(G1160))&gt;0</formula>
    </cfRule>
  </conditionalFormatting>
  <conditionalFormatting sqref="G1160:K1160">
    <cfRule type="notContainsBlanks" dxfId="6220" priority="6445">
      <formula>LEN(TRIM(G1160))&gt;0</formula>
    </cfRule>
  </conditionalFormatting>
  <conditionalFormatting sqref="G1160:K1160">
    <cfRule type="notContainsBlanks" dxfId="6219" priority="6444">
      <formula>LEN(TRIM(G1160))&gt;0</formula>
    </cfRule>
  </conditionalFormatting>
  <conditionalFormatting sqref="G1160:K1160">
    <cfRule type="notContainsBlanks" dxfId="6218" priority="6443">
      <formula>LEN(TRIM(G1160))&gt;0</formula>
    </cfRule>
  </conditionalFormatting>
  <conditionalFormatting sqref="G1160:K1160">
    <cfRule type="notContainsBlanks" dxfId="6217" priority="6442">
      <formula>LEN(TRIM(G1160))&gt;0</formula>
    </cfRule>
  </conditionalFormatting>
  <conditionalFormatting sqref="G1160:K1160">
    <cfRule type="notContainsBlanks" dxfId="6216" priority="6441">
      <formula>LEN(TRIM(G1160))&gt;0</formula>
    </cfRule>
  </conditionalFormatting>
  <conditionalFormatting sqref="G1160:K1160">
    <cfRule type="notContainsBlanks" priority="6440">
      <formula>LEN(TRIM(G1160))&gt;0</formula>
    </cfRule>
  </conditionalFormatting>
  <conditionalFormatting sqref="G1160:K1160">
    <cfRule type="notContainsBlanks" dxfId="6215" priority="6439">
      <formula>LEN(TRIM(G1160))&gt;0</formula>
    </cfRule>
  </conditionalFormatting>
  <conditionalFormatting sqref="G1160:K1160">
    <cfRule type="notContainsBlanks" dxfId="6214" priority="6438">
      <formula>LEN(TRIM(G1160))&gt;0</formula>
    </cfRule>
  </conditionalFormatting>
  <conditionalFormatting sqref="G1160:K1160">
    <cfRule type="notContainsBlanks" dxfId="6213" priority="6437">
      <formula>LEN(TRIM(G1160))&gt;0</formula>
    </cfRule>
  </conditionalFormatting>
  <conditionalFormatting sqref="G1160:K1160">
    <cfRule type="notContainsBlanks" dxfId="6212" priority="6436">
      <formula>LEN(TRIM(G1160))&gt;0</formula>
    </cfRule>
  </conditionalFormatting>
  <conditionalFormatting sqref="G1160:K1160">
    <cfRule type="notContainsBlanks" dxfId="6211" priority="6435">
      <formula>LEN(TRIM(G1160))&gt;0</formula>
    </cfRule>
  </conditionalFormatting>
  <conditionalFormatting sqref="G1173">
    <cfRule type="notContainsBlanks" dxfId="6210" priority="6434">
      <formula>LEN(TRIM(G1173))&gt;0</formula>
    </cfRule>
  </conditionalFormatting>
  <conditionalFormatting sqref="H1173:K1173">
    <cfRule type="notContainsBlanks" dxfId="6209" priority="6433">
      <formula>LEN(TRIM(H1173))&gt;0</formula>
    </cfRule>
  </conditionalFormatting>
  <conditionalFormatting sqref="G1173:K1173">
    <cfRule type="notContainsBlanks" dxfId="6208" priority="6432">
      <formula>LEN(TRIM(G1173))&gt;0</formula>
    </cfRule>
  </conditionalFormatting>
  <conditionalFormatting sqref="G1173:K1173">
    <cfRule type="notContainsBlanks" dxfId="6207" priority="6431">
      <formula>LEN(TRIM(G1173))&gt;0</formula>
    </cfRule>
  </conditionalFormatting>
  <conditionalFormatting sqref="G1173:K1173">
    <cfRule type="notContainsBlanks" dxfId="6206" priority="6430">
      <formula>LEN(TRIM(G1173))&gt;0</formula>
    </cfRule>
  </conditionalFormatting>
  <conditionalFormatting sqref="G1173:K1173">
    <cfRule type="notContainsBlanks" dxfId="6205" priority="6429">
      <formula>LEN(TRIM(G1173))&gt;0</formula>
    </cfRule>
  </conditionalFormatting>
  <conditionalFormatting sqref="G1173:K1173">
    <cfRule type="notContainsBlanks" dxfId="6204" priority="6428">
      <formula>LEN(TRIM(G1173))&gt;0</formula>
    </cfRule>
  </conditionalFormatting>
  <conditionalFormatting sqref="G1173:K1173">
    <cfRule type="notContainsBlanks" dxfId="6203" priority="6427">
      <formula>LEN(TRIM(G1173))&gt;0</formula>
    </cfRule>
  </conditionalFormatting>
  <conditionalFormatting sqref="G1173:K1173">
    <cfRule type="notContainsBlanks" dxfId="6202" priority="6426">
      <formula>LEN(TRIM(G1173))&gt;0</formula>
    </cfRule>
  </conditionalFormatting>
  <conditionalFormatting sqref="G1173:K1173">
    <cfRule type="notContainsBlanks" dxfId="6201" priority="6425">
      <formula>LEN(TRIM(G1173))&gt;0</formula>
    </cfRule>
  </conditionalFormatting>
  <conditionalFormatting sqref="G1173:K1173">
    <cfRule type="notContainsBlanks" dxfId="6200" priority="6424">
      <formula>LEN(TRIM(G1173))&gt;0</formula>
    </cfRule>
  </conditionalFormatting>
  <conditionalFormatting sqref="G1173:K1173">
    <cfRule type="notContainsBlanks" dxfId="6199" priority="6422">
      <formula>LEN(TRIM(G1173))&gt;0</formula>
    </cfRule>
    <cfRule type="notContainsBlanks" dxfId="6198" priority="6423">
      <formula>LEN(TRIM(G1173))&gt;0</formula>
    </cfRule>
  </conditionalFormatting>
  <conditionalFormatting sqref="G1173:K1173">
    <cfRule type="notContainsBlanks" dxfId="6197" priority="6421">
      <formula>LEN(TRIM(G1173))&gt;0</formula>
    </cfRule>
  </conditionalFormatting>
  <conditionalFormatting sqref="G1173:K1173">
    <cfRule type="notContainsBlanks" dxfId="6196" priority="6420">
      <formula>LEN(TRIM(G1173))&gt;0</formula>
    </cfRule>
  </conditionalFormatting>
  <conditionalFormatting sqref="G1173:K1173">
    <cfRule type="notContainsBlanks" dxfId="6195" priority="6419">
      <formula>LEN(TRIM(G1173))&gt;0</formula>
    </cfRule>
  </conditionalFormatting>
  <conditionalFormatting sqref="G1173:K1173">
    <cfRule type="notContainsBlanks" dxfId="6194" priority="6418">
      <formula>LEN(TRIM(G1173))&gt;0</formula>
    </cfRule>
  </conditionalFormatting>
  <conditionalFormatting sqref="G1173:K1173">
    <cfRule type="notContainsBlanks" dxfId="6193" priority="6417">
      <formula>LEN(TRIM(G1173))&gt;0</formula>
    </cfRule>
  </conditionalFormatting>
  <conditionalFormatting sqref="G1173:K1173">
    <cfRule type="notContainsBlanks" dxfId="6192" priority="6416">
      <formula>LEN(TRIM(G1173))&gt;0</formula>
    </cfRule>
  </conditionalFormatting>
  <conditionalFormatting sqref="G1173:K1173">
    <cfRule type="notContainsBlanks" dxfId="6191" priority="6415">
      <formula>LEN(TRIM(G1173))&gt;0</formula>
    </cfRule>
  </conditionalFormatting>
  <conditionalFormatting sqref="G1173:K1173">
    <cfRule type="notContainsBlanks" dxfId="6190" priority="6414">
      <formula>LEN(TRIM(G1173))&gt;0</formula>
    </cfRule>
  </conditionalFormatting>
  <conditionalFormatting sqref="G1173:K1173">
    <cfRule type="notContainsBlanks" dxfId="6189" priority="6413">
      <formula>LEN(TRIM(G1173))&gt;0</formula>
    </cfRule>
  </conditionalFormatting>
  <conditionalFormatting sqref="G1173:K1173">
    <cfRule type="notContainsBlanks" priority="6412">
      <formula>LEN(TRIM(G1173))&gt;0</formula>
    </cfRule>
  </conditionalFormatting>
  <conditionalFormatting sqref="G1173:K1173">
    <cfRule type="notContainsBlanks" dxfId="6188" priority="6411">
      <formula>LEN(TRIM(G1173))&gt;0</formula>
    </cfRule>
  </conditionalFormatting>
  <conditionalFormatting sqref="G1173:K1173">
    <cfRule type="notContainsBlanks" dxfId="6187" priority="6410">
      <formula>LEN(TRIM(G1173))&gt;0</formula>
    </cfRule>
  </conditionalFormatting>
  <conditionalFormatting sqref="G1173:K1173">
    <cfRule type="notContainsBlanks" dxfId="6186" priority="6409">
      <formula>LEN(TRIM(G1173))&gt;0</formula>
    </cfRule>
  </conditionalFormatting>
  <conditionalFormatting sqref="G1173:K1173">
    <cfRule type="notContainsBlanks" dxfId="6185" priority="6408">
      <formula>LEN(TRIM(G1173))&gt;0</formula>
    </cfRule>
  </conditionalFormatting>
  <conditionalFormatting sqref="G1173:K1173">
    <cfRule type="notContainsBlanks" dxfId="6184" priority="6407">
      <formula>LEN(TRIM(G1173))&gt;0</formula>
    </cfRule>
  </conditionalFormatting>
  <conditionalFormatting sqref="G1186">
    <cfRule type="notContainsBlanks" dxfId="6183" priority="6406">
      <formula>LEN(TRIM(G1186))&gt;0</formula>
    </cfRule>
  </conditionalFormatting>
  <conditionalFormatting sqref="H1186:K1186">
    <cfRule type="notContainsBlanks" dxfId="6182" priority="6405">
      <formula>LEN(TRIM(H1186))&gt;0</formula>
    </cfRule>
  </conditionalFormatting>
  <conditionalFormatting sqref="G1186:K1186">
    <cfRule type="notContainsBlanks" dxfId="6181" priority="6404">
      <formula>LEN(TRIM(G1186))&gt;0</formula>
    </cfRule>
  </conditionalFormatting>
  <conditionalFormatting sqref="G1186:K1186">
    <cfRule type="notContainsBlanks" dxfId="6180" priority="6403">
      <formula>LEN(TRIM(G1186))&gt;0</formula>
    </cfRule>
  </conditionalFormatting>
  <conditionalFormatting sqref="G1186:K1186">
    <cfRule type="notContainsBlanks" dxfId="6179" priority="6402">
      <formula>LEN(TRIM(G1186))&gt;0</formula>
    </cfRule>
  </conditionalFormatting>
  <conditionalFormatting sqref="G1186:K1186">
    <cfRule type="notContainsBlanks" dxfId="6178" priority="6401">
      <formula>LEN(TRIM(G1186))&gt;0</formula>
    </cfRule>
  </conditionalFormatting>
  <conditionalFormatting sqref="G1186:K1186">
    <cfRule type="notContainsBlanks" dxfId="6177" priority="6400">
      <formula>LEN(TRIM(G1186))&gt;0</formula>
    </cfRule>
  </conditionalFormatting>
  <conditionalFormatting sqref="G1186:K1186">
    <cfRule type="notContainsBlanks" dxfId="6176" priority="6399">
      <formula>LEN(TRIM(G1186))&gt;0</formula>
    </cfRule>
  </conditionalFormatting>
  <conditionalFormatting sqref="G1186:K1186">
    <cfRule type="notContainsBlanks" dxfId="6175" priority="6398">
      <formula>LEN(TRIM(G1186))&gt;0</formula>
    </cfRule>
  </conditionalFormatting>
  <conditionalFormatting sqref="G1186:K1186">
    <cfRule type="notContainsBlanks" dxfId="6174" priority="6397">
      <formula>LEN(TRIM(G1186))&gt;0</formula>
    </cfRule>
  </conditionalFormatting>
  <conditionalFormatting sqref="G1186:K1186">
    <cfRule type="notContainsBlanks" dxfId="6173" priority="6396">
      <formula>LEN(TRIM(G1186))&gt;0</formula>
    </cfRule>
  </conditionalFormatting>
  <conditionalFormatting sqref="G1186:K1186">
    <cfRule type="notContainsBlanks" dxfId="6172" priority="6394">
      <formula>LEN(TRIM(G1186))&gt;0</formula>
    </cfRule>
    <cfRule type="notContainsBlanks" dxfId="6171" priority="6395">
      <formula>LEN(TRIM(G1186))&gt;0</formula>
    </cfRule>
  </conditionalFormatting>
  <conditionalFormatting sqref="G1186:K1186">
    <cfRule type="notContainsBlanks" dxfId="6170" priority="6393">
      <formula>LEN(TRIM(G1186))&gt;0</formula>
    </cfRule>
  </conditionalFormatting>
  <conditionalFormatting sqref="G1186:K1186">
    <cfRule type="notContainsBlanks" dxfId="6169" priority="6392">
      <formula>LEN(TRIM(G1186))&gt;0</formula>
    </cfRule>
  </conditionalFormatting>
  <conditionalFormatting sqref="G1186:K1186">
    <cfRule type="notContainsBlanks" dxfId="6168" priority="6391">
      <formula>LEN(TRIM(G1186))&gt;0</formula>
    </cfRule>
  </conditionalFormatting>
  <conditionalFormatting sqref="G1186:K1186">
    <cfRule type="notContainsBlanks" dxfId="6167" priority="6390">
      <formula>LEN(TRIM(G1186))&gt;0</formula>
    </cfRule>
  </conditionalFormatting>
  <conditionalFormatting sqref="G1186:K1186">
    <cfRule type="notContainsBlanks" dxfId="6166" priority="6389">
      <formula>LEN(TRIM(G1186))&gt;0</formula>
    </cfRule>
  </conditionalFormatting>
  <conditionalFormatting sqref="G1186:K1186">
    <cfRule type="notContainsBlanks" dxfId="6165" priority="6388">
      <formula>LEN(TRIM(G1186))&gt;0</formula>
    </cfRule>
  </conditionalFormatting>
  <conditionalFormatting sqref="G1186:K1186">
    <cfRule type="notContainsBlanks" dxfId="6164" priority="6387">
      <formula>LEN(TRIM(G1186))&gt;0</formula>
    </cfRule>
  </conditionalFormatting>
  <conditionalFormatting sqref="G1186:K1186">
    <cfRule type="notContainsBlanks" dxfId="6163" priority="6386">
      <formula>LEN(TRIM(G1186))&gt;0</formula>
    </cfRule>
  </conditionalFormatting>
  <conditionalFormatting sqref="G1186:K1186">
    <cfRule type="notContainsBlanks" dxfId="6162" priority="6385">
      <formula>LEN(TRIM(G1186))&gt;0</formula>
    </cfRule>
  </conditionalFormatting>
  <conditionalFormatting sqref="G1186:K1186">
    <cfRule type="notContainsBlanks" priority="6384">
      <formula>LEN(TRIM(G1186))&gt;0</formula>
    </cfRule>
  </conditionalFormatting>
  <conditionalFormatting sqref="G1186:K1186">
    <cfRule type="notContainsBlanks" dxfId="6161" priority="6383">
      <formula>LEN(TRIM(G1186))&gt;0</formula>
    </cfRule>
  </conditionalFormatting>
  <conditionalFormatting sqref="G1186:K1186">
    <cfRule type="notContainsBlanks" dxfId="6160" priority="6382">
      <formula>LEN(TRIM(G1186))&gt;0</formula>
    </cfRule>
  </conditionalFormatting>
  <conditionalFormatting sqref="G1186:K1186">
    <cfRule type="notContainsBlanks" dxfId="6159" priority="6381">
      <formula>LEN(TRIM(G1186))&gt;0</formula>
    </cfRule>
  </conditionalFormatting>
  <conditionalFormatting sqref="G1186:K1186">
    <cfRule type="notContainsBlanks" dxfId="6158" priority="6380">
      <formula>LEN(TRIM(G1186))&gt;0</formula>
    </cfRule>
  </conditionalFormatting>
  <conditionalFormatting sqref="G1186:K1186">
    <cfRule type="notContainsBlanks" dxfId="6157" priority="6379">
      <formula>LEN(TRIM(G1186))&gt;0</formula>
    </cfRule>
  </conditionalFormatting>
  <conditionalFormatting sqref="G1199">
    <cfRule type="notContainsBlanks" dxfId="6156" priority="6378">
      <formula>LEN(TRIM(G1199))&gt;0</formula>
    </cfRule>
  </conditionalFormatting>
  <conditionalFormatting sqref="H1199:K1199">
    <cfRule type="notContainsBlanks" dxfId="6155" priority="6377">
      <formula>LEN(TRIM(H1199))&gt;0</formula>
    </cfRule>
  </conditionalFormatting>
  <conditionalFormatting sqref="G1199:K1199">
    <cfRule type="notContainsBlanks" dxfId="6154" priority="6376">
      <formula>LEN(TRIM(G1199))&gt;0</formula>
    </cfRule>
  </conditionalFormatting>
  <conditionalFormatting sqref="G1199:K1199">
    <cfRule type="notContainsBlanks" dxfId="6153" priority="6375">
      <formula>LEN(TRIM(G1199))&gt;0</formula>
    </cfRule>
  </conditionalFormatting>
  <conditionalFormatting sqref="G1199:K1199">
    <cfRule type="notContainsBlanks" dxfId="6152" priority="6374">
      <formula>LEN(TRIM(G1199))&gt;0</formula>
    </cfRule>
  </conditionalFormatting>
  <conditionalFormatting sqref="G1199:K1199">
    <cfRule type="notContainsBlanks" dxfId="6151" priority="6373">
      <formula>LEN(TRIM(G1199))&gt;0</formula>
    </cfRule>
  </conditionalFormatting>
  <conditionalFormatting sqref="G1199:K1199">
    <cfRule type="notContainsBlanks" dxfId="6150" priority="6372">
      <formula>LEN(TRIM(G1199))&gt;0</formula>
    </cfRule>
  </conditionalFormatting>
  <conditionalFormatting sqref="G1199:K1199">
    <cfRule type="notContainsBlanks" dxfId="6149" priority="6371">
      <formula>LEN(TRIM(G1199))&gt;0</formula>
    </cfRule>
  </conditionalFormatting>
  <conditionalFormatting sqref="G1199:K1199">
    <cfRule type="notContainsBlanks" dxfId="6148" priority="6370">
      <formula>LEN(TRIM(G1199))&gt;0</formula>
    </cfRule>
  </conditionalFormatting>
  <conditionalFormatting sqref="G1199:K1199">
    <cfRule type="notContainsBlanks" dxfId="6147" priority="6369">
      <formula>LEN(TRIM(G1199))&gt;0</formula>
    </cfRule>
  </conditionalFormatting>
  <conditionalFormatting sqref="G1199:K1199">
    <cfRule type="notContainsBlanks" dxfId="6146" priority="6368">
      <formula>LEN(TRIM(G1199))&gt;0</formula>
    </cfRule>
  </conditionalFormatting>
  <conditionalFormatting sqref="G1199:K1199">
    <cfRule type="notContainsBlanks" dxfId="6145" priority="6366">
      <formula>LEN(TRIM(G1199))&gt;0</formula>
    </cfRule>
    <cfRule type="notContainsBlanks" dxfId="6144" priority="6367">
      <formula>LEN(TRIM(G1199))&gt;0</formula>
    </cfRule>
  </conditionalFormatting>
  <conditionalFormatting sqref="G1199:K1199">
    <cfRule type="notContainsBlanks" dxfId="6143" priority="6365">
      <formula>LEN(TRIM(G1199))&gt;0</formula>
    </cfRule>
  </conditionalFormatting>
  <conditionalFormatting sqref="G1199:K1199">
    <cfRule type="notContainsBlanks" dxfId="6142" priority="6364">
      <formula>LEN(TRIM(G1199))&gt;0</formula>
    </cfRule>
  </conditionalFormatting>
  <conditionalFormatting sqref="G1199:K1199">
    <cfRule type="notContainsBlanks" dxfId="6141" priority="6363">
      <formula>LEN(TRIM(G1199))&gt;0</formula>
    </cfRule>
  </conditionalFormatting>
  <conditionalFormatting sqref="G1199:K1199">
    <cfRule type="notContainsBlanks" dxfId="6140" priority="6362">
      <formula>LEN(TRIM(G1199))&gt;0</formula>
    </cfRule>
  </conditionalFormatting>
  <conditionalFormatting sqref="G1199:K1199">
    <cfRule type="notContainsBlanks" dxfId="6139" priority="6361">
      <formula>LEN(TRIM(G1199))&gt;0</formula>
    </cfRule>
  </conditionalFormatting>
  <conditionalFormatting sqref="G1199:K1199">
    <cfRule type="notContainsBlanks" dxfId="6138" priority="6360">
      <formula>LEN(TRIM(G1199))&gt;0</formula>
    </cfRule>
  </conditionalFormatting>
  <conditionalFormatting sqref="G1199:K1199">
    <cfRule type="notContainsBlanks" dxfId="6137" priority="6359">
      <formula>LEN(TRIM(G1199))&gt;0</formula>
    </cfRule>
  </conditionalFormatting>
  <conditionalFormatting sqref="G1199:K1199">
    <cfRule type="notContainsBlanks" dxfId="6136" priority="6358">
      <formula>LEN(TRIM(G1199))&gt;0</formula>
    </cfRule>
  </conditionalFormatting>
  <conditionalFormatting sqref="G1199:K1199">
    <cfRule type="notContainsBlanks" dxfId="6135" priority="6357">
      <formula>LEN(TRIM(G1199))&gt;0</formula>
    </cfRule>
  </conditionalFormatting>
  <conditionalFormatting sqref="G1199:K1199">
    <cfRule type="notContainsBlanks" priority="6356">
      <formula>LEN(TRIM(G1199))&gt;0</formula>
    </cfRule>
  </conditionalFormatting>
  <conditionalFormatting sqref="G1199:K1199">
    <cfRule type="notContainsBlanks" dxfId="6134" priority="6355">
      <formula>LEN(TRIM(G1199))&gt;0</formula>
    </cfRule>
  </conditionalFormatting>
  <conditionalFormatting sqref="G1199:K1199">
    <cfRule type="notContainsBlanks" dxfId="6133" priority="6354">
      <formula>LEN(TRIM(G1199))&gt;0</formula>
    </cfRule>
  </conditionalFormatting>
  <conditionalFormatting sqref="G1199:K1199">
    <cfRule type="notContainsBlanks" dxfId="6132" priority="6353">
      <formula>LEN(TRIM(G1199))&gt;0</formula>
    </cfRule>
  </conditionalFormatting>
  <conditionalFormatting sqref="G1199:K1199">
    <cfRule type="notContainsBlanks" dxfId="6131" priority="6352">
      <formula>LEN(TRIM(G1199))&gt;0</formula>
    </cfRule>
  </conditionalFormatting>
  <conditionalFormatting sqref="G1199:K1199">
    <cfRule type="notContainsBlanks" dxfId="6130" priority="6351">
      <formula>LEN(TRIM(G1199))&gt;0</formula>
    </cfRule>
  </conditionalFormatting>
  <conditionalFormatting sqref="G1212">
    <cfRule type="notContainsBlanks" dxfId="6129" priority="6350">
      <formula>LEN(TRIM(G1212))&gt;0</formula>
    </cfRule>
  </conditionalFormatting>
  <conditionalFormatting sqref="H1212:K1212">
    <cfRule type="notContainsBlanks" dxfId="6128" priority="6349">
      <formula>LEN(TRIM(H1212))&gt;0</formula>
    </cfRule>
  </conditionalFormatting>
  <conditionalFormatting sqref="G1212:K1212">
    <cfRule type="notContainsBlanks" dxfId="6127" priority="6348">
      <formula>LEN(TRIM(G1212))&gt;0</formula>
    </cfRule>
  </conditionalFormatting>
  <conditionalFormatting sqref="G1212:K1212">
    <cfRule type="notContainsBlanks" dxfId="6126" priority="6347">
      <formula>LEN(TRIM(G1212))&gt;0</formula>
    </cfRule>
  </conditionalFormatting>
  <conditionalFormatting sqref="G1212:K1212">
    <cfRule type="notContainsBlanks" dxfId="6125" priority="6346">
      <formula>LEN(TRIM(G1212))&gt;0</formula>
    </cfRule>
  </conditionalFormatting>
  <conditionalFormatting sqref="G1212:K1212">
    <cfRule type="notContainsBlanks" dxfId="6124" priority="6345">
      <formula>LEN(TRIM(G1212))&gt;0</formula>
    </cfRule>
  </conditionalFormatting>
  <conditionalFormatting sqref="G1212:K1212">
    <cfRule type="notContainsBlanks" dxfId="6123" priority="6344">
      <formula>LEN(TRIM(G1212))&gt;0</formula>
    </cfRule>
  </conditionalFormatting>
  <conditionalFormatting sqref="G1212:K1212">
    <cfRule type="notContainsBlanks" dxfId="6122" priority="6343">
      <formula>LEN(TRIM(G1212))&gt;0</formula>
    </cfRule>
  </conditionalFormatting>
  <conditionalFormatting sqref="G1212:K1212">
    <cfRule type="notContainsBlanks" dxfId="6121" priority="6342">
      <formula>LEN(TRIM(G1212))&gt;0</formula>
    </cfRule>
  </conditionalFormatting>
  <conditionalFormatting sqref="G1212:K1212">
    <cfRule type="notContainsBlanks" dxfId="6120" priority="6341">
      <formula>LEN(TRIM(G1212))&gt;0</formula>
    </cfRule>
  </conditionalFormatting>
  <conditionalFormatting sqref="G1212:K1212">
    <cfRule type="notContainsBlanks" dxfId="6119" priority="6340">
      <formula>LEN(TRIM(G1212))&gt;0</formula>
    </cfRule>
  </conditionalFormatting>
  <conditionalFormatting sqref="G1212:K1212">
    <cfRule type="notContainsBlanks" dxfId="6118" priority="6338">
      <formula>LEN(TRIM(G1212))&gt;0</formula>
    </cfRule>
    <cfRule type="notContainsBlanks" dxfId="6117" priority="6339">
      <formula>LEN(TRIM(G1212))&gt;0</formula>
    </cfRule>
  </conditionalFormatting>
  <conditionalFormatting sqref="G1212:K1212">
    <cfRule type="notContainsBlanks" dxfId="6116" priority="6337">
      <formula>LEN(TRIM(G1212))&gt;0</formula>
    </cfRule>
  </conditionalFormatting>
  <conditionalFormatting sqref="G1212:K1212">
    <cfRule type="notContainsBlanks" dxfId="6115" priority="6336">
      <formula>LEN(TRIM(G1212))&gt;0</formula>
    </cfRule>
  </conditionalFormatting>
  <conditionalFormatting sqref="G1212:K1212">
    <cfRule type="notContainsBlanks" dxfId="6114" priority="6335">
      <formula>LEN(TRIM(G1212))&gt;0</formula>
    </cfRule>
  </conditionalFormatting>
  <conditionalFormatting sqref="G1212:K1212">
    <cfRule type="notContainsBlanks" dxfId="6113" priority="6334">
      <formula>LEN(TRIM(G1212))&gt;0</formula>
    </cfRule>
  </conditionalFormatting>
  <conditionalFormatting sqref="G1212:K1212">
    <cfRule type="notContainsBlanks" dxfId="6112" priority="6333">
      <formula>LEN(TRIM(G1212))&gt;0</formula>
    </cfRule>
  </conditionalFormatting>
  <conditionalFormatting sqref="G1212:K1212">
    <cfRule type="notContainsBlanks" dxfId="6111" priority="6332">
      <formula>LEN(TRIM(G1212))&gt;0</formula>
    </cfRule>
  </conditionalFormatting>
  <conditionalFormatting sqref="G1212:K1212">
    <cfRule type="notContainsBlanks" dxfId="6110" priority="6331">
      <formula>LEN(TRIM(G1212))&gt;0</formula>
    </cfRule>
  </conditionalFormatting>
  <conditionalFormatting sqref="G1212:K1212">
    <cfRule type="notContainsBlanks" dxfId="6109" priority="6330">
      <formula>LEN(TRIM(G1212))&gt;0</formula>
    </cfRule>
  </conditionalFormatting>
  <conditionalFormatting sqref="G1212:K1212">
    <cfRule type="notContainsBlanks" dxfId="6108" priority="6329">
      <formula>LEN(TRIM(G1212))&gt;0</formula>
    </cfRule>
  </conditionalFormatting>
  <conditionalFormatting sqref="G1212:K1212">
    <cfRule type="notContainsBlanks" priority="6328">
      <formula>LEN(TRIM(G1212))&gt;0</formula>
    </cfRule>
  </conditionalFormatting>
  <conditionalFormatting sqref="G1212:K1212">
    <cfRule type="notContainsBlanks" dxfId="6107" priority="6327">
      <formula>LEN(TRIM(G1212))&gt;0</formula>
    </cfRule>
  </conditionalFormatting>
  <conditionalFormatting sqref="G1212:K1212">
    <cfRule type="notContainsBlanks" dxfId="6106" priority="6326">
      <formula>LEN(TRIM(G1212))&gt;0</formula>
    </cfRule>
  </conditionalFormatting>
  <conditionalFormatting sqref="G1212:K1212">
    <cfRule type="notContainsBlanks" dxfId="6105" priority="6325">
      <formula>LEN(TRIM(G1212))&gt;0</formula>
    </cfRule>
  </conditionalFormatting>
  <conditionalFormatting sqref="G1212:K1212">
    <cfRule type="notContainsBlanks" dxfId="6104" priority="6324">
      <formula>LEN(TRIM(G1212))&gt;0</formula>
    </cfRule>
  </conditionalFormatting>
  <conditionalFormatting sqref="G1212:K1212">
    <cfRule type="notContainsBlanks" dxfId="6103" priority="6323">
      <formula>LEN(TRIM(G1212))&gt;0</formula>
    </cfRule>
  </conditionalFormatting>
  <conditionalFormatting sqref="G1225">
    <cfRule type="notContainsBlanks" dxfId="6102" priority="6322">
      <formula>LEN(TRIM(G1225))&gt;0</formula>
    </cfRule>
  </conditionalFormatting>
  <conditionalFormatting sqref="H1225:K1225">
    <cfRule type="notContainsBlanks" dxfId="6101" priority="6321">
      <formula>LEN(TRIM(H1225))&gt;0</formula>
    </cfRule>
  </conditionalFormatting>
  <conditionalFormatting sqref="G1225:K1225">
    <cfRule type="notContainsBlanks" dxfId="6100" priority="6320">
      <formula>LEN(TRIM(G1225))&gt;0</formula>
    </cfRule>
  </conditionalFormatting>
  <conditionalFormatting sqref="G1225:K1225">
    <cfRule type="notContainsBlanks" dxfId="6099" priority="6319">
      <formula>LEN(TRIM(G1225))&gt;0</formula>
    </cfRule>
  </conditionalFormatting>
  <conditionalFormatting sqref="G1225:K1225">
    <cfRule type="notContainsBlanks" dxfId="6098" priority="6318">
      <formula>LEN(TRIM(G1225))&gt;0</formula>
    </cfRule>
  </conditionalFormatting>
  <conditionalFormatting sqref="G1225:K1225">
    <cfRule type="notContainsBlanks" dxfId="6097" priority="6317">
      <formula>LEN(TRIM(G1225))&gt;0</formula>
    </cfRule>
  </conditionalFormatting>
  <conditionalFormatting sqref="G1225:K1225">
    <cfRule type="notContainsBlanks" dxfId="6096" priority="6316">
      <formula>LEN(TRIM(G1225))&gt;0</formula>
    </cfRule>
  </conditionalFormatting>
  <conditionalFormatting sqref="G1225:K1225">
    <cfRule type="notContainsBlanks" dxfId="6095" priority="6315">
      <formula>LEN(TRIM(G1225))&gt;0</formula>
    </cfRule>
  </conditionalFormatting>
  <conditionalFormatting sqref="G1225:K1225">
    <cfRule type="notContainsBlanks" dxfId="6094" priority="6314">
      <formula>LEN(TRIM(G1225))&gt;0</formula>
    </cfRule>
  </conditionalFormatting>
  <conditionalFormatting sqref="G1225:K1225">
    <cfRule type="notContainsBlanks" dxfId="6093" priority="6313">
      <formula>LEN(TRIM(G1225))&gt;0</formula>
    </cfRule>
  </conditionalFormatting>
  <conditionalFormatting sqref="G1225:K1225">
    <cfRule type="notContainsBlanks" dxfId="6092" priority="6312">
      <formula>LEN(TRIM(G1225))&gt;0</formula>
    </cfRule>
  </conditionalFormatting>
  <conditionalFormatting sqref="G1225:K1225">
    <cfRule type="notContainsBlanks" dxfId="6091" priority="6310">
      <formula>LEN(TRIM(G1225))&gt;0</formula>
    </cfRule>
    <cfRule type="notContainsBlanks" dxfId="6090" priority="6311">
      <formula>LEN(TRIM(G1225))&gt;0</formula>
    </cfRule>
  </conditionalFormatting>
  <conditionalFormatting sqref="G1225:K1225">
    <cfRule type="notContainsBlanks" dxfId="6089" priority="6309">
      <formula>LEN(TRIM(G1225))&gt;0</formula>
    </cfRule>
  </conditionalFormatting>
  <conditionalFormatting sqref="G1225:K1225">
    <cfRule type="notContainsBlanks" dxfId="6088" priority="6308">
      <formula>LEN(TRIM(G1225))&gt;0</formula>
    </cfRule>
  </conditionalFormatting>
  <conditionalFormatting sqref="G1225:K1225">
    <cfRule type="notContainsBlanks" dxfId="6087" priority="6307">
      <formula>LEN(TRIM(G1225))&gt;0</formula>
    </cfRule>
  </conditionalFormatting>
  <conditionalFormatting sqref="G1225:K1225">
    <cfRule type="notContainsBlanks" dxfId="6086" priority="6306">
      <formula>LEN(TRIM(G1225))&gt;0</formula>
    </cfRule>
  </conditionalFormatting>
  <conditionalFormatting sqref="G1225:K1225">
    <cfRule type="notContainsBlanks" dxfId="6085" priority="6305">
      <formula>LEN(TRIM(G1225))&gt;0</formula>
    </cfRule>
  </conditionalFormatting>
  <conditionalFormatting sqref="G1225:K1225">
    <cfRule type="notContainsBlanks" dxfId="6084" priority="6304">
      <formula>LEN(TRIM(G1225))&gt;0</formula>
    </cfRule>
  </conditionalFormatting>
  <conditionalFormatting sqref="G1225:K1225">
    <cfRule type="notContainsBlanks" dxfId="6083" priority="6303">
      <formula>LEN(TRIM(G1225))&gt;0</formula>
    </cfRule>
  </conditionalFormatting>
  <conditionalFormatting sqref="G1225:K1225">
    <cfRule type="notContainsBlanks" dxfId="6082" priority="6302">
      <formula>LEN(TRIM(G1225))&gt;0</formula>
    </cfRule>
  </conditionalFormatting>
  <conditionalFormatting sqref="G1225:K1225">
    <cfRule type="notContainsBlanks" dxfId="6081" priority="6301">
      <formula>LEN(TRIM(G1225))&gt;0</formula>
    </cfRule>
  </conditionalFormatting>
  <conditionalFormatting sqref="G1225:K1225">
    <cfRule type="notContainsBlanks" priority="6300">
      <formula>LEN(TRIM(G1225))&gt;0</formula>
    </cfRule>
  </conditionalFormatting>
  <conditionalFormatting sqref="G1225:K1225">
    <cfRule type="notContainsBlanks" dxfId="6080" priority="6299">
      <formula>LEN(TRIM(G1225))&gt;0</formula>
    </cfRule>
  </conditionalFormatting>
  <conditionalFormatting sqref="G1225:K1225">
    <cfRule type="notContainsBlanks" dxfId="6079" priority="6298">
      <formula>LEN(TRIM(G1225))&gt;0</formula>
    </cfRule>
  </conditionalFormatting>
  <conditionalFormatting sqref="G1225:K1225">
    <cfRule type="notContainsBlanks" dxfId="6078" priority="6297">
      <formula>LEN(TRIM(G1225))&gt;0</formula>
    </cfRule>
  </conditionalFormatting>
  <conditionalFormatting sqref="G1225:K1225">
    <cfRule type="notContainsBlanks" dxfId="6077" priority="6296">
      <formula>LEN(TRIM(G1225))&gt;0</formula>
    </cfRule>
  </conditionalFormatting>
  <conditionalFormatting sqref="G1225:K1225">
    <cfRule type="notContainsBlanks" dxfId="6076" priority="6295">
      <formula>LEN(TRIM(G1225))&gt;0</formula>
    </cfRule>
  </conditionalFormatting>
  <conditionalFormatting sqref="G1238">
    <cfRule type="notContainsBlanks" dxfId="6075" priority="6294">
      <formula>LEN(TRIM(G1238))&gt;0</formula>
    </cfRule>
  </conditionalFormatting>
  <conditionalFormatting sqref="H1238:K1238">
    <cfRule type="notContainsBlanks" dxfId="6074" priority="6293">
      <formula>LEN(TRIM(H1238))&gt;0</formula>
    </cfRule>
  </conditionalFormatting>
  <conditionalFormatting sqref="G1238:K1238">
    <cfRule type="notContainsBlanks" dxfId="6073" priority="6292">
      <formula>LEN(TRIM(G1238))&gt;0</formula>
    </cfRule>
  </conditionalFormatting>
  <conditionalFormatting sqref="G1238:K1238">
    <cfRule type="notContainsBlanks" dxfId="6072" priority="6291">
      <formula>LEN(TRIM(G1238))&gt;0</formula>
    </cfRule>
  </conditionalFormatting>
  <conditionalFormatting sqref="G1238:K1238">
    <cfRule type="notContainsBlanks" dxfId="6071" priority="6290">
      <formula>LEN(TRIM(G1238))&gt;0</formula>
    </cfRule>
  </conditionalFormatting>
  <conditionalFormatting sqref="G1238:K1238">
    <cfRule type="notContainsBlanks" dxfId="6070" priority="6289">
      <formula>LEN(TRIM(G1238))&gt;0</formula>
    </cfRule>
  </conditionalFormatting>
  <conditionalFormatting sqref="G1238:K1238">
    <cfRule type="notContainsBlanks" dxfId="6069" priority="6288">
      <formula>LEN(TRIM(G1238))&gt;0</formula>
    </cfRule>
  </conditionalFormatting>
  <conditionalFormatting sqref="G1238:K1238">
    <cfRule type="notContainsBlanks" dxfId="6068" priority="6287">
      <formula>LEN(TRIM(G1238))&gt;0</formula>
    </cfRule>
  </conditionalFormatting>
  <conditionalFormatting sqref="G1238:K1238">
    <cfRule type="notContainsBlanks" dxfId="6067" priority="6286">
      <formula>LEN(TRIM(G1238))&gt;0</formula>
    </cfRule>
  </conditionalFormatting>
  <conditionalFormatting sqref="G1238:K1238">
    <cfRule type="notContainsBlanks" dxfId="6066" priority="6285">
      <formula>LEN(TRIM(G1238))&gt;0</formula>
    </cfRule>
  </conditionalFormatting>
  <conditionalFormatting sqref="G1238:K1238">
    <cfRule type="notContainsBlanks" dxfId="6065" priority="6284">
      <formula>LEN(TRIM(G1238))&gt;0</formula>
    </cfRule>
  </conditionalFormatting>
  <conditionalFormatting sqref="G1238:K1238">
    <cfRule type="notContainsBlanks" dxfId="6064" priority="6282">
      <formula>LEN(TRIM(G1238))&gt;0</formula>
    </cfRule>
    <cfRule type="notContainsBlanks" dxfId="6063" priority="6283">
      <formula>LEN(TRIM(G1238))&gt;0</formula>
    </cfRule>
  </conditionalFormatting>
  <conditionalFormatting sqref="G1238:K1238">
    <cfRule type="notContainsBlanks" dxfId="6062" priority="6281">
      <formula>LEN(TRIM(G1238))&gt;0</formula>
    </cfRule>
  </conditionalFormatting>
  <conditionalFormatting sqref="G1238:K1238">
    <cfRule type="notContainsBlanks" dxfId="6061" priority="6280">
      <formula>LEN(TRIM(G1238))&gt;0</formula>
    </cfRule>
  </conditionalFormatting>
  <conditionalFormatting sqref="G1238:K1238">
    <cfRule type="notContainsBlanks" dxfId="6060" priority="6279">
      <formula>LEN(TRIM(G1238))&gt;0</formula>
    </cfRule>
  </conditionalFormatting>
  <conditionalFormatting sqref="G1238:K1238">
    <cfRule type="notContainsBlanks" dxfId="6059" priority="6278">
      <formula>LEN(TRIM(G1238))&gt;0</formula>
    </cfRule>
  </conditionalFormatting>
  <conditionalFormatting sqref="G1238:K1238">
    <cfRule type="notContainsBlanks" dxfId="6058" priority="6277">
      <formula>LEN(TRIM(G1238))&gt;0</formula>
    </cfRule>
  </conditionalFormatting>
  <conditionalFormatting sqref="G1238:K1238">
    <cfRule type="notContainsBlanks" dxfId="6057" priority="6276">
      <formula>LEN(TRIM(G1238))&gt;0</formula>
    </cfRule>
  </conditionalFormatting>
  <conditionalFormatting sqref="G1238:K1238">
    <cfRule type="notContainsBlanks" dxfId="6056" priority="6275">
      <formula>LEN(TRIM(G1238))&gt;0</formula>
    </cfRule>
  </conditionalFormatting>
  <conditionalFormatting sqref="G1238:K1238">
    <cfRule type="notContainsBlanks" dxfId="6055" priority="6274">
      <formula>LEN(TRIM(G1238))&gt;0</formula>
    </cfRule>
  </conditionalFormatting>
  <conditionalFormatting sqref="G1238:K1238">
    <cfRule type="notContainsBlanks" dxfId="6054" priority="6273">
      <formula>LEN(TRIM(G1238))&gt;0</formula>
    </cfRule>
  </conditionalFormatting>
  <conditionalFormatting sqref="G1238:K1238">
    <cfRule type="notContainsBlanks" priority="6272">
      <formula>LEN(TRIM(G1238))&gt;0</formula>
    </cfRule>
  </conditionalFormatting>
  <conditionalFormatting sqref="G1238:K1238">
    <cfRule type="notContainsBlanks" dxfId="6053" priority="6271">
      <formula>LEN(TRIM(G1238))&gt;0</formula>
    </cfRule>
  </conditionalFormatting>
  <conditionalFormatting sqref="G1238:K1238">
    <cfRule type="notContainsBlanks" dxfId="6052" priority="6270">
      <formula>LEN(TRIM(G1238))&gt;0</formula>
    </cfRule>
  </conditionalFormatting>
  <conditionalFormatting sqref="G1238:K1238">
    <cfRule type="notContainsBlanks" dxfId="6051" priority="6269">
      <formula>LEN(TRIM(G1238))&gt;0</formula>
    </cfRule>
  </conditionalFormatting>
  <conditionalFormatting sqref="G1238:K1238">
    <cfRule type="notContainsBlanks" dxfId="6050" priority="6268">
      <formula>LEN(TRIM(G1238))&gt;0</formula>
    </cfRule>
  </conditionalFormatting>
  <conditionalFormatting sqref="G1238:K1238">
    <cfRule type="notContainsBlanks" dxfId="6049" priority="6267">
      <formula>LEN(TRIM(G1238))&gt;0</formula>
    </cfRule>
  </conditionalFormatting>
  <conditionalFormatting sqref="G1251">
    <cfRule type="notContainsBlanks" dxfId="6048" priority="6266">
      <formula>LEN(TRIM(G1251))&gt;0</formula>
    </cfRule>
  </conditionalFormatting>
  <conditionalFormatting sqref="H1251:K1251">
    <cfRule type="notContainsBlanks" dxfId="6047" priority="6265">
      <formula>LEN(TRIM(H1251))&gt;0</formula>
    </cfRule>
  </conditionalFormatting>
  <conditionalFormatting sqref="G1251:K1251">
    <cfRule type="notContainsBlanks" dxfId="6046" priority="6264">
      <formula>LEN(TRIM(G1251))&gt;0</formula>
    </cfRule>
  </conditionalFormatting>
  <conditionalFormatting sqref="G1251:K1251">
    <cfRule type="notContainsBlanks" dxfId="6045" priority="6263">
      <formula>LEN(TRIM(G1251))&gt;0</formula>
    </cfRule>
  </conditionalFormatting>
  <conditionalFormatting sqref="G1251:K1251">
    <cfRule type="notContainsBlanks" dxfId="6044" priority="6262">
      <formula>LEN(TRIM(G1251))&gt;0</formula>
    </cfRule>
  </conditionalFormatting>
  <conditionalFormatting sqref="G1251:K1251">
    <cfRule type="notContainsBlanks" dxfId="6043" priority="6261">
      <formula>LEN(TRIM(G1251))&gt;0</formula>
    </cfRule>
  </conditionalFormatting>
  <conditionalFormatting sqref="G1251:K1251">
    <cfRule type="notContainsBlanks" dxfId="6042" priority="6260">
      <formula>LEN(TRIM(G1251))&gt;0</formula>
    </cfRule>
  </conditionalFormatting>
  <conditionalFormatting sqref="G1251:K1251">
    <cfRule type="notContainsBlanks" dxfId="6041" priority="6259">
      <formula>LEN(TRIM(G1251))&gt;0</formula>
    </cfRule>
  </conditionalFormatting>
  <conditionalFormatting sqref="G1251:K1251">
    <cfRule type="notContainsBlanks" dxfId="6040" priority="6258">
      <formula>LEN(TRIM(G1251))&gt;0</formula>
    </cfRule>
  </conditionalFormatting>
  <conditionalFormatting sqref="G1251:K1251">
    <cfRule type="notContainsBlanks" dxfId="6039" priority="6257">
      <formula>LEN(TRIM(G1251))&gt;0</formula>
    </cfRule>
  </conditionalFormatting>
  <conditionalFormatting sqref="G1251:K1251">
    <cfRule type="notContainsBlanks" dxfId="6038" priority="6256">
      <formula>LEN(TRIM(G1251))&gt;0</formula>
    </cfRule>
  </conditionalFormatting>
  <conditionalFormatting sqref="G1251:K1251">
    <cfRule type="notContainsBlanks" dxfId="6037" priority="6254">
      <formula>LEN(TRIM(G1251))&gt;0</formula>
    </cfRule>
    <cfRule type="notContainsBlanks" dxfId="6036" priority="6255">
      <formula>LEN(TRIM(G1251))&gt;0</formula>
    </cfRule>
  </conditionalFormatting>
  <conditionalFormatting sqref="G1251:K1251">
    <cfRule type="notContainsBlanks" dxfId="6035" priority="6253">
      <formula>LEN(TRIM(G1251))&gt;0</formula>
    </cfRule>
  </conditionalFormatting>
  <conditionalFormatting sqref="G1251:K1251">
    <cfRule type="notContainsBlanks" dxfId="6034" priority="6252">
      <formula>LEN(TRIM(G1251))&gt;0</formula>
    </cfRule>
  </conditionalFormatting>
  <conditionalFormatting sqref="G1251:K1251">
    <cfRule type="notContainsBlanks" dxfId="6033" priority="6251">
      <formula>LEN(TRIM(G1251))&gt;0</formula>
    </cfRule>
  </conditionalFormatting>
  <conditionalFormatting sqref="G1251:K1251">
    <cfRule type="notContainsBlanks" dxfId="6032" priority="6250">
      <formula>LEN(TRIM(G1251))&gt;0</formula>
    </cfRule>
  </conditionalFormatting>
  <conditionalFormatting sqref="G1251:K1251">
    <cfRule type="notContainsBlanks" dxfId="6031" priority="6249">
      <formula>LEN(TRIM(G1251))&gt;0</formula>
    </cfRule>
  </conditionalFormatting>
  <conditionalFormatting sqref="G1251:K1251">
    <cfRule type="notContainsBlanks" dxfId="6030" priority="6248">
      <formula>LEN(TRIM(G1251))&gt;0</formula>
    </cfRule>
  </conditionalFormatting>
  <conditionalFormatting sqref="G1251:K1251">
    <cfRule type="notContainsBlanks" dxfId="6029" priority="6247">
      <formula>LEN(TRIM(G1251))&gt;0</formula>
    </cfRule>
  </conditionalFormatting>
  <conditionalFormatting sqref="G1251:K1251">
    <cfRule type="notContainsBlanks" dxfId="6028" priority="6246">
      <formula>LEN(TRIM(G1251))&gt;0</formula>
    </cfRule>
  </conditionalFormatting>
  <conditionalFormatting sqref="G1251:K1251">
    <cfRule type="notContainsBlanks" dxfId="6027" priority="6245">
      <formula>LEN(TRIM(G1251))&gt;0</formula>
    </cfRule>
  </conditionalFormatting>
  <conditionalFormatting sqref="G1251:K1251">
    <cfRule type="notContainsBlanks" priority="6244">
      <formula>LEN(TRIM(G1251))&gt;0</formula>
    </cfRule>
  </conditionalFormatting>
  <conditionalFormatting sqref="G1251:K1251">
    <cfRule type="notContainsBlanks" dxfId="6026" priority="6243">
      <formula>LEN(TRIM(G1251))&gt;0</formula>
    </cfRule>
  </conditionalFormatting>
  <conditionalFormatting sqref="G1251:K1251">
    <cfRule type="notContainsBlanks" dxfId="6025" priority="6242">
      <formula>LEN(TRIM(G1251))&gt;0</formula>
    </cfRule>
  </conditionalFormatting>
  <conditionalFormatting sqref="G1251:K1251">
    <cfRule type="notContainsBlanks" dxfId="6024" priority="6241">
      <formula>LEN(TRIM(G1251))&gt;0</formula>
    </cfRule>
  </conditionalFormatting>
  <conditionalFormatting sqref="G1251:K1251">
    <cfRule type="notContainsBlanks" dxfId="6023" priority="6240">
      <formula>LEN(TRIM(G1251))&gt;0</formula>
    </cfRule>
  </conditionalFormatting>
  <conditionalFormatting sqref="G1251:K1251">
    <cfRule type="notContainsBlanks" dxfId="6022" priority="6239">
      <formula>LEN(TRIM(G1251))&gt;0</formula>
    </cfRule>
  </conditionalFormatting>
  <conditionalFormatting sqref="G1264">
    <cfRule type="notContainsBlanks" dxfId="6021" priority="6238">
      <formula>LEN(TRIM(G1264))&gt;0</formula>
    </cfRule>
  </conditionalFormatting>
  <conditionalFormatting sqref="H1264:K1264">
    <cfRule type="notContainsBlanks" dxfId="6020" priority="6237">
      <formula>LEN(TRIM(H1264))&gt;0</formula>
    </cfRule>
  </conditionalFormatting>
  <conditionalFormatting sqref="G1264:K1264">
    <cfRule type="notContainsBlanks" dxfId="6019" priority="6236">
      <formula>LEN(TRIM(G1264))&gt;0</formula>
    </cfRule>
  </conditionalFormatting>
  <conditionalFormatting sqref="G1264:K1264">
    <cfRule type="notContainsBlanks" dxfId="6018" priority="6235">
      <formula>LEN(TRIM(G1264))&gt;0</formula>
    </cfRule>
  </conditionalFormatting>
  <conditionalFormatting sqref="G1264:K1264">
    <cfRule type="notContainsBlanks" dxfId="6017" priority="6234">
      <formula>LEN(TRIM(G1264))&gt;0</formula>
    </cfRule>
  </conditionalFormatting>
  <conditionalFormatting sqref="G1264:K1264">
    <cfRule type="notContainsBlanks" dxfId="6016" priority="6233">
      <formula>LEN(TRIM(G1264))&gt;0</formula>
    </cfRule>
  </conditionalFormatting>
  <conditionalFormatting sqref="G1264:K1264">
    <cfRule type="notContainsBlanks" dxfId="6015" priority="6232">
      <formula>LEN(TRIM(G1264))&gt;0</formula>
    </cfRule>
  </conditionalFormatting>
  <conditionalFormatting sqref="G1264:K1264">
    <cfRule type="notContainsBlanks" dxfId="6014" priority="6231">
      <formula>LEN(TRIM(G1264))&gt;0</formula>
    </cfRule>
  </conditionalFormatting>
  <conditionalFormatting sqref="G1264:K1264">
    <cfRule type="notContainsBlanks" dxfId="6013" priority="6230">
      <formula>LEN(TRIM(G1264))&gt;0</formula>
    </cfRule>
  </conditionalFormatting>
  <conditionalFormatting sqref="G1264:K1264">
    <cfRule type="notContainsBlanks" dxfId="6012" priority="6229">
      <formula>LEN(TRIM(G1264))&gt;0</formula>
    </cfRule>
  </conditionalFormatting>
  <conditionalFormatting sqref="G1264:K1264">
    <cfRule type="notContainsBlanks" dxfId="6011" priority="6228">
      <formula>LEN(TRIM(G1264))&gt;0</formula>
    </cfRule>
  </conditionalFormatting>
  <conditionalFormatting sqref="G1264:K1264">
    <cfRule type="notContainsBlanks" dxfId="6010" priority="6226">
      <formula>LEN(TRIM(G1264))&gt;0</formula>
    </cfRule>
    <cfRule type="notContainsBlanks" dxfId="6009" priority="6227">
      <formula>LEN(TRIM(G1264))&gt;0</formula>
    </cfRule>
  </conditionalFormatting>
  <conditionalFormatting sqref="G1264:K1264">
    <cfRule type="notContainsBlanks" dxfId="6008" priority="6225">
      <formula>LEN(TRIM(G1264))&gt;0</formula>
    </cfRule>
  </conditionalFormatting>
  <conditionalFormatting sqref="G1264:K1264">
    <cfRule type="notContainsBlanks" dxfId="6007" priority="6224">
      <formula>LEN(TRIM(G1264))&gt;0</formula>
    </cfRule>
  </conditionalFormatting>
  <conditionalFormatting sqref="G1264:K1264">
    <cfRule type="notContainsBlanks" dxfId="6006" priority="6223">
      <formula>LEN(TRIM(G1264))&gt;0</formula>
    </cfRule>
  </conditionalFormatting>
  <conditionalFormatting sqref="G1264:K1264">
    <cfRule type="notContainsBlanks" dxfId="6005" priority="6222">
      <formula>LEN(TRIM(G1264))&gt;0</formula>
    </cfRule>
  </conditionalFormatting>
  <conditionalFormatting sqref="G1264:K1264">
    <cfRule type="notContainsBlanks" dxfId="6004" priority="6221">
      <formula>LEN(TRIM(G1264))&gt;0</formula>
    </cfRule>
  </conditionalFormatting>
  <conditionalFormatting sqref="G1264:K1264">
    <cfRule type="notContainsBlanks" dxfId="6003" priority="6220">
      <formula>LEN(TRIM(G1264))&gt;0</formula>
    </cfRule>
  </conditionalFormatting>
  <conditionalFormatting sqref="G1264:K1264">
    <cfRule type="notContainsBlanks" dxfId="6002" priority="6219">
      <formula>LEN(TRIM(G1264))&gt;0</formula>
    </cfRule>
  </conditionalFormatting>
  <conditionalFormatting sqref="G1264:K1264">
    <cfRule type="notContainsBlanks" dxfId="6001" priority="6218">
      <formula>LEN(TRIM(G1264))&gt;0</formula>
    </cfRule>
  </conditionalFormatting>
  <conditionalFormatting sqref="G1264:K1264">
    <cfRule type="notContainsBlanks" dxfId="6000" priority="6217">
      <formula>LEN(TRIM(G1264))&gt;0</formula>
    </cfRule>
  </conditionalFormatting>
  <conditionalFormatting sqref="G1264:K1264">
    <cfRule type="notContainsBlanks" priority="6216">
      <formula>LEN(TRIM(G1264))&gt;0</formula>
    </cfRule>
  </conditionalFormatting>
  <conditionalFormatting sqref="G1264:K1264">
    <cfRule type="notContainsBlanks" dxfId="5999" priority="6215">
      <formula>LEN(TRIM(G1264))&gt;0</formula>
    </cfRule>
  </conditionalFormatting>
  <conditionalFormatting sqref="G1264:K1264">
    <cfRule type="notContainsBlanks" dxfId="5998" priority="6214">
      <formula>LEN(TRIM(G1264))&gt;0</formula>
    </cfRule>
  </conditionalFormatting>
  <conditionalFormatting sqref="G1264:K1264">
    <cfRule type="notContainsBlanks" dxfId="5997" priority="6213">
      <formula>LEN(TRIM(G1264))&gt;0</formula>
    </cfRule>
  </conditionalFormatting>
  <conditionalFormatting sqref="G1264:K1264">
    <cfRule type="notContainsBlanks" dxfId="5996" priority="6212">
      <formula>LEN(TRIM(G1264))&gt;0</formula>
    </cfRule>
  </conditionalFormatting>
  <conditionalFormatting sqref="G1264:K1264">
    <cfRule type="notContainsBlanks" dxfId="5995" priority="6211">
      <formula>LEN(TRIM(G1264))&gt;0</formula>
    </cfRule>
  </conditionalFormatting>
  <conditionalFormatting sqref="G1277">
    <cfRule type="notContainsBlanks" dxfId="5994" priority="6210">
      <formula>LEN(TRIM(G1277))&gt;0</formula>
    </cfRule>
  </conditionalFormatting>
  <conditionalFormatting sqref="H1277:K1277">
    <cfRule type="notContainsBlanks" dxfId="5993" priority="6209">
      <formula>LEN(TRIM(H1277))&gt;0</formula>
    </cfRule>
  </conditionalFormatting>
  <conditionalFormatting sqref="G1277:K1277">
    <cfRule type="notContainsBlanks" dxfId="5992" priority="6208">
      <formula>LEN(TRIM(G1277))&gt;0</formula>
    </cfRule>
  </conditionalFormatting>
  <conditionalFormatting sqref="G1277:K1277">
    <cfRule type="notContainsBlanks" dxfId="5991" priority="6207">
      <formula>LEN(TRIM(G1277))&gt;0</formula>
    </cfRule>
  </conditionalFormatting>
  <conditionalFormatting sqref="G1277:K1277">
    <cfRule type="notContainsBlanks" dxfId="5990" priority="6206">
      <formula>LEN(TRIM(G1277))&gt;0</formula>
    </cfRule>
  </conditionalFormatting>
  <conditionalFormatting sqref="G1277:K1277">
    <cfRule type="notContainsBlanks" dxfId="5989" priority="6205">
      <formula>LEN(TRIM(G1277))&gt;0</formula>
    </cfRule>
  </conditionalFormatting>
  <conditionalFormatting sqref="G1277:K1277">
    <cfRule type="notContainsBlanks" dxfId="5988" priority="6204">
      <formula>LEN(TRIM(G1277))&gt;0</formula>
    </cfRule>
  </conditionalFormatting>
  <conditionalFormatting sqref="G1277:K1277">
    <cfRule type="notContainsBlanks" dxfId="5987" priority="6203">
      <formula>LEN(TRIM(G1277))&gt;0</formula>
    </cfRule>
  </conditionalFormatting>
  <conditionalFormatting sqref="G1277:K1277">
    <cfRule type="notContainsBlanks" dxfId="5986" priority="6202">
      <formula>LEN(TRIM(G1277))&gt;0</formula>
    </cfRule>
  </conditionalFormatting>
  <conditionalFormatting sqref="G1277:K1277">
    <cfRule type="notContainsBlanks" dxfId="5985" priority="6201">
      <formula>LEN(TRIM(G1277))&gt;0</formula>
    </cfRule>
  </conditionalFormatting>
  <conditionalFormatting sqref="G1277:K1277">
    <cfRule type="notContainsBlanks" dxfId="5984" priority="6200">
      <formula>LEN(TRIM(G1277))&gt;0</formula>
    </cfRule>
  </conditionalFormatting>
  <conditionalFormatting sqref="G1277:K1277">
    <cfRule type="notContainsBlanks" dxfId="5983" priority="6198">
      <formula>LEN(TRIM(G1277))&gt;0</formula>
    </cfRule>
    <cfRule type="notContainsBlanks" dxfId="5982" priority="6199">
      <formula>LEN(TRIM(G1277))&gt;0</formula>
    </cfRule>
  </conditionalFormatting>
  <conditionalFormatting sqref="G1277:K1277">
    <cfRule type="notContainsBlanks" dxfId="5981" priority="6197">
      <formula>LEN(TRIM(G1277))&gt;0</formula>
    </cfRule>
  </conditionalFormatting>
  <conditionalFormatting sqref="G1277:K1277">
    <cfRule type="notContainsBlanks" dxfId="5980" priority="6196">
      <formula>LEN(TRIM(G1277))&gt;0</formula>
    </cfRule>
  </conditionalFormatting>
  <conditionalFormatting sqref="G1277:K1277">
    <cfRule type="notContainsBlanks" dxfId="5979" priority="6195">
      <formula>LEN(TRIM(G1277))&gt;0</formula>
    </cfRule>
  </conditionalFormatting>
  <conditionalFormatting sqref="G1277:K1277">
    <cfRule type="notContainsBlanks" dxfId="5978" priority="6194">
      <formula>LEN(TRIM(G1277))&gt;0</formula>
    </cfRule>
  </conditionalFormatting>
  <conditionalFormatting sqref="G1277:K1277">
    <cfRule type="notContainsBlanks" dxfId="5977" priority="6193">
      <formula>LEN(TRIM(G1277))&gt;0</formula>
    </cfRule>
  </conditionalFormatting>
  <conditionalFormatting sqref="G1277:K1277">
    <cfRule type="notContainsBlanks" dxfId="5976" priority="6192">
      <formula>LEN(TRIM(G1277))&gt;0</formula>
    </cfRule>
  </conditionalFormatting>
  <conditionalFormatting sqref="G1277:K1277">
    <cfRule type="notContainsBlanks" dxfId="5975" priority="6191">
      <formula>LEN(TRIM(G1277))&gt;0</formula>
    </cfRule>
  </conditionalFormatting>
  <conditionalFormatting sqref="G1277:K1277">
    <cfRule type="notContainsBlanks" dxfId="5974" priority="6190">
      <formula>LEN(TRIM(G1277))&gt;0</formula>
    </cfRule>
  </conditionalFormatting>
  <conditionalFormatting sqref="G1277:K1277">
    <cfRule type="notContainsBlanks" dxfId="5973" priority="6189">
      <formula>LEN(TRIM(G1277))&gt;0</formula>
    </cfRule>
  </conditionalFormatting>
  <conditionalFormatting sqref="G1277:K1277">
    <cfRule type="notContainsBlanks" priority="6188">
      <formula>LEN(TRIM(G1277))&gt;0</formula>
    </cfRule>
  </conditionalFormatting>
  <conditionalFormatting sqref="G1277:K1277">
    <cfRule type="notContainsBlanks" dxfId="5972" priority="6187">
      <formula>LEN(TRIM(G1277))&gt;0</formula>
    </cfRule>
  </conditionalFormatting>
  <conditionalFormatting sqref="G1277:K1277">
    <cfRule type="notContainsBlanks" dxfId="5971" priority="6186">
      <formula>LEN(TRIM(G1277))&gt;0</formula>
    </cfRule>
  </conditionalFormatting>
  <conditionalFormatting sqref="G1277:K1277">
    <cfRule type="notContainsBlanks" dxfId="5970" priority="6185">
      <formula>LEN(TRIM(G1277))&gt;0</formula>
    </cfRule>
  </conditionalFormatting>
  <conditionalFormatting sqref="G1277:K1277">
    <cfRule type="notContainsBlanks" dxfId="5969" priority="6184">
      <formula>LEN(TRIM(G1277))&gt;0</formula>
    </cfRule>
  </conditionalFormatting>
  <conditionalFormatting sqref="G1277:K1277">
    <cfRule type="notContainsBlanks" dxfId="5968" priority="6183">
      <formula>LEN(TRIM(G1277))&gt;0</formula>
    </cfRule>
  </conditionalFormatting>
  <conditionalFormatting sqref="G1290">
    <cfRule type="notContainsBlanks" dxfId="5967" priority="6182">
      <formula>LEN(TRIM(G1290))&gt;0</formula>
    </cfRule>
  </conditionalFormatting>
  <conditionalFormatting sqref="H1290:K1290">
    <cfRule type="notContainsBlanks" dxfId="5966" priority="6181">
      <formula>LEN(TRIM(H1290))&gt;0</formula>
    </cfRule>
  </conditionalFormatting>
  <conditionalFormatting sqref="G1290:K1290">
    <cfRule type="notContainsBlanks" dxfId="5965" priority="6180">
      <formula>LEN(TRIM(G1290))&gt;0</formula>
    </cfRule>
  </conditionalFormatting>
  <conditionalFormatting sqref="G1290:K1290">
    <cfRule type="notContainsBlanks" dxfId="5964" priority="6179">
      <formula>LEN(TRIM(G1290))&gt;0</formula>
    </cfRule>
  </conditionalFormatting>
  <conditionalFormatting sqref="G1290:K1290">
    <cfRule type="notContainsBlanks" dxfId="5963" priority="6178">
      <formula>LEN(TRIM(G1290))&gt;0</formula>
    </cfRule>
  </conditionalFormatting>
  <conditionalFormatting sqref="G1290:K1290">
    <cfRule type="notContainsBlanks" dxfId="5962" priority="6177">
      <formula>LEN(TRIM(G1290))&gt;0</formula>
    </cfRule>
  </conditionalFormatting>
  <conditionalFormatting sqref="G1290:K1290">
    <cfRule type="notContainsBlanks" dxfId="5961" priority="6176">
      <formula>LEN(TRIM(G1290))&gt;0</formula>
    </cfRule>
  </conditionalFormatting>
  <conditionalFormatting sqref="G1290:K1290">
    <cfRule type="notContainsBlanks" dxfId="5960" priority="6175">
      <formula>LEN(TRIM(G1290))&gt;0</formula>
    </cfRule>
  </conditionalFormatting>
  <conditionalFormatting sqref="G1290:K1290">
    <cfRule type="notContainsBlanks" dxfId="5959" priority="6174">
      <formula>LEN(TRIM(G1290))&gt;0</formula>
    </cfRule>
  </conditionalFormatting>
  <conditionalFormatting sqref="G1290:K1290">
    <cfRule type="notContainsBlanks" dxfId="5958" priority="6173">
      <formula>LEN(TRIM(G1290))&gt;0</formula>
    </cfRule>
  </conditionalFormatting>
  <conditionalFormatting sqref="G1290:K1290">
    <cfRule type="notContainsBlanks" dxfId="5957" priority="6172">
      <formula>LEN(TRIM(G1290))&gt;0</formula>
    </cfRule>
  </conditionalFormatting>
  <conditionalFormatting sqref="G1290:K1290">
    <cfRule type="notContainsBlanks" dxfId="5956" priority="6170">
      <formula>LEN(TRIM(G1290))&gt;0</formula>
    </cfRule>
    <cfRule type="notContainsBlanks" dxfId="5955" priority="6171">
      <formula>LEN(TRIM(G1290))&gt;0</formula>
    </cfRule>
  </conditionalFormatting>
  <conditionalFormatting sqref="G1290:K1290">
    <cfRule type="notContainsBlanks" dxfId="5954" priority="6169">
      <formula>LEN(TRIM(G1290))&gt;0</formula>
    </cfRule>
  </conditionalFormatting>
  <conditionalFormatting sqref="G1290:K1290">
    <cfRule type="notContainsBlanks" dxfId="5953" priority="6168">
      <formula>LEN(TRIM(G1290))&gt;0</formula>
    </cfRule>
  </conditionalFormatting>
  <conditionalFormatting sqref="G1290:K1290">
    <cfRule type="notContainsBlanks" dxfId="5952" priority="6167">
      <formula>LEN(TRIM(G1290))&gt;0</formula>
    </cfRule>
  </conditionalFormatting>
  <conditionalFormatting sqref="G1290:K1290">
    <cfRule type="notContainsBlanks" dxfId="5951" priority="6166">
      <formula>LEN(TRIM(G1290))&gt;0</formula>
    </cfRule>
  </conditionalFormatting>
  <conditionalFormatting sqref="G1290:K1290">
    <cfRule type="notContainsBlanks" dxfId="5950" priority="6165">
      <formula>LEN(TRIM(G1290))&gt;0</formula>
    </cfRule>
  </conditionalFormatting>
  <conditionalFormatting sqref="G1290:K1290">
    <cfRule type="notContainsBlanks" dxfId="5949" priority="6164">
      <formula>LEN(TRIM(G1290))&gt;0</formula>
    </cfRule>
  </conditionalFormatting>
  <conditionalFormatting sqref="G1290:K1290">
    <cfRule type="notContainsBlanks" dxfId="5948" priority="6163">
      <formula>LEN(TRIM(G1290))&gt;0</formula>
    </cfRule>
  </conditionalFormatting>
  <conditionalFormatting sqref="G1290:K1290">
    <cfRule type="notContainsBlanks" dxfId="5947" priority="6162">
      <formula>LEN(TRIM(G1290))&gt;0</formula>
    </cfRule>
  </conditionalFormatting>
  <conditionalFormatting sqref="G1290:K1290">
    <cfRule type="notContainsBlanks" dxfId="5946" priority="6161">
      <formula>LEN(TRIM(G1290))&gt;0</formula>
    </cfRule>
  </conditionalFormatting>
  <conditionalFormatting sqref="G1290:K1290">
    <cfRule type="notContainsBlanks" priority="6160">
      <formula>LEN(TRIM(G1290))&gt;0</formula>
    </cfRule>
  </conditionalFormatting>
  <conditionalFormatting sqref="G1290:K1290">
    <cfRule type="notContainsBlanks" dxfId="5945" priority="6159">
      <formula>LEN(TRIM(G1290))&gt;0</formula>
    </cfRule>
  </conditionalFormatting>
  <conditionalFormatting sqref="G1290:K1290">
    <cfRule type="notContainsBlanks" dxfId="5944" priority="6158">
      <formula>LEN(TRIM(G1290))&gt;0</formula>
    </cfRule>
  </conditionalFormatting>
  <conditionalFormatting sqref="G1290:K1290">
    <cfRule type="notContainsBlanks" dxfId="5943" priority="6157">
      <formula>LEN(TRIM(G1290))&gt;0</formula>
    </cfRule>
  </conditionalFormatting>
  <conditionalFormatting sqref="G1290:K1290">
    <cfRule type="notContainsBlanks" dxfId="5942" priority="6156">
      <formula>LEN(TRIM(G1290))&gt;0</formula>
    </cfRule>
  </conditionalFormatting>
  <conditionalFormatting sqref="G1290:K1290">
    <cfRule type="notContainsBlanks" dxfId="5941" priority="6155">
      <formula>LEN(TRIM(G1290))&gt;0</formula>
    </cfRule>
  </conditionalFormatting>
  <conditionalFormatting sqref="G1303">
    <cfRule type="notContainsBlanks" dxfId="5940" priority="6154">
      <formula>LEN(TRIM(G1303))&gt;0</formula>
    </cfRule>
  </conditionalFormatting>
  <conditionalFormatting sqref="H1303:K1303">
    <cfRule type="notContainsBlanks" dxfId="5939" priority="6153">
      <formula>LEN(TRIM(H1303))&gt;0</formula>
    </cfRule>
  </conditionalFormatting>
  <conditionalFormatting sqref="G1303:K1303">
    <cfRule type="notContainsBlanks" dxfId="5938" priority="6152">
      <formula>LEN(TRIM(G1303))&gt;0</formula>
    </cfRule>
  </conditionalFormatting>
  <conditionalFormatting sqref="G1303:K1303">
    <cfRule type="notContainsBlanks" dxfId="5937" priority="6151">
      <formula>LEN(TRIM(G1303))&gt;0</formula>
    </cfRule>
  </conditionalFormatting>
  <conditionalFormatting sqref="G1303:K1303">
    <cfRule type="notContainsBlanks" dxfId="5936" priority="6150">
      <formula>LEN(TRIM(G1303))&gt;0</formula>
    </cfRule>
  </conditionalFormatting>
  <conditionalFormatting sqref="G1303:K1303">
    <cfRule type="notContainsBlanks" dxfId="5935" priority="6149">
      <formula>LEN(TRIM(G1303))&gt;0</formula>
    </cfRule>
  </conditionalFormatting>
  <conditionalFormatting sqref="G1303:K1303">
    <cfRule type="notContainsBlanks" dxfId="5934" priority="6148">
      <formula>LEN(TRIM(G1303))&gt;0</formula>
    </cfRule>
  </conditionalFormatting>
  <conditionalFormatting sqref="G1303:K1303">
    <cfRule type="notContainsBlanks" dxfId="5933" priority="6147">
      <formula>LEN(TRIM(G1303))&gt;0</formula>
    </cfRule>
  </conditionalFormatting>
  <conditionalFormatting sqref="G1303:K1303">
    <cfRule type="notContainsBlanks" dxfId="5932" priority="6146">
      <formula>LEN(TRIM(G1303))&gt;0</formula>
    </cfRule>
  </conditionalFormatting>
  <conditionalFormatting sqref="G1303:K1303">
    <cfRule type="notContainsBlanks" dxfId="5931" priority="6145">
      <formula>LEN(TRIM(G1303))&gt;0</formula>
    </cfRule>
  </conditionalFormatting>
  <conditionalFormatting sqref="G1303:K1303">
    <cfRule type="notContainsBlanks" dxfId="5930" priority="6144">
      <formula>LEN(TRIM(G1303))&gt;0</formula>
    </cfRule>
  </conditionalFormatting>
  <conditionalFormatting sqref="G1303:K1303">
    <cfRule type="notContainsBlanks" dxfId="5929" priority="6142">
      <formula>LEN(TRIM(G1303))&gt;0</formula>
    </cfRule>
    <cfRule type="notContainsBlanks" dxfId="5928" priority="6143">
      <formula>LEN(TRIM(G1303))&gt;0</formula>
    </cfRule>
  </conditionalFormatting>
  <conditionalFormatting sqref="G1303:K1303">
    <cfRule type="notContainsBlanks" dxfId="5927" priority="6141">
      <formula>LEN(TRIM(G1303))&gt;0</formula>
    </cfRule>
  </conditionalFormatting>
  <conditionalFormatting sqref="G1303:K1303">
    <cfRule type="notContainsBlanks" dxfId="5926" priority="6140">
      <formula>LEN(TRIM(G1303))&gt;0</formula>
    </cfRule>
  </conditionalFormatting>
  <conditionalFormatting sqref="G1303:K1303">
    <cfRule type="notContainsBlanks" dxfId="5925" priority="6139">
      <formula>LEN(TRIM(G1303))&gt;0</formula>
    </cfRule>
  </conditionalFormatting>
  <conditionalFormatting sqref="G1303:K1303">
    <cfRule type="notContainsBlanks" dxfId="5924" priority="6138">
      <formula>LEN(TRIM(G1303))&gt;0</formula>
    </cfRule>
  </conditionalFormatting>
  <conditionalFormatting sqref="G1303:K1303">
    <cfRule type="notContainsBlanks" dxfId="5923" priority="6137">
      <formula>LEN(TRIM(G1303))&gt;0</formula>
    </cfRule>
  </conditionalFormatting>
  <conditionalFormatting sqref="G1303:K1303">
    <cfRule type="notContainsBlanks" dxfId="5922" priority="6136">
      <formula>LEN(TRIM(G1303))&gt;0</formula>
    </cfRule>
  </conditionalFormatting>
  <conditionalFormatting sqref="G1303:K1303">
    <cfRule type="notContainsBlanks" dxfId="5921" priority="6135">
      <formula>LEN(TRIM(G1303))&gt;0</formula>
    </cfRule>
  </conditionalFormatting>
  <conditionalFormatting sqref="G1303:K1303">
    <cfRule type="notContainsBlanks" dxfId="5920" priority="6134">
      <formula>LEN(TRIM(G1303))&gt;0</formula>
    </cfRule>
  </conditionalFormatting>
  <conditionalFormatting sqref="G1303:K1303">
    <cfRule type="notContainsBlanks" dxfId="5919" priority="6133">
      <formula>LEN(TRIM(G1303))&gt;0</formula>
    </cfRule>
  </conditionalFormatting>
  <conditionalFormatting sqref="G1303:K1303">
    <cfRule type="notContainsBlanks" priority="6132">
      <formula>LEN(TRIM(G1303))&gt;0</formula>
    </cfRule>
  </conditionalFormatting>
  <conditionalFormatting sqref="G1303:K1303">
    <cfRule type="notContainsBlanks" dxfId="5918" priority="6131">
      <formula>LEN(TRIM(G1303))&gt;0</formula>
    </cfRule>
  </conditionalFormatting>
  <conditionalFormatting sqref="G1303:K1303">
    <cfRule type="notContainsBlanks" dxfId="5917" priority="6130">
      <formula>LEN(TRIM(G1303))&gt;0</formula>
    </cfRule>
  </conditionalFormatting>
  <conditionalFormatting sqref="G1303:K1303">
    <cfRule type="notContainsBlanks" dxfId="5916" priority="6129">
      <formula>LEN(TRIM(G1303))&gt;0</formula>
    </cfRule>
  </conditionalFormatting>
  <conditionalFormatting sqref="G1303:K1303">
    <cfRule type="notContainsBlanks" dxfId="5915" priority="6128">
      <formula>LEN(TRIM(G1303))&gt;0</formula>
    </cfRule>
  </conditionalFormatting>
  <conditionalFormatting sqref="G1303:K1303">
    <cfRule type="notContainsBlanks" dxfId="5914" priority="6127">
      <formula>LEN(TRIM(G1303))&gt;0</formula>
    </cfRule>
  </conditionalFormatting>
  <conditionalFormatting sqref="G1316">
    <cfRule type="notContainsBlanks" dxfId="5913" priority="6126">
      <formula>LEN(TRIM(G1316))&gt;0</formula>
    </cfRule>
  </conditionalFormatting>
  <conditionalFormatting sqref="H1316:K1316">
    <cfRule type="notContainsBlanks" dxfId="5912" priority="6125">
      <formula>LEN(TRIM(H1316))&gt;0</formula>
    </cfRule>
  </conditionalFormatting>
  <conditionalFormatting sqref="G1316:K1316">
    <cfRule type="notContainsBlanks" dxfId="5911" priority="6124">
      <formula>LEN(TRIM(G1316))&gt;0</formula>
    </cfRule>
  </conditionalFormatting>
  <conditionalFormatting sqref="G1316:K1316">
    <cfRule type="notContainsBlanks" dxfId="5910" priority="6123">
      <formula>LEN(TRIM(G1316))&gt;0</formula>
    </cfRule>
  </conditionalFormatting>
  <conditionalFormatting sqref="G1316:K1316">
    <cfRule type="notContainsBlanks" dxfId="5909" priority="6122">
      <formula>LEN(TRIM(G1316))&gt;0</formula>
    </cfRule>
  </conditionalFormatting>
  <conditionalFormatting sqref="G1316:K1316">
    <cfRule type="notContainsBlanks" dxfId="5908" priority="6121">
      <formula>LEN(TRIM(G1316))&gt;0</formula>
    </cfRule>
  </conditionalFormatting>
  <conditionalFormatting sqref="G1316:K1316">
    <cfRule type="notContainsBlanks" dxfId="5907" priority="6120">
      <formula>LEN(TRIM(G1316))&gt;0</formula>
    </cfRule>
  </conditionalFormatting>
  <conditionalFormatting sqref="G1316:K1316">
    <cfRule type="notContainsBlanks" dxfId="5906" priority="6119">
      <formula>LEN(TRIM(G1316))&gt;0</formula>
    </cfRule>
  </conditionalFormatting>
  <conditionalFormatting sqref="G1316:K1316">
    <cfRule type="notContainsBlanks" dxfId="5905" priority="6118">
      <formula>LEN(TRIM(G1316))&gt;0</formula>
    </cfRule>
  </conditionalFormatting>
  <conditionalFormatting sqref="G1316:K1316">
    <cfRule type="notContainsBlanks" dxfId="5904" priority="6117">
      <formula>LEN(TRIM(G1316))&gt;0</formula>
    </cfRule>
  </conditionalFormatting>
  <conditionalFormatting sqref="G1316:K1316">
    <cfRule type="notContainsBlanks" dxfId="5903" priority="6116">
      <formula>LEN(TRIM(G1316))&gt;0</formula>
    </cfRule>
  </conditionalFormatting>
  <conditionalFormatting sqref="G1316:K1316">
    <cfRule type="notContainsBlanks" dxfId="5902" priority="6114">
      <formula>LEN(TRIM(G1316))&gt;0</formula>
    </cfRule>
    <cfRule type="notContainsBlanks" dxfId="5901" priority="6115">
      <formula>LEN(TRIM(G1316))&gt;0</formula>
    </cfRule>
  </conditionalFormatting>
  <conditionalFormatting sqref="G1316:K1316">
    <cfRule type="notContainsBlanks" dxfId="5900" priority="6113">
      <formula>LEN(TRIM(G1316))&gt;0</formula>
    </cfRule>
  </conditionalFormatting>
  <conditionalFormatting sqref="G1316:K1316">
    <cfRule type="notContainsBlanks" dxfId="5899" priority="6112">
      <formula>LEN(TRIM(G1316))&gt;0</formula>
    </cfRule>
  </conditionalFormatting>
  <conditionalFormatting sqref="G1316:K1316">
    <cfRule type="notContainsBlanks" dxfId="5898" priority="6111">
      <formula>LEN(TRIM(G1316))&gt;0</formula>
    </cfRule>
  </conditionalFormatting>
  <conditionalFormatting sqref="G1316:K1316">
    <cfRule type="notContainsBlanks" dxfId="5897" priority="6110">
      <formula>LEN(TRIM(G1316))&gt;0</formula>
    </cfRule>
  </conditionalFormatting>
  <conditionalFormatting sqref="G1316:K1316">
    <cfRule type="notContainsBlanks" dxfId="5896" priority="6109">
      <formula>LEN(TRIM(G1316))&gt;0</formula>
    </cfRule>
  </conditionalFormatting>
  <conditionalFormatting sqref="G1316:K1316">
    <cfRule type="notContainsBlanks" dxfId="5895" priority="6108">
      <formula>LEN(TRIM(G1316))&gt;0</formula>
    </cfRule>
  </conditionalFormatting>
  <conditionalFormatting sqref="G1316:K1316">
    <cfRule type="notContainsBlanks" dxfId="5894" priority="6107">
      <formula>LEN(TRIM(G1316))&gt;0</formula>
    </cfRule>
  </conditionalFormatting>
  <conditionalFormatting sqref="G1316:K1316">
    <cfRule type="notContainsBlanks" dxfId="5893" priority="6106">
      <formula>LEN(TRIM(G1316))&gt;0</formula>
    </cfRule>
  </conditionalFormatting>
  <conditionalFormatting sqref="G1316:K1316">
    <cfRule type="notContainsBlanks" dxfId="5892" priority="6105">
      <formula>LEN(TRIM(G1316))&gt;0</formula>
    </cfRule>
  </conditionalFormatting>
  <conditionalFormatting sqref="G1316:K1316">
    <cfRule type="notContainsBlanks" priority="6104">
      <formula>LEN(TRIM(G1316))&gt;0</formula>
    </cfRule>
  </conditionalFormatting>
  <conditionalFormatting sqref="G1316:K1316">
    <cfRule type="notContainsBlanks" dxfId="5891" priority="6103">
      <formula>LEN(TRIM(G1316))&gt;0</formula>
    </cfRule>
  </conditionalFormatting>
  <conditionalFormatting sqref="G1316:K1316">
    <cfRule type="notContainsBlanks" dxfId="5890" priority="6102">
      <formula>LEN(TRIM(G1316))&gt;0</formula>
    </cfRule>
  </conditionalFormatting>
  <conditionalFormatting sqref="G1316:K1316">
    <cfRule type="notContainsBlanks" dxfId="5889" priority="6101">
      <formula>LEN(TRIM(G1316))&gt;0</formula>
    </cfRule>
  </conditionalFormatting>
  <conditionalFormatting sqref="G1316:K1316">
    <cfRule type="notContainsBlanks" dxfId="5888" priority="6100">
      <formula>LEN(TRIM(G1316))&gt;0</formula>
    </cfRule>
  </conditionalFormatting>
  <conditionalFormatting sqref="G1316:K1316">
    <cfRule type="notContainsBlanks" dxfId="5887" priority="6099">
      <formula>LEN(TRIM(G1316))&gt;0</formula>
    </cfRule>
  </conditionalFormatting>
  <conditionalFormatting sqref="G1329">
    <cfRule type="notContainsBlanks" dxfId="5886" priority="6098">
      <formula>LEN(TRIM(G1329))&gt;0</formula>
    </cfRule>
  </conditionalFormatting>
  <conditionalFormatting sqref="H1329:K1329">
    <cfRule type="notContainsBlanks" dxfId="5885" priority="6097">
      <formula>LEN(TRIM(H1329))&gt;0</formula>
    </cfRule>
  </conditionalFormatting>
  <conditionalFormatting sqref="G1329:K1329">
    <cfRule type="notContainsBlanks" dxfId="5884" priority="6096">
      <formula>LEN(TRIM(G1329))&gt;0</formula>
    </cfRule>
  </conditionalFormatting>
  <conditionalFormatting sqref="G1329:K1329">
    <cfRule type="notContainsBlanks" dxfId="5883" priority="6095">
      <formula>LEN(TRIM(G1329))&gt;0</formula>
    </cfRule>
  </conditionalFormatting>
  <conditionalFormatting sqref="G1329:K1329">
    <cfRule type="notContainsBlanks" dxfId="5882" priority="6094">
      <formula>LEN(TRIM(G1329))&gt;0</formula>
    </cfRule>
  </conditionalFormatting>
  <conditionalFormatting sqref="G1329:K1329">
    <cfRule type="notContainsBlanks" dxfId="5881" priority="6093">
      <formula>LEN(TRIM(G1329))&gt;0</formula>
    </cfRule>
  </conditionalFormatting>
  <conditionalFormatting sqref="G1329:K1329">
    <cfRule type="notContainsBlanks" dxfId="5880" priority="6092">
      <formula>LEN(TRIM(G1329))&gt;0</formula>
    </cfRule>
  </conditionalFormatting>
  <conditionalFormatting sqref="G1329:K1329">
    <cfRule type="notContainsBlanks" dxfId="5879" priority="6091">
      <formula>LEN(TRIM(G1329))&gt;0</formula>
    </cfRule>
  </conditionalFormatting>
  <conditionalFormatting sqref="G1329:K1329">
    <cfRule type="notContainsBlanks" dxfId="5878" priority="6090">
      <formula>LEN(TRIM(G1329))&gt;0</formula>
    </cfRule>
  </conditionalFormatting>
  <conditionalFormatting sqref="G1329:K1329">
    <cfRule type="notContainsBlanks" dxfId="5877" priority="6089">
      <formula>LEN(TRIM(G1329))&gt;0</formula>
    </cfRule>
  </conditionalFormatting>
  <conditionalFormatting sqref="G1329:K1329">
    <cfRule type="notContainsBlanks" dxfId="5876" priority="6088">
      <formula>LEN(TRIM(G1329))&gt;0</formula>
    </cfRule>
  </conditionalFormatting>
  <conditionalFormatting sqref="G1329:K1329">
    <cfRule type="notContainsBlanks" dxfId="5875" priority="6086">
      <formula>LEN(TRIM(G1329))&gt;0</formula>
    </cfRule>
    <cfRule type="notContainsBlanks" dxfId="5874" priority="6087">
      <formula>LEN(TRIM(G1329))&gt;0</formula>
    </cfRule>
  </conditionalFormatting>
  <conditionalFormatting sqref="G1329:K1329">
    <cfRule type="notContainsBlanks" dxfId="5873" priority="6085">
      <formula>LEN(TRIM(G1329))&gt;0</formula>
    </cfRule>
  </conditionalFormatting>
  <conditionalFormatting sqref="G1329:K1329">
    <cfRule type="notContainsBlanks" dxfId="5872" priority="6084">
      <formula>LEN(TRIM(G1329))&gt;0</formula>
    </cfRule>
  </conditionalFormatting>
  <conditionalFormatting sqref="G1329:K1329">
    <cfRule type="notContainsBlanks" dxfId="5871" priority="6083">
      <formula>LEN(TRIM(G1329))&gt;0</formula>
    </cfRule>
  </conditionalFormatting>
  <conditionalFormatting sqref="G1329:K1329">
    <cfRule type="notContainsBlanks" dxfId="5870" priority="6082">
      <formula>LEN(TRIM(G1329))&gt;0</formula>
    </cfRule>
  </conditionalFormatting>
  <conditionalFormatting sqref="G1329:K1329">
    <cfRule type="notContainsBlanks" dxfId="5869" priority="6081">
      <formula>LEN(TRIM(G1329))&gt;0</formula>
    </cfRule>
  </conditionalFormatting>
  <conditionalFormatting sqref="G1329:K1329">
    <cfRule type="notContainsBlanks" dxfId="5868" priority="6080">
      <formula>LEN(TRIM(G1329))&gt;0</formula>
    </cfRule>
  </conditionalFormatting>
  <conditionalFormatting sqref="G1329:K1329">
    <cfRule type="notContainsBlanks" dxfId="5867" priority="6079">
      <formula>LEN(TRIM(G1329))&gt;0</formula>
    </cfRule>
  </conditionalFormatting>
  <conditionalFormatting sqref="G1329:K1329">
    <cfRule type="notContainsBlanks" dxfId="5866" priority="6078">
      <formula>LEN(TRIM(G1329))&gt;0</formula>
    </cfRule>
  </conditionalFormatting>
  <conditionalFormatting sqref="G1329:K1329">
    <cfRule type="notContainsBlanks" dxfId="5865" priority="6077">
      <formula>LEN(TRIM(G1329))&gt;0</formula>
    </cfRule>
  </conditionalFormatting>
  <conditionalFormatting sqref="G1329:K1329">
    <cfRule type="notContainsBlanks" priority="6076">
      <formula>LEN(TRIM(G1329))&gt;0</formula>
    </cfRule>
  </conditionalFormatting>
  <conditionalFormatting sqref="G1329:K1329">
    <cfRule type="notContainsBlanks" dxfId="5864" priority="6075">
      <formula>LEN(TRIM(G1329))&gt;0</formula>
    </cfRule>
  </conditionalFormatting>
  <conditionalFormatting sqref="G1329:K1329">
    <cfRule type="notContainsBlanks" dxfId="5863" priority="6074">
      <formula>LEN(TRIM(G1329))&gt;0</formula>
    </cfRule>
  </conditionalFormatting>
  <conditionalFormatting sqref="G1329:K1329">
    <cfRule type="notContainsBlanks" dxfId="5862" priority="6073">
      <formula>LEN(TRIM(G1329))&gt;0</formula>
    </cfRule>
  </conditionalFormatting>
  <conditionalFormatting sqref="G1329:K1329">
    <cfRule type="notContainsBlanks" dxfId="5861" priority="6072">
      <formula>LEN(TRIM(G1329))&gt;0</formula>
    </cfRule>
  </conditionalFormatting>
  <conditionalFormatting sqref="G1329:K1329">
    <cfRule type="notContainsBlanks" dxfId="5860" priority="6071">
      <formula>LEN(TRIM(G1329))&gt;0</formula>
    </cfRule>
  </conditionalFormatting>
  <conditionalFormatting sqref="G430:K432 G434:K445 G447:K458 G460:K471 G473:K484 G486:K497 G499:K510 G512:K523 G525:K536 G538:K549 G551:K562 G564:K575 G577:K588 G590:K601 G603:K614 G616:K627 G629:K640 G642:K653 G655:K666 G668:K679 G681:K692 G694:K705 G707:K718 G720:K731 G733:K744 G746:K757 G759:K770 G772:K783 G785:K796 G798:K809 G811:K822 G824:K835 G837:K848 G850:K861 G863:K874 G876:K887 G889:K900 G902:K913 G915:K926 G928:K939 G941:K952 G954:K965 G967:K978 G980:K991 G993:K1004 G1006:K1017 G1019:K1030 G1032:K1043 G1045:K1056 G1058:K1069 G1071:K1082 G1084:K1095 G1097:K1108 G1110:K1121 G1123:K1134 G1136:K1147 G1149:K1160 G1162:K1173 G1175:K1186 G1188:K1199 G1201:K1212 G1214:K1225 G1227:K1238 G1240:K1251 G1253:K1264 G1266:K1277 G1279:K1290 G1292:K1303 G1305:K1316 G1318:K1329 G1331:K1338">
    <cfRule type="notContainsBlanks" dxfId="5859" priority="6070">
      <formula>LEN(TRIM(G430))&gt;0</formula>
    </cfRule>
  </conditionalFormatting>
  <conditionalFormatting sqref="G430:L432 G434:L445 L433 G447:L458 L446 G460:L471 L459 G473:L484 L472 G486:L497 L485 G499:L510 L498 G512:L523 L511 G525:L536 L524 G538:L549 L537 G551:L562 L550 G564:L575 L563 G577:L588 L576 G590:L601 L589 G603:L614 L602 G616:L627 L615 G629:L640 L628 G642:L653 L641 G655:L666 L654 G668:L679 L667 G681:L692 L680 G694:L705 L693 G707:L718 L706 G720:L731 L719 G733:L744 L732 G746:L757 L745 G759:L770 L758 G772:L783 L771 G785:L796 L784 G798:L809 L797 G811:L822 L810 G824:L835 L823 G837:L848 L836 G850:L861 L849 G863:L874 L862 G876:L887 L875 G889:L900 L888 G902:L913 L901 G915:L926 L914 G928:L939 L927 G941:L952 L940 G954:L965 L953 G967:L978 L966 G980:L991 L979 G993:L1004 L992 G1006:L1017 L1005 G1019:L1030 L1018 G1032:L1043 L1031 G1045:L1056 L1044 G1058:L1069 L1057 G1071:L1082 L1070 G1084:L1095 L1083 G1097:L1108 L1096 G1110:L1121 L1109 G1123:L1134 L1122 G1136:L1147 L1135 G1149:L1160 L1148 G1162:L1173 L1161 G1175:L1186 L1174 G1188:L1199 L1187 G1201:L1212 L1200 G1214:L1225 L1213 G1227:L1238 L1226 G1240:L1251 L1239 G1253:L1264 L1252 G1266:L1277 L1265 G1279:L1290 L1278 G1292:L1303 L1291 G1305:L1316 L1304 G1318:L1329 L1317 G1331:L1338 L1330">
    <cfRule type="notContainsBlanks" dxfId="5858" priority="6069">
      <formula>LEN(TRIM(G430))&gt;0</formula>
    </cfRule>
  </conditionalFormatting>
  <conditionalFormatting sqref="N445:R445">
    <cfRule type="notContainsBlanks" dxfId="5857" priority="6068">
      <formula>LEN(TRIM(N445))&gt;0</formula>
    </cfRule>
  </conditionalFormatting>
  <conditionalFormatting sqref="N445:R445">
    <cfRule type="notContainsBlanks" dxfId="5856" priority="6067">
      <formula>LEN(TRIM(N445))&gt;0</formula>
    </cfRule>
  </conditionalFormatting>
  <conditionalFormatting sqref="N445:R445">
    <cfRule type="notContainsBlanks" dxfId="5855" priority="6066">
      <formula>LEN(TRIM(N445))&gt;0</formula>
    </cfRule>
  </conditionalFormatting>
  <conditionalFormatting sqref="N445:R445">
    <cfRule type="notContainsBlanks" dxfId="5854" priority="6065">
      <formula>LEN(TRIM(N445))&gt;0</formula>
    </cfRule>
  </conditionalFormatting>
  <conditionalFormatting sqref="N445:R445">
    <cfRule type="notContainsBlanks" dxfId="5853" priority="6064">
      <formula>LEN(TRIM(N445))&gt;0</formula>
    </cfRule>
  </conditionalFormatting>
  <conditionalFormatting sqref="N445:R445">
    <cfRule type="notContainsBlanks" dxfId="5852" priority="6063">
      <formula>LEN(TRIM(N445))&gt;0</formula>
    </cfRule>
  </conditionalFormatting>
  <conditionalFormatting sqref="N445:R445">
    <cfRule type="notContainsBlanks" dxfId="5851" priority="6062">
      <formula>LEN(TRIM(N445))&gt;0</formula>
    </cfRule>
  </conditionalFormatting>
  <conditionalFormatting sqref="N445:R445">
    <cfRule type="notContainsBlanks" dxfId="5850" priority="6061">
      <formula>LEN(TRIM(N445))&gt;0</formula>
    </cfRule>
  </conditionalFormatting>
  <conditionalFormatting sqref="N445:R445">
    <cfRule type="notContainsBlanks" dxfId="5849" priority="6060">
      <formula>LEN(TRIM(N445))&gt;0</formula>
    </cfRule>
  </conditionalFormatting>
  <conditionalFormatting sqref="N445:R445">
    <cfRule type="notContainsBlanks" dxfId="5848" priority="6058">
      <formula>LEN(TRIM(N445))&gt;0</formula>
    </cfRule>
    <cfRule type="notContainsBlanks" dxfId="5847" priority="6059">
      <formula>LEN(TRIM(N445))&gt;0</formula>
    </cfRule>
  </conditionalFormatting>
  <conditionalFormatting sqref="N445:R445">
    <cfRule type="notContainsBlanks" dxfId="5846" priority="6057">
      <formula>LEN(TRIM(N445))&gt;0</formula>
    </cfRule>
  </conditionalFormatting>
  <conditionalFormatting sqref="N445:R445">
    <cfRule type="notContainsBlanks" dxfId="5845" priority="6056">
      <formula>LEN(TRIM(N445))&gt;0</formula>
    </cfRule>
  </conditionalFormatting>
  <conditionalFormatting sqref="N445:R445">
    <cfRule type="notContainsBlanks" dxfId="5844" priority="6055">
      <formula>LEN(TRIM(N445))&gt;0</formula>
    </cfRule>
  </conditionalFormatting>
  <conditionalFormatting sqref="N445:R445">
    <cfRule type="notContainsBlanks" dxfId="5843" priority="6054">
      <formula>LEN(TRIM(N445))&gt;0</formula>
    </cfRule>
  </conditionalFormatting>
  <conditionalFormatting sqref="N445:R445">
    <cfRule type="notContainsBlanks" dxfId="5842" priority="6053">
      <formula>LEN(TRIM(N445))&gt;0</formula>
    </cfRule>
  </conditionalFormatting>
  <conditionalFormatting sqref="N445:R445">
    <cfRule type="notContainsBlanks" dxfId="5841" priority="6052">
      <formula>LEN(TRIM(N445))&gt;0</formula>
    </cfRule>
  </conditionalFormatting>
  <conditionalFormatting sqref="N445:R445">
    <cfRule type="notContainsBlanks" dxfId="5840" priority="6051">
      <formula>LEN(TRIM(N445))&gt;0</formula>
    </cfRule>
  </conditionalFormatting>
  <conditionalFormatting sqref="N445:R445">
    <cfRule type="notContainsBlanks" dxfId="5839" priority="6050">
      <formula>LEN(TRIM(N445))&gt;0</formula>
    </cfRule>
  </conditionalFormatting>
  <conditionalFormatting sqref="N445:R445">
    <cfRule type="notContainsBlanks" dxfId="5838" priority="6049">
      <formula>LEN(TRIM(N445))&gt;0</formula>
    </cfRule>
  </conditionalFormatting>
  <conditionalFormatting sqref="N445:R445">
    <cfRule type="notContainsBlanks" priority="6048">
      <formula>LEN(TRIM(N445))&gt;0</formula>
    </cfRule>
  </conditionalFormatting>
  <conditionalFormatting sqref="N445:R445">
    <cfRule type="notContainsBlanks" dxfId="5837" priority="6047">
      <formula>LEN(TRIM(N445))&gt;0</formula>
    </cfRule>
  </conditionalFormatting>
  <conditionalFormatting sqref="N445:R445">
    <cfRule type="notContainsBlanks" dxfId="5836" priority="6046">
      <formula>LEN(TRIM(N445))&gt;0</formula>
    </cfRule>
  </conditionalFormatting>
  <conditionalFormatting sqref="N445:R445">
    <cfRule type="notContainsBlanks" dxfId="5835" priority="6045">
      <formula>LEN(TRIM(N445))&gt;0</formula>
    </cfRule>
  </conditionalFormatting>
  <conditionalFormatting sqref="N445:R445">
    <cfRule type="notContainsBlanks" dxfId="5834" priority="6044">
      <formula>LEN(TRIM(N445))&gt;0</formula>
    </cfRule>
  </conditionalFormatting>
  <conditionalFormatting sqref="N445:R445">
    <cfRule type="notContainsBlanks" dxfId="5833" priority="6043">
      <formula>LEN(TRIM(N445))&gt;0</formula>
    </cfRule>
  </conditionalFormatting>
  <conditionalFormatting sqref="N458:R458">
    <cfRule type="notContainsBlanks" dxfId="5832" priority="6042">
      <formula>LEN(TRIM(N458))&gt;0</formula>
    </cfRule>
  </conditionalFormatting>
  <conditionalFormatting sqref="N458:R458">
    <cfRule type="notContainsBlanks" dxfId="5831" priority="6041">
      <formula>LEN(TRIM(N458))&gt;0</formula>
    </cfRule>
  </conditionalFormatting>
  <conditionalFormatting sqref="N458:R458">
    <cfRule type="notContainsBlanks" dxfId="5830" priority="6040">
      <formula>LEN(TRIM(N458))&gt;0</formula>
    </cfRule>
  </conditionalFormatting>
  <conditionalFormatting sqref="N458:R458">
    <cfRule type="notContainsBlanks" dxfId="5829" priority="6039">
      <formula>LEN(TRIM(N458))&gt;0</formula>
    </cfRule>
  </conditionalFormatting>
  <conditionalFormatting sqref="N458:R458">
    <cfRule type="notContainsBlanks" dxfId="5828" priority="6038">
      <formula>LEN(TRIM(N458))&gt;0</formula>
    </cfRule>
  </conditionalFormatting>
  <conditionalFormatting sqref="N458:R458">
    <cfRule type="notContainsBlanks" dxfId="5827" priority="6037">
      <formula>LEN(TRIM(N458))&gt;0</formula>
    </cfRule>
  </conditionalFormatting>
  <conditionalFormatting sqref="N458:R458">
    <cfRule type="notContainsBlanks" dxfId="5826" priority="6036">
      <formula>LEN(TRIM(N458))&gt;0</formula>
    </cfRule>
  </conditionalFormatting>
  <conditionalFormatting sqref="N458:R458">
    <cfRule type="notContainsBlanks" dxfId="5825" priority="6035">
      <formula>LEN(TRIM(N458))&gt;0</formula>
    </cfRule>
  </conditionalFormatting>
  <conditionalFormatting sqref="N458:R458">
    <cfRule type="notContainsBlanks" dxfId="5824" priority="6034">
      <formula>LEN(TRIM(N458))&gt;0</formula>
    </cfRule>
  </conditionalFormatting>
  <conditionalFormatting sqref="N458:R458">
    <cfRule type="notContainsBlanks" dxfId="5823" priority="6032">
      <formula>LEN(TRIM(N458))&gt;0</formula>
    </cfRule>
    <cfRule type="notContainsBlanks" dxfId="5822" priority="6033">
      <formula>LEN(TRIM(N458))&gt;0</formula>
    </cfRule>
  </conditionalFormatting>
  <conditionalFormatting sqref="N458:R458">
    <cfRule type="notContainsBlanks" dxfId="5821" priority="6031">
      <formula>LEN(TRIM(N458))&gt;0</formula>
    </cfRule>
  </conditionalFormatting>
  <conditionalFormatting sqref="N458:R458">
    <cfRule type="notContainsBlanks" dxfId="5820" priority="6030">
      <formula>LEN(TRIM(N458))&gt;0</formula>
    </cfRule>
  </conditionalFormatting>
  <conditionalFormatting sqref="N458:R458">
    <cfRule type="notContainsBlanks" dxfId="5819" priority="6029">
      <formula>LEN(TRIM(N458))&gt;0</formula>
    </cfRule>
  </conditionalFormatting>
  <conditionalFormatting sqref="N458:R458">
    <cfRule type="notContainsBlanks" dxfId="5818" priority="6028">
      <formula>LEN(TRIM(N458))&gt;0</formula>
    </cfRule>
  </conditionalFormatting>
  <conditionalFormatting sqref="N458:R458">
    <cfRule type="notContainsBlanks" dxfId="5817" priority="6027">
      <formula>LEN(TRIM(N458))&gt;0</formula>
    </cfRule>
  </conditionalFormatting>
  <conditionalFormatting sqref="N458:R458">
    <cfRule type="notContainsBlanks" dxfId="5816" priority="6026">
      <formula>LEN(TRIM(N458))&gt;0</formula>
    </cfRule>
  </conditionalFormatting>
  <conditionalFormatting sqref="N458:R458">
    <cfRule type="notContainsBlanks" dxfId="5815" priority="6025">
      <formula>LEN(TRIM(N458))&gt;0</formula>
    </cfRule>
  </conditionalFormatting>
  <conditionalFormatting sqref="N458:R458">
    <cfRule type="notContainsBlanks" dxfId="5814" priority="6024">
      <formula>LEN(TRIM(N458))&gt;0</formula>
    </cfRule>
  </conditionalFormatting>
  <conditionalFormatting sqref="N458:R458">
    <cfRule type="notContainsBlanks" dxfId="5813" priority="6023">
      <formula>LEN(TRIM(N458))&gt;0</formula>
    </cfRule>
  </conditionalFormatting>
  <conditionalFormatting sqref="N458:R458">
    <cfRule type="notContainsBlanks" priority="6022">
      <formula>LEN(TRIM(N458))&gt;0</formula>
    </cfRule>
  </conditionalFormatting>
  <conditionalFormatting sqref="N458:R458">
    <cfRule type="notContainsBlanks" dxfId="5812" priority="6021">
      <formula>LEN(TRIM(N458))&gt;0</formula>
    </cfRule>
  </conditionalFormatting>
  <conditionalFormatting sqref="N458:R458">
    <cfRule type="notContainsBlanks" dxfId="5811" priority="6020">
      <formula>LEN(TRIM(N458))&gt;0</formula>
    </cfRule>
  </conditionalFormatting>
  <conditionalFormatting sqref="N458:R458">
    <cfRule type="notContainsBlanks" dxfId="5810" priority="6019">
      <formula>LEN(TRIM(N458))&gt;0</formula>
    </cfRule>
  </conditionalFormatting>
  <conditionalFormatting sqref="N458:R458">
    <cfRule type="notContainsBlanks" dxfId="5809" priority="6018">
      <formula>LEN(TRIM(N458))&gt;0</formula>
    </cfRule>
  </conditionalFormatting>
  <conditionalFormatting sqref="N458:R458">
    <cfRule type="notContainsBlanks" dxfId="5808" priority="6017">
      <formula>LEN(TRIM(N458))&gt;0</formula>
    </cfRule>
  </conditionalFormatting>
  <conditionalFormatting sqref="N471:R471">
    <cfRule type="notContainsBlanks" dxfId="5807" priority="6016">
      <formula>LEN(TRIM(N471))&gt;0</formula>
    </cfRule>
  </conditionalFormatting>
  <conditionalFormatting sqref="N471:R471">
    <cfRule type="notContainsBlanks" dxfId="5806" priority="6015">
      <formula>LEN(TRIM(N471))&gt;0</formula>
    </cfRule>
  </conditionalFormatting>
  <conditionalFormatting sqref="N471:R471">
    <cfRule type="notContainsBlanks" dxfId="5805" priority="6014">
      <formula>LEN(TRIM(N471))&gt;0</formula>
    </cfRule>
  </conditionalFormatting>
  <conditionalFormatting sqref="N471:R471">
    <cfRule type="notContainsBlanks" dxfId="5804" priority="6013">
      <formula>LEN(TRIM(N471))&gt;0</formula>
    </cfRule>
  </conditionalFormatting>
  <conditionalFormatting sqref="N471:R471">
    <cfRule type="notContainsBlanks" dxfId="5803" priority="6012">
      <formula>LEN(TRIM(N471))&gt;0</formula>
    </cfRule>
  </conditionalFormatting>
  <conditionalFormatting sqref="N471:R471">
    <cfRule type="notContainsBlanks" dxfId="5802" priority="6011">
      <formula>LEN(TRIM(N471))&gt;0</formula>
    </cfRule>
  </conditionalFormatting>
  <conditionalFormatting sqref="N471:R471">
    <cfRule type="notContainsBlanks" dxfId="5801" priority="6010">
      <formula>LEN(TRIM(N471))&gt;0</formula>
    </cfRule>
  </conditionalFormatting>
  <conditionalFormatting sqref="N471:R471">
    <cfRule type="notContainsBlanks" dxfId="5800" priority="6009">
      <formula>LEN(TRIM(N471))&gt;0</formula>
    </cfRule>
  </conditionalFormatting>
  <conditionalFormatting sqref="N471:R471">
    <cfRule type="notContainsBlanks" dxfId="5799" priority="6008">
      <formula>LEN(TRIM(N471))&gt;0</formula>
    </cfRule>
  </conditionalFormatting>
  <conditionalFormatting sqref="N471:R471">
    <cfRule type="notContainsBlanks" dxfId="5798" priority="6006">
      <formula>LEN(TRIM(N471))&gt;0</formula>
    </cfRule>
    <cfRule type="notContainsBlanks" dxfId="5797" priority="6007">
      <formula>LEN(TRIM(N471))&gt;0</formula>
    </cfRule>
  </conditionalFormatting>
  <conditionalFormatting sqref="N471:R471">
    <cfRule type="notContainsBlanks" dxfId="5796" priority="6005">
      <formula>LEN(TRIM(N471))&gt;0</formula>
    </cfRule>
  </conditionalFormatting>
  <conditionalFormatting sqref="N471:R471">
    <cfRule type="notContainsBlanks" dxfId="5795" priority="6004">
      <formula>LEN(TRIM(N471))&gt;0</formula>
    </cfRule>
  </conditionalFormatting>
  <conditionalFormatting sqref="N471:R471">
    <cfRule type="notContainsBlanks" dxfId="5794" priority="6003">
      <formula>LEN(TRIM(N471))&gt;0</formula>
    </cfRule>
  </conditionalFormatting>
  <conditionalFormatting sqref="N471:R471">
    <cfRule type="notContainsBlanks" dxfId="5793" priority="6002">
      <formula>LEN(TRIM(N471))&gt;0</formula>
    </cfRule>
  </conditionalFormatting>
  <conditionalFormatting sqref="N471:R471">
    <cfRule type="notContainsBlanks" dxfId="5792" priority="6001">
      <formula>LEN(TRIM(N471))&gt;0</formula>
    </cfRule>
  </conditionalFormatting>
  <conditionalFormatting sqref="N471:R471">
    <cfRule type="notContainsBlanks" dxfId="5791" priority="6000">
      <formula>LEN(TRIM(N471))&gt;0</formula>
    </cfRule>
  </conditionalFormatting>
  <conditionalFormatting sqref="N471:R471">
    <cfRule type="notContainsBlanks" dxfId="5790" priority="5999">
      <formula>LEN(TRIM(N471))&gt;0</formula>
    </cfRule>
  </conditionalFormatting>
  <conditionalFormatting sqref="N471:R471">
    <cfRule type="notContainsBlanks" dxfId="5789" priority="5998">
      <formula>LEN(TRIM(N471))&gt;0</formula>
    </cfRule>
  </conditionalFormatting>
  <conditionalFormatting sqref="N471:R471">
    <cfRule type="notContainsBlanks" dxfId="5788" priority="5997">
      <formula>LEN(TRIM(N471))&gt;0</formula>
    </cfRule>
  </conditionalFormatting>
  <conditionalFormatting sqref="N471:R471">
    <cfRule type="notContainsBlanks" priority="5996">
      <formula>LEN(TRIM(N471))&gt;0</formula>
    </cfRule>
  </conditionalFormatting>
  <conditionalFormatting sqref="N471:R471">
    <cfRule type="notContainsBlanks" dxfId="5787" priority="5995">
      <formula>LEN(TRIM(N471))&gt;0</formula>
    </cfRule>
  </conditionalFormatting>
  <conditionalFormatting sqref="N471:R471">
    <cfRule type="notContainsBlanks" dxfId="5786" priority="5994">
      <formula>LEN(TRIM(N471))&gt;0</formula>
    </cfRule>
  </conditionalFormatting>
  <conditionalFormatting sqref="N471:R471">
    <cfRule type="notContainsBlanks" dxfId="5785" priority="5993">
      <formula>LEN(TRIM(N471))&gt;0</formula>
    </cfRule>
  </conditionalFormatting>
  <conditionalFormatting sqref="N471:R471">
    <cfRule type="notContainsBlanks" dxfId="5784" priority="5992">
      <formula>LEN(TRIM(N471))&gt;0</formula>
    </cfRule>
  </conditionalFormatting>
  <conditionalFormatting sqref="N471:R471">
    <cfRule type="notContainsBlanks" dxfId="5783" priority="5991">
      <formula>LEN(TRIM(N471))&gt;0</formula>
    </cfRule>
  </conditionalFormatting>
  <conditionalFormatting sqref="N484:R484">
    <cfRule type="notContainsBlanks" dxfId="5782" priority="5990">
      <formula>LEN(TRIM(N484))&gt;0</formula>
    </cfRule>
  </conditionalFormatting>
  <conditionalFormatting sqref="N484:R484">
    <cfRule type="notContainsBlanks" dxfId="5781" priority="5989">
      <formula>LEN(TRIM(N484))&gt;0</formula>
    </cfRule>
  </conditionalFormatting>
  <conditionalFormatting sqref="N484:R484">
    <cfRule type="notContainsBlanks" dxfId="5780" priority="5988">
      <formula>LEN(TRIM(N484))&gt;0</formula>
    </cfRule>
  </conditionalFormatting>
  <conditionalFormatting sqref="N484:R484">
    <cfRule type="notContainsBlanks" dxfId="5779" priority="5987">
      <formula>LEN(TRIM(N484))&gt;0</formula>
    </cfRule>
  </conditionalFormatting>
  <conditionalFormatting sqref="N484:R484">
    <cfRule type="notContainsBlanks" dxfId="5778" priority="5986">
      <formula>LEN(TRIM(N484))&gt;0</formula>
    </cfRule>
  </conditionalFormatting>
  <conditionalFormatting sqref="N484:R484">
    <cfRule type="notContainsBlanks" dxfId="5777" priority="5985">
      <formula>LEN(TRIM(N484))&gt;0</formula>
    </cfRule>
  </conditionalFormatting>
  <conditionalFormatting sqref="N484:R484">
    <cfRule type="notContainsBlanks" dxfId="5776" priority="5984">
      <formula>LEN(TRIM(N484))&gt;0</formula>
    </cfRule>
  </conditionalFormatting>
  <conditionalFormatting sqref="N484:R484">
    <cfRule type="notContainsBlanks" dxfId="5775" priority="5983">
      <formula>LEN(TRIM(N484))&gt;0</formula>
    </cfRule>
  </conditionalFormatting>
  <conditionalFormatting sqref="N484:R484">
    <cfRule type="notContainsBlanks" dxfId="5774" priority="5982">
      <formula>LEN(TRIM(N484))&gt;0</formula>
    </cfRule>
  </conditionalFormatting>
  <conditionalFormatting sqref="N484:R484">
    <cfRule type="notContainsBlanks" dxfId="5773" priority="5980">
      <formula>LEN(TRIM(N484))&gt;0</formula>
    </cfRule>
    <cfRule type="notContainsBlanks" dxfId="5772" priority="5981">
      <formula>LEN(TRIM(N484))&gt;0</formula>
    </cfRule>
  </conditionalFormatting>
  <conditionalFormatting sqref="N484:R484">
    <cfRule type="notContainsBlanks" dxfId="5771" priority="5979">
      <formula>LEN(TRIM(N484))&gt;0</formula>
    </cfRule>
  </conditionalFormatting>
  <conditionalFormatting sqref="N484:R484">
    <cfRule type="notContainsBlanks" dxfId="5770" priority="5978">
      <formula>LEN(TRIM(N484))&gt;0</formula>
    </cfRule>
  </conditionalFormatting>
  <conditionalFormatting sqref="N484:R484">
    <cfRule type="notContainsBlanks" dxfId="5769" priority="5977">
      <formula>LEN(TRIM(N484))&gt;0</formula>
    </cfRule>
  </conditionalFormatting>
  <conditionalFormatting sqref="N484:R484">
    <cfRule type="notContainsBlanks" dxfId="5768" priority="5976">
      <formula>LEN(TRIM(N484))&gt;0</formula>
    </cfRule>
  </conditionalFormatting>
  <conditionalFormatting sqref="N484:R484">
    <cfRule type="notContainsBlanks" dxfId="5767" priority="5975">
      <formula>LEN(TRIM(N484))&gt;0</formula>
    </cfRule>
  </conditionalFormatting>
  <conditionalFormatting sqref="N484:R484">
    <cfRule type="notContainsBlanks" dxfId="5766" priority="5974">
      <formula>LEN(TRIM(N484))&gt;0</formula>
    </cfRule>
  </conditionalFormatting>
  <conditionalFormatting sqref="N484:R484">
    <cfRule type="notContainsBlanks" dxfId="5765" priority="5973">
      <formula>LEN(TRIM(N484))&gt;0</formula>
    </cfRule>
  </conditionalFormatting>
  <conditionalFormatting sqref="N484:R484">
    <cfRule type="notContainsBlanks" dxfId="5764" priority="5972">
      <formula>LEN(TRIM(N484))&gt;0</formula>
    </cfRule>
  </conditionalFormatting>
  <conditionalFormatting sqref="N484:R484">
    <cfRule type="notContainsBlanks" dxfId="5763" priority="5971">
      <formula>LEN(TRIM(N484))&gt;0</formula>
    </cfRule>
  </conditionalFormatting>
  <conditionalFormatting sqref="N484:R484">
    <cfRule type="notContainsBlanks" priority="5970">
      <formula>LEN(TRIM(N484))&gt;0</formula>
    </cfRule>
  </conditionalFormatting>
  <conditionalFormatting sqref="N484:R484">
    <cfRule type="notContainsBlanks" dxfId="5762" priority="5969">
      <formula>LEN(TRIM(N484))&gt;0</formula>
    </cfRule>
  </conditionalFormatting>
  <conditionalFormatting sqref="N484:R484">
    <cfRule type="notContainsBlanks" dxfId="5761" priority="5968">
      <formula>LEN(TRIM(N484))&gt;0</formula>
    </cfRule>
  </conditionalFormatting>
  <conditionalFormatting sqref="N484:R484">
    <cfRule type="notContainsBlanks" dxfId="5760" priority="5967">
      <formula>LEN(TRIM(N484))&gt;0</formula>
    </cfRule>
  </conditionalFormatting>
  <conditionalFormatting sqref="N484:R484">
    <cfRule type="notContainsBlanks" dxfId="5759" priority="5966">
      <formula>LEN(TRIM(N484))&gt;0</formula>
    </cfRule>
  </conditionalFormatting>
  <conditionalFormatting sqref="N484:R484">
    <cfRule type="notContainsBlanks" dxfId="5758" priority="5965">
      <formula>LEN(TRIM(N484))&gt;0</formula>
    </cfRule>
  </conditionalFormatting>
  <conditionalFormatting sqref="N497:R497">
    <cfRule type="notContainsBlanks" dxfId="5757" priority="5964">
      <formula>LEN(TRIM(N497))&gt;0</formula>
    </cfRule>
  </conditionalFormatting>
  <conditionalFormatting sqref="N497:R497">
    <cfRule type="notContainsBlanks" dxfId="5756" priority="5963">
      <formula>LEN(TRIM(N497))&gt;0</formula>
    </cfRule>
  </conditionalFormatting>
  <conditionalFormatting sqref="N497:R497">
    <cfRule type="notContainsBlanks" dxfId="5755" priority="5962">
      <formula>LEN(TRIM(N497))&gt;0</formula>
    </cfRule>
  </conditionalFormatting>
  <conditionalFormatting sqref="N497:R497">
    <cfRule type="notContainsBlanks" dxfId="5754" priority="5961">
      <formula>LEN(TRIM(N497))&gt;0</formula>
    </cfRule>
  </conditionalFormatting>
  <conditionalFormatting sqref="N497:R497">
    <cfRule type="notContainsBlanks" dxfId="5753" priority="5960">
      <formula>LEN(TRIM(N497))&gt;0</formula>
    </cfRule>
  </conditionalFormatting>
  <conditionalFormatting sqref="N497:R497">
    <cfRule type="notContainsBlanks" dxfId="5752" priority="5959">
      <formula>LEN(TRIM(N497))&gt;0</formula>
    </cfRule>
  </conditionalFormatting>
  <conditionalFormatting sqref="N497:R497">
    <cfRule type="notContainsBlanks" dxfId="5751" priority="5958">
      <formula>LEN(TRIM(N497))&gt;0</formula>
    </cfRule>
  </conditionalFormatting>
  <conditionalFormatting sqref="N497:R497">
    <cfRule type="notContainsBlanks" dxfId="5750" priority="5957">
      <formula>LEN(TRIM(N497))&gt;0</formula>
    </cfRule>
  </conditionalFormatting>
  <conditionalFormatting sqref="N497:R497">
    <cfRule type="notContainsBlanks" dxfId="5749" priority="5956">
      <formula>LEN(TRIM(N497))&gt;0</formula>
    </cfRule>
  </conditionalFormatting>
  <conditionalFormatting sqref="N497:R497">
    <cfRule type="notContainsBlanks" dxfId="5748" priority="5954">
      <formula>LEN(TRIM(N497))&gt;0</formula>
    </cfRule>
    <cfRule type="notContainsBlanks" dxfId="5747" priority="5955">
      <formula>LEN(TRIM(N497))&gt;0</formula>
    </cfRule>
  </conditionalFormatting>
  <conditionalFormatting sqref="N497:R497">
    <cfRule type="notContainsBlanks" dxfId="5746" priority="5953">
      <formula>LEN(TRIM(N497))&gt;0</formula>
    </cfRule>
  </conditionalFormatting>
  <conditionalFormatting sqref="N497:R497">
    <cfRule type="notContainsBlanks" dxfId="5745" priority="5952">
      <formula>LEN(TRIM(N497))&gt;0</formula>
    </cfRule>
  </conditionalFormatting>
  <conditionalFormatting sqref="N497:R497">
    <cfRule type="notContainsBlanks" dxfId="5744" priority="5951">
      <formula>LEN(TRIM(N497))&gt;0</formula>
    </cfRule>
  </conditionalFormatting>
  <conditionalFormatting sqref="N497:R497">
    <cfRule type="notContainsBlanks" dxfId="5743" priority="5950">
      <formula>LEN(TRIM(N497))&gt;0</formula>
    </cfRule>
  </conditionalFormatting>
  <conditionalFormatting sqref="N497:R497">
    <cfRule type="notContainsBlanks" dxfId="5742" priority="5949">
      <formula>LEN(TRIM(N497))&gt;0</formula>
    </cfRule>
  </conditionalFormatting>
  <conditionalFormatting sqref="N497:R497">
    <cfRule type="notContainsBlanks" dxfId="5741" priority="5948">
      <formula>LEN(TRIM(N497))&gt;0</formula>
    </cfRule>
  </conditionalFormatting>
  <conditionalFormatting sqref="N497:R497">
    <cfRule type="notContainsBlanks" dxfId="5740" priority="5947">
      <formula>LEN(TRIM(N497))&gt;0</formula>
    </cfRule>
  </conditionalFormatting>
  <conditionalFormatting sqref="N497:R497">
    <cfRule type="notContainsBlanks" dxfId="5739" priority="5946">
      <formula>LEN(TRIM(N497))&gt;0</formula>
    </cfRule>
  </conditionalFormatting>
  <conditionalFormatting sqref="N497:R497">
    <cfRule type="notContainsBlanks" dxfId="5738" priority="5945">
      <formula>LEN(TRIM(N497))&gt;0</formula>
    </cfRule>
  </conditionalFormatting>
  <conditionalFormatting sqref="N497:R497">
    <cfRule type="notContainsBlanks" priority="5944">
      <formula>LEN(TRIM(N497))&gt;0</formula>
    </cfRule>
  </conditionalFormatting>
  <conditionalFormatting sqref="N497:R497">
    <cfRule type="notContainsBlanks" dxfId="5737" priority="5943">
      <formula>LEN(TRIM(N497))&gt;0</formula>
    </cfRule>
  </conditionalFormatting>
  <conditionalFormatting sqref="N497:R497">
    <cfRule type="notContainsBlanks" dxfId="5736" priority="5942">
      <formula>LEN(TRIM(N497))&gt;0</formula>
    </cfRule>
  </conditionalFormatting>
  <conditionalFormatting sqref="N497:R497">
    <cfRule type="notContainsBlanks" dxfId="5735" priority="5941">
      <formula>LEN(TRIM(N497))&gt;0</formula>
    </cfRule>
  </conditionalFormatting>
  <conditionalFormatting sqref="N497:R497">
    <cfRule type="notContainsBlanks" dxfId="5734" priority="5940">
      <formula>LEN(TRIM(N497))&gt;0</formula>
    </cfRule>
  </conditionalFormatting>
  <conditionalFormatting sqref="N497:R497">
    <cfRule type="notContainsBlanks" dxfId="5733" priority="5939">
      <formula>LEN(TRIM(N497))&gt;0</formula>
    </cfRule>
  </conditionalFormatting>
  <conditionalFormatting sqref="N510:R510">
    <cfRule type="notContainsBlanks" dxfId="5732" priority="5938">
      <formula>LEN(TRIM(N510))&gt;0</formula>
    </cfRule>
  </conditionalFormatting>
  <conditionalFormatting sqref="N510:R510">
    <cfRule type="notContainsBlanks" dxfId="5731" priority="5937">
      <formula>LEN(TRIM(N510))&gt;0</formula>
    </cfRule>
  </conditionalFormatting>
  <conditionalFormatting sqref="N510:R510">
    <cfRule type="notContainsBlanks" dxfId="5730" priority="5936">
      <formula>LEN(TRIM(N510))&gt;0</formula>
    </cfRule>
  </conditionalFormatting>
  <conditionalFormatting sqref="N510:R510">
    <cfRule type="notContainsBlanks" dxfId="5729" priority="5935">
      <formula>LEN(TRIM(N510))&gt;0</formula>
    </cfRule>
  </conditionalFormatting>
  <conditionalFormatting sqref="N510:R510">
    <cfRule type="notContainsBlanks" dxfId="5728" priority="5934">
      <formula>LEN(TRIM(N510))&gt;0</formula>
    </cfRule>
  </conditionalFormatting>
  <conditionalFormatting sqref="N510:R510">
    <cfRule type="notContainsBlanks" dxfId="5727" priority="5933">
      <formula>LEN(TRIM(N510))&gt;0</formula>
    </cfRule>
  </conditionalFormatting>
  <conditionalFormatting sqref="N510:R510">
    <cfRule type="notContainsBlanks" dxfId="5726" priority="5932">
      <formula>LEN(TRIM(N510))&gt;0</formula>
    </cfRule>
  </conditionalFormatting>
  <conditionalFormatting sqref="N510:R510">
    <cfRule type="notContainsBlanks" dxfId="5725" priority="5931">
      <formula>LEN(TRIM(N510))&gt;0</formula>
    </cfRule>
  </conditionalFormatting>
  <conditionalFormatting sqref="N510:R510">
    <cfRule type="notContainsBlanks" dxfId="5724" priority="5930">
      <formula>LEN(TRIM(N510))&gt;0</formula>
    </cfRule>
  </conditionalFormatting>
  <conditionalFormatting sqref="N510:R510">
    <cfRule type="notContainsBlanks" dxfId="5723" priority="5928">
      <formula>LEN(TRIM(N510))&gt;0</formula>
    </cfRule>
    <cfRule type="notContainsBlanks" dxfId="5722" priority="5929">
      <formula>LEN(TRIM(N510))&gt;0</formula>
    </cfRule>
  </conditionalFormatting>
  <conditionalFormatting sqref="N510:R510">
    <cfRule type="notContainsBlanks" dxfId="5721" priority="5927">
      <formula>LEN(TRIM(N510))&gt;0</formula>
    </cfRule>
  </conditionalFormatting>
  <conditionalFormatting sqref="N510:R510">
    <cfRule type="notContainsBlanks" dxfId="5720" priority="5926">
      <formula>LEN(TRIM(N510))&gt;0</formula>
    </cfRule>
  </conditionalFormatting>
  <conditionalFormatting sqref="N510:R510">
    <cfRule type="notContainsBlanks" dxfId="5719" priority="5925">
      <formula>LEN(TRIM(N510))&gt;0</formula>
    </cfRule>
  </conditionalFormatting>
  <conditionalFormatting sqref="N510:R510">
    <cfRule type="notContainsBlanks" dxfId="5718" priority="5924">
      <formula>LEN(TRIM(N510))&gt;0</formula>
    </cfRule>
  </conditionalFormatting>
  <conditionalFormatting sqref="N510:R510">
    <cfRule type="notContainsBlanks" dxfId="5717" priority="5923">
      <formula>LEN(TRIM(N510))&gt;0</formula>
    </cfRule>
  </conditionalFormatting>
  <conditionalFormatting sqref="N510:R510">
    <cfRule type="notContainsBlanks" dxfId="5716" priority="5922">
      <formula>LEN(TRIM(N510))&gt;0</formula>
    </cfRule>
  </conditionalFormatting>
  <conditionalFormatting sqref="N510:R510">
    <cfRule type="notContainsBlanks" dxfId="5715" priority="5921">
      <formula>LEN(TRIM(N510))&gt;0</formula>
    </cfRule>
  </conditionalFormatting>
  <conditionalFormatting sqref="N510:R510">
    <cfRule type="notContainsBlanks" dxfId="5714" priority="5920">
      <formula>LEN(TRIM(N510))&gt;0</formula>
    </cfRule>
  </conditionalFormatting>
  <conditionalFormatting sqref="N510:R510">
    <cfRule type="notContainsBlanks" dxfId="5713" priority="5919">
      <formula>LEN(TRIM(N510))&gt;0</formula>
    </cfRule>
  </conditionalFormatting>
  <conditionalFormatting sqref="N510:R510">
    <cfRule type="notContainsBlanks" priority="5918">
      <formula>LEN(TRIM(N510))&gt;0</formula>
    </cfRule>
  </conditionalFormatting>
  <conditionalFormatting sqref="N510:R510">
    <cfRule type="notContainsBlanks" dxfId="5712" priority="5917">
      <formula>LEN(TRIM(N510))&gt;0</formula>
    </cfRule>
  </conditionalFormatting>
  <conditionalFormatting sqref="N510:R510">
    <cfRule type="notContainsBlanks" dxfId="5711" priority="5916">
      <formula>LEN(TRIM(N510))&gt;0</formula>
    </cfRule>
  </conditionalFormatting>
  <conditionalFormatting sqref="N510:R510">
    <cfRule type="notContainsBlanks" dxfId="5710" priority="5915">
      <formula>LEN(TRIM(N510))&gt;0</formula>
    </cfRule>
  </conditionalFormatting>
  <conditionalFormatting sqref="N510:R510">
    <cfRule type="notContainsBlanks" dxfId="5709" priority="5914">
      <formula>LEN(TRIM(N510))&gt;0</formula>
    </cfRule>
  </conditionalFormatting>
  <conditionalFormatting sqref="N510:R510">
    <cfRule type="notContainsBlanks" dxfId="5708" priority="5913">
      <formula>LEN(TRIM(N510))&gt;0</formula>
    </cfRule>
  </conditionalFormatting>
  <conditionalFormatting sqref="N536:R536">
    <cfRule type="notContainsBlanks" dxfId="5707" priority="5912">
      <formula>LEN(TRIM(N536))&gt;0</formula>
    </cfRule>
  </conditionalFormatting>
  <conditionalFormatting sqref="N536:R536">
    <cfRule type="notContainsBlanks" dxfId="5706" priority="5911">
      <formula>LEN(TRIM(N536))&gt;0</formula>
    </cfRule>
  </conditionalFormatting>
  <conditionalFormatting sqref="N536:R536">
    <cfRule type="notContainsBlanks" dxfId="5705" priority="5910">
      <formula>LEN(TRIM(N536))&gt;0</formula>
    </cfRule>
  </conditionalFormatting>
  <conditionalFormatting sqref="N536:R536">
    <cfRule type="notContainsBlanks" dxfId="5704" priority="5909">
      <formula>LEN(TRIM(N536))&gt;0</formula>
    </cfRule>
  </conditionalFormatting>
  <conditionalFormatting sqref="N536:R536">
    <cfRule type="notContainsBlanks" dxfId="5703" priority="5908">
      <formula>LEN(TRIM(N536))&gt;0</formula>
    </cfRule>
  </conditionalFormatting>
  <conditionalFormatting sqref="N536:R536">
    <cfRule type="notContainsBlanks" dxfId="5702" priority="5907">
      <formula>LEN(TRIM(N536))&gt;0</formula>
    </cfRule>
  </conditionalFormatting>
  <conditionalFormatting sqref="N536:R536">
    <cfRule type="notContainsBlanks" dxfId="5701" priority="5906">
      <formula>LEN(TRIM(N536))&gt;0</formula>
    </cfRule>
  </conditionalFormatting>
  <conditionalFormatting sqref="N536:R536">
    <cfRule type="notContainsBlanks" dxfId="5700" priority="5905">
      <formula>LEN(TRIM(N536))&gt;0</formula>
    </cfRule>
  </conditionalFormatting>
  <conditionalFormatting sqref="N536:R536">
    <cfRule type="notContainsBlanks" dxfId="5699" priority="5904">
      <formula>LEN(TRIM(N536))&gt;0</formula>
    </cfRule>
  </conditionalFormatting>
  <conditionalFormatting sqref="N536:R536">
    <cfRule type="notContainsBlanks" dxfId="5698" priority="5902">
      <formula>LEN(TRIM(N536))&gt;0</formula>
    </cfRule>
    <cfRule type="notContainsBlanks" dxfId="5697" priority="5903">
      <formula>LEN(TRIM(N536))&gt;0</formula>
    </cfRule>
  </conditionalFormatting>
  <conditionalFormatting sqref="N536:R536">
    <cfRule type="notContainsBlanks" dxfId="5696" priority="5901">
      <formula>LEN(TRIM(N536))&gt;0</formula>
    </cfRule>
  </conditionalFormatting>
  <conditionalFormatting sqref="N536:R536">
    <cfRule type="notContainsBlanks" dxfId="5695" priority="5900">
      <formula>LEN(TRIM(N536))&gt;0</formula>
    </cfRule>
  </conditionalFormatting>
  <conditionalFormatting sqref="N536:R536">
    <cfRule type="notContainsBlanks" dxfId="5694" priority="5899">
      <formula>LEN(TRIM(N536))&gt;0</formula>
    </cfRule>
  </conditionalFormatting>
  <conditionalFormatting sqref="N536:R536">
    <cfRule type="notContainsBlanks" dxfId="5693" priority="5898">
      <formula>LEN(TRIM(N536))&gt;0</formula>
    </cfRule>
  </conditionalFormatting>
  <conditionalFormatting sqref="N536:R536">
    <cfRule type="notContainsBlanks" dxfId="5692" priority="5897">
      <formula>LEN(TRIM(N536))&gt;0</formula>
    </cfRule>
  </conditionalFormatting>
  <conditionalFormatting sqref="N536:R536">
    <cfRule type="notContainsBlanks" dxfId="5691" priority="5896">
      <formula>LEN(TRIM(N536))&gt;0</formula>
    </cfRule>
  </conditionalFormatting>
  <conditionalFormatting sqref="N536:R536">
    <cfRule type="notContainsBlanks" dxfId="5690" priority="5895">
      <formula>LEN(TRIM(N536))&gt;0</formula>
    </cfRule>
  </conditionalFormatting>
  <conditionalFormatting sqref="N536:R536">
    <cfRule type="notContainsBlanks" dxfId="5689" priority="5894">
      <formula>LEN(TRIM(N536))&gt;0</formula>
    </cfRule>
  </conditionalFormatting>
  <conditionalFormatting sqref="N536:R536">
    <cfRule type="notContainsBlanks" dxfId="5688" priority="5893">
      <formula>LEN(TRIM(N536))&gt;0</formula>
    </cfRule>
  </conditionalFormatting>
  <conditionalFormatting sqref="N536:R536">
    <cfRule type="notContainsBlanks" priority="5892">
      <formula>LEN(TRIM(N536))&gt;0</formula>
    </cfRule>
  </conditionalFormatting>
  <conditionalFormatting sqref="N536:R536">
    <cfRule type="notContainsBlanks" dxfId="5687" priority="5891">
      <formula>LEN(TRIM(N536))&gt;0</formula>
    </cfRule>
  </conditionalFormatting>
  <conditionalFormatting sqref="N536:R536">
    <cfRule type="notContainsBlanks" dxfId="5686" priority="5890">
      <formula>LEN(TRIM(N536))&gt;0</formula>
    </cfRule>
  </conditionalFormatting>
  <conditionalFormatting sqref="N536:R536">
    <cfRule type="notContainsBlanks" dxfId="5685" priority="5889">
      <formula>LEN(TRIM(N536))&gt;0</formula>
    </cfRule>
  </conditionalFormatting>
  <conditionalFormatting sqref="N536:R536">
    <cfRule type="notContainsBlanks" dxfId="5684" priority="5888">
      <formula>LEN(TRIM(N536))&gt;0</formula>
    </cfRule>
  </conditionalFormatting>
  <conditionalFormatting sqref="N536:R536">
    <cfRule type="notContainsBlanks" dxfId="5683" priority="5887">
      <formula>LEN(TRIM(N536))&gt;0</formula>
    </cfRule>
  </conditionalFormatting>
  <conditionalFormatting sqref="N549:R549">
    <cfRule type="notContainsBlanks" dxfId="5682" priority="5886">
      <formula>LEN(TRIM(N549))&gt;0</formula>
    </cfRule>
  </conditionalFormatting>
  <conditionalFormatting sqref="N549:R549">
    <cfRule type="notContainsBlanks" dxfId="5681" priority="5885">
      <formula>LEN(TRIM(N549))&gt;0</formula>
    </cfRule>
  </conditionalFormatting>
  <conditionalFormatting sqref="N549:R549">
    <cfRule type="notContainsBlanks" dxfId="5680" priority="5884">
      <formula>LEN(TRIM(N549))&gt;0</formula>
    </cfRule>
  </conditionalFormatting>
  <conditionalFormatting sqref="N549:R549">
    <cfRule type="notContainsBlanks" dxfId="5679" priority="5883">
      <formula>LEN(TRIM(N549))&gt;0</formula>
    </cfRule>
  </conditionalFormatting>
  <conditionalFormatting sqref="N549:R549">
    <cfRule type="notContainsBlanks" dxfId="5678" priority="5882">
      <formula>LEN(TRIM(N549))&gt;0</formula>
    </cfRule>
  </conditionalFormatting>
  <conditionalFormatting sqref="N549:R549">
    <cfRule type="notContainsBlanks" dxfId="5677" priority="5881">
      <formula>LEN(TRIM(N549))&gt;0</formula>
    </cfRule>
  </conditionalFormatting>
  <conditionalFormatting sqref="N549:R549">
    <cfRule type="notContainsBlanks" dxfId="5676" priority="5880">
      <formula>LEN(TRIM(N549))&gt;0</formula>
    </cfRule>
  </conditionalFormatting>
  <conditionalFormatting sqref="N549:R549">
    <cfRule type="notContainsBlanks" dxfId="5675" priority="5879">
      <formula>LEN(TRIM(N549))&gt;0</formula>
    </cfRule>
  </conditionalFormatting>
  <conditionalFormatting sqref="N549:R549">
    <cfRule type="notContainsBlanks" dxfId="5674" priority="5878">
      <formula>LEN(TRIM(N549))&gt;0</formula>
    </cfRule>
  </conditionalFormatting>
  <conditionalFormatting sqref="N549:R549">
    <cfRule type="notContainsBlanks" dxfId="5673" priority="5876">
      <formula>LEN(TRIM(N549))&gt;0</formula>
    </cfRule>
    <cfRule type="notContainsBlanks" dxfId="5672" priority="5877">
      <formula>LEN(TRIM(N549))&gt;0</formula>
    </cfRule>
  </conditionalFormatting>
  <conditionalFormatting sqref="N549:R549">
    <cfRule type="notContainsBlanks" dxfId="5671" priority="5875">
      <formula>LEN(TRIM(N549))&gt;0</formula>
    </cfRule>
  </conditionalFormatting>
  <conditionalFormatting sqref="N549:R549">
    <cfRule type="notContainsBlanks" dxfId="5670" priority="5874">
      <formula>LEN(TRIM(N549))&gt;0</formula>
    </cfRule>
  </conditionalFormatting>
  <conditionalFormatting sqref="N549:R549">
    <cfRule type="notContainsBlanks" dxfId="5669" priority="5873">
      <formula>LEN(TRIM(N549))&gt;0</formula>
    </cfRule>
  </conditionalFormatting>
  <conditionalFormatting sqref="N549:R549">
    <cfRule type="notContainsBlanks" dxfId="5668" priority="5872">
      <formula>LEN(TRIM(N549))&gt;0</formula>
    </cfRule>
  </conditionalFormatting>
  <conditionalFormatting sqref="N549:R549">
    <cfRule type="notContainsBlanks" dxfId="5667" priority="5871">
      <formula>LEN(TRIM(N549))&gt;0</formula>
    </cfRule>
  </conditionalFormatting>
  <conditionalFormatting sqref="N549:R549">
    <cfRule type="notContainsBlanks" dxfId="5666" priority="5870">
      <formula>LEN(TRIM(N549))&gt;0</formula>
    </cfRule>
  </conditionalFormatting>
  <conditionalFormatting sqref="N549:R549">
    <cfRule type="notContainsBlanks" dxfId="5665" priority="5869">
      <formula>LEN(TRIM(N549))&gt;0</formula>
    </cfRule>
  </conditionalFormatting>
  <conditionalFormatting sqref="N549:R549">
    <cfRule type="notContainsBlanks" dxfId="5664" priority="5868">
      <formula>LEN(TRIM(N549))&gt;0</formula>
    </cfRule>
  </conditionalFormatting>
  <conditionalFormatting sqref="N549:R549">
    <cfRule type="notContainsBlanks" dxfId="5663" priority="5867">
      <formula>LEN(TRIM(N549))&gt;0</formula>
    </cfRule>
  </conditionalFormatting>
  <conditionalFormatting sqref="N549:R549">
    <cfRule type="notContainsBlanks" priority="5866">
      <formula>LEN(TRIM(N549))&gt;0</formula>
    </cfRule>
  </conditionalFormatting>
  <conditionalFormatting sqref="N549:R549">
    <cfRule type="notContainsBlanks" dxfId="5662" priority="5865">
      <formula>LEN(TRIM(N549))&gt;0</formula>
    </cfRule>
  </conditionalFormatting>
  <conditionalFormatting sqref="N549:R549">
    <cfRule type="notContainsBlanks" dxfId="5661" priority="5864">
      <formula>LEN(TRIM(N549))&gt;0</formula>
    </cfRule>
  </conditionalFormatting>
  <conditionalFormatting sqref="N549:R549">
    <cfRule type="notContainsBlanks" dxfId="5660" priority="5863">
      <formula>LEN(TRIM(N549))&gt;0</formula>
    </cfRule>
  </conditionalFormatting>
  <conditionalFormatting sqref="N549:R549">
    <cfRule type="notContainsBlanks" dxfId="5659" priority="5862">
      <formula>LEN(TRIM(N549))&gt;0</formula>
    </cfRule>
  </conditionalFormatting>
  <conditionalFormatting sqref="N549:R549">
    <cfRule type="notContainsBlanks" dxfId="5658" priority="5861">
      <formula>LEN(TRIM(N549))&gt;0</formula>
    </cfRule>
  </conditionalFormatting>
  <conditionalFormatting sqref="N562:R562">
    <cfRule type="notContainsBlanks" dxfId="5657" priority="5860">
      <formula>LEN(TRIM(N562))&gt;0</formula>
    </cfRule>
  </conditionalFormatting>
  <conditionalFormatting sqref="N562:R562">
    <cfRule type="notContainsBlanks" dxfId="5656" priority="5859">
      <formula>LEN(TRIM(N562))&gt;0</formula>
    </cfRule>
  </conditionalFormatting>
  <conditionalFormatting sqref="N562:R562">
    <cfRule type="notContainsBlanks" dxfId="5655" priority="5858">
      <formula>LEN(TRIM(N562))&gt;0</formula>
    </cfRule>
  </conditionalFormatting>
  <conditionalFormatting sqref="N562:R562">
    <cfRule type="notContainsBlanks" dxfId="5654" priority="5857">
      <formula>LEN(TRIM(N562))&gt;0</formula>
    </cfRule>
  </conditionalFormatting>
  <conditionalFormatting sqref="N562:R562">
    <cfRule type="notContainsBlanks" dxfId="5653" priority="5856">
      <formula>LEN(TRIM(N562))&gt;0</formula>
    </cfRule>
  </conditionalFormatting>
  <conditionalFormatting sqref="N562:R562">
    <cfRule type="notContainsBlanks" dxfId="5652" priority="5855">
      <formula>LEN(TRIM(N562))&gt;0</formula>
    </cfRule>
  </conditionalFormatting>
  <conditionalFormatting sqref="N562:R562">
    <cfRule type="notContainsBlanks" dxfId="5651" priority="5854">
      <formula>LEN(TRIM(N562))&gt;0</formula>
    </cfRule>
  </conditionalFormatting>
  <conditionalFormatting sqref="N562:R562">
    <cfRule type="notContainsBlanks" dxfId="5650" priority="5853">
      <formula>LEN(TRIM(N562))&gt;0</formula>
    </cfRule>
  </conditionalFormatting>
  <conditionalFormatting sqref="N562:R562">
    <cfRule type="notContainsBlanks" dxfId="5649" priority="5852">
      <formula>LEN(TRIM(N562))&gt;0</formula>
    </cfRule>
  </conditionalFormatting>
  <conditionalFormatting sqref="N562:R562">
    <cfRule type="notContainsBlanks" dxfId="5648" priority="5850">
      <formula>LEN(TRIM(N562))&gt;0</formula>
    </cfRule>
    <cfRule type="notContainsBlanks" dxfId="5647" priority="5851">
      <formula>LEN(TRIM(N562))&gt;0</formula>
    </cfRule>
  </conditionalFormatting>
  <conditionalFormatting sqref="N562:R562">
    <cfRule type="notContainsBlanks" dxfId="5646" priority="5849">
      <formula>LEN(TRIM(N562))&gt;0</formula>
    </cfRule>
  </conditionalFormatting>
  <conditionalFormatting sqref="N562:R562">
    <cfRule type="notContainsBlanks" dxfId="5645" priority="5848">
      <formula>LEN(TRIM(N562))&gt;0</formula>
    </cfRule>
  </conditionalFormatting>
  <conditionalFormatting sqref="N562:R562">
    <cfRule type="notContainsBlanks" dxfId="5644" priority="5847">
      <formula>LEN(TRIM(N562))&gt;0</formula>
    </cfRule>
  </conditionalFormatting>
  <conditionalFormatting sqref="N562:R562">
    <cfRule type="notContainsBlanks" dxfId="5643" priority="5846">
      <formula>LEN(TRIM(N562))&gt;0</formula>
    </cfRule>
  </conditionalFormatting>
  <conditionalFormatting sqref="N562:R562">
    <cfRule type="notContainsBlanks" dxfId="5642" priority="5845">
      <formula>LEN(TRIM(N562))&gt;0</formula>
    </cfRule>
  </conditionalFormatting>
  <conditionalFormatting sqref="N562:R562">
    <cfRule type="notContainsBlanks" dxfId="5641" priority="5844">
      <formula>LEN(TRIM(N562))&gt;0</formula>
    </cfRule>
  </conditionalFormatting>
  <conditionalFormatting sqref="N562:R562">
    <cfRule type="notContainsBlanks" dxfId="5640" priority="5843">
      <formula>LEN(TRIM(N562))&gt;0</formula>
    </cfRule>
  </conditionalFormatting>
  <conditionalFormatting sqref="N562:R562">
    <cfRule type="notContainsBlanks" dxfId="5639" priority="5842">
      <formula>LEN(TRIM(N562))&gt;0</formula>
    </cfRule>
  </conditionalFormatting>
  <conditionalFormatting sqref="N562:R562">
    <cfRule type="notContainsBlanks" dxfId="5638" priority="5841">
      <formula>LEN(TRIM(N562))&gt;0</formula>
    </cfRule>
  </conditionalFormatting>
  <conditionalFormatting sqref="N562:R562">
    <cfRule type="notContainsBlanks" priority="5840">
      <formula>LEN(TRIM(N562))&gt;0</formula>
    </cfRule>
  </conditionalFormatting>
  <conditionalFormatting sqref="N562:R562">
    <cfRule type="notContainsBlanks" dxfId="5637" priority="5839">
      <formula>LEN(TRIM(N562))&gt;0</formula>
    </cfRule>
  </conditionalFormatting>
  <conditionalFormatting sqref="N562:R562">
    <cfRule type="notContainsBlanks" dxfId="5636" priority="5838">
      <formula>LEN(TRIM(N562))&gt;0</formula>
    </cfRule>
  </conditionalFormatting>
  <conditionalFormatting sqref="N562:R562">
    <cfRule type="notContainsBlanks" dxfId="5635" priority="5837">
      <formula>LEN(TRIM(N562))&gt;0</formula>
    </cfRule>
  </conditionalFormatting>
  <conditionalFormatting sqref="N562:R562">
    <cfRule type="notContainsBlanks" dxfId="5634" priority="5836">
      <formula>LEN(TRIM(N562))&gt;0</formula>
    </cfRule>
  </conditionalFormatting>
  <conditionalFormatting sqref="N562:R562">
    <cfRule type="notContainsBlanks" dxfId="5633" priority="5835">
      <formula>LEN(TRIM(N562))&gt;0</formula>
    </cfRule>
  </conditionalFormatting>
  <conditionalFormatting sqref="N575:R575">
    <cfRule type="notContainsBlanks" dxfId="5632" priority="5834">
      <formula>LEN(TRIM(N575))&gt;0</formula>
    </cfRule>
  </conditionalFormatting>
  <conditionalFormatting sqref="N575:R575">
    <cfRule type="notContainsBlanks" dxfId="5631" priority="5833">
      <formula>LEN(TRIM(N575))&gt;0</formula>
    </cfRule>
  </conditionalFormatting>
  <conditionalFormatting sqref="N575:R575">
    <cfRule type="notContainsBlanks" dxfId="5630" priority="5832">
      <formula>LEN(TRIM(N575))&gt;0</formula>
    </cfRule>
  </conditionalFormatting>
  <conditionalFormatting sqref="N575:R575">
    <cfRule type="notContainsBlanks" dxfId="5629" priority="5831">
      <formula>LEN(TRIM(N575))&gt;0</formula>
    </cfRule>
  </conditionalFormatting>
  <conditionalFormatting sqref="N575:R575">
    <cfRule type="notContainsBlanks" dxfId="5628" priority="5830">
      <formula>LEN(TRIM(N575))&gt;0</formula>
    </cfRule>
  </conditionalFormatting>
  <conditionalFormatting sqref="N575:R575">
    <cfRule type="notContainsBlanks" dxfId="5627" priority="5829">
      <formula>LEN(TRIM(N575))&gt;0</formula>
    </cfRule>
  </conditionalFormatting>
  <conditionalFormatting sqref="N575:R575">
    <cfRule type="notContainsBlanks" dxfId="5626" priority="5828">
      <formula>LEN(TRIM(N575))&gt;0</formula>
    </cfRule>
  </conditionalFormatting>
  <conditionalFormatting sqref="N575:R575">
    <cfRule type="notContainsBlanks" dxfId="5625" priority="5827">
      <formula>LEN(TRIM(N575))&gt;0</formula>
    </cfRule>
  </conditionalFormatting>
  <conditionalFormatting sqref="N575:R575">
    <cfRule type="notContainsBlanks" dxfId="5624" priority="5826">
      <formula>LEN(TRIM(N575))&gt;0</formula>
    </cfRule>
  </conditionalFormatting>
  <conditionalFormatting sqref="N575:R575">
    <cfRule type="notContainsBlanks" dxfId="5623" priority="5824">
      <formula>LEN(TRIM(N575))&gt;0</formula>
    </cfRule>
    <cfRule type="notContainsBlanks" dxfId="5622" priority="5825">
      <formula>LEN(TRIM(N575))&gt;0</formula>
    </cfRule>
  </conditionalFormatting>
  <conditionalFormatting sqref="N575:R575">
    <cfRule type="notContainsBlanks" dxfId="5621" priority="5823">
      <formula>LEN(TRIM(N575))&gt;0</formula>
    </cfRule>
  </conditionalFormatting>
  <conditionalFormatting sqref="N575:R575">
    <cfRule type="notContainsBlanks" dxfId="5620" priority="5822">
      <formula>LEN(TRIM(N575))&gt;0</formula>
    </cfRule>
  </conditionalFormatting>
  <conditionalFormatting sqref="N575:R575">
    <cfRule type="notContainsBlanks" dxfId="5619" priority="5821">
      <formula>LEN(TRIM(N575))&gt;0</formula>
    </cfRule>
  </conditionalFormatting>
  <conditionalFormatting sqref="N575:R575">
    <cfRule type="notContainsBlanks" dxfId="5618" priority="5820">
      <formula>LEN(TRIM(N575))&gt;0</formula>
    </cfRule>
  </conditionalFormatting>
  <conditionalFormatting sqref="N575:R575">
    <cfRule type="notContainsBlanks" dxfId="5617" priority="5819">
      <formula>LEN(TRIM(N575))&gt;0</formula>
    </cfRule>
  </conditionalFormatting>
  <conditionalFormatting sqref="N575:R575">
    <cfRule type="notContainsBlanks" dxfId="5616" priority="5818">
      <formula>LEN(TRIM(N575))&gt;0</formula>
    </cfRule>
  </conditionalFormatting>
  <conditionalFormatting sqref="N575:R575">
    <cfRule type="notContainsBlanks" dxfId="5615" priority="5817">
      <formula>LEN(TRIM(N575))&gt;0</formula>
    </cfRule>
  </conditionalFormatting>
  <conditionalFormatting sqref="N575:R575">
    <cfRule type="notContainsBlanks" dxfId="5614" priority="5816">
      <formula>LEN(TRIM(N575))&gt;0</formula>
    </cfRule>
  </conditionalFormatting>
  <conditionalFormatting sqref="N575:R575">
    <cfRule type="notContainsBlanks" dxfId="5613" priority="5815">
      <formula>LEN(TRIM(N575))&gt;0</formula>
    </cfRule>
  </conditionalFormatting>
  <conditionalFormatting sqref="N575:R575">
    <cfRule type="notContainsBlanks" priority="5814">
      <formula>LEN(TRIM(N575))&gt;0</formula>
    </cfRule>
  </conditionalFormatting>
  <conditionalFormatting sqref="N575:R575">
    <cfRule type="notContainsBlanks" dxfId="5612" priority="5813">
      <formula>LEN(TRIM(N575))&gt;0</formula>
    </cfRule>
  </conditionalFormatting>
  <conditionalFormatting sqref="N575:R575">
    <cfRule type="notContainsBlanks" dxfId="5611" priority="5812">
      <formula>LEN(TRIM(N575))&gt;0</formula>
    </cfRule>
  </conditionalFormatting>
  <conditionalFormatting sqref="N575:R575">
    <cfRule type="notContainsBlanks" dxfId="5610" priority="5811">
      <formula>LEN(TRIM(N575))&gt;0</formula>
    </cfRule>
  </conditionalFormatting>
  <conditionalFormatting sqref="N575:R575">
    <cfRule type="notContainsBlanks" dxfId="5609" priority="5810">
      <formula>LEN(TRIM(N575))&gt;0</formula>
    </cfRule>
  </conditionalFormatting>
  <conditionalFormatting sqref="N575:R575">
    <cfRule type="notContainsBlanks" dxfId="5608" priority="5809">
      <formula>LEN(TRIM(N575))&gt;0</formula>
    </cfRule>
  </conditionalFormatting>
  <conditionalFormatting sqref="N588:R588">
    <cfRule type="notContainsBlanks" dxfId="5607" priority="5808">
      <formula>LEN(TRIM(N588))&gt;0</formula>
    </cfRule>
  </conditionalFormatting>
  <conditionalFormatting sqref="N588:R588">
    <cfRule type="notContainsBlanks" dxfId="5606" priority="5807">
      <formula>LEN(TRIM(N588))&gt;0</formula>
    </cfRule>
  </conditionalFormatting>
  <conditionalFormatting sqref="N588:R588">
    <cfRule type="notContainsBlanks" dxfId="5605" priority="5806">
      <formula>LEN(TRIM(N588))&gt;0</formula>
    </cfRule>
  </conditionalFormatting>
  <conditionalFormatting sqref="N588:R588">
    <cfRule type="notContainsBlanks" dxfId="5604" priority="5805">
      <formula>LEN(TRIM(N588))&gt;0</formula>
    </cfRule>
  </conditionalFormatting>
  <conditionalFormatting sqref="N588:R588">
    <cfRule type="notContainsBlanks" dxfId="5603" priority="5804">
      <formula>LEN(TRIM(N588))&gt;0</formula>
    </cfRule>
  </conditionalFormatting>
  <conditionalFormatting sqref="N588:R588">
    <cfRule type="notContainsBlanks" dxfId="5602" priority="5803">
      <formula>LEN(TRIM(N588))&gt;0</formula>
    </cfRule>
  </conditionalFormatting>
  <conditionalFormatting sqref="N588:R588">
    <cfRule type="notContainsBlanks" dxfId="5601" priority="5802">
      <formula>LEN(TRIM(N588))&gt;0</formula>
    </cfRule>
  </conditionalFormatting>
  <conditionalFormatting sqref="N588:R588">
    <cfRule type="notContainsBlanks" dxfId="5600" priority="5801">
      <formula>LEN(TRIM(N588))&gt;0</formula>
    </cfRule>
  </conditionalFormatting>
  <conditionalFormatting sqref="N588:R588">
    <cfRule type="notContainsBlanks" dxfId="5599" priority="5800">
      <formula>LEN(TRIM(N588))&gt;0</formula>
    </cfRule>
  </conditionalFormatting>
  <conditionalFormatting sqref="N588:R588">
    <cfRule type="notContainsBlanks" dxfId="5598" priority="5798">
      <formula>LEN(TRIM(N588))&gt;0</formula>
    </cfRule>
    <cfRule type="notContainsBlanks" dxfId="5597" priority="5799">
      <formula>LEN(TRIM(N588))&gt;0</formula>
    </cfRule>
  </conditionalFormatting>
  <conditionalFormatting sqref="N588:R588">
    <cfRule type="notContainsBlanks" dxfId="5596" priority="5797">
      <formula>LEN(TRIM(N588))&gt;0</formula>
    </cfRule>
  </conditionalFormatting>
  <conditionalFormatting sqref="N588:R588">
    <cfRule type="notContainsBlanks" dxfId="5595" priority="5796">
      <formula>LEN(TRIM(N588))&gt;0</formula>
    </cfRule>
  </conditionalFormatting>
  <conditionalFormatting sqref="N588:R588">
    <cfRule type="notContainsBlanks" dxfId="5594" priority="5795">
      <formula>LEN(TRIM(N588))&gt;0</formula>
    </cfRule>
  </conditionalFormatting>
  <conditionalFormatting sqref="N588:R588">
    <cfRule type="notContainsBlanks" dxfId="5593" priority="5794">
      <formula>LEN(TRIM(N588))&gt;0</formula>
    </cfRule>
  </conditionalFormatting>
  <conditionalFormatting sqref="N588:R588">
    <cfRule type="notContainsBlanks" dxfId="5592" priority="5793">
      <formula>LEN(TRIM(N588))&gt;0</formula>
    </cfRule>
  </conditionalFormatting>
  <conditionalFormatting sqref="N588:R588">
    <cfRule type="notContainsBlanks" dxfId="5591" priority="5792">
      <formula>LEN(TRIM(N588))&gt;0</formula>
    </cfRule>
  </conditionalFormatting>
  <conditionalFormatting sqref="N588:R588">
    <cfRule type="notContainsBlanks" dxfId="5590" priority="5791">
      <formula>LEN(TRIM(N588))&gt;0</formula>
    </cfRule>
  </conditionalFormatting>
  <conditionalFormatting sqref="N588:R588">
    <cfRule type="notContainsBlanks" dxfId="5589" priority="5790">
      <formula>LEN(TRIM(N588))&gt;0</formula>
    </cfRule>
  </conditionalFormatting>
  <conditionalFormatting sqref="N588:R588">
    <cfRule type="notContainsBlanks" dxfId="5588" priority="5789">
      <formula>LEN(TRIM(N588))&gt;0</formula>
    </cfRule>
  </conditionalFormatting>
  <conditionalFormatting sqref="N588:R588">
    <cfRule type="notContainsBlanks" priority="5788">
      <formula>LEN(TRIM(N588))&gt;0</formula>
    </cfRule>
  </conditionalFormatting>
  <conditionalFormatting sqref="N588:R588">
    <cfRule type="notContainsBlanks" dxfId="5587" priority="5787">
      <formula>LEN(TRIM(N588))&gt;0</formula>
    </cfRule>
  </conditionalFormatting>
  <conditionalFormatting sqref="N588:R588">
    <cfRule type="notContainsBlanks" dxfId="5586" priority="5786">
      <formula>LEN(TRIM(N588))&gt;0</formula>
    </cfRule>
  </conditionalFormatting>
  <conditionalFormatting sqref="N588:R588">
    <cfRule type="notContainsBlanks" dxfId="5585" priority="5785">
      <formula>LEN(TRIM(N588))&gt;0</formula>
    </cfRule>
  </conditionalFormatting>
  <conditionalFormatting sqref="N588:R588">
    <cfRule type="notContainsBlanks" dxfId="5584" priority="5784">
      <formula>LEN(TRIM(N588))&gt;0</formula>
    </cfRule>
  </conditionalFormatting>
  <conditionalFormatting sqref="N588:R588">
    <cfRule type="notContainsBlanks" dxfId="5583" priority="5783">
      <formula>LEN(TRIM(N588))&gt;0</formula>
    </cfRule>
  </conditionalFormatting>
  <conditionalFormatting sqref="N601:R601">
    <cfRule type="notContainsBlanks" dxfId="5582" priority="5782">
      <formula>LEN(TRIM(N601))&gt;0</formula>
    </cfRule>
  </conditionalFormatting>
  <conditionalFormatting sqref="N601:R601">
    <cfRule type="notContainsBlanks" dxfId="5581" priority="5781">
      <formula>LEN(TRIM(N601))&gt;0</formula>
    </cfRule>
  </conditionalFormatting>
  <conditionalFormatting sqref="N601:R601">
    <cfRule type="notContainsBlanks" dxfId="5580" priority="5780">
      <formula>LEN(TRIM(N601))&gt;0</formula>
    </cfRule>
  </conditionalFormatting>
  <conditionalFormatting sqref="N601:R601">
    <cfRule type="notContainsBlanks" dxfId="5579" priority="5779">
      <formula>LEN(TRIM(N601))&gt;0</formula>
    </cfRule>
  </conditionalFormatting>
  <conditionalFormatting sqref="N601:R601">
    <cfRule type="notContainsBlanks" dxfId="5578" priority="5778">
      <formula>LEN(TRIM(N601))&gt;0</formula>
    </cfRule>
  </conditionalFormatting>
  <conditionalFormatting sqref="N601:R601">
    <cfRule type="notContainsBlanks" dxfId="5577" priority="5777">
      <formula>LEN(TRIM(N601))&gt;0</formula>
    </cfRule>
  </conditionalFormatting>
  <conditionalFormatting sqref="N601:R601">
    <cfRule type="notContainsBlanks" dxfId="5576" priority="5776">
      <formula>LEN(TRIM(N601))&gt;0</formula>
    </cfRule>
  </conditionalFormatting>
  <conditionalFormatting sqref="N601:R601">
    <cfRule type="notContainsBlanks" dxfId="5575" priority="5775">
      <formula>LEN(TRIM(N601))&gt;0</formula>
    </cfRule>
  </conditionalFormatting>
  <conditionalFormatting sqref="N601:R601">
    <cfRule type="notContainsBlanks" dxfId="5574" priority="5774">
      <formula>LEN(TRIM(N601))&gt;0</formula>
    </cfRule>
  </conditionalFormatting>
  <conditionalFormatting sqref="N601:R601">
    <cfRule type="notContainsBlanks" dxfId="5573" priority="5772">
      <formula>LEN(TRIM(N601))&gt;0</formula>
    </cfRule>
    <cfRule type="notContainsBlanks" dxfId="5572" priority="5773">
      <formula>LEN(TRIM(N601))&gt;0</formula>
    </cfRule>
  </conditionalFormatting>
  <conditionalFormatting sqref="N601:R601">
    <cfRule type="notContainsBlanks" dxfId="5571" priority="5771">
      <formula>LEN(TRIM(N601))&gt;0</formula>
    </cfRule>
  </conditionalFormatting>
  <conditionalFormatting sqref="N601:R601">
    <cfRule type="notContainsBlanks" dxfId="5570" priority="5770">
      <formula>LEN(TRIM(N601))&gt;0</formula>
    </cfRule>
  </conditionalFormatting>
  <conditionalFormatting sqref="N601:R601">
    <cfRule type="notContainsBlanks" dxfId="5569" priority="5769">
      <formula>LEN(TRIM(N601))&gt;0</formula>
    </cfRule>
  </conditionalFormatting>
  <conditionalFormatting sqref="N601:R601">
    <cfRule type="notContainsBlanks" dxfId="5568" priority="5768">
      <formula>LEN(TRIM(N601))&gt;0</formula>
    </cfRule>
  </conditionalFormatting>
  <conditionalFormatting sqref="N601:R601">
    <cfRule type="notContainsBlanks" dxfId="5567" priority="5767">
      <formula>LEN(TRIM(N601))&gt;0</formula>
    </cfRule>
  </conditionalFormatting>
  <conditionalFormatting sqref="N601:R601">
    <cfRule type="notContainsBlanks" dxfId="5566" priority="5766">
      <formula>LEN(TRIM(N601))&gt;0</formula>
    </cfRule>
  </conditionalFormatting>
  <conditionalFormatting sqref="N601:R601">
    <cfRule type="notContainsBlanks" dxfId="5565" priority="5765">
      <formula>LEN(TRIM(N601))&gt;0</formula>
    </cfRule>
  </conditionalFormatting>
  <conditionalFormatting sqref="N601:R601">
    <cfRule type="notContainsBlanks" dxfId="5564" priority="5764">
      <formula>LEN(TRIM(N601))&gt;0</formula>
    </cfRule>
  </conditionalFormatting>
  <conditionalFormatting sqref="N601:R601">
    <cfRule type="notContainsBlanks" dxfId="5563" priority="5763">
      <formula>LEN(TRIM(N601))&gt;0</formula>
    </cfRule>
  </conditionalFormatting>
  <conditionalFormatting sqref="N601:R601">
    <cfRule type="notContainsBlanks" priority="5762">
      <formula>LEN(TRIM(N601))&gt;0</formula>
    </cfRule>
  </conditionalFormatting>
  <conditionalFormatting sqref="N601:R601">
    <cfRule type="notContainsBlanks" dxfId="5562" priority="5761">
      <formula>LEN(TRIM(N601))&gt;0</formula>
    </cfRule>
  </conditionalFormatting>
  <conditionalFormatting sqref="N601:R601">
    <cfRule type="notContainsBlanks" dxfId="5561" priority="5760">
      <formula>LEN(TRIM(N601))&gt;0</formula>
    </cfRule>
  </conditionalFormatting>
  <conditionalFormatting sqref="N601:R601">
    <cfRule type="notContainsBlanks" dxfId="5560" priority="5759">
      <formula>LEN(TRIM(N601))&gt;0</formula>
    </cfRule>
  </conditionalFormatting>
  <conditionalFormatting sqref="N601:R601">
    <cfRule type="notContainsBlanks" dxfId="5559" priority="5758">
      <formula>LEN(TRIM(N601))&gt;0</formula>
    </cfRule>
  </conditionalFormatting>
  <conditionalFormatting sqref="N601:R601">
    <cfRule type="notContainsBlanks" dxfId="5558" priority="5757">
      <formula>LEN(TRIM(N601))&gt;0</formula>
    </cfRule>
  </conditionalFormatting>
  <conditionalFormatting sqref="N614:R614">
    <cfRule type="notContainsBlanks" dxfId="5557" priority="5756">
      <formula>LEN(TRIM(N614))&gt;0</formula>
    </cfRule>
  </conditionalFormatting>
  <conditionalFormatting sqref="N614:R614">
    <cfRule type="notContainsBlanks" dxfId="5556" priority="5755">
      <formula>LEN(TRIM(N614))&gt;0</formula>
    </cfRule>
  </conditionalFormatting>
  <conditionalFormatting sqref="N614:R614">
    <cfRule type="notContainsBlanks" dxfId="5555" priority="5754">
      <formula>LEN(TRIM(N614))&gt;0</formula>
    </cfRule>
  </conditionalFormatting>
  <conditionalFormatting sqref="N614:R614">
    <cfRule type="notContainsBlanks" dxfId="5554" priority="5753">
      <formula>LEN(TRIM(N614))&gt;0</formula>
    </cfRule>
  </conditionalFormatting>
  <conditionalFormatting sqref="N614:R614">
    <cfRule type="notContainsBlanks" dxfId="5553" priority="5752">
      <formula>LEN(TRIM(N614))&gt;0</formula>
    </cfRule>
  </conditionalFormatting>
  <conditionalFormatting sqref="N614:R614">
    <cfRule type="notContainsBlanks" dxfId="5552" priority="5751">
      <formula>LEN(TRIM(N614))&gt;0</formula>
    </cfRule>
  </conditionalFormatting>
  <conditionalFormatting sqref="N614:R614">
    <cfRule type="notContainsBlanks" dxfId="5551" priority="5750">
      <formula>LEN(TRIM(N614))&gt;0</formula>
    </cfRule>
  </conditionalFormatting>
  <conditionalFormatting sqref="N614:R614">
    <cfRule type="notContainsBlanks" dxfId="5550" priority="5749">
      <formula>LEN(TRIM(N614))&gt;0</formula>
    </cfRule>
  </conditionalFormatting>
  <conditionalFormatting sqref="N614:R614">
    <cfRule type="notContainsBlanks" dxfId="5549" priority="5748">
      <formula>LEN(TRIM(N614))&gt;0</formula>
    </cfRule>
  </conditionalFormatting>
  <conditionalFormatting sqref="N614:R614">
    <cfRule type="notContainsBlanks" dxfId="5548" priority="5746">
      <formula>LEN(TRIM(N614))&gt;0</formula>
    </cfRule>
    <cfRule type="notContainsBlanks" dxfId="5547" priority="5747">
      <formula>LEN(TRIM(N614))&gt;0</formula>
    </cfRule>
  </conditionalFormatting>
  <conditionalFormatting sqref="N614:R614">
    <cfRule type="notContainsBlanks" dxfId="5546" priority="5745">
      <formula>LEN(TRIM(N614))&gt;0</formula>
    </cfRule>
  </conditionalFormatting>
  <conditionalFormatting sqref="N614:R614">
    <cfRule type="notContainsBlanks" dxfId="5545" priority="5744">
      <formula>LEN(TRIM(N614))&gt;0</formula>
    </cfRule>
  </conditionalFormatting>
  <conditionalFormatting sqref="N614:R614">
    <cfRule type="notContainsBlanks" dxfId="5544" priority="5743">
      <formula>LEN(TRIM(N614))&gt;0</formula>
    </cfRule>
  </conditionalFormatting>
  <conditionalFormatting sqref="N614:R614">
    <cfRule type="notContainsBlanks" dxfId="5543" priority="5742">
      <formula>LEN(TRIM(N614))&gt;0</formula>
    </cfRule>
  </conditionalFormatting>
  <conditionalFormatting sqref="N614:R614">
    <cfRule type="notContainsBlanks" dxfId="5542" priority="5741">
      <formula>LEN(TRIM(N614))&gt;0</formula>
    </cfRule>
  </conditionalFormatting>
  <conditionalFormatting sqref="N614:R614">
    <cfRule type="notContainsBlanks" dxfId="5541" priority="5740">
      <formula>LEN(TRIM(N614))&gt;0</formula>
    </cfRule>
  </conditionalFormatting>
  <conditionalFormatting sqref="N614:R614">
    <cfRule type="notContainsBlanks" dxfId="5540" priority="5739">
      <formula>LEN(TRIM(N614))&gt;0</formula>
    </cfRule>
  </conditionalFormatting>
  <conditionalFormatting sqref="N614:R614">
    <cfRule type="notContainsBlanks" dxfId="5539" priority="5738">
      <formula>LEN(TRIM(N614))&gt;0</formula>
    </cfRule>
  </conditionalFormatting>
  <conditionalFormatting sqref="N614:R614">
    <cfRule type="notContainsBlanks" dxfId="5538" priority="5737">
      <formula>LEN(TRIM(N614))&gt;0</formula>
    </cfRule>
  </conditionalFormatting>
  <conditionalFormatting sqref="N614:R614">
    <cfRule type="notContainsBlanks" priority="5736">
      <formula>LEN(TRIM(N614))&gt;0</formula>
    </cfRule>
  </conditionalFormatting>
  <conditionalFormatting sqref="N614:R614">
    <cfRule type="notContainsBlanks" dxfId="5537" priority="5735">
      <formula>LEN(TRIM(N614))&gt;0</formula>
    </cfRule>
  </conditionalFormatting>
  <conditionalFormatting sqref="N614:R614">
    <cfRule type="notContainsBlanks" dxfId="5536" priority="5734">
      <formula>LEN(TRIM(N614))&gt;0</formula>
    </cfRule>
  </conditionalFormatting>
  <conditionalFormatting sqref="N614:R614">
    <cfRule type="notContainsBlanks" dxfId="5535" priority="5733">
      <formula>LEN(TRIM(N614))&gt;0</formula>
    </cfRule>
  </conditionalFormatting>
  <conditionalFormatting sqref="N614:R614">
    <cfRule type="notContainsBlanks" dxfId="5534" priority="5732">
      <formula>LEN(TRIM(N614))&gt;0</formula>
    </cfRule>
  </conditionalFormatting>
  <conditionalFormatting sqref="N614:R614">
    <cfRule type="notContainsBlanks" dxfId="5533" priority="5731">
      <formula>LEN(TRIM(N614))&gt;0</formula>
    </cfRule>
  </conditionalFormatting>
  <conditionalFormatting sqref="N627:R627">
    <cfRule type="notContainsBlanks" dxfId="5532" priority="5730">
      <formula>LEN(TRIM(N627))&gt;0</formula>
    </cfRule>
  </conditionalFormatting>
  <conditionalFormatting sqref="N627:R627">
    <cfRule type="notContainsBlanks" dxfId="5531" priority="5729">
      <formula>LEN(TRIM(N627))&gt;0</formula>
    </cfRule>
  </conditionalFormatting>
  <conditionalFormatting sqref="N627:R627">
    <cfRule type="notContainsBlanks" dxfId="5530" priority="5728">
      <formula>LEN(TRIM(N627))&gt;0</formula>
    </cfRule>
  </conditionalFormatting>
  <conditionalFormatting sqref="N627:R627">
    <cfRule type="notContainsBlanks" dxfId="5529" priority="5727">
      <formula>LEN(TRIM(N627))&gt;0</formula>
    </cfRule>
  </conditionalFormatting>
  <conditionalFormatting sqref="N627:R627">
    <cfRule type="notContainsBlanks" dxfId="5528" priority="5726">
      <formula>LEN(TRIM(N627))&gt;0</formula>
    </cfRule>
  </conditionalFormatting>
  <conditionalFormatting sqref="N627:R627">
    <cfRule type="notContainsBlanks" dxfId="5527" priority="5725">
      <formula>LEN(TRIM(N627))&gt;0</formula>
    </cfRule>
  </conditionalFormatting>
  <conditionalFormatting sqref="N627:R627">
    <cfRule type="notContainsBlanks" dxfId="5526" priority="5724">
      <formula>LEN(TRIM(N627))&gt;0</formula>
    </cfRule>
  </conditionalFormatting>
  <conditionalFormatting sqref="N627:R627">
    <cfRule type="notContainsBlanks" dxfId="5525" priority="5723">
      <formula>LEN(TRIM(N627))&gt;0</formula>
    </cfRule>
  </conditionalFormatting>
  <conditionalFormatting sqref="N627:R627">
    <cfRule type="notContainsBlanks" dxfId="5524" priority="5722">
      <formula>LEN(TRIM(N627))&gt;0</formula>
    </cfRule>
  </conditionalFormatting>
  <conditionalFormatting sqref="N627:R627">
    <cfRule type="notContainsBlanks" dxfId="5523" priority="5720">
      <formula>LEN(TRIM(N627))&gt;0</formula>
    </cfRule>
    <cfRule type="notContainsBlanks" dxfId="5522" priority="5721">
      <formula>LEN(TRIM(N627))&gt;0</formula>
    </cfRule>
  </conditionalFormatting>
  <conditionalFormatting sqref="N627:R627">
    <cfRule type="notContainsBlanks" dxfId="5521" priority="5719">
      <formula>LEN(TRIM(N627))&gt;0</formula>
    </cfRule>
  </conditionalFormatting>
  <conditionalFormatting sqref="N627:R627">
    <cfRule type="notContainsBlanks" dxfId="5520" priority="5718">
      <formula>LEN(TRIM(N627))&gt;0</formula>
    </cfRule>
  </conditionalFormatting>
  <conditionalFormatting sqref="N627:R627">
    <cfRule type="notContainsBlanks" dxfId="5519" priority="5717">
      <formula>LEN(TRIM(N627))&gt;0</formula>
    </cfRule>
  </conditionalFormatting>
  <conditionalFormatting sqref="N627:R627">
    <cfRule type="notContainsBlanks" dxfId="5518" priority="5716">
      <formula>LEN(TRIM(N627))&gt;0</formula>
    </cfRule>
  </conditionalFormatting>
  <conditionalFormatting sqref="N627:R627">
    <cfRule type="notContainsBlanks" dxfId="5517" priority="5715">
      <formula>LEN(TRIM(N627))&gt;0</formula>
    </cfRule>
  </conditionalFormatting>
  <conditionalFormatting sqref="N627:R627">
    <cfRule type="notContainsBlanks" dxfId="5516" priority="5714">
      <formula>LEN(TRIM(N627))&gt;0</formula>
    </cfRule>
  </conditionalFormatting>
  <conditionalFormatting sqref="N627:R627">
    <cfRule type="notContainsBlanks" dxfId="5515" priority="5713">
      <formula>LEN(TRIM(N627))&gt;0</formula>
    </cfRule>
  </conditionalFormatting>
  <conditionalFormatting sqref="N627:R627">
    <cfRule type="notContainsBlanks" dxfId="5514" priority="5712">
      <formula>LEN(TRIM(N627))&gt;0</formula>
    </cfRule>
  </conditionalFormatting>
  <conditionalFormatting sqref="N627:R627">
    <cfRule type="notContainsBlanks" dxfId="5513" priority="5711">
      <formula>LEN(TRIM(N627))&gt;0</formula>
    </cfRule>
  </conditionalFormatting>
  <conditionalFormatting sqref="N627:R627">
    <cfRule type="notContainsBlanks" priority="5710">
      <formula>LEN(TRIM(N627))&gt;0</formula>
    </cfRule>
  </conditionalFormatting>
  <conditionalFormatting sqref="N627:R627">
    <cfRule type="notContainsBlanks" dxfId="5512" priority="5709">
      <formula>LEN(TRIM(N627))&gt;0</formula>
    </cfRule>
  </conditionalFormatting>
  <conditionalFormatting sqref="N627:R627">
    <cfRule type="notContainsBlanks" dxfId="5511" priority="5708">
      <formula>LEN(TRIM(N627))&gt;0</formula>
    </cfRule>
  </conditionalFormatting>
  <conditionalFormatting sqref="N627:R627">
    <cfRule type="notContainsBlanks" dxfId="5510" priority="5707">
      <formula>LEN(TRIM(N627))&gt;0</formula>
    </cfRule>
  </conditionalFormatting>
  <conditionalFormatting sqref="N627:R627">
    <cfRule type="notContainsBlanks" dxfId="5509" priority="5706">
      <formula>LEN(TRIM(N627))&gt;0</formula>
    </cfRule>
  </conditionalFormatting>
  <conditionalFormatting sqref="N627:R627">
    <cfRule type="notContainsBlanks" dxfId="5508" priority="5705">
      <formula>LEN(TRIM(N627))&gt;0</formula>
    </cfRule>
  </conditionalFormatting>
  <conditionalFormatting sqref="N640:R640">
    <cfRule type="notContainsBlanks" dxfId="5507" priority="5704">
      <formula>LEN(TRIM(N640))&gt;0</formula>
    </cfRule>
  </conditionalFormatting>
  <conditionalFormatting sqref="N640:R640">
    <cfRule type="notContainsBlanks" dxfId="5506" priority="5703">
      <formula>LEN(TRIM(N640))&gt;0</formula>
    </cfRule>
  </conditionalFormatting>
  <conditionalFormatting sqref="N640:R640">
    <cfRule type="notContainsBlanks" dxfId="5505" priority="5702">
      <formula>LEN(TRIM(N640))&gt;0</formula>
    </cfRule>
  </conditionalFormatting>
  <conditionalFormatting sqref="N640:R640">
    <cfRule type="notContainsBlanks" dxfId="5504" priority="5701">
      <formula>LEN(TRIM(N640))&gt;0</formula>
    </cfRule>
  </conditionalFormatting>
  <conditionalFormatting sqref="N640:R640">
    <cfRule type="notContainsBlanks" dxfId="5503" priority="5700">
      <formula>LEN(TRIM(N640))&gt;0</formula>
    </cfRule>
  </conditionalFormatting>
  <conditionalFormatting sqref="N640:R640">
    <cfRule type="notContainsBlanks" dxfId="5502" priority="5699">
      <formula>LEN(TRIM(N640))&gt;0</formula>
    </cfRule>
  </conditionalFormatting>
  <conditionalFormatting sqref="N640:R640">
    <cfRule type="notContainsBlanks" dxfId="5501" priority="5698">
      <formula>LEN(TRIM(N640))&gt;0</formula>
    </cfRule>
  </conditionalFormatting>
  <conditionalFormatting sqref="N640:R640">
    <cfRule type="notContainsBlanks" dxfId="5500" priority="5697">
      <formula>LEN(TRIM(N640))&gt;0</formula>
    </cfRule>
  </conditionalFormatting>
  <conditionalFormatting sqref="N640:R640">
    <cfRule type="notContainsBlanks" dxfId="5499" priority="5696">
      <formula>LEN(TRIM(N640))&gt;0</formula>
    </cfRule>
  </conditionalFormatting>
  <conditionalFormatting sqref="N640:R640">
    <cfRule type="notContainsBlanks" dxfId="5498" priority="5694">
      <formula>LEN(TRIM(N640))&gt;0</formula>
    </cfRule>
    <cfRule type="notContainsBlanks" dxfId="5497" priority="5695">
      <formula>LEN(TRIM(N640))&gt;0</formula>
    </cfRule>
  </conditionalFormatting>
  <conditionalFormatting sqref="N640:R640">
    <cfRule type="notContainsBlanks" dxfId="5496" priority="5693">
      <formula>LEN(TRIM(N640))&gt;0</formula>
    </cfRule>
  </conditionalFormatting>
  <conditionalFormatting sqref="N640:R640">
    <cfRule type="notContainsBlanks" dxfId="5495" priority="5692">
      <formula>LEN(TRIM(N640))&gt;0</formula>
    </cfRule>
  </conditionalFormatting>
  <conditionalFormatting sqref="N640:R640">
    <cfRule type="notContainsBlanks" dxfId="5494" priority="5691">
      <formula>LEN(TRIM(N640))&gt;0</formula>
    </cfRule>
  </conditionalFormatting>
  <conditionalFormatting sqref="N640:R640">
    <cfRule type="notContainsBlanks" dxfId="5493" priority="5690">
      <formula>LEN(TRIM(N640))&gt;0</formula>
    </cfRule>
  </conditionalFormatting>
  <conditionalFormatting sqref="N640:R640">
    <cfRule type="notContainsBlanks" dxfId="5492" priority="5689">
      <formula>LEN(TRIM(N640))&gt;0</formula>
    </cfRule>
  </conditionalFormatting>
  <conditionalFormatting sqref="N640:R640">
    <cfRule type="notContainsBlanks" dxfId="5491" priority="5688">
      <formula>LEN(TRIM(N640))&gt;0</formula>
    </cfRule>
  </conditionalFormatting>
  <conditionalFormatting sqref="N640:R640">
    <cfRule type="notContainsBlanks" dxfId="5490" priority="5687">
      <formula>LEN(TRIM(N640))&gt;0</formula>
    </cfRule>
  </conditionalFormatting>
  <conditionalFormatting sqref="N640:R640">
    <cfRule type="notContainsBlanks" dxfId="5489" priority="5686">
      <formula>LEN(TRIM(N640))&gt;0</formula>
    </cfRule>
  </conditionalFormatting>
  <conditionalFormatting sqref="N640:R640">
    <cfRule type="notContainsBlanks" dxfId="5488" priority="5685">
      <formula>LEN(TRIM(N640))&gt;0</formula>
    </cfRule>
  </conditionalFormatting>
  <conditionalFormatting sqref="N640:R640">
    <cfRule type="notContainsBlanks" priority="5684">
      <formula>LEN(TRIM(N640))&gt;0</formula>
    </cfRule>
  </conditionalFormatting>
  <conditionalFormatting sqref="N640:R640">
    <cfRule type="notContainsBlanks" dxfId="5487" priority="5683">
      <formula>LEN(TRIM(N640))&gt;0</formula>
    </cfRule>
  </conditionalFormatting>
  <conditionalFormatting sqref="N640:R640">
    <cfRule type="notContainsBlanks" dxfId="5486" priority="5682">
      <formula>LEN(TRIM(N640))&gt;0</formula>
    </cfRule>
  </conditionalFormatting>
  <conditionalFormatting sqref="N640:R640">
    <cfRule type="notContainsBlanks" dxfId="5485" priority="5681">
      <formula>LEN(TRIM(N640))&gt;0</formula>
    </cfRule>
  </conditionalFormatting>
  <conditionalFormatting sqref="N640:R640">
    <cfRule type="notContainsBlanks" dxfId="5484" priority="5680">
      <formula>LEN(TRIM(N640))&gt;0</formula>
    </cfRule>
  </conditionalFormatting>
  <conditionalFormatting sqref="N640:R640">
    <cfRule type="notContainsBlanks" dxfId="5483" priority="5679">
      <formula>LEN(TRIM(N640))&gt;0</formula>
    </cfRule>
  </conditionalFormatting>
  <conditionalFormatting sqref="N653:R653">
    <cfRule type="notContainsBlanks" dxfId="5482" priority="5678">
      <formula>LEN(TRIM(N653))&gt;0</formula>
    </cfRule>
  </conditionalFormatting>
  <conditionalFormatting sqref="N653:R653">
    <cfRule type="notContainsBlanks" dxfId="5481" priority="5677">
      <formula>LEN(TRIM(N653))&gt;0</formula>
    </cfRule>
  </conditionalFormatting>
  <conditionalFormatting sqref="N653:R653">
    <cfRule type="notContainsBlanks" dxfId="5480" priority="5676">
      <formula>LEN(TRIM(N653))&gt;0</formula>
    </cfRule>
  </conditionalFormatting>
  <conditionalFormatting sqref="N653:R653">
    <cfRule type="notContainsBlanks" dxfId="5479" priority="5675">
      <formula>LEN(TRIM(N653))&gt;0</formula>
    </cfRule>
  </conditionalFormatting>
  <conditionalFormatting sqref="N653:R653">
    <cfRule type="notContainsBlanks" dxfId="5478" priority="5674">
      <formula>LEN(TRIM(N653))&gt;0</formula>
    </cfRule>
  </conditionalFormatting>
  <conditionalFormatting sqref="N653:R653">
    <cfRule type="notContainsBlanks" dxfId="5477" priority="5673">
      <formula>LEN(TRIM(N653))&gt;0</formula>
    </cfRule>
  </conditionalFormatting>
  <conditionalFormatting sqref="N653:R653">
    <cfRule type="notContainsBlanks" dxfId="5476" priority="5672">
      <formula>LEN(TRIM(N653))&gt;0</formula>
    </cfRule>
  </conditionalFormatting>
  <conditionalFormatting sqref="N653:R653">
    <cfRule type="notContainsBlanks" dxfId="5475" priority="5671">
      <formula>LEN(TRIM(N653))&gt;0</formula>
    </cfRule>
  </conditionalFormatting>
  <conditionalFormatting sqref="N653:R653">
    <cfRule type="notContainsBlanks" dxfId="5474" priority="5670">
      <formula>LEN(TRIM(N653))&gt;0</formula>
    </cfRule>
  </conditionalFormatting>
  <conditionalFormatting sqref="N653:R653">
    <cfRule type="notContainsBlanks" dxfId="5473" priority="5668">
      <formula>LEN(TRIM(N653))&gt;0</formula>
    </cfRule>
    <cfRule type="notContainsBlanks" dxfId="5472" priority="5669">
      <formula>LEN(TRIM(N653))&gt;0</formula>
    </cfRule>
  </conditionalFormatting>
  <conditionalFormatting sqref="N653:R653">
    <cfRule type="notContainsBlanks" dxfId="5471" priority="5667">
      <formula>LEN(TRIM(N653))&gt;0</formula>
    </cfRule>
  </conditionalFormatting>
  <conditionalFormatting sqref="N653:R653">
    <cfRule type="notContainsBlanks" dxfId="5470" priority="5666">
      <formula>LEN(TRIM(N653))&gt;0</formula>
    </cfRule>
  </conditionalFormatting>
  <conditionalFormatting sqref="N653:R653">
    <cfRule type="notContainsBlanks" dxfId="5469" priority="5665">
      <formula>LEN(TRIM(N653))&gt;0</formula>
    </cfRule>
  </conditionalFormatting>
  <conditionalFormatting sqref="N653:R653">
    <cfRule type="notContainsBlanks" dxfId="5468" priority="5664">
      <formula>LEN(TRIM(N653))&gt;0</formula>
    </cfRule>
  </conditionalFormatting>
  <conditionalFormatting sqref="N653:R653">
    <cfRule type="notContainsBlanks" dxfId="5467" priority="5663">
      <formula>LEN(TRIM(N653))&gt;0</formula>
    </cfRule>
  </conditionalFormatting>
  <conditionalFormatting sqref="N653:R653">
    <cfRule type="notContainsBlanks" dxfId="5466" priority="5662">
      <formula>LEN(TRIM(N653))&gt;0</formula>
    </cfRule>
  </conditionalFormatting>
  <conditionalFormatting sqref="N653:R653">
    <cfRule type="notContainsBlanks" dxfId="5465" priority="5661">
      <formula>LEN(TRIM(N653))&gt;0</formula>
    </cfRule>
  </conditionalFormatting>
  <conditionalFormatting sqref="N653:R653">
    <cfRule type="notContainsBlanks" dxfId="5464" priority="5660">
      <formula>LEN(TRIM(N653))&gt;0</formula>
    </cfRule>
  </conditionalFormatting>
  <conditionalFormatting sqref="N653:R653">
    <cfRule type="notContainsBlanks" dxfId="5463" priority="5659">
      <formula>LEN(TRIM(N653))&gt;0</formula>
    </cfRule>
  </conditionalFormatting>
  <conditionalFormatting sqref="N653:R653">
    <cfRule type="notContainsBlanks" priority="5658">
      <formula>LEN(TRIM(N653))&gt;0</formula>
    </cfRule>
  </conditionalFormatting>
  <conditionalFormatting sqref="N653:R653">
    <cfRule type="notContainsBlanks" dxfId="5462" priority="5657">
      <formula>LEN(TRIM(N653))&gt;0</formula>
    </cfRule>
  </conditionalFormatting>
  <conditionalFormatting sqref="N653:R653">
    <cfRule type="notContainsBlanks" dxfId="5461" priority="5656">
      <formula>LEN(TRIM(N653))&gt;0</formula>
    </cfRule>
  </conditionalFormatting>
  <conditionalFormatting sqref="N653:R653">
    <cfRule type="notContainsBlanks" dxfId="5460" priority="5655">
      <formula>LEN(TRIM(N653))&gt;0</formula>
    </cfRule>
  </conditionalFormatting>
  <conditionalFormatting sqref="N653:R653">
    <cfRule type="notContainsBlanks" dxfId="5459" priority="5654">
      <formula>LEN(TRIM(N653))&gt;0</formula>
    </cfRule>
  </conditionalFormatting>
  <conditionalFormatting sqref="N653:R653">
    <cfRule type="notContainsBlanks" dxfId="5458" priority="5653">
      <formula>LEN(TRIM(N653))&gt;0</formula>
    </cfRule>
  </conditionalFormatting>
  <conditionalFormatting sqref="N666:R666">
    <cfRule type="notContainsBlanks" dxfId="5457" priority="5652">
      <formula>LEN(TRIM(N666))&gt;0</formula>
    </cfRule>
  </conditionalFormatting>
  <conditionalFormatting sqref="N666:R666">
    <cfRule type="notContainsBlanks" dxfId="5456" priority="5651">
      <formula>LEN(TRIM(N666))&gt;0</formula>
    </cfRule>
  </conditionalFormatting>
  <conditionalFormatting sqref="N666:R666">
    <cfRule type="notContainsBlanks" dxfId="5455" priority="5650">
      <formula>LEN(TRIM(N666))&gt;0</formula>
    </cfRule>
  </conditionalFormatting>
  <conditionalFormatting sqref="N666:R666">
    <cfRule type="notContainsBlanks" dxfId="5454" priority="5649">
      <formula>LEN(TRIM(N666))&gt;0</formula>
    </cfRule>
  </conditionalFormatting>
  <conditionalFormatting sqref="N666:R666">
    <cfRule type="notContainsBlanks" dxfId="5453" priority="5648">
      <formula>LEN(TRIM(N666))&gt;0</formula>
    </cfRule>
  </conditionalFormatting>
  <conditionalFormatting sqref="N666:R666">
    <cfRule type="notContainsBlanks" dxfId="5452" priority="5647">
      <formula>LEN(TRIM(N666))&gt;0</formula>
    </cfRule>
  </conditionalFormatting>
  <conditionalFormatting sqref="N666:R666">
    <cfRule type="notContainsBlanks" dxfId="5451" priority="5646">
      <formula>LEN(TRIM(N666))&gt;0</formula>
    </cfRule>
  </conditionalFormatting>
  <conditionalFormatting sqref="N666:R666">
    <cfRule type="notContainsBlanks" dxfId="5450" priority="5645">
      <formula>LEN(TRIM(N666))&gt;0</formula>
    </cfRule>
  </conditionalFormatting>
  <conditionalFormatting sqref="N666:R666">
    <cfRule type="notContainsBlanks" dxfId="5449" priority="5644">
      <formula>LEN(TRIM(N666))&gt;0</formula>
    </cfRule>
  </conditionalFormatting>
  <conditionalFormatting sqref="N666:R666">
    <cfRule type="notContainsBlanks" dxfId="5448" priority="5642">
      <formula>LEN(TRIM(N666))&gt;0</formula>
    </cfRule>
    <cfRule type="notContainsBlanks" dxfId="5447" priority="5643">
      <formula>LEN(TRIM(N666))&gt;0</formula>
    </cfRule>
  </conditionalFormatting>
  <conditionalFormatting sqref="N666:R666">
    <cfRule type="notContainsBlanks" dxfId="5446" priority="5641">
      <formula>LEN(TRIM(N666))&gt;0</formula>
    </cfRule>
  </conditionalFormatting>
  <conditionalFormatting sqref="N666:R666">
    <cfRule type="notContainsBlanks" dxfId="5445" priority="5640">
      <formula>LEN(TRIM(N666))&gt;0</formula>
    </cfRule>
  </conditionalFormatting>
  <conditionalFormatting sqref="N666:R666">
    <cfRule type="notContainsBlanks" dxfId="5444" priority="5639">
      <formula>LEN(TRIM(N666))&gt;0</formula>
    </cfRule>
  </conditionalFormatting>
  <conditionalFormatting sqref="N666:R666">
    <cfRule type="notContainsBlanks" dxfId="5443" priority="5638">
      <formula>LEN(TRIM(N666))&gt;0</formula>
    </cfRule>
  </conditionalFormatting>
  <conditionalFormatting sqref="N666:R666">
    <cfRule type="notContainsBlanks" dxfId="5442" priority="5637">
      <formula>LEN(TRIM(N666))&gt;0</formula>
    </cfRule>
  </conditionalFormatting>
  <conditionalFormatting sqref="N666:R666">
    <cfRule type="notContainsBlanks" dxfId="5441" priority="5636">
      <formula>LEN(TRIM(N666))&gt;0</formula>
    </cfRule>
  </conditionalFormatting>
  <conditionalFormatting sqref="N666:R666">
    <cfRule type="notContainsBlanks" dxfId="5440" priority="5635">
      <formula>LEN(TRIM(N666))&gt;0</formula>
    </cfRule>
  </conditionalFormatting>
  <conditionalFormatting sqref="N666:R666">
    <cfRule type="notContainsBlanks" dxfId="5439" priority="5634">
      <formula>LEN(TRIM(N666))&gt;0</formula>
    </cfRule>
  </conditionalFormatting>
  <conditionalFormatting sqref="N666:R666">
    <cfRule type="notContainsBlanks" dxfId="5438" priority="5633">
      <formula>LEN(TRIM(N666))&gt;0</formula>
    </cfRule>
  </conditionalFormatting>
  <conditionalFormatting sqref="N666:R666">
    <cfRule type="notContainsBlanks" priority="5632">
      <formula>LEN(TRIM(N666))&gt;0</formula>
    </cfRule>
  </conditionalFormatting>
  <conditionalFormatting sqref="N666:R666">
    <cfRule type="notContainsBlanks" dxfId="5437" priority="5631">
      <formula>LEN(TRIM(N666))&gt;0</formula>
    </cfRule>
  </conditionalFormatting>
  <conditionalFormatting sqref="N666:R666">
    <cfRule type="notContainsBlanks" dxfId="5436" priority="5630">
      <formula>LEN(TRIM(N666))&gt;0</formula>
    </cfRule>
  </conditionalFormatting>
  <conditionalFormatting sqref="N666:R666">
    <cfRule type="notContainsBlanks" dxfId="5435" priority="5629">
      <formula>LEN(TRIM(N666))&gt;0</formula>
    </cfRule>
  </conditionalFormatting>
  <conditionalFormatting sqref="N666:R666">
    <cfRule type="notContainsBlanks" dxfId="5434" priority="5628">
      <formula>LEN(TRIM(N666))&gt;0</formula>
    </cfRule>
  </conditionalFormatting>
  <conditionalFormatting sqref="N666:R666">
    <cfRule type="notContainsBlanks" dxfId="5433" priority="5627">
      <formula>LEN(TRIM(N666))&gt;0</formula>
    </cfRule>
  </conditionalFormatting>
  <conditionalFormatting sqref="N679:R679">
    <cfRule type="notContainsBlanks" dxfId="5432" priority="5626">
      <formula>LEN(TRIM(N679))&gt;0</formula>
    </cfRule>
  </conditionalFormatting>
  <conditionalFormatting sqref="N679:R679">
    <cfRule type="notContainsBlanks" dxfId="5431" priority="5625">
      <formula>LEN(TRIM(N679))&gt;0</formula>
    </cfRule>
  </conditionalFormatting>
  <conditionalFormatting sqref="N679:R679">
    <cfRule type="notContainsBlanks" dxfId="5430" priority="5624">
      <formula>LEN(TRIM(N679))&gt;0</formula>
    </cfRule>
  </conditionalFormatting>
  <conditionalFormatting sqref="N679:R679">
    <cfRule type="notContainsBlanks" dxfId="5429" priority="5623">
      <formula>LEN(TRIM(N679))&gt;0</formula>
    </cfRule>
  </conditionalFormatting>
  <conditionalFormatting sqref="N679:R679">
    <cfRule type="notContainsBlanks" dxfId="5428" priority="5622">
      <formula>LEN(TRIM(N679))&gt;0</formula>
    </cfRule>
  </conditionalFormatting>
  <conditionalFormatting sqref="N679:R679">
    <cfRule type="notContainsBlanks" dxfId="5427" priority="5621">
      <formula>LEN(TRIM(N679))&gt;0</formula>
    </cfRule>
  </conditionalFormatting>
  <conditionalFormatting sqref="N679:R679">
    <cfRule type="notContainsBlanks" dxfId="5426" priority="5620">
      <formula>LEN(TRIM(N679))&gt;0</formula>
    </cfRule>
  </conditionalFormatting>
  <conditionalFormatting sqref="N679:R679">
    <cfRule type="notContainsBlanks" dxfId="5425" priority="5619">
      <formula>LEN(TRIM(N679))&gt;0</formula>
    </cfRule>
  </conditionalFormatting>
  <conditionalFormatting sqref="N679:R679">
    <cfRule type="notContainsBlanks" dxfId="5424" priority="5618">
      <formula>LEN(TRIM(N679))&gt;0</formula>
    </cfRule>
  </conditionalFormatting>
  <conditionalFormatting sqref="N679:R679">
    <cfRule type="notContainsBlanks" dxfId="5423" priority="5616">
      <formula>LEN(TRIM(N679))&gt;0</formula>
    </cfRule>
    <cfRule type="notContainsBlanks" dxfId="5422" priority="5617">
      <formula>LEN(TRIM(N679))&gt;0</formula>
    </cfRule>
  </conditionalFormatting>
  <conditionalFormatting sqref="N679:R679">
    <cfRule type="notContainsBlanks" dxfId="5421" priority="5615">
      <formula>LEN(TRIM(N679))&gt;0</formula>
    </cfRule>
  </conditionalFormatting>
  <conditionalFormatting sqref="N679:R679">
    <cfRule type="notContainsBlanks" dxfId="5420" priority="5614">
      <formula>LEN(TRIM(N679))&gt;0</formula>
    </cfRule>
  </conditionalFormatting>
  <conditionalFormatting sqref="N679:R679">
    <cfRule type="notContainsBlanks" dxfId="5419" priority="5613">
      <formula>LEN(TRIM(N679))&gt;0</formula>
    </cfRule>
  </conditionalFormatting>
  <conditionalFormatting sqref="N679:R679">
    <cfRule type="notContainsBlanks" dxfId="5418" priority="5612">
      <formula>LEN(TRIM(N679))&gt;0</formula>
    </cfRule>
  </conditionalFormatting>
  <conditionalFormatting sqref="N679:R679">
    <cfRule type="notContainsBlanks" dxfId="5417" priority="5611">
      <formula>LEN(TRIM(N679))&gt;0</formula>
    </cfRule>
  </conditionalFormatting>
  <conditionalFormatting sqref="N679:R679">
    <cfRule type="notContainsBlanks" dxfId="5416" priority="5610">
      <formula>LEN(TRIM(N679))&gt;0</formula>
    </cfRule>
  </conditionalFormatting>
  <conditionalFormatting sqref="N679:R679">
    <cfRule type="notContainsBlanks" dxfId="5415" priority="5609">
      <formula>LEN(TRIM(N679))&gt;0</formula>
    </cfRule>
  </conditionalFormatting>
  <conditionalFormatting sqref="N679:R679">
    <cfRule type="notContainsBlanks" dxfId="5414" priority="5608">
      <formula>LEN(TRIM(N679))&gt;0</formula>
    </cfRule>
  </conditionalFormatting>
  <conditionalFormatting sqref="N679:R679">
    <cfRule type="notContainsBlanks" dxfId="5413" priority="5607">
      <formula>LEN(TRIM(N679))&gt;0</formula>
    </cfRule>
  </conditionalFormatting>
  <conditionalFormatting sqref="N679:R679">
    <cfRule type="notContainsBlanks" priority="5606">
      <formula>LEN(TRIM(N679))&gt;0</formula>
    </cfRule>
  </conditionalFormatting>
  <conditionalFormatting sqref="N679:R679">
    <cfRule type="notContainsBlanks" dxfId="5412" priority="5605">
      <formula>LEN(TRIM(N679))&gt;0</formula>
    </cfRule>
  </conditionalFormatting>
  <conditionalFormatting sqref="N679:R679">
    <cfRule type="notContainsBlanks" dxfId="5411" priority="5604">
      <formula>LEN(TRIM(N679))&gt;0</formula>
    </cfRule>
  </conditionalFormatting>
  <conditionalFormatting sqref="N679:R679">
    <cfRule type="notContainsBlanks" dxfId="5410" priority="5603">
      <formula>LEN(TRIM(N679))&gt;0</formula>
    </cfRule>
  </conditionalFormatting>
  <conditionalFormatting sqref="N679:R679">
    <cfRule type="notContainsBlanks" dxfId="5409" priority="5602">
      <formula>LEN(TRIM(N679))&gt;0</formula>
    </cfRule>
  </conditionalFormatting>
  <conditionalFormatting sqref="N679:R679">
    <cfRule type="notContainsBlanks" dxfId="5408" priority="5601">
      <formula>LEN(TRIM(N679))&gt;0</formula>
    </cfRule>
  </conditionalFormatting>
  <conditionalFormatting sqref="N692:R692">
    <cfRule type="notContainsBlanks" dxfId="5407" priority="5600">
      <formula>LEN(TRIM(N692))&gt;0</formula>
    </cfRule>
  </conditionalFormatting>
  <conditionalFormatting sqref="N692:R692">
    <cfRule type="notContainsBlanks" dxfId="5406" priority="5599">
      <formula>LEN(TRIM(N692))&gt;0</formula>
    </cfRule>
  </conditionalFormatting>
  <conditionalFormatting sqref="N692:R692">
    <cfRule type="notContainsBlanks" dxfId="5405" priority="5598">
      <formula>LEN(TRIM(N692))&gt;0</formula>
    </cfRule>
  </conditionalFormatting>
  <conditionalFormatting sqref="N692:R692">
    <cfRule type="notContainsBlanks" dxfId="5404" priority="5597">
      <formula>LEN(TRIM(N692))&gt;0</formula>
    </cfRule>
  </conditionalFormatting>
  <conditionalFormatting sqref="N692:R692">
    <cfRule type="notContainsBlanks" dxfId="5403" priority="5596">
      <formula>LEN(TRIM(N692))&gt;0</formula>
    </cfRule>
  </conditionalFormatting>
  <conditionalFormatting sqref="N692:R692">
    <cfRule type="notContainsBlanks" dxfId="5402" priority="5595">
      <formula>LEN(TRIM(N692))&gt;0</formula>
    </cfRule>
  </conditionalFormatting>
  <conditionalFormatting sqref="N692:R692">
    <cfRule type="notContainsBlanks" dxfId="5401" priority="5594">
      <formula>LEN(TRIM(N692))&gt;0</formula>
    </cfRule>
  </conditionalFormatting>
  <conditionalFormatting sqref="N692:R692">
    <cfRule type="notContainsBlanks" dxfId="5400" priority="5593">
      <formula>LEN(TRIM(N692))&gt;0</formula>
    </cfRule>
  </conditionalFormatting>
  <conditionalFormatting sqref="N692:R692">
    <cfRule type="notContainsBlanks" dxfId="5399" priority="5592">
      <formula>LEN(TRIM(N692))&gt;0</formula>
    </cfRule>
  </conditionalFormatting>
  <conditionalFormatting sqref="N692:R692">
    <cfRule type="notContainsBlanks" dxfId="5398" priority="5590">
      <formula>LEN(TRIM(N692))&gt;0</formula>
    </cfRule>
    <cfRule type="notContainsBlanks" dxfId="5397" priority="5591">
      <formula>LEN(TRIM(N692))&gt;0</formula>
    </cfRule>
  </conditionalFormatting>
  <conditionalFormatting sqref="N692:R692">
    <cfRule type="notContainsBlanks" dxfId="5396" priority="5589">
      <formula>LEN(TRIM(N692))&gt;0</formula>
    </cfRule>
  </conditionalFormatting>
  <conditionalFormatting sqref="N692:R692">
    <cfRule type="notContainsBlanks" dxfId="5395" priority="5588">
      <formula>LEN(TRIM(N692))&gt;0</formula>
    </cfRule>
  </conditionalFormatting>
  <conditionalFormatting sqref="N692:R692">
    <cfRule type="notContainsBlanks" dxfId="5394" priority="5587">
      <formula>LEN(TRIM(N692))&gt;0</formula>
    </cfRule>
  </conditionalFormatting>
  <conditionalFormatting sqref="N692:R692">
    <cfRule type="notContainsBlanks" dxfId="5393" priority="5586">
      <formula>LEN(TRIM(N692))&gt;0</formula>
    </cfRule>
  </conditionalFormatting>
  <conditionalFormatting sqref="N692:R692">
    <cfRule type="notContainsBlanks" dxfId="5392" priority="5585">
      <formula>LEN(TRIM(N692))&gt;0</formula>
    </cfRule>
  </conditionalFormatting>
  <conditionalFormatting sqref="N692:R692">
    <cfRule type="notContainsBlanks" dxfId="5391" priority="5584">
      <formula>LEN(TRIM(N692))&gt;0</formula>
    </cfRule>
  </conditionalFormatting>
  <conditionalFormatting sqref="N692:R692">
    <cfRule type="notContainsBlanks" dxfId="5390" priority="5583">
      <formula>LEN(TRIM(N692))&gt;0</formula>
    </cfRule>
  </conditionalFormatting>
  <conditionalFormatting sqref="N692:R692">
    <cfRule type="notContainsBlanks" dxfId="5389" priority="5582">
      <formula>LEN(TRIM(N692))&gt;0</formula>
    </cfRule>
  </conditionalFormatting>
  <conditionalFormatting sqref="N692:R692">
    <cfRule type="notContainsBlanks" dxfId="5388" priority="5581">
      <formula>LEN(TRIM(N692))&gt;0</formula>
    </cfRule>
  </conditionalFormatting>
  <conditionalFormatting sqref="N692:R692">
    <cfRule type="notContainsBlanks" priority="5580">
      <formula>LEN(TRIM(N692))&gt;0</formula>
    </cfRule>
  </conditionalFormatting>
  <conditionalFormatting sqref="N692:R692">
    <cfRule type="notContainsBlanks" dxfId="5387" priority="5579">
      <formula>LEN(TRIM(N692))&gt;0</formula>
    </cfRule>
  </conditionalFormatting>
  <conditionalFormatting sqref="N692:R692">
    <cfRule type="notContainsBlanks" dxfId="5386" priority="5578">
      <formula>LEN(TRIM(N692))&gt;0</formula>
    </cfRule>
  </conditionalFormatting>
  <conditionalFormatting sqref="N692:R692">
    <cfRule type="notContainsBlanks" dxfId="5385" priority="5577">
      <formula>LEN(TRIM(N692))&gt;0</formula>
    </cfRule>
  </conditionalFormatting>
  <conditionalFormatting sqref="N692:R692">
    <cfRule type="notContainsBlanks" dxfId="5384" priority="5576">
      <formula>LEN(TRIM(N692))&gt;0</formula>
    </cfRule>
  </conditionalFormatting>
  <conditionalFormatting sqref="N692:R692">
    <cfRule type="notContainsBlanks" dxfId="5383" priority="5575">
      <formula>LEN(TRIM(N692))&gt;0</formula>
    </cfRule>
  </conditionalFormatting>
  <conditionalFormatting sqref="N705:R705">
    <cfRule type="notContainsBlanks" dxfId="5382" priority="5574">
      <formula>LEN(TRIM(N705))&gt;0</formula>
    </cfRule>
  </conditionalFormatting>
  <conditionalFormatting sqref="N705:R705">
    <cfRule type="notContainsBlanks" dxfId="5381" priority="5573">
      <formula>LEN(TRIM(N705))&gt;0</formula>
    </cfRule>
  </conditionalFormatting>
  <conditionalFormatting sqref="N705:R705">
    <cfRule type="notContainsBlanks" dxfId="5380" priority="5572">
      <formula>LEN(TRIM(N705))&gt;0</formula>
    </cfRule>
  </conditionalFormatting>
  <conditionalFormatting sqref="N705:R705">
    <cfRule type="notContainsBlanks" dxfId="5379" priority="5571">
      <formula>LEN(TRIM(N705))&gt;0</formula>
    </cfRule>
  </conditionalFormatting>
  <conditionalFormatting sqref="N705:R705">
    <cfRule type="notContainsBlanks" dxfId="5378" priority="5570">
      <formula>LEN(TRIM(N705))&gt;0</formula>
    </cfRule>
  </conditionalFormatting>
  <conditionalFormatting sqref="N705:R705">
    <cfRule type="notContainsBlanks" dxfId="5377" priority="5569">
      <formula>LEN(TRIM(N705))&gt;0</formula>
    </cfRule>
  </conditionalFormatting>
  <conditionalFormatting sqref="N705:R705">
    <cfRule type="notContainsBlanks" dxfId="5376" priority="5568">
      <formula>LEN(TRIM(N705))&gt;0</formula>
    </cfRule>
  </conditionalFormatting>
  <conditionalFormatting sqref="N705:R705">
    <cfRule type="notContainsBlanks" dxfId="5375" priority="5567">
      <formula>LEN(TRIM(N705))&gt;0</formula>
    </cfRule>
  </conditionalFormatting>
  <conditionalFormatting sqref="N705:R705">
    <cfRule type="notContainsBlanks" dxfId="5374" priority="5566">
      <formula>LEN(TRIM(N705))&gt;0</formula>
    </cfRule>
  </conditionalFormatting>
  <conditionalFormatting sqref="N705:R705">
    <cfRule type="notContainsBlanks" dxfId="5373" priority="5564">
      <formula>LEN(TRIM(N705))&gt;0</formula>
    </cfRule>
    <cfRule type="notContainsBlanks" dxfId="5372" priority="5565">
      <formula>LEN(TRIM(N705))&gt;0</formula>
    </cfRule>
  </conditionalFormatting>
  <conditionalFormatting sqref="N705:R705">
    <cfRule type="notContainsBlanks" dxfId="5371" priority="5563">
      <formula>LEN(TRIM(N705))&gt;0</formula>
    </cfRule>
  </conditionalFormatting>
  <conditionalFormatting sqref="N705:R705">
    <cfRule type="notContainsBlanks" dxfId="5370" priority="5562">
      <formula>LEN(TRIM(N705))&gt;0</formula>
    </cfRule>
  </conditionalFormatting>
  <conditionalFormatting sqref="N705:R705">
    <cfRule type="notContainsBlanks" dxfId="5369" priority="5561">
      <formula>LEN(TRIM(N705))&gt;0</formula>
    </cfRule>
  </conditionalFormatting>
  <conditionalFormatting sqref="N705:R705">
    <cfRule type="notContainsBlanks" dxfId="5368" priority="5560">
      <formula>LEN(TRIM(N705))&gt;0</formula>
    </cfRule>
  </conditionalFormatting>
  <conditionalFormatting sqref="N705:R705">
    <cfRule type="notContainsBlanks" dxfId="5367" priority="5559">
      <formula>LEN(TRIM(N705))&gt;0</formula>
    </cfRule>
  </conditionalFormatting>
  <conditionalFormatting sqref="N705:R705">
    <cfRule type="notContainsBlanks" dxfId="5366" priority="5558">
      <formula>LEN(TRIM(N705))&gt;0</formula>
    </cfRule>
  </conditionalFormatting>
  <conditionalFormatting sqref="N705:R705">
    <cfRule type="notContainsBlanks" dxfId="5365" priority="5557">
      <formula>LEN(TRIM(N705))&gt;0</formula>
    </cfRule>
  </conditionalFormatting>
  <conditionalFormatting sqref="N705:R705">
    <cfRule type="notContainsBlanks" dxfId="5364" priority="5556">
      <formula>LEN(TRIM(N705))&gt;0</formula>
    </cfRule>
  </conditionalFormatting>
  <conditionalFormatting sqref="N705:R705">
    <cfRule type="notContainsBlanks" dxfId="5363" priority="5555">
      <formula>LEN(TRIM(N705))&gt;0</formula>
    </cfRule>
  </conditionalFormatting>
  <conditionalFormatting sqref="N705:R705">
    <cfRule type="notContainsBlanks" priority="5554">
      <formula>LEN(TRIM(N705))&gt;0</formula>
    </cfRule>
  </conditionalFormatting>
  <conditionalFormatting sqref="N705:R705">
    <cfRule type="notContainsBlanks" dxfId="5362" priority="5553">
      <formula>LEN(TRIM(N705))&gt;0</formula>
    </cfRule>
  </conditionalFormatting>
  <conditionalFormatting sqref="N705:R705">
    <cfRule type="notContainsBlanks" dxfId="5361" priority="5552">
      <formula>LEN(TRIM(N705))&gt;0</formula>
    </cfRule>
  </conditionalFormatting>
  <conditionalFormatting sqref="N705:R705">
    <cfRule type="notContainsBlanks" dxfId="5360" priority="5551">
      <formula>LEN(TRIM(N705))&gt;0</formula>
    </cfRule>
  </conditionalFormatting>
  <conditionalFormatting sqref="N705:R705">
    <cfRule type="notContainsBlanks" dxfId="5359" priority="5550">
      <formula>LEN(TRIM(N705))&gt;0</formula>
    </cfRule>
  </conditionalFormatting>
  <conditionalFormatting sqref="N705:R705">
    <cfRule type="notContainsBlanks" dxfId="5358" priority="5549">
      <formula>LEN(TRIM(N705))&gt;0</formula>
    </cfRule>
  </conditionalFormatting>
  <conditionalFormatting sqref="N718:R718">
    <cfRule type="notContainsBlanks" dxfId="5357" priority="5548">
      <formula>LEN(TRIM(N718))&gt;0</formula>
    </cfRule>
  </conditionalFormatting>
  <conditionalFormatting sqref="N718:R718">
    <cfRule type="notContainsBlanks" dxfId="5356" priority="5547">
      <formula>LEN(TRIM(N718))&gt;0</formula>
    </cfRule>
  </conditionalFormatting>
  <conditionalFormatting sqref="N718:R718">
    <cfRule type="notContainsBlanks" dxfId="5355" priority="5546">
      <formula>LEN(TRIM(N718))&gt;0</formula>
    </cfRule>
  </conditionalFormatting>
  <conditionalFormatting sqref="N718:R718">
    <cfRule type="notContainsBlanks" dxfId="5354" priority="5545">
      <formula>LEN(TRIM(N718))&gt;0</formula>
    </cfRule>
  </conditionalFormatting>
  <conditionalFormatting sqref="N718:R718">
    <cfRule type="notContainsBlanks" dxfId="5353" priority="5544">
      <formula>LEN(TRIM(N718))&gt;0</formula>
    </cfRule>
  </conditionalFormatting>
  <conditionalFormatting sqref="N718:R718">
    <cfRule type="notContainsBlanks" dxfId="5352" priority="5543">
      <formula>LEN(TRIM(N718))&gt;0</formula>
    </cfRule>
  </conditionalFormatting>
  <conditionalFormatting sqref="N718:R718">
    <cfRule type="notContainsBlanks" dxfId="5351" priority="5542">
      <formula>LEN(TRIM(N718))&gt;0</formula>
    </cfRule>
  </conditionalFormatting>
  <conditionalFormatting sqref="N718:R718">
    <cfRule type="notContainsBlanks" dxfId="5350" priority="5541">
      <formula>LEN(TRIM(N718))&gt;0</formula>
    </cfRule>
  </conditionalFormatting>
  <conditionalFormatting sqref="N718:R718">
    <cfRule type="notContainsBlanks" dxfId="5349" priority="5540">
      <formula>LEN(TRIM(N718))&gt;0</formula>
    </cfRule>
  </conditionalFormatting>
  <conditionalFormatting sqref="N718:R718">
    <cfRule type="notContainsBlanks" dxfId="5348" priority="5538">
      <formula>LEN(TRIM(N718))&gt;0</formula>
    </cfRule>
    <cfRule type="notContainsBlanks" dxfId="5347" priority="5539">
      <formula>LEN(TRIM(N718))&gt;0</formula>
    </cfRule>
  </conditionalFormatting>
  <conditionalFormatting sqref="N718:R718">
    <cfRule type="notContainsBlanks" dxfId="5346" priority="5537">
      <formula>LEN(TRIM(N718))&gt;0</formula>
    </cfRule>
  </conditionalFormatting>
  <conditionalFormatting sqref="N718:R718">
    <cfRule type="notContainsBlanks" dxfId="5345" priority="5536">
      <formula>LEN(TRIM(N718))&gt;0</formula>
    </cfRule>
  </conditionalFormatting>
  <conditionalFormatting sqref="N718:R718">
    <cfRule type="notContainsBlanks" dxfId="5344" priority="5535">
      <formula>LEN(TRIM(N718))&gt;0</formula>
    </cfRule>
  </conditionalFormatting>
  <conditionalFormatting sqref="N718:R718">
    <cfRule type="notContainsBlanks" dxfId="5343" priority="5534">
      <formula>LEN(TRIM(N718))&gt;0</formula>
    </cfRule>
  </conditionalFormatting>
  <conditionalFormatting sqref="N718:R718">
    <cfRule type="notContainsBlanks" dxfId="5342" priority="5533">
      <formula>LEN(TRIM(N718))&gt;0</formula>
    </cfRule>
  </conditionalFormatting>
  <conditionalFormatting sqref="N718:R718">
    <cfRule type="notContainsBlanks" dxfId="5341" priority="5532">
      <formula>LEN(TRIM(N718))&gt;0</formula>
    </cfRule>
  </conditionalFormatting>
  <conditionalFormatting sqref="N718:R718">
    <cfRule type="notContainsBlanks" dxfId="5340" priority="5531">
      <formula>LEN(TRIM(N718))&gt;0</formula>
    </cfRule>
  </conditionalFormatting>
  <conditionalFormatting sqref="N718:R718">
    <cfRule type="notContainsBlanks" dxfId="5339" priority="5530">
      <formula>LEN(TRIM(N718))&gt;0</formula>
    </cfRule>
  </conditionalFormatting>
  <conditionalFormatting sqref="N718:R718">
    <cfRule type="notContainsBlanks" dxfId="5338" priority="5529">
      <formula>LEN(TRIM(N718))&gt;0</formula>
    </cfRule>
  </conditionalFormatting>
  <conditionalFormatting sqref="N718:R718">
    <cfRule type="notContainsBlanks" priority="5528">
      <formula>LEN(TRIM(N718))&gt;0</formula>
    </cfRule>
  </conditionalFormatting>
  <conditionalFormatting sqref="N718:R718">
    <cfRule type="notContainsBlanks" dxfId="5337" priority="5527">
      <formula>LEN(TRIM(N718))&gt;0</formula>
    </cfRule>
  </conditionalFormatting>
  <conditionalFormatting sqref="N718:R718">
    <cfRule type="notContainsBlanks" dxfId="5336" priority="5526">
      <formula>LEN(TRIM(N718))&gt;0</formula>
    </cfRule>
  </conditionalFormatting>
  <conditionalFormatting sqref="N718:R718">
    <cfRule type="notContainsBlanks" dxfId="5335" priority="5525">
      <formula>LEN(TRIM(N718))&gt;0</formula>
    </cfRule>
  </conditionalFormatting>
  <conditionalFormatting sqref="N718:R718">
    <cfRule type="notContainsBlanks" dxfId="5334" priority="5524">
      <formula>LEN(TRIM(N718))&gt;0</formula>
    </cfRule>
  </conditionalFormatting>
  <conditionalFormatting sqref="N718:R718">
    <cfRule type="notContainsBlanks" dxfId="5333" priority="5523">
      <formula>LEN(TRIM(N718))&gt;0</formula>
    </cfRule>
  </conditionalFormatting>
  <conditionalFormatting sqref="N731:R731">
    <cfRule type="notContainsBlanks" dxfId="5332" priority="5522">
      <formula>LEN(TRIM(N731))&gt;0</formula>
    </cfRule>
  </conditionalFormatting>
  <conditionalFormatting sqref="N731:R731">
    <cfRule type="notContainsBlanks" dxfId="5331" priority="5521">
      <formula>LEN(TRIM(N731))&gt;0</formula>
    </cfRule>
  </conditionalFormatting>
  <conditionalFormatting sqref="N731:R731">
    <cfRule type="notContainsBlanks" dxfId="5330" priority="5520">
      <formula>LEN(TRIM(N731))&gt;0</formula>
    </cfRule>
  </conditionalFormatting>
  <conditionalFormatting sqref="N731:R731">
    <cfRule type="notContainsBlanks" dxfId="5329" priority="5519">
      <formula>LEN(TRIM(N731))&gt;0</formula>
    </cfRule>
  </conditionalFormatting>
  <conditionalFormatting sqref="N731:R731">
    <cfRule type="notContainsBlanks" dxfId="5328" priority="5518">
      <formula>LEN(TRIM(N731))&gt;0</formula>
    </cfRule>
  </conditionalFormatting>
  <conditionalFormatting sqref="N731:R731">
    <cfRule type="notContainsBlanks" dxfId="5327" priority="5517">
      <formula>LEN(TRIM(N731))&gt;0</formula>
    </cfRule>
  </conditionalFormatting>
  <conditionalFormatting sqref="N731:R731">
    <cfRule type="notContainsBlanks" dxfId="5326" priority="5516">
      <formula>LEN(TRIM(N731))&gt;0</formula>
    </cfRule>
  </conditionalFormatting>
  <conditionalFormatting sqref="N731:R731">
    <cfRule type="notContainsBlanks" dxfId="5325" priority="5515">
      <formula>LEN(TRIM(N731))&gt;0</formula>
    </cfRule>
  </conditionalFormatting>
  <conditionalFormatting sqref="N731:R731">
    <cfRule type="notContainsBlanks" dxfId="5324" priority="5514">
      <formula>LEN(TRIM(N731))&gt;0</formula>
    </cfRule>
  </conditionalFormatting>
  <conditionalFormatting sqref="N731:R731">
    <cfRule type="notContainsBlanks" dxfId="5323" priority="5512">
      <formula>LEN(TRIM(N731))&gt;0</formula>
    </cfRule>
    <cfRule type="notContainsBlanks" dxfId="5322" priority="5513">
      <formula>LEN(TRIM(N731))&gt;0</formula>
    </cfRule>
  </conditionalFormatting>
  <conditionalFormatting sqref="N731:R731">
    <cfRule type="notContainsBlanks" dxfId="5321" priority="5511">
      <formula>LEN(TRIM(N731))&gt;0</formula>
    </cfRule>
  </conditionalFormatting>
  <conditionalFormatting sqref="N731:R731">
    <cfRule type="notContainsBlanks" dxfId="5320" priority="5510">
      <formula>LEN(TRIM(N731))&gt;0</formula>
    </cfRule>
  </conditionalFormatting>
  <conditionalFormatting sqref="N731:R731">
    <cfRule type="notContainsBlanks" dxfId="5319" priority="5509">
      <formula>LEN(TRIM(N731))&gt;0</formula>
    </cfRule>
  </conditionalFormatting>
  <conditionalFormatting sqref="N731:R731">
    <cfRule type="notContainsBlanks" dxfId="5318" priority="5508">
      <formula>LEN(TRIM(N731))&gt;0</formula>
    </cfRule>
  </conditionalFormatting>
  <conditionalFormatting sqref="N731:R731">
    <cfRule type="notContainsBlanks" dxfId="5317" priority="5507">
      <formula>LEN(TRIM(N731))&gt;0</formula>
    </cfRule>
  </conditionalFormatting>
  <conditionalFormatting sqref="N731:R731">
    <cfRule type="notContainsBlanks" dxfId="5316" priority="5506">
      <formula>LEN(TRIM(N731))&gt;0</formula>
    </cfRule>
  </conditionalFormatting>
  <conditionalFormatting sqref="N731:R731">
    <cfRule type="notContainsBlanks" dxfId="5315" priority="5505">
      <formula>LEN(TRIM(N731))&gt;0</formula>
    </cfRule>
  </conditionalFormatting>
  <conditionalFormatting sqref="N731:R731">
    <cfRule type="notContainsBlanks" dxfId="5314" priority="5504">
      <formula>LEN(TRIM(N731))&gt;0</formula>
    </cfRule>
  </conditionalFormatting>
  <conditionalFormatting sqref="N731:R731">
    <cfRule type="notContainsBlanks" dxfId="5313" priority="5503">
      <formula>LEN(TRIM(N731))&gt;0</formula>
    </cfRule>
  </conditionalFormatting>
  <conditionalFormatting sqref="N731:R731">
    <cfRule type="notContainsBlanks" priority="5502">
      <formula>LEN(TRIM(N731))&gt;0</formula>
    </cfRule>
  </conditionalFormatting>
  <conditionalFormatting sqref="N731:R731">
    <cfRule type="notContainsBlanks" dxfId="5312" priority="5501">
      <formula>LEN(TRIM(N731))&gt;0</formula>
    </cfRule>
  </conditionalFormatting>
  <conditionalFormatting sqref="N731:R731">
    <cfRule type="notContainsBlanks" dxfId="5311" priority="5500">
      <formula>LEN(TRIM(N731))&gt;0</formula>
    </cfRule>
  </conditionalFormatting>
  <conditionalFormatting sqref="N731:R731">
    <cfRule type="notContainsBlanks" dxfId="5310" priority="5499">
      <formula>LEN(TRIM(N731))&gt;0</formula>
    </cfRule>
  </conditionalFormatting>
  <conditionalFormatting sqref="N731:R731">
    <cfRule type="notContainsBlanks" dxfId="5309" priority="5498">
      <formula>LEN(TRIM(N731))&gt;0</formula>
    </cfRule>
  </conditionalFormatting>
  <conditionalFormatting sqref="N731:R731">
    <cfRule type="notContainsBlanks" dxfId="5308" priority="5497">
      <formula>LEN(TRIM(N731))&gt;0</formula>
    </cfRule>
  </conditionalFormatting>
  <conditionalFormatting sqref="N744:R744">
    <cfRule type="notContainsBlanks" dxfId="5307" priority="5496">
      <formula>LEN(TRIM(N744))&gt;0</formula>
    </cfRule>
  </conditionalFormatting>
  <conditionalFormatting sqref="N744:R744">
    <cfRule type="notContainsBlanks" dxfId="5306" priority="5495">
      <formula>LEN(TRIM(N744))&gt;0</formula>
    </cfRule>
  </conditionalFormatting>
  <conditionalFormatting sqref="N744:R744">
    <cfRule type="notContainsBlanks" dxfId="5305" priority="5494">
      <formula>LEN(TRIM(N744))&gt;0</formula>
    </cfRule>
  </conditionalFormatting>
  <conditionalFormatting sqref="N744:R744">
    <cfRule type="notContainsBlanks" dxfId="5304" priority="5493">
      <formula>LEN(TRIM(N744))&gt;0</formula>
    </cfRule>
  </conditionalFormatting>
  <conditionalFormatting sqref="N744:R744">
    <cfRule type="notContainsBlanks" dxfId="5303" priority="5492">
      <formula>LEN(TRIM(N744))&gt;0</formula>
    </cfRule>
  </conditionalFormatting>
  <conditionalFormatting sqref="N744:R744">
    <cfRule type="notContainsBlanks" dxfId="5302" priority="5491">
      <formula>LEN(TRIM(N744))&gt;0</formula>
    </cfRule>
  </conditionalFormatting>
  <conditionalFormatting sqref="N744:R744">
    <cfRule type="notContainsBlanks" dxfId="5301" priority="5490">
      <formula>LEN(TRIM(N744))&gt;0</formula>
    </cfRule>
  </conditionalFormatting>
  <conditionalFormatting sqref="N744:R744">
    <cfRule type="notContainsBlanks" dxfId="5300" priority="5489">
      <formula>LEN(TRIM(N744))&gt;0</formula>
    </cfRule>
  </conditionalFormatting>
  <conditionalFormatting sqref="N744:R744">
    <cfRule type="notContainsBlanks" dxfId="5299" priority="5488">
      <formula>LEN(TRIM(N744))&gt;0</formula>
    </cfRule>
  </conditionalFormatting>
  <conditionalFormatting sqref="N744:R744">
    <cfRule type="notContainsBlanks" dxfId="5298" priority="5486">
      <formula>LEN(TRIM(N744))&gt;0</formula>
    </cfRule>
    <cfRule type="notContainsBlanks" dxfId="5297" priority="5487">
      <formula>LEN(TRIM(N744))&gt;0</formula>
    </cfRule>
  </conditionalFormatting>
  <conditionalFormatting sqref="N744:R744">
    <cfRule type="notContainsBlanks" dxfId="5296" priority="5485">
      <formula>LEN(TRIM(N744))&gt;0</formula>
    </cfRule>
  </conditionalFormatting>
  <conditionalFormatting sqref="N744:R744">
    <cfRule type="notContainsBlanks" dxfId="5295" priority="5484">
      <formula>LEN(TRIM(N744))&gt;0</formula>
    </cfRule>
  </conditionalFormatting>
  <conditionalFormatting sqref="N744:R744">
    <cfRule type="notContainsBlanks" dxfId="5294" priority="5483">
      <formula>LEN(TRIM(N744))&gt;0</formula>
    </cfRule>
  </conditionalFormatting>
  <conditionalFormatting sqref="N744:R744">
    <cfRule type="notContainsBlanks" dxfId="5293" priority="5482">
      <formula>LEN(TRIM(N744))&gt;0</formula>
    </cfRule>
  </conditionalFormatting>
  <conditionalFormatting sqref="N744:R744">
    <cfRule type="notContainsBlanks" dxfId="5292" priority="5481">
      <formula>LEN(TRIM(N744))&gt;0</formula>
    </cfRule>
  </conditionalFormatting>
  <conditionalFormatting sqref="N744:R744">
    <cfRule type="notContainsBlanks" dxfId="5291" priority="5480">
      <formula>LEN(TRIM(N744))&gt;0</formula>
    </cfRule>
  </conditionalFormatting>
  <conditionalFormatting sqref="N744:R744">
    <cfRule type="notContainsBlanks" dxfId="5290" priority="5479">
      <formula>LEN(TRIM(N744))&gt;0</formula>
    </cfRule>
  </conditionalFormatting>
  <conditionalFormatting sqref="N744:R744">
    <cfRule type="notContainsBlanks" dxfId="5289" priority="5478">
      <formula>LEN(TRIM(N744))&gt;0</formula>
    </cfRule>
  </conditionalFormatting>
  <conditionalFormatting sqref="N744:R744">
    <cfRule type="notContainsBlanks" dxfId="5288" priority="5477">
      <formula>LEN(TRIM(N744))&gt;0</formula>
    </cfRule>
  </conditionalFormatting>
  <conditionalFormatting sqref="N744:R744">
    <cfRule type="notContainsBlanks" priority="5476">
      <formula>LEN(TRIM(N744))&gt;0</formula>
    </cfRule>
  </conditionalFormatting>
  <conditionalFormatting sqref="N744:R744">
    <cfRule type="notContainsBlanks" dxfId="5287" priority="5475">
      <formula>LEN(TRIM(N744))&gt;0</formula>
    </cfRule>
  </conditionalFormatting>
  <conditionalFormatting sqref="N744:R744">
    <cfRule type="notContainsBlanks" dxfId="5286" priority="5474">
      <formula>LEN(TRIM(N744))&gt;0</formula>
    </cfRule>
  </conditionalFormatting>
  <conditionalFormatting sqref="N744:R744">
    <cfRule type="notContainsBlanks" dxfId="5285" priority="5473">
      <formula>LEN(TRIM(N744))&gt;0</formula>
    </cfRule>
  </conditionalFormatting>
  <conditionalFormatting sqref="N744:R744">
    <cfRule type="notContainsBlanks" dxfId="5284" priority="5472">
      <formula>LEN(TRIM(N744))&gt;0</formula>
    </cfRule>
  </conditionalFormatting>
  <conditionalFormatting sqref="N744:R744">
    <cfRule type="notContainsBlanks" dxfId="5283" priority="5471">
      <formula>LEN(TRIM(N744))&gt;0</formula>
    </cfRule>
  </conditionalFormatting>
  <conditionalFormatting sqref="N757:R757">
    <cfRule type="notContainsBlanks" dxfId="5282" priority="5470">
      <formula>LEN(TRIM(N757))&gt;0</formula>
    </cfRule>
  </conditionalFormatting>
  <conditionalFormatting sqref="N757:R757">
    <cfRule type="notContainsBlanks" dxfId="5281" priority="5469">
      <formula>LEN(TRIM(N757))&gt;0</formula>
    </cfRule>
  </conditionalFormatting>
  <conditionalFormatting sqref="N757:R757">
    <cfRule type="notContainsBlanks" dxfId="5280" priority="5468">
      <formula>LEN(TRIM(N757))&gt;0</formula>
    </cfRule>
  </conditionalFormatting>
  <conditionalFormatting sqref="N757:R757">
    <cfRule type="notContainsBlanks" dxfId="5279" priority="5467">
      <formula>LEN(TRIM(N757))&gt;0</formula>
    </cfRule>
  </conditionalFormatting>
  <conditionalFormatting sqref="N757:R757">
    <cfRule type="notContainsBlanks" dxfId="5278" priority="5466">
      <formula>LEN(TRIM(N757))&gt;0</formula>
    </cfRule>
  </conditionalFormatting>
  <conditionalFormatting sqref="N757:R757">
    <cfRule type="notContainsBlanks" dxfId="5277" priority="5465">
      <formula>LEN(TRIM(N757))&gt;0</formula>
    </cfRule>
  </conditionalFormatting>
  <conditionalFormatting sqref="N757:R757">
    <cfRule type="notContainsBlanks" dxfId="5276" priority="5464">
      <formula>LEN(TRIM(N757))&gt;0</formula>
    </cfRule>
  </conditionalFormatting>
  <conditionalFormatting sqref="N757:R757">
    <cfRule type="notContainsBlanks" dxfId="5275" priority="5463">
      <formula>LEN(TRIM(N757))&gt;0</formula>
    </cfRule>
  </conditionalFormatting>
  <conditionalFormatting sqref="N757:R757">
    <cfRule type="notContainsBlanks" dxfId="5274" priority="5462">
      <formula>LEN(TRIM(N757))&gt;0</formula>
    </cfRule>
  </conditionalFormatting>
  <conditionalFormatting sqref="N757:R757">
    <cfRule type="notContainsBlanks" dxfId="5273" priority="5460">
      <formula>LEN(TRIM(N757))&gt;0</formula>
    </cfRule>
    <cfRule type="notContainsBlanks" dxfId="5272" priority="5461">
      <formula>LEN(TRIM(N757))&gt;0</formula>
    </cfRule>
  </conditionalFormatting>
  <conditionalFormatting sqref="N757:R757">
    <cfRule type="notContainsBlanks" dxfId="5271" priority="5459">
      <formula>LEN(TRIM(N757))&gt;0</formula>
    </cfRule>
  </conditionalFormatting>
  <conditionalFormatting sqref="N757:R757">
    <cfRule type="notContainsBlanks" dxfId="5270" priority="5458">
      <formula>LEN(TRIM(N757))&gt;0</formula>
    </cfRule>
  </conditionalFormatting>
  <conditionalFormatting sqref="N757:R757">
    <cfRule type="notContainsBlanks" dxfId="5269" priority="5457">
      <formula>LEN(TRIM(N757))&gt;0</formula>
    </cfRule>
  </conditionalFormatting>
  <conditionalFormatting sqref="N757:R757">
    <cfRule type="notContainsBlanks" dxfId="5268" priority="5456">
      <formula>LEN(TRIM(N757))&gt;0</formula>
    </cfRule>
  </conditionalFormatting>
  <conditionalFormatting sqref="N757:R757">
    <cfRule type="notContainsBlanks" dxfId="5267" priority="5455">
      <formula>LEN(TRIM(N757))&gt;0</formula>
    </cfRule>
  </conditionalFormatting>
  <conditionalFormatting sqref="N757:R757">
    <cfRule type="notContainsBlanks" dxfId="5266" priority="5454">
      <formula>LEN(TRIM(N757))&gt;0</formula>
    </cfRule>
  </conditionalFormatting>
  <conditionalFormatting sqref="N757:R757">
    <cfRule type="notContainsBlanks" dxfId="5265" priority="5453">
      <formula>LEN(TRIM(N757))&gt;0</formula>
    </cfRule>
  </conditionalFormatting>
  <conditionalFormatting sqref="N757:R757">
    <cfRule type="notContainsBlanks" dxfId="5264" priority="5452">
      <formula>LEN(TRIM(N757))&gt;0</formula>
    </cfRule>
  </conditionalFormatting>
  <conditionalFormatting sqref="N757:R757">
    <cfRule type="notContainsBlanks" dxfId="5263" priority="5451">
      <formula>LEN(TRIM(N757))&gt;0</formula>
    </cfRule>
  </conditionalFormatting>
  <conditionalFormatting sqref="N757:R757">
    <cfRule type="notContainsBlanks" priority="5450">
      <formula>LEN(TRIM(N757))&gt;0</formula>
    </cfRule>
  </conditionalFormatting>
  <conditionalFormatting sqref="N757:R757">
    <cfRule type="notContainsBlanks" dxfId="5262" priority="5449">
      <formula>LEN(TRIM(N757))&gt;0</formula>
    </cfRule>
  </conditionalFormatting>
  <conditionalFormatting sqref="N757:R757">
    <cfRule type="notContainsBlanks" dxfId="5261" priority="5448">
      <formula>LEN(TRIM(N757))&gt;0</formula>
    </cfRule>
  </conditionalFormatting>
  <conditionalFormatting sqref="N757:R757">
    <cfRule type="notContainsBlanks" dxfId="5260" priority="5447">
      <formula>LEN(TRIM(N757))&gt;0</formula>
    </cfRule>
  </conditionalFormatting>
  <conditionalFormatting sqref="N757:R757">
    <cfRule type="notContainsBlanks" dxfId="5259" priority="5446">
      <formula>LEN(TRIM(N757))&gt;0</formula>
    </cfRule>
  </conditionalFormatting>
  <conditionalFormatting sqref="N757:R757">
    <cfRule type="notContainsBlanks" dxfId="5258" priority="5445">
      <formula>LEN(TRIM(N757))&gt;0</formula>
    </cfRule>
  </conditionalFormatting>
  <conditionalFormatting sqref="N770:R770">
    <cfRule type="notContainsBlanks" dxfId="5257" priority="5444">
      <formula>LEN(TRIM(N770))&gt;0</formula>
    </cfRule>
  </conditionalFormatting>
  <conditionalFormatting sqref="N770:R770">
    <cfRule type="notContainsBlanks" dxfId="5256" priority="5443">
      <formula>LEN(TRIM(N770))&gt;0</formula>
    </cfRule>
  </conditionalFormatting>
  <conditionalFormatting sqref="N770:R770">
    <cfRule type="notContainsBlanks" dxfId="5255" priority="5442">
      <formula>LEN(TRIM(N770))&gt;0</formula>
    </cfRule>
  </conditionalFormatting>
  <conditionalFormatting sqref="N770:R770">
    <cfRule type="notContainsBlanks" dxfId="5254" priority="5441">
      <formula>LEN(TRIM(N770))&gt;0</formula>
    </cfRule>
  </conditionalFormatting>
  <conditionalFormatting sqref="N770:R770">
    <cfRule type="notContainsBlanks" dxfId="5253" priority="5440">
      <formula>LEN(TRIM(N770))&gt;0</formula>
    </cfRule>
  </conditionalFormatting>
  <conditionalFormatting sqref="N770:R770">
    <cfRule type="notContainsBlanks" dxfId="5252" priority="5439">
      <formula>LEN(TRIM(N770))&gt;0</formula>
    </cfRule>
  </conditionalFormatting>
  <conditionalFormatting sqref="N770:R770">
    <cfRule type="notContainsBlanks" dxfId="5251" priority="5438">
      <formula>LEN(TRIM(N770))&gt;0</formula>
    </cfRule>
  </conditionalFormatting>
  <conditionalFormatting sqref="N770:R770">
    <cfRule type="notContainsBlanks" dxfId="5250" priority="5437">
      <formula>LEN(TRIM(N770))&gt;0</formula>
    </cfRule>
  </conditionalFormatting>
  <conditionalFormatting sqref="N770:R770">
    <cfRule type="notContainsBlanks" dxfId="5249" priority="5436">
      <formula>LEN(TRIM(N770))&gt;0</formula>
    </cfRule>
  </conditionalFormatting>
  <conditionalFormatting sqref="N770:R770">
    <cfRule type="notContainsBlanks" dxfId="5248" priority="5434">
      <formula>LEN(TRIM(N770))&gt;0</formula>
    </cfRule>
    <cfRule type="notContainsBlanks" dxfId="5247" priority="5435">
      <formula>LEN(TRIM(N770))&gt;0</formula>
    </cfRule>
  </conditionalFormatting>
  <conditionalFormatting sqref="N770:R770">
    <cfRule type="notContainsBlanks" dxfId="5246" priority="5433">
      <formula>LEN(TRIM(N770))&gt;0</formula>
    </cfRule>
  </conditionalFormatting>
  <conditionalFormatting sqref="N770:R770">
    <cfRule type="notContainsBlanks" dxfId="5245" priority="5432">
      <formula>LEN(TRIM(N770))&gt;0</formula>
    </cfRule>
  </conditionalFormatting>
  <conditionalFormatting sqref="N770:R770">
    <cfRule type="notContainsBlanks" dxfId="5244" priority="5431">
      <formula>LEN(TRIM(N770))&gt;0</formula>
    </cfRule>
  </conditionalFormatting>
  <conditionalFormatting sqref="N770:R770">
    <cfRule type="notContainsBlanks" dxfId="5243" priority="5430">
      <formula>LEN(TRIM(N770))&gt;0</formula>
    </cfRule>
  </conditionalFormatting>
  <conditionalFormatting sqref="N770:R770">
    <cfRule type="notContainsBlanks" dxfId="5242" priority="5429">
      <formula>LEN(TRIM(N770))&gt;0</formula>
    </cfRule>
  </conditionalFormatting>
  <conditionalFormatting sqref="N770:R770">
    <cfRule type="notContainsBlanks" dxfId="5241" priority="5428">
      <formula>LEN(TRIM(N770))&gt;0</formula>
    </cfRule>
  </conditionalFormatting>
  <conditionalFormatting sqref="N770:R770">
    <cfRule type="notContainsBlanks" dxfId="5240" priority="5427">
      <formula>LEN(TRIM(N770))&gt;0</formula>
    </cfRule>
  </conditionalFormatting>
  <conditionalFormatting sqref="N770:R770">
    <cfRule type="notContainsBlanks" dxfId="5239" priority="5426">
      <formula>LEN(TRIM(N770))&gt;0</formula>
    </cfRule>
  </conditionalFormatting>
  <conditionalFormatting sqref="N770:R770">
    <cfRule type="notContainsBlanks" dxfId="5238" priority="5425">
      <formula>LEN(TRIM(N770))&gt;0</formula>
    </cfRule>
  </conditionalFormatting>
  <conditionalFormatting sqref="N770:R770">
    <cfRule type="notContainsBlanks" priority="5424">
      <formula>LEN(TRIM(N770))&gt;0</formula>
    </cfRule>
  </conditionalFormatting>
  <conditionalFormatting sqref="N770:R770">
    <cfRule type="notContainsBlanks" dxfId="5237" priority="5423">
      <formula>LEN(TRIM(N770))&gt;0</formula>
    </cfRule>
  </conditionalFormatting>
  <conditionalFormatting sqref="N770:R770">
    <cfRule type="notContainsBlanks" dxfId="5236" priority="5422">
      <formula>LEN(TRIM(N770))&gt;0</formula>
    </cfRule>
  </conditionalFormatting>
  <conditionalFormatting sqref="N770:R770">
    <cfRule type="notContainsBlanks" dxfId="5235" priority="5421">
      <formula>LEN(TRIM(N770))&gt;0</formula>
    </cfRule>
  </conditionalFormatting>
  <conditionalFormatting sqref="N770:R770">
    <cfRule type="notContainsBlanks" dxfId="5234" priority="5420">
      <formula>LEN(TRIM(N770))&gt;0</formula>
    </cfRule>
  </conditionalFormatting>
  <conditionalFormatting sqref="N770:R770">
    <cfRule type="notContainsBlanks" dxfId="5233" priority="5419">
      <formula>LEN(TRIM(N770))&gt;0</formula>
    </cfRule>
  </conditionalFormatting>
  <conditionalFormatting sqref="N783:R783">
    <cfRule type="notContainsBlanks" dxfId="5232" priority="5418">
      <formula>LEN(TRIM(N783))&gt;0</formula>
    </cfRule>
  </conditionalFormatting>
  <conditionalFormatting sqref="N783:R783">
    <cfRule type="notContainsBlanks" dxfId="5231" priority="5417">
      <formula>LEN(TRIM(N783))&gt;0</formula>
    </cfRule>
  </conditionalFormatting>
  <conditionalFormatting sqref="N783:R783">
    <cfRule type="notContainsBlanks" dxfId="5230" priority="5416">
      <formula>LEN(TRIM(N783))&gt;0</formula>
    </cfRule>
  </conditionalFormatting>
  <conditionalFormatting sqref="N783:R783">
    <cfRule type="notContainsBlanks" dxfId="5229" priority="5415">
      <formula>LEN(TRIM(N783))&gt;0</formula>
    </cfRule>
  </conditionalFormatting>
  <conditionalFormatting sqref="N783:R783">
    <cfRule type="notContainsBlanks" dxfId="5228" priority="5414">
      <formula>LEN(TRIM(N783))&gt;0</formula>
    </cfRule>
  </conditionalFormatting>
  <conditionalFormatting sqref="N783:R783">
    <cfRule type="notContainsBlanks" dxfId="5227" priority="5413">
      <formula>LEN(TRIM(N783))&gt;0</formula>
    </cfRule>
  </conditionalFormatting>
  <conditionalFormatting sqref="N783:R783">
    <cfRule type="notContainsBlanks" dxfId="5226" priority="5412">
      <formula>LEN(TRIM(N783))&gt;0</formula>
    </cfRule>
  </conditionalFormatting>
  <conditionalFormatting sqref="N783:R783">
    <cfRule type="notContainsBlanks" dxfId="5225" priority="5411">
      <formula>LEN(TRIM(N783))&gt;0</formula>
    </cfRule>
  </conditionalFormatting>
  <conditionalFormatting sqref="N783:R783">
    <cfRule type="notContainsBlanks" dxfId="5224" priority="5410">
      <formula>LEN(TRIM(N783))&gt;0</formula>
    </cfRule>
  </conditionalFormatting>
  <conditionalFormatting sqref="N783:R783">
    <cfRule type="notContainsBlanks" dxfId="5223" priority="5408">
      <formula>LEN(TRIM(N783))&gt;0</formula>
    </cfRule>
    <cfRule type="notContainsBlanks" dxfId="5222" priority="5409">
      <formula>LEN(TRIM(N783))&gt;0</formula>
    </cfRule>
  </conditionalFormatting>
  <conditionalFormatting sqref="N783:R783">
    <cfRule type="notContainsBlanks" dxfId="5221" priority="5407">
      <formula>LEN(TRIM(N783))&gt;0</formula>
    </cfRule>
  </conditionalFormatting>
  <conditionalFormatting sqref="N783:R783">
    <cfRule type="notContainsBlanks" dxfId="5220" priority="5406">
      <formula>LEN(TRIM(N783))&gt;0</formula>
    </cfRule>
  </conditionalFormatting>
  <conditionalFormatting sqref="N783:R783">
    <cfRule type="notContainsBlanks" dxfId="5219" priority="5405">
      <formula>LEN(TRIM(N783))&gt;0</formula>
    </cfRule>
  </conditionalFormatting>
  <conditionalFormatting sqref="N783:R783">
    <cfRule type="notContainsBlanks" dxfId="5218" priority="5404">
      <formula>LEN(TRIM(N783))&gt;0</formula>
    </cfRule>
  </conditionalFormatting>
  <conditionalFormatting sqref="N783:R783">
    <cfRule type="notContainsBlanks" dxfId="5217" priority="5403">
      <formula>LEN(TRIM(N783))&gt;0</formula>
    </cfRule>
  </conditionalFormatting>
  <conditionalFormatting sqref="N783:R783">
    <cfRule type="notContainsBlanks" dxfId="5216" priority="5402">
      <formula>LEN(TRIM(N783))&gt;0</formula>
    </cfRule>
  </conditionalFormatting>
  <conditionalFormatting sqref="N783:R783">
    <cfRule type="notContainsBlanks" dxfId="5215" priority="5401">
      <formula>LEN(TRIM(N783))&gt;0</formula>
    </cfRule>
  </conditionalFormatting>
  <conditionalFormatting sqref="N783:R783">
    <cfRule type="notContainsBlanks" dxfId="5214" priority="5400">
      <formula>LEN(TRIM(N783))&gt;0</formula>
    </cfRule>
  </conditionalFormatting>
  <conditionalFormatting sqref="N783:R783">
    <cfRule type="notContainsBlanks" dxfId="5213" priority="5399">
      <formula>LEN(TRIM(N783))&gt;0</formula>
    </cfRule>
  </conditionalFormatting>
  <conditionalFormatting sqref="N783:R783">
    <cfRule type="notContainsBlanks" priority="5398">
      <formula>LEN(TRIM(N783))&gt;0</formula>
    </cfRule>
  </conditionalFormatting>
  <conditionalFormatting sqref="N783:R783">
    <cfRule type="notContainsBlanks" dxfId="5212" priority="5397">
      <formula>LEN(TRIM(N783))&gt;0</formula>
    </cfRule>
  </conditionalFormatting>
  <conditionalFormatting sqref="N783:R783">
    <cfRule type="notContainsBlanks" dxfId="5211" priority="5396">
      <formula>LEN(TRIM(N783))&gt;0</formula>
    </cfRule>
  </conditionalFormatting>
  <conditionalFormatting sqref="N783:R783">
    <cfRule type="notContainsBlanks" dxfId="5210" priority="5395">
      <formula>LEN(TRIM(N783))&gt;0</formula>
    </cfRule>
  </conditionalFormatting>
  <conditionalFormatting sqref="N783:R783">
    <cfRule type="notContainsBlanks" dxfId="5209" priority="5394">
      <formula>LEN(TRIM(N783))&gt;0</formula>
    </cfRule>
  </conditionalFormatting>
  <conditionalFormatting sqref="N783:R783">
    <cfRule type="notContainsBlanks" dxfId="5208" priority="5393">
      <formula>LEN(TRIM(N783))&gt;0</formula>
    </cfRule>
  </conditionalFormatting>
  <conditionalFormatting sqref="N796:R796">
    <cfRule type="notContainsBlanks" dxfId="5207" priority="5392">
      <formula>LEN(TRIM(N796))&gt;0</formula>
    </cfRule>
  </conditionalFormatting>
  <conditionalFormatting sqref="N796:R796">
    <cfRule type="notContainsBlanks" dxfId="5206" priority="5391">
      <formula>LEN(TRIM(N796))&gt;0</formula>
    </cfRule>
  </conditionalFormatting>
  <conditionalFormatting sqref="N796:R796">
    <cfRule type="notContainsBlanks" dxfId="5205" priority="5390">
      <formula>LEN(TRIM(N796))&gt;0</formula>
    </cfRule>
  </conditionalFormatting>
  <conditionalFormatting sqref="N796:R796">
    <cfRule type="notContainsBlanks" dxfId="5204" priority="5389">
      <formula>LEN(TRIM(N796))&gt;0</formula>
    </cfRule>
  </conditionalFormatting>
  <conditionalFormatting sqref="N796:R796">
    <cfRule type="notContainsBlanks" dxfId="5203" priority="5388">
      <formula>LEN(TRIM(N796))&gt;0</formula>
    </cfRule>
  </conditionalFormatting>
  <conditionalFormatting sqref="N796:R796">
    <cfRule type="notContainsBlanks" dxfId="5202" priority="5387">
      <formula>LEN(TRIM(N796))&gt;0</formula>
    </cfRule>
  </conditionalFormatting>
  <conditionalFormatting sqref="N796:R796">
    <cfRule type="notContainsBlanks" dxfId="5201" priority="5386">
      <formula>LEN(TRIM(N796))&gt;0</formula>
    </cfRule>
  </conditionalFormatting>
  <conditionalFormatting sqref="N796:R796">
    <cfRule type="notContainsBlanks" dxfId="5200" priority="5385">
      <formula>LEN(TRIM(N796))&gt;0</formula>
    </cfRule>
  </conditionalFormatting>
  <conditionalFormatting sqref="N796:R796">
    <cfRule type="notContainsBlanks" dxfId="5199" priority="5384">
      <formula>LEN(TRIM(N796))&gt;0</formula>
    </cfRule>
  </conditionalFormatting>
  <conditionalFormatting sqref="N796:R796">
    <cfRule type="notContainsBlanks" dxfId="5198" priority="5382">
      <formula>LEN(TRIM(N796))&gt;0</formula>
    </cfRule>
    <cfRule type="notContainsBlanks" dxfId="5197" priority="5383">
      <formula>LEN(TRIM(N796))&gt;0</formula>
    </cfRule>
  </conditionalFormatting>
  <conditionalFormatting sqref="N796:R796">
    <cfRule type="notContainsBlanks" dxfId="5196" priority="5381">
      <formula>LEN(TRIM(N796))&gt;0</formula>
    </cfRule>
  </conditionalFormatting>
  <conditionalFormatting sqref="N796:R796">
    <cfRule type="notContainsBlanks" dxfId="5195" priority="5380">
      <formula>LEN(TRIM(N796))&gt;0</formula>
    </cfRule>
  </conditionalFormatting>
  <conditionalFormatting sqref="N796:R796">
    <cfRule type="notContainsBlanks" dxfId="5194" priority="5379">
      <formula>LEN(TRIM(N796))&gt;0</formula>
    </cfRule>
  </conditionalFormatting>
  <conditionalFormatting sqref="N796:R796">
    <cfRule type="notContainsBlanks" dxfId="5193" priority="5378">
      <formula>LEN(TRIM(N796))&gt;0</formula>
    </cfRule>
  </conditionalFormatting>
  <conditionalFormatting sqref="N796:R796">
    <cfRule type="notContainsBlanks" dxfId="5192" priority="5377">
      <formula>LEN(TRIM(N796))&gt;0</formula>
    </cfRule>
  </conditionalFormatting>
  <conditionalFormatting sqref="N796:R796">
    <cfRule type="notContainsBlanks" dxfId="5191" priority="5376">
      <formula>LEN(TRIM(N796))&gt;0</formula>
    </cfRule>
  </conditionalFormatting>
  <conditionalFormatting sqref="N796:R796">
    <cfRule type="notContainsBlanks" dxfId="5190" priority="5375">
      <formula>LEN(TRIM(N796))&gt;0</formula>
    </cfRule>
  </conditionalFormatting>
  <conditionalFormatting sqref="N796:R796">
    <cfRule type="notContainsBlanks" dxfId="5189" priority="5374">
      <formula>LEN(TRIM(N796))&gt;0</formula>
    </cfRule>
  </conditionalFormatting>
  <conditionalFormatting sqref="N796:R796">
    <cfRule type="notContainsBlanks" dxfId="5188" priority="5373">
      <formula>LEN(TRIM(N796))&gt;0</formula>
    </cfRule>
  </conditionalFormatting>
  <conditionalFormatting sqref="N796:R796">
    <cfRule type="notContainsBlanks" priority="5372">
      <formula>LEN(TRIM(N796))&gt;0</formula>
    </cfRule>
  </conditionalFormatting>
  <conditionalFormatting sqref="N796:R796">
    <cfRule type="notContainsBlanks" dxfId="5187" priority="5371">
      <formula>LEN(TRIM(N796))&gt;0</formula>
    </cfRule>
  </conditionalFormatting>
  <conditionalFormatting sqref="N796:R796">
    <cfRule type="notContainsBlanks" dxfId="5186" priority="5370">
      <formula>LEN(TRIM(N796))&gt;0</formula>
    </cfRule>
  </conditionalFormatting>
  <conditionalFormatting sqref="N796:R796">
    <cfRule type="notContainsBlanks" dxfId="5185" priority="5369">
      <formula>LEN(TRIM(N796))&gt;0</formula>
    </cfRule>
  </conditionalFormatting>
  <conditionalFormatting sqref="N796:R796">
    <cfRule type="notContainsBlanks" dxfId="5184" priority="5368">
      <formula>LEN(TRIM(N796))&gt;0</formula>
    </cfRule>
  </conditionalFormatting>
  <conditionalFormatting sqref="N796:R796">
    <cfRule type="notContainsBlanks" dxfId="5183" priority="5367">
      <formula>LEN(TRIM(N796))&gt;0</formula>
    </cfRule>
  </conditionalFormatting>
  <conditionalFormatting sqref="N809:R809">
    <cfRule type="notContainsBlanks" dxfId="5182" priority="5366">
      <formula>LEN(TRIM(N809))&gt;0</formula>
    </cfRule>
  </conditionalFormatting>
  <conditionalFormatting sqref="N809:R809">
    <cfRule type="notContainsBlanks" dxfId="5181" priority="5365">
      <formula>LEN(TRIM(N809))&gt;0</formula>
    </cfRule>
  </conditionalFormatting>
  <conditionalFormatting sqref="N809:R809">
    <cfRule type="notContainsBlanks" dxfId="5180" priority="5364">
      <formula>LEN(TRIM(N809))&gt;0</formula>
    </cfRule>
  </conditionalFormatting>
  <conditionalFormatting sqref="N809:R809">
    <cfRule type="notContainsBlanks" dxfId="5179" priority="5363">
      <formula>LEN(TRIM(N809))&gt;0</formula>
    </cfRule>
  </conditionalFormatting>
  <conditionalFormatting sqref="N809:R809">
    <cfRule type="notContainsBlanks" dxfId="5178" priority="5362">
      <formula>LEN(TRIM(N809))&gt;0</formula>
    </cfRule>
  </conditionalFormatting>
  <conditionalFormatting sqref="N809:R809">
    <cfRule type="notContainsBlanks" dxfId="5177" priority="5361">
      <formula>LEN(TRIM(N809))&gt;0</formula>
    </cfRule>
  </conditionalFormatting>
  <conditionalFormatting sqref="N809:R809">
    <cfRule type="notContainsBlanks" dxfId="5176" priority="5360">
      <formula>LEN(TRIM(N809))&gt;0</formula>
    </cfRule>
  </conditionalFormatting>
  <conditionalFormatting sqref="N809:R809">
    <cfRule type="notContainsBlanks" dxfId="5175" priority="5359">
      <formula>LEN(TRIM(N809))&gt;0</formula>
    </cfRule>
  </conditionalFormatting>
  <conditionalFormatting sqref="N809:R809">
    <cfRule type="notContainsBlanks" dxfId="5174" priority="5358">
      <formula>LEN(TRIM(N809))&gt;0</formula>
    </cfRule>
  </conditionalFormatting>
  <conditionalFormatting sqref="N809:R809">
    <cfRule type="notContainsBlanks" dxfId="5173" priority="5356">
      <formula>LEN(TRIM(N809))&gt;0</formula>
    </cfRule>
    <cfRule type="notContainsBlanks" dxfId="5172" priority="5357">
      <formula>LEN(TRIM(N809))&gt;0</formula>
    </cfRule>
  </conditionalFormatting>
  <conditionalFormatting sqref="N809:R809">
    <cfRule type="notContainsBlanks" dxfId="5171" priority="5355">
      <formula>LEN(TRIM(N809))&gt;0</formula>
    </cfRule>
  </conditionalFormatting>
  <conditionalFormatting sqref="N809:R809">
    <cfRule type="notContainsBlanks" dxfId="5170" priority="5354">
      <formula>LEN(TRIM(N809))&gt;0</formula>
    </cfRule>
  </conditionalFormatting>
  <conditionalFormatting sqref="N809:R809">
    <cfRule type="notContainsBlanks" dxfId="5169" priority="5353">
      <formula>LEN(TRIM(N809))&gt;0</formula>
    </cfRule>
  </conditionalFormatting>
  <conditionalFormatting sqref="N809:R809">
    <cfRule type="notContainsBlanks" dxfId="5168" priority="5352">
      <formula>LEN(TRIM(N809))&gt;0</formula>
    </cfRule>
  </conditionalFormatting>
  <conditionalFormatting sqref="N809:R809">
    <cfRule type="notContainsBlanks" dxfId="5167" priority="5351">
      <formula>LEN(TRIM(N809))&gt;0</formula>
    </cfRule>
  </conditionalFormatting>
  <conditionalFormatting sqref="N809:R809">
    <cfRule type="notContainsBlanks" dxfId="5166" priority="5350">
      <formula>LEN(TRIM(N809))&gt;0</formula>
    </cfRule>
  </conditionalFormatting>
  <conditionalFormatting sqref="N809:R809">
    <cfRule type="notContainsBlanks" dxfId="5165" priority="5349">
      <formula>LEN(TRIM(N809))&gt;0</formula>
    </cfRule>
  </conditionalFormatting>
  <conditionalFormatting sqref="N809:R809">
    <cfRule type="notContainsBlanks" dxfId="5164" priority="5348">
      <formula>LEN(TRIM(N809))&gt;0</formula>
    </cfRule>
  </conditionalFormatting>
  <conditionalFormatting sqref="N809:R809">
    <cfRule type="notContainsBlanks" dxfId="5163" priority="5347">
      <formula>LEN(TRIM(N809))&gt;0</formula>
    </cfRule>
  </conditionalFormatting>
  <conditionalFormatting sqref="N809:R809">
    <cfRule type="notContainsBlanks" priority="5346">
      <formula>LEN(TRIM(N809))&gt;0</formula>
    </cfRule>
  </conditionalFormatting>
  <conditionalFormatting sqref="N809:R809">
    <cfRule type="notContainsBlanks" dxfId="5162" priority="5345">
      <formula>LEN(TRIM(N809))&gt;0</formula>
    </cfRule>
  </conditionalFormatting>
  <conditionalFormatting sqref="N809:R809">
    <cfRule type="notContainsBlanks" dxfId="5161" priority="5344">
      <formula>LEN(TRIM(N809))&gt;0</formula>
    </cfRule>
  </conditionalFormatting>
  <conditionalFormatting sqref="N809:R809">
    <cfRule type="notContainsBlanks" dxfId="5160" priority="5343">
      <formula>LEN(TRIM(N809))&gt;0</formula>
    </cfRule>
  </conditionalFormatting>
  <conditionalFormatting sqref="N809:R809">
    <cfRule type="notContainsBlanks" dxfId="5159" priority="5342">
      <formula>LEN(TRIM(N809))&gt;0</formula>
    </cfRule>
  </conditionalFormatting>
  <conditionalFormatting sqref="N809:R809">
    <cfRule type="notContainsBlanks" dxfId="5158" priority="5341">
      <formula>LEN(TRIM(N809))&gt;0</formula>
    </cfRule>
  </conditionalFormatting>
  <conditionalFormatting sqref="N822:R822">
    <cfRule type="notContainsBlanks" dxfId="5157" priority="5340">
      <formula>LEN(TRIM(N822))&gt;0</formula>
    </cfRule>
  </conditionalFormatting>
  <conditionalFormatting sqref="N822:R822">
    <cfRule type="notContainsBlanks" dxfId="5156" priority="5339">
      <formula>LEN(TRIM(N822))&gt;0</formula>
    </cfRule>
  </conditionalFormatting>
  <conditionalFormatting sqref="N822:R822">
    <cfRule type="notContainsBlanks" dxfId="5155" priority="5338">
      <formula>LEN(TRIM(N822))&gt;0</formula>
    </cfRule>
  </conditionalFormatting>
  <conditionalFormatting sqref="N822:R822">
    <cfRule type="notContainsBlanks" dxfId="5154" priority="5337">
      <formula>LEN(TRIM(N822))&gt;0</formula>
    </cfRule>
  </conditionalFormatting>
  <conditionalFormatting sqref="N822:R822">
    <cfRule type="notContainsBlanks" dxfId="5153" priority="5336">
      <formula>LEN(TRIM(N822))&gt;0</formula>
    </cfRule>
  </conditionalFormatting>
  <conditionalFormatting sqref="N822:R822">
    <cfRule type="notContainsBlanks" dxfId="5152" priority="5335">
      <formula>LEN(TRIM(N822))&gt;0</formula>
    </cfRule>
  </conditionalFormatting>
  <conditionalFormatting sqref="N822:R822">
    <cfRule type="notContainsBlanks" dxfId="5151" priority="5334">
      <formula>LEN(TRIM(N822))&gt;0</formula>
    </cfRule>
  </conditionalFormatting>
  <conditionalFormatting sqref="N822:R822">
    <cfRule type="notContainsBlanks" dxfId="5150" priority="5333">
      <formula>LEN(TRIM(N822))&gt;0</formula>
    </cfRule>
  </conditionalFormatting>
  <conditionalFormatting sqref="N822:R822">
    <cfRule type="notContainsBlanks" dxfId="5149" priority="5332">
      <formula>LEN(TRIM(N822))&gt;0</formula>
    </cfRule>
  </conditionalFormatting>
  <conditionalFormatting sqref="N822:R822">
    <cfRule type="notContainsBlanks" dxfId="5148" priority="5330">
      <formula>LEN(TRIM(N822))&gt;0</formula>
    </cfRule>
    <cfRule type="notContainsBlanks" dxfId="5147" priority="5331">
      <formula>LEN(TRIM(N822))&gt;0</formula>
    </cfRule>
  </conditionalFormatting>
  <conditionalFormatting sqref="N822:R822">
    <cfRule type="notContainsBlanks" dxfId="5146" priority="5329">
      <formula>LEN(TRIM(N822))&gt;0</formula>
    </cfRule>
  </conditionalFormatting>
  <conditionalFormatting sqref="N822:R822">
    <cfRule type="notContainsBlanks" dxfId="5145" priority="5328">
      <formula>LEN(TRIM(N822))&gt;0</formula>
    </cfRule>
  </conditionalFormatting>
  <conditionalFormatting sqref="N822:R822">
    <cfRule type="notContainsBlanks" dxfId="5144" priority="5327">
      <formula>LEN(TRIM(N822))&gt;0</formula>
    </cfRule>
  </conditionalFormatting>
  <conditionalFormatting sqref="N822:R822">
    <cfRule type="notContainsBlanks" dxfId="5143" priority="5326">
      <formula>LEN(TRIM(N822))&gt;0</formula>
    </cfRule>
  </conditionalFormatting>
  <conditionalFormatting sqref="N822:R822">
    <cfRule type="notContainsBlanks" dxfId="5142" priority="5325">
      <formula>LEN(TRIM(N822))&gt;0</formula>
    </cfRule>
  </conditionalFormatting>
  <conditionalFormatting sqref="N822:R822">
    <cfRule type="notContainsBlanks" dxfId="5141" priority="5324">
      <formula>LEN(TRIM(N822))&gt;0</formula>
    </cfRule>
  </conditionalFormatting>
  <conditionalFormatting sqref="N822:R822">
    <cfRule type="notContainsBlanks" dxfId="5140" priority="5323">
      <formula>LEN(TRIM(N822))&gt;0</formula>
    </cfRule>
  </conditionalFormatting>
  <conditionalFormatting sqref="N822:R822">
    <cfRule type="notContainsBlanks" dxfId="5139" priority="5322">
      <formula>LEN(TRIM(N822))&gt;0</formula>
    </cfRule>
  </conditionalFormatting>
  <conditionalFormatting sqref="N822:R822">
    <cfRule type="notContainsBlanks" dxfId="5138" priority="5321">
      <formula>LEN(TRIM(N822))&gt;0</formula>
    </cfRule>
  </conditionalFormatting>
  <conditionalFormatting sqref="N822:R822">
    <cfRule type="notContainsBlanks" priority="5320">
      <formula>LEN(TRIM(N822))&gt;0</formula>
    </cfRule>
  </conditionalFormatting>
  <conditionalFormatting sqref="N822:R822">
    <cfRule type="notContainsBlanks" dxfId="5137" priority="5319">
      <formula>LEN(TRIM(N822))&gt;0</formula>
    </cfRule>
  </conditionalFormatting>
  <conditionalFormatting sqref="N822:R822">
    <cfRule type="notContainsBlanks" dxfId="5136" priority="5318">
      <formula>LEN(TRIM(N822))&gt;0</formula>
    </cfRule>
  </conditionalFormatting>
  <conditionalFormatting sqref="N822:R822">
    <cfRule type="notContainsBlanks" dxfId="5135" priority="5317">
      <formula>LEN(TRIM(N822))&gt;0</formula>
    </cfRule>
  </conditionalFormatting>
  <conditionalFormatting sqref="N822:R822">
    <cfRule type="notContainsBlanks" dxfId="5134" priority="5316">
      <formula>LEN(TRIM(N822))&gt;0</formula>
    </cfRule>
  </conditionalFormatting>
  <conditionalFormatting sqref="N822:R822">
    <cfRule type="notContainsBlanks" dxfId="5133" priority="5315">
      <formula>LEN(TRIM(N822))&gt;0</formula>
    </cfRule>
  </conditionalFormatting>
  <conditionalFormatting sqref="N835:R835">
    <cfRule type="notContainsBlanks" dxfId="5132" priority="5314">
      <formula>LEN(TRIM(N835))&gt;0</formula>
    </cfRule>
  </conditionalFormatting>
  <conditionalFormatting sqref="N835:R835">
    <cfRule type="notContainsBlanks" dxfId="5131" priority="5313">
      <formula>LEN(TRIM(N835))&gt;0</formula>
    </cfRule>
  </conditionalFormatting>
  <conditionalFormatting sqref="N835:R835">
    <cfRule type="notContainsBlanks" dxfId="5130" priority="5312">
      <formula>LEN(TRIM(N835))&gt;0</formula>
    </cfRule>
  </conditionalFormatting>
  <conditionalFormatting sqref="N835:R835">
    <cfRule type="notContainsBlanks" dxfId="5129" priority="5311">
      <formula>LEN(TRIM(N835))&gt;0</formula>
    </cfRule>
  </conditionalFormatting>
  <conditionalFormatting sqref="N835:R835">
    <cfRule type="notContainsBlanks" dxfId="5128" priority="5310">
      <formula>LEN(TRIM(N835))&gt;0</formula>
    </cfRule>
  </conditionalFormatting>
  <conditionalFormatting sqref="N835:R835">
    <cfRule type="notContainsBlanks" dxfId="5127" priority="5309">
      <formula>LEN(TRIM(N835))&gt;0</formula>
    </cfRule>
  </conditionalFormatting>
  <conditionalFormatting sqref="N835:R835">
    <cfRule type="notContainsBlanks" dxfId="5126" priority="5308">
      <formula>LEN(TRIM(N835))&gt;0</formula>
    </cfRule>
  </conditionalFormatting>
  <conditionalFormatting sqref="N835:R835">
    <cfRule type="notContainsBlanks" dxfId="5125" priority="5307">
      <formula>LEN(TRIM(N835))&gt;0</formula>
    </cfRule>
  </conditionalFormatting>
  <conditionalFormatting sqref="N835:R835">
    <cfRule type="notContainsBlanks" dxfId="5124" priority="5306">
      <formula>LEN(TRIM(N835))&gt;0</formula>
    </cfRule>
  </conditionalFormatting>
  <conditionalFormatting sqref="N835:R835">
    <cfRule type="notContainsBlanks" dxfId="5123" priority="5304">
      <formula>LEN(TRIM(N835))&gt;0</formula>
    </cfRule>
    <cfRule type="notContainsBlanks" dxfId="5122" priority="5305">
      <formula>LEN(TRIM(N835))&gt;0</formula>
    </cfRule>
  </conditionalFormatting>
  <conditionalFormatting sqref="N835:R835">
    <cfRule type="notContainsBlanks" dxfId="5121" priority="5303">
      <formula>LEN(TRIM(N835))&gt;0</formula>
    </cfRule>
  </conditionalFormatting>
  <conditionalFormatting sqref="N835:R835">
    <cfRule type="notContainsBlanks" dxfId="5120" priority="5302">
      <formula>LEN(TRIM(N835))&gt;0</formula>
    </cfRule>
  </conditionalFormatting>
  <conditionalFormatting sqref="N835:R835">
    <cfRule type="notContainsBlanks" dxfId="5119" priority="5301">
      <formula>LEN(TRIM(N835))&gt;0</formula>
    </cfRule>
  </conditionalFormatting>
  <conditionalFormatting sqref="N835:R835">
    <cfRule type="notContainsBlanks" dxfId="5118" priority="5300">
      <formula>LEN(TRIM(N835))&gt;0</formula>
    </cfRule>
  </conditionalFormatting>
  <conditionalFormatting sqref="N835:R835">
    <cfRule type="notContainsBlanks" dxfId="5117" priority="5299">
      <formula>LEN(TRIM(N835))&gt;0</formula>
    </cfRule>
  </conditionalFormatting>
  <conditionalFormatting sqref="N835:R835">
    <cfRule type="notContainsBlanks" dxfId="5116" priority="5298">
      <formula>LEN(TRIM(N835))&gt;0</formula>
    </cfRule>
  </conditionalFormatting>
  <conditionalFormatting sqref="N835:R835">
    <cfRule type="notContainsBlanks" dxfId="5115" priority="5297">
      <formula>LEN(TRIM(N835))&gt;0</formula>
    </cfRule>
  </conditionalFormatting>
  <conditionalFormatting sqref="N835:R835">
    <cfRule type="notContainsBlanks" dxfId="5114" priority="5296">
      <formula>LEN(TRIM(N835))&gt;0</formula>
    </cfRule>
  </conditionalFormatting>
  <conditionalFormatting sqref="N835:R835">
    <cfRule type="notContainsBlanks" dxfId="5113" priority="5295">
      <formula>LEN(TRIM(N835))&gt;0</formula>
    </cfRule>
  </conditionalFormatting>
  <conditionalFormatting sqref="N835:R835">
    <cfRule type="notContainsBlanks" priority="5294">
      <formula>LEN(TRIM(N835))&gt;0</formula>
    </cfRule>
  </conditionalFormatting>
  <conditionalFormatting sqref="N835:R835">
    <cfRule type="notContainsBlanks" dxfId="5112" priority="5293">
      <formula>LEN(TRIM(N835))&gt;0</formula>
    </cfRule>
  </conditionalFormatting>
  <conditionalFormatting sqref="N835:R835">
    <cfRule type="notContainsBlanks" dxfId="5111" priority="5292">
      <formula>LEN(TRIM(N835))&gt;0</formula>
    </cfRule>
  </conditionalFormatting>
  <conditionalFormatting sqref="N835:R835">
    <cfRule type="notContainsBlanks" dxfId="5110" priority="5291">
      <formula>LEN(TRIM(N835))&gt;0</formula>
    </cfRule>
  </conditionalFormatting>
  <conditionalFormatting sqref="N835:R835">
    <cfRule type="notContainsBlanks" dxfId="5109" priority="5290">
      <formula>LEN(TRIM(N835))&gt;0</formula>
    </cfRule>
  </conditionalFormatting>
  <conditionalFormatting sqref="N835:R835">
    <cfRule type="notContainsBlanks" dxfId="5108" priority="5289">
      <formula>LEN(TRIM(N835))&gt;0</formula>
    </cfRule>
  </conditionalFormatting>
  <conditionalFormatting sqref="N848:R848">
    <cfRule type="notContainsBlanks" dxfId="5107" priority="5288">
      <formula>LEN(TRIM(N848))&gt;0</formula>
    </cfRule>
  </conditionalFormatting>
  <conditionalFormatting sqref="N848:R848">
    <cfRule type="notContainsBlanks" dxfId="5106" priority="5287">
      <formula>LEN(TRIM(N848))&gt;0</formula>
    </cfRule>
  </conditionalFormatting>
  <conditionalFormatting sqref="N848:R848">
    <cfRule type="notContainsBlanks" dxfId="5105" priority="5286">
      <formula>LEN(TRIM(N848))&gt;0</formula>
    </cfRule>
  </conditionalFormatting>
  <conditionalFormatting sqref="N848:R848">
    <cfRule type="notContainsBlanks" dxfId="5104" priority="5285">
      <formula>LEN(TRIM(N848))&gt;0</formula>
    </cfRule>
  </conditionalFormatting>
  <conditionalFormatting sqref="N848:R848">
    <cfRule type="notContainsBlanks" dxfId="5103" priority="5284">
      <formula>LEN(TRIM(N848))&gt;0</formula>
    </cfRule>
  </conditionalFormatting>
  <conditionalFormatting sqref="N848:R848">
    <cfRule type="notContainsBlanks" dxfId="5102" priority="5283">
      <formula>LEN(TRIM(N848))&gt;0</formula>
    </cfRule>
  </conditionalFormatting>
  <conditionalFormatting sqref="N848:R848">
    <cfRule type="notContainsBlanks" dxfId="5101" priority="5282">
      <formula>LEN(TRIM(N848))&gt;0</formula>
    </cfRule>
  </conditionalFormatting>
  <conditionalFormatting sqref="N848:R848">
    <cfRule type="notContainsBlanks" dxfId="5100" priority="5281">
      <formula>LEN(TRIM(N848))&gt;0</formula>
    </cfRule>
  </conditionalFormatting>
  <conditionalFormatting sqref="N848:R848">
    <cfRule type="notContainsBlanks" dxfId="5099" priority="5280">
      <formula>LEN(TRIM(N848))&gt;0</formula>
    </cfRule>
  </conditionalFormatting>
  <conditionalFormatting sqref="N848:R848">
    <cfRule type="notContainsBlanks" dxfId="5098" priority="5278">
      <formula>LEN(TRIM(N848))&gt;0</formula>
    </cfRule>
    <cfRule type="notContainsBlanks" dxfId="5097" priority="5279">
      <formula>LEN(TRIM(N848))&gt;0</formula>
    </cfRule>
  </conditionalFormatting>
  <conditionalFormatting sqref="N848:R848">
    <cfRule type="notContainsBlanks" dxfId="5096" priority="5277">
      <formula>LEN(TRIM(N848))&gt;0</formula>
    </cfRule>
  </conditionalFormatting>
  <conditionalFormatting sqref="N848:R848">
    <cfRule type="notContainsBlanks" dxfId="5095" priority="5276">
      <formula>LEN(TRIM(N848))&gt;0</formula>
    </cfRule>
  </conditionalFormatting>
  <conditionalFormatting sqref="N848:R848">
    <cfRule type="notContainsBlanks" dxfId="5094" priority="5275">
      <formula>LEN(TRIM(N848))&gt;0</formula>
    </cfRule>
  </conditionalFormatting>
  <conditionalFormatting sqref="N848:R848">
    <cfRule type="notContainsBlanks" dxfId="5093" priority="5274">
      <formula>LEN(TRIM(N848))&gt;0</formula>
    </cfRule>
  </conditionalFormatting>
  <conditionalFormatting sqref="N848:R848">
    <cfRule type="notContainsBlanks" dxfId="5092" priority="5273">
      <formula>LEN(TRIM(N848))&gt;0</formula>
    </cfRule>
  </conditionalFormatting>
  <conditionalFormatting sqref="N848:R848">
    <cfRule type="notContainsBlanks" dxfId="5091" priority="5272">
      <formula>LEN(TRIM(N848))&gt;0</formula>
    </cfRule>
  </conditionalFormatting>
  <conditionalFormatting sqref="N848:R848">
    <cfRule type="notContainsBlanks" dxfId="5090" priority="5271">
      <formula>LEN(TRIM(N848))&gt;0</formula>
    </cfRule>
  </conditionalFormatting>
  <conditionalFormatting sqref="N848:R848">
    <cfRule type="notContainsBlanks" dxfId="5089" priority="5270">
      <formula>LEN(TRIM(N848))&gt;0</formula>
    </cfRule>
  </conditionalFormatting>
  <conditionalFormatting sqref="N848:R848">
    <cfRule type="notContainsBlanks" dxfId="5088" priority="5269">
      <formula>LEN(TRIM(N848))&gt;0</formula>
    </cfRule>
  </conditionalFormatting>
  <conditionalFormatting sqref="N848:R848">
    <cfRule type="notContainsBlanks" priority="5268">
      <formula>LEN(TRIM(N848))&gt;0</formula>
    </cfRule>
  </conditionalFormatting>
  <conditionalFormatting sqref="N848:R848">
    <cfRule type="notContainsBlanks" dxfId="5087" priority="5267">
      <formula>LEN(TRIM(N848))&gt;0</formula>
    </cfRule>
  </conditionalFormatting>
  <conditionalFormatting sqref="N848:R848">
    <cfRule type="notContainsBlanks" dxfId="5086" priority="5266">
      <formula>LEN(TRIM(N848))&gt;0</formula>
    </cfRule>
  </conditionalFormatting>
  <conditionalFormatting sqref="N848:R848">
    <cfRule type="notContainsBlanks" dxfId="5085" priority="5265">
      <formula>LEN(TRIM(N848))&gt;0</formula>
    </cfRule>
  </conditionalFormatting>
  <conditionalFormatting sqref="N848:R848">
    <cfRule type="notContainsBlanks" dxfId="5084" priority="5264">
      <formula>LEN(TRIM(N848))&gt;0</formula>
    </cfRule>
  </conditionalFormatting>
  <conditionalFormatting sqref="N848:R848">
    <cfRule type="notContainsBlanks" dxfId="5083" priority="5263">
      <formula>LEN(TRIM(N848))&gt;0</formula>
    </cfRule>
  </conditionalFormatting>
  <conditionalFormatting sqref="N861:R861">
    <cfRule type="notContainsBlanks" dxfId="5082" priority="5262">
      <formula>LEN(TRIM(N861))&gt;0</formula>
    </cfRule>
  </conditionalFormatting>
  <conditionalFormatting sqref="N861:R861">
    <cfRule type="notContainsBlanks" dxfId="5081" priority="5261">
      <formula>LEN(TRIM(N861))&gt;0</formula>
    </cfRule>
  </conditionalFormatting>
  <conditionalFormatting sqref="N861:R861">
    <cfRule type="notContainsBlanks" dxfId="5080" priority="5260">
      <formula>LEN(TRIM(N861))&gt;0</formula>
    </cfRule>
  </conditionalFormatting>
  <conditionalFormatting sqref="N861:R861">
    <cfRule type="notContainsBlanks" dxfId="5079" priority="5259">
      <formula>LEN(TRIM(N861))&gt;0</formula>
    </cfRule>
  </conditionalFormatting>
  <conditionalFormatting sqref="N861:R861">
    <cfRule type="notContainsBlanks" dxfId="5078" priority="5258">
      <formula>LEN(TRIM(N861))&gt;0</formula>
    </cfRule>
  </conditionalFormatting>
  <conditionalFormatting sqref="N861:R861">
    <cfRule type="notContainsBlanks" dxfId="5077" priority="5257">
      <formula>LEN(TRIM(N861))&gt;0</formula>
    </cfRule>
  </conditionalFormatting>
  <conditionalFormatting sqref="N861:R861">
    <cfRule type="notContainsBlanks" dxfId="5076" priority="5256">
      <formula>LEN(TRIM(N861))&gt;0</formula>
    </cfRule>
  </conditionalFormatting>
  <conditionalFormatting sqref="N861:R861">
    <cfRule type="notContainsBlanks" dxfId="5075" priority="5255">
      <formula>LEN(TRIM(N861))&gt;0</formula>
    </cfRule>
  </conditionalFormatting>
  <conditionalFormatting sqref="N861:R861">
    <cfRule type="notContainsBlanks" dxfId="5074" priority="5254">
      <formula>LEN(TRIM(N861))&gt;0</formula>
    </cfRule>
  </conditionalFormatting>
  <conditionalFormatting sqref="N861:R861">
    <cfRule type="notContainsBlanks" dxfId="5073" priority="5252">
      <formula>LEN(TRIM(N861))&gt;0</formula>
    </cfRule>
    <cfRule type="notContainsBlanks" dxfId="5072" priority="5253">
      <formula>LEN(TRIM(N861))&gt;0</formula>
    </cfRule>
  </conditionalFormatting>
  <conditionalFormatting sqref="N861:R861">
    <cfRule type="notContainsBlanks" dxfId="5071" priority="5251">
      <formula>LEN(TRIM(N861))&gt;0</formula>
    </cfRule>
  </conditionalFormatting>
  <conditionalFormatting sqref="N861:R861">
    <cfRule type="notContainsBlanks" dxfId="5070" priority="5250">
      <formula>LEN(TRIM(N861))&gt;0</formula>
    </cfRule>
  </conditionalFormatting>
  <conditionalFormatting sqref="N861:R861">
    <cfRule type="notContainsBlanks" dxfId="5069" priority="5249">
      <formula>LEN(TRIM(N861))&gt;0</formula>
    </cfRule>
  </conditionalFormatting>
  <conditionalFormatting sqref="N861:R861">
    <cfRule type="notContainsBlanks" dxfId="5068" priority="5248">
      <formula>LEN(TRIM(N861))&gt;0</formula>
    </cfRule>
  </conditionalFormatting>
  <conditionalFormatting sqref="N861:R861">
    <cfRule type="notContainsBlanks" dxfId="5067" priority="5247">
      <formula>LEN(TRIM(N861))&gt;0</formula>
    </cfRule>
  </conditionalFormatting>
  <conditionalFormatting sqref="N861:R861">
    <cfRule type="notContainsBlanks" dxfId="5066" priority="5246">
      <formula>LEN(TRIM(N861))&gt;0</formula>
    </cfRule>
  </conditionalFormatting>
  <conditionalFormatting sqref="N861:R861">
    <cfRule type="notContainsBlanks" dxfId="5065" priority="5245">
      <formula>LEN(TRIM(N861))&gt;0</formula>
    </cfRule>
  </conditionalFormatting>
  <conditionalFormatting sqref="N861:R861">
    <cfRule type="notContainsBlanks" dxfId="5064" priority="5244">
      <formula>LEN(TRIM(N861))&gt;0</formula>
    </cfRule>
  </conditionalFormatting>
  <conditionalFormatting sqref="N861:R861">
    <cfRule type="notContainsBlanks" dxfId="5063" priority="5243">
      <formula>LEN(TRIM(N861))&gt;0</formula>
    </cfRule>
  </conditionalFormatting>
  <conditionalFormatting sqref="N861:R861">
    <cfRule type="notContainsBlanks" priority="5242">
      <formula>LEN(TRIM(N861))&gt;0</formula>
    </cfRule>
  </conditionalFormatting>
  <conditionalFormatting sqref="N861:R861">
    <cfRule type="notContainsBlanks" dxfId="5062" priority="5241">
      <formula>LEN(TRIM(N861))&gt;0</formula>
    </cfRule>
  </conditionalFormatting>
  <conditionalFormatting sqref="N861:R861">
    <cfRule type="notContainsBlanks" dxfId="5061" priority="5240">
      <formula>LEN(TRIM(N861))&gt;0</formula>
    </cfRule>
  </conditionalFormatting>
  <conditionalFormatting sqref="N861:R861">
    <cfRule type="notContainsBlanks" dxfId="5060" priority="5239">
      <formula>LEN(TRIM(N861))&gt;0</formula>
    </cfRule>
  </conditionalFormatting>
  <conditionalFormatting sqref="N861:R861">
    <cfRule type="notContainsBlanks" dxfId="5059" priority="5238">
      <formula>LEN(TRIM(N861))&gt;0</formula>
    </cfRule>
  </conditionalFormatting>
  <conditionalFormatting sqref="N861:R861">
    <cfRule type="notContainsBlanks" dxfId="5058" priority="5237">
      <formula>LEN(TRIM(N861))&gt;0</formula>
    </cfRule>
  </conditionalFormatting>
  <conditionalFormatting sqref="N874:R874">
    <cfRule type="notContainsBlanks" dxfId="5057" priority="5236">
      <formula>LEN(TRIM(N874))&gt;0</formula>
    </cfRule>
  </conditionalFormatting>
  <conditionalFormatting sqref="N874:R874">
    <cfRule type="notContainsBlanks" dxfId="5056" priority="5235">
      <formula>LEN(TRIM(N874))&gt;0</formula>
    </cfRule>
  </conditionalFormatting>
  <conditionalFormatting sqref="N874:R874">
    <cfRule type="notContainsBlanks" dxfId="5055" priority="5234">
      <formula>LEN(TRIM(N874))&gt;0</formula>
    </cfRule>
  </conditionalFormatting>
  <conditionalFormatting sqref="N874:R874">
    <cfRule type="notContainsBlanks" dxfId="5054" priority="5233">
      <formula>LEN(TRIM(N874))&gt;0</formula>
    </cfRule>
  </conditionalFormatting>
  <conditionalFormatting sqref="N874:R874">
    <cfRule type="notContainsBlanks" dxfId="5053" priority="5232">
      <formula>LEN(TRIM(N874))&gt;0</formula>
    </cfRule>
  </conditionalFormatting>
  <conditionalFormatting sqref="N874:R874">
    <cfRule type="notContainsBlanks" dxfId="5052" priority="5231">
      <formula>LEN(TRIM(N874))&gt;0</formula>
    </cfRule>
  </conditionalFormatting>
  <conditionalFormatting sqref="N874:R874">
    <cfRule type="notContainsBlanks" dxfId="5051" priority="5230">
      <formula>LEN(TRIM(N874))&gt;0</formula>
    </cfRule>
  </conditionalFormatting>
  <conditionalFormatting sqref="N874:R874">
    <cfRule type="notContainsBlanks" dxfId="5050" priority="5229">
      <formula>LEN(TRIM(N874))&gt;0</formula>
    </cfRule>
  </conditionalFormatting>
  <conditionalFormatting sqref="N874:R874">
    <cfRule type="notContainsBlanks" dxfId="5049" priority="5228">
      <formula>LEN(TRIM(N874))&gt;0</formula>
    </cfRule>
  </conditionalFormatting>
  <conditionalFormatting sqref="N874:R874">
    <cfRule type="notContainsBlanks" dxfId="5048" priority="5226">
      <formula>LEN(TRIM(N874))&gt;0</formula>
    </cfRule>
    <cfRule type="notContainsBlanks" dxfId="5047" priority="5227">
      <formula>LEN(TRIM(N874))&gt;0</formula>
    </cfRule>
  </conditionalFormatting>
  <conditionalFormatting sqref="N874:R874">
    <cfRule type="notContainsBlanks" dxfId="5046" priority="5225">
      <formula>LEN(TRIM(N874))&gt;0</formula>
    </cfRule>
  </conditionalFormatting>
  <conditionalFormatting sqref="N874:R874">
    <cfRule type="notContainsBlanks" dxfId="5045" priority="5224">
      <formula>LEN(TRIM(N874))&gt;0</formula>
    </cfRule>
  </conditionalFormatting>
  <conditionalFormatting sqref="N874:R874">
    <cfRule type="notContainsBlanks" dxfId="5044" priority="5223">
      <formula>LEN(TRIM(N874))&gt;0</formula>
    </cfRule>
  </conditionalFormatting>
  <conditionalFormatting sqref="N874:R874">
    <cfRule type="notContainsBlanks" dxfId="5043" priority="5222">
      <formula>LEN(TRIM(N874))&gt;0</formula>
    </cfRule>
  </conditionalFormatting>
  <conditionalFormatting sqref="N874:R874">
    <cfRule type="notContainsBlanks" dxfId="5042" priority="5221">
      <formula>LEN(TRIM(N874))&gt;0</formula>
    </cfRule>
  </conditionalFormatting>
  <conditionalFormatting sqref="N874:R874">
    <cfRule type="notContainsBlanks" dxfId="5041" priority="5220">
      <formula>LEN(TRIM(N874))&gt;0</formula>
    </cfRule>
  </conditionalFormatting>
  <conditionalFormatting sqref="N874:R874">
    <cfRule type="notContainsBlanks" dxfId="5040" priority="5219">
      <formula>LEN(TRIM(N874))&gt;0</formula>
    </cfRule>
  </conditionalFormatting>
  <conditionalFormatting sqref="N874:R874">
    <cfRule type="notContainsBlanks" dxfId="5039" priority="5218">
      <formula>LEN(TRIM(N874))&gt;0</formula>
    </cfRule>
  </conditionalFormatting>
  <conditionalFormatting sqref="N874:R874">
    <cfRule type="notContainsBlanks" dxfId="5038" priority="5217">
      <formula>LEN(TRIM(N874))&gt;0</formula>
    </cfRule>
  </conditionalFormatting>
  <conditionalFormatting sqref="N874:R874">
    <cfRule type="notContainsBlanks" priority="5216">
      <formula>LEN(TRIM(N874))&gt;0</formula>
    </cfRule>
  </conditionalFormatting>
  <conditionalFormatting sqref="N874:R874">
    <cfRule type="notContainsBlanks" dxfId="5037" priority="5215">
      <formula>LEN(TRIM(N874))&gt;0</formula>
    </cfRule>
  </conditionalFormatting>
  <conditionalFormatting sqref="N874:R874">
    <cfRule type="notContainsBlanks" dxfId="5036" priority="5214">
      <formula>LEN(TRIM(N874))&gt;0</formula>
    </cfRule>
  </conditionalFormatting>
  <conditionalFormatting sqref="N874:R874">
    <cfRule type="notContainsBlanks" dxfId="5035" priority="5213">
      <formula>LEN(TRIM(N874))&gt;0</formula>
    </cfRule>
  </conditionalFormatting>
  <conditionalFormatting sqref="N874:R874">
    <cfRule type="notContainsBlanks" dxfId="5034" priority="5212">
      <formula>LEN(TRIM(N874))&gt;0</formula>
    </cfRule>
  </conditionalFormatting>
  <conditionalFormatting sqref="N874:R874">
    <cfRule type="notContainsBlanks" dxfId="5033" priority="5211">
      <formula>LEN(TRIM(N874))&gt;0</formula>
    </cfRule>
  </conditionalFormatting>
  <conditionalFormatting sqref="N887:R887">
    <cfRule type="notContainsBlanks" dxfId="5032" priority="5210">
      <formula>LEN(TRIM(N887))&gt;0</formula>
    </cfRule>
  </conditionalFormatting>
  <conditionalFormatting sqref="N887:R887">
    <cfRule type="notContainsBlanks" dxfId="5031" priority="5209">
      <formula>LEN(TRIM(N887))&gt;0</formula>
    </cfRule>
  </conditionalFormatting>
  <conditionalFormatting sqref="N887:R887">
    <cfRule type="notContainsBlanks" dxfId="5030" priority="5208">
      <formula>LEN(TRIM(N887))&gt;0</formula>
    </cfRule>
  </conditionalFormatting>
  <conditionalFormatting sqref="N887:R887">
    <cfRule type="notContainsBlanks" dxfId="5029" priority="5207">
      <formula>LEN(TRIM(N887))&gt;0</formula>
    </cfRule>
  </conditionalFormatting>
  <conditionalFormatting sqref="N887:R887">
    <cfRule type="notContainsBlanks" dxfId="5028" priority="5206">
      <formula>LEN(TRIM(N887))&gt;0</formula>
    </cfRule>
  </conditionalFormatting>
  <conditionalFormatting sqref="N887:R887">
    <cfRule type="notContainsBlanks" dxfId="5027" priority="5205">
      <formula>LEN(TRIM(N887))&gt;0</formula>
    </cfRule>
  </conditionalFormatting>
  <conditionalFormatting sqref="N887:R887">
    <cfRule type="notContainsBlanks" dxfId="5026" priority="5204">
      <formula>LEN(TRIM(N887))&gt;0</formula>
    </cfRule>
  </conditionalFormatting>
  <conditionalFormatting sqref="N887:R887">
    <cfRule type="notContainsBlanks" dxfId="5025" priority="5203">
      <formula>LEN(TRIM(N887))&gt;0</formula>
    </cfRule>
  </conditionalFormatting>
  <conditionalFormatting sqref="N887:R887">
    <cfRule type="notContainsBlanks" dxfId="5024" priority="5202">
      <formula>LEN(TRIM(N887))&gt;0</formula>
    </cfRule>
  </conditionalFormatting>
  <conditionalFormatting sqref="N887:R887">
    <cfRule type="notContainsBlanks" dxfId="5023" priority="5200">
      <formula>LEN(TRIM(N887))&gt;0</formula>
    </cfRule>
    <cfRule type="notContainsBlanks" dxfId="5022" priority="5201">
      <formula>LEN(TRIM(N887))&gt;0</formula>
    </cfRule>
  </conditionalFormatting>
  <conditionalFormatting sqref="N887:R887">
    <cfRule type="notContainsBlanks" dxfId="5021" priority="5199">
      <formula>LEN(TRIM(N887))&gt;0</formula>
    </cfRule>
  </conditionalFormatting>
  <conditionalFormatting sqref="N887:R887">
    <cfRule type="notContainsBlanks" dxfId="5020" priority="5198">
      <formula>LEN(TRIM(N887))&gt;0</formula>
    </cfRule>
  </conditionalFormatting>
  <conditionalFormatting sqref="N887:R887">
    <cfRule type="notContainsBlanks" dxfId="5019" priority="5197">
      <formula>LEN(TRIM(N887))&gt;0</formula>
    </cfRule>
  </conditionalFormatting>
  <conditionalFormatting sqref="N887:R887">
    <cfRule type="notContainsBlanks" dxfId="5018" priority="5196">
      <formula>LEN(TRIM(N887))&gt;0</formula>
    </cfRule>
  </conditionalFormatting>
  <conditionalFormatting sqref="N887:R887">
    <cfRule type="notContainsBlanks" dxfId="5017" priority="5195">
      <formula>LEN(TRIM(N887))&gt;0</formula>
    </cfRule>
  </conditionalFormatting>
  <conditionalFormatting sqref="N887:R887">
    <cfRule type="notContainsBlanks" dxfId="5016" priority="5194">
      <formula>LEN(TRIM(N887))&gt;0</formula>
    </cfRule>
  </conditionalFormatting>
  <conditionalFormatting sqref="N887:R887">
    <cfRule type="notContainsBlanks" dxfId="5015" priority="5193">
      <formula>LEN(TRIM(N887))&gt;0</formula>
    </cfRule>
  </conditionalFormatting>
  <conditionalFormatting sqref="N887:R887">
    <cfRule type="notContainsBlanks" dxfId="5014" priority="5192">
      <formula>LEN(TRIM(N887))&gt;0</formula>
    </cfRule>
  </conditionalFormatting>
  <conditionalFormatting sqref="N887:R887">
    <cfRule type="notContainsBlanks" dxfId="5013" priority="5191">
      <formula>LEN(TRIM(N887))&gt;0</formula>
    </cfRule>
  </conditionalFormatting>
  <conditionalFormatting sqref="N887:R887">
    <cfRule type="notContainsBlanks" priority="5190">
      <formula>LEN(TRIM(N887))&gt;0</formula>
    </cfRule>
  </conditionalFormatting>
  <conditionalFormatting sqref="N887:R887">
    <cfRule type="notContainsBlanks" dxfId="5012" priority="5189">
      <formula>LEN(TRIM(N887))&gt;0</formula>
    </cfRule>
  </conditionalFormatting>
  <conditionalFormatting sqref="N887:R887">
    <cfRule type="notContainsBlanks" dxfId="5011" priority="5188">
      <formula>LEN(TRIM(N887))&gt;0</formula>
    </cfRule>
  </conditionalFormatting>
  <conditionalFormatting sqref="N887:R887">
    <cfRule type="notContainsBlanks" dxfId="5010" priority="5187">
      <formula>LEN(TRIM(N887))&gt;0</formula>
    </cfRule>
  </conditionalFormatting>
  <conditionalFormatting sqref="N887:R887">
    <cfRule type="notContainsBlanks" dxfId="5009" priority="5186">
      <formula>LEN(TRIM(N887))&gt;0</formula>
    </cfRule>
  </conditionalFormatting>
  <conditionalFormatting sqref="N887:R887">
    <cfRule type="notContainsBlanks" dxfId="5008" priority="5185">
      <formula>LEN(TRIM(N887))&gt;0</formula>
    </cfRule>
  </conditionalFormatting>
  <conditionalFormatting sqref="N900:R900">
    <cfRule type="notContainsBlanks" dxfId="5007" priority="5184">
      <formula>LEN(TRIM(N900))&gt;0</formula>
    </cfRule>
  </conditionalFormatting>
  <conditionalFormatting sqref="N900:R900">
    <cfRule type="notContainsBlanks" dxfId="5006" priority="5183">
      <formula>LEN(TRIM(N900))&gt;0</formula>
    </cfRule>
  </conditionalFormatting>
  <conditionalFormatting sqref="N900:R900">
    <cfRule type="notContainsBlanks" dxfId="5005" priority="5182">
      <formula>LEN(TRIM(N900))&gt;0</formula>
    </cfRule>
  </conditionalFormatting>
  <conditionalFormatting sqref="N900:R900">
    <cfRule type="notContainsBlanks" dxfId="5004" priority="5181">
      <formula>LEN(TRIM(N900))&gt;0</formula>
    </cfRule>
  </conditionalFormatting>
  <conditionalFormatting sqref="N900:R900">
    <cfRule type="notContainsBlanks" dxfId="5003" priority="5180">
      <formula>LEN(TRIM(N900))&gt;0</formula>
    </cfRule>
  </conditionalFormatting>
  <conditionalFormatting sqref="N900:R900">
    <cfRule type="notContainsBlanks" dxfId="5002" priority="5179">
      <formula>LEN(TRIM(N900))&gt;0</formula>
    </cfRule>
  </conditionalFormatting>
  <conditionalFormatting sqref="N900:R900">
    <cfRule type="notContainsBlanks" dxfId="5001" priority="5178">
      <formula>LEN(TRIM(N900))&gt;0</formula>
    </cfRule>
  </conditionalFormatting>
  <conditionalFormatting sqref="N900:R900">
    <cfRule type="notContainsBlanks" dxfId="5000" priority="5177">
      <formula>LEN(TRIM(N900))&gt;0</formula>
    </cfRule>
  </conditionalFormatting>
  <conditionalFormatting sqref="N900:R900">
    <cfRule type="notContainsBlanks" dxfId="4999" priority="5176">
      <formula>LEN(TRIM(N900))&gt;0</formula>
    </cfRule>
  </conditionalFormatting>
  <conditionalFormatting sqref="N900:R900">
    <cfRule type="notContainsBlanks" dxfId="4998" priority="5174">
      <formula>LEN(TRIM(N900))&gt;0</formula>
    </cfRule>
    <cfRule type="notContainsBlanks" dxfId="4997" priority="5175">
      <formula>LEN(TRIM(N900))&gt;0</formula>
    </cfRule>
  </conditionalFormatting>
  <conditionalFormatting sqref="N900:R900">
    <cfRule type="notContainsBlanks" dxfId="4996" priority="5173">
      <formula>LEN(TRIM(N900))&gt;0</formula>
    </cfRule>
  </conditionalFormatting>
  <conditionalFormatting sqref="N900:R900">
    <cfRule type="notContainsBlanks" dxfId="4995" priority="5172">
      <formula>LEN(TRIM(N900))&gt;0</formula>
    </cfRule>
  </conditionalFormatting>
  <conditionalFormatting sqref="N900:R900">
    <cfRule type="notContainsBlanks" dxfId="4994" priority="5171">
      <formula>LEN(TRIM(N900))&gt;0</formula>
    </cfRule>
  </conditionalFormatting>
  <conditionalFormatting sqref="N900:R900">
    <cfRule type="notContainsBlanks" dxfId="4993" priority="5170">
      <formula>LEN(TRIM(N900))&gt;0</formula>
    </cfRule>
  </conditionalFormatting>
  <conditionalFormatting sqref="N900:R900">
    <cfRule type="notContainsBlanks" dxfId="4992" priority="5169">
      <formula>LEN(TRIM(N900))&gt;0</formula>
    </cfRule>
  </conditionalFormatting>
  <conditionalFormatting sqref="N900:R900">
    <cfRule type="notContainsBlanks" dxfId="4991" priority="5168">
      <formula>LEN(TRIM(N900))&gt;0</formula>
    </cfRule>
  </conditionalFormatting>
  <conditionalFormatting sqref="N900:R900">
    <cfRule type="notContainsBlanks" dxfId="4990" priority="5167">
      <formula>LEN(TRIM(N900))&gt;0</formula>
    </cfRule>
  </conditionalFormatting>
  <conditionalFormatting sqref="N900:R900">
    <cfRule type="notContainsBlanks" dxfId="4989" priority="5166">
      <formula>LEN(TRIM(N900))&gt;0</formula>
    </cfRule>
  </conditionalFormatting>
  <conditionalFormatting sqref="N900:R900">
    <cfRule type="notContainsBlanks" dxfId="4988" priority="5165">
      <formula>LEN(TRIM(N900))&gt;0</formula>
    </cfRule>
  </conditionalFormatting>
  <conditionalFormatting sqref="N900:R900">
    <cfRule type="notContainsBlanks" priority="5164">
      <formula>LEN(TRIM(N900))&gt;0</formula>
    </cfRule>
  </conditionalFormatting>
  <conditionalFormatting sqref="N900:R900">
    <cfRule type="notContainsBlanks" dxfId="4987" priority="5163">
      <formula>LEN(TRIM(N900))&gt;0</formula>
    </cfRule>
  </conditionalFormatting>
  <conditionalFormatting sqref="N900:R900">
    <cfRule type="notContainsBlanks" dxfId="4986" priority="5162">
      <formula>LEN(TRIM(N900))&gt;0</formula>
    </cfRule>
  </conditionalFormatting>
  <conditionalFormatting sqref="N900:R900">
    <cfRule type="notContainsBlanks" dxfId="4985" priority="5161">
      <formula>LEN(TRIM(N900))&gt;0</formula>
    </cfRule>
  </conditionalFormatting>
  <conditionalFormatting sqref="N900:R900">
    <cfRule type="notContainsBlanks" dxfId="4984" priority="5160">
      <formula>LEN(TRIM(N900))&gt;0</formula>
    </cfRule>
  </conditionalFormatting>
  <conditionalFormatting sqref="N900:R900">
    <cfRule type="notContainsBlanks" dxfId="4983" priority="5159">
      <formula>LEN(TRIM(N900))&gt;0</formula>
    </cfRule>
  </conditionalFormatting>
  <conditionalFormatting sqref="N913:R913">
    <cfRule type="notContainsBlanks" dxfId="4982" priority="5158">
      <formula>LEN(TRIM(N913))&gt;0</formula>
    </cfRule>
  </conditionalFormatting>
  <conditionalFormatting sqref="N913:R913">
    <cfRule type="notContainsBlanks" dxfId="4981" priority="5157">
      <formula>LEN(TRIM(N913))&gt;0</formula>
    </cfRule>
  </conditionalFormatting>
  <conditionalFormatting sqref="N913:R913">
    <cfRule type="notContainsBlanks" dxfId="4980" priority="5156">
      <formula>LEN(TRIM(N913))&gt;0</formula>
    </cfRule>
  </conditionalFormatting>
  <conditionalFormatting sqref="N913:R913">
    <cfRule type="notContainsBlanks" dxfId="4979" priority="5155">
      <formula>LEN(TRIM(N913))&gt;0</formula>
    </cfRule>
  </conditionalFormatting>
  <conditionalFormatting sqref="N913:R913">
    <cfRule type="notContainsBlanks" dxfId="4978" priority="5154">
      <formula>LEN(TRIM(N913))&gt;0</formula>
    </cfRule>
  </conditionalFormatting>
  <conditionalFormatting sqref="N913:R913">
    <cfRule type="notContainsBlanks" dxfId="4977" priority="5153">
      <formula>LEN(TRIM(N913))&gt;0</formula>
    </cfRule>
  </conditionalFormatting>
  <conditionalFormatting sqref="N913:R913">
    <cfRule type="notContainsBlanks" dxfId="4976" priority="5152">
      <formula>LEN(TRIM(N913))&gt;0</formula>
    </cfRule>
  </conditionalFormatting>
  <conditionalFormatting sqref="N913:R913">
    <cfRule type="notContainsBlanks" dxfId="4975" priority="5151">
      <formula>LEN(TRIM(N913))&gt;0</formula>
    </cfRule>
  </conditionalFormatting>
  <conditionalFormatting sqref="N913:R913">
    <cfRule type="notContainsBlanks" dxfId="4974" priority="5150">
      <formula>LEN(TRIM(N913))&gt;0</formula>
    </cfRule>
  </conditionalFormatting>
  <conditionalFormatting sqref="N913:R913">
    <cfRule type="notContainsBlanks" dxfId="4973" priority="5148">
      <formula>LEN(TRIM(N913))&gt;0</formula>
    </cfRule>
    <cfRule type="notContainsBlanks" dxfId="4972" priority="5149">
      <formula>LEN(TRIM(N913))&gt;0</formula>
    </cfRule>
  </conditionalFormatting>
  <conditionalFormatting sqref="N913:R913">
    <cfRule type="notContainsBlanks" dxfId="4971" priority="5147">
      <formula>LEN(TRIM(N913))&gt;0</formula>
    </cfRule>
  </conditionalFormatting>
  <conditionalFormatting sqref="N913:R913">
    <cfRule type="notContainsBlanks" dxfId="4970" priority="5146">
      <formula>LEN(TRIM(N913))&gt;0</formula>
    </cfRule>
  </conditionalFormatting>
  <conditionalFormatting sqref="N913:R913">
    <cfRule type="notContainsBlanks" dxfId="4969" priority="5145">
      <formula>LEN(TRIM(N913))&gt;0</formula>
    </cfRule>
  </conditionalFormatting>
  <conditionalFormatting sqref="N913:R913">
    <cfRule type="notContainsBlanks" dxfId="4968" priority="5144">
      <formula>LEN(TRIM(N913))&gt;0</formula>
    </cfRule>
  </conditionalFormatting>
  <conditionalFormatting sqref="N913:R913">
    <cfRule type="notContainsBlanks" dxfId="4967" priority="5143">
      <formula>LEN(TRIM(N913))&gt;0</formula>
    </cfRule>
  </conditionalFormatting>
  <conditionalFormatting sqref="N913:R913">
    <cfRule type="notContainsBlanks" dxfId="4966" priority="5142">
      <formula>LEN(TRIM(N913))&gt;0</formula>
    </cfRule>
  </conditionalFormatting>
  <conditionalFormatting sqref="N913:R913">
    <cfRule type="notContainsBlanks" dxfId="4965" priority="5141">
      <formula>LEN(TRIM(N913))&gt;0</formula>
    </cfRule>
  </conditionalFormatting>
  <conditionalFormatting sqref="N913:R913">
    <cfRule type="notContainsBlanks" dxfId="4964" priority="5140">
      <formula>LEN(TRIM(N913))&gt;0</formula>
    </cfRule>
  </conditionalFormatting>
  <conditionalFormatting sqref="N913:R913">
    <cfRule type="notContainsBlanks" dxfId="4963" priority="5139">
      <formula>LEN(TRIM(N913))&gt;0</formula>
    </cfRule>
  </conditionalFormatting>
  <conditionalFormatting sqref="N913:R913">
    <cfRule type="notContainsBlanks" priority="5138">
      <formula>LEN(TRIM(N913))&gt;0</formula>
    </cfRule>
  </conditionalFormatting>
  <conditionalFormatting sqref="N913:R913">
    <cfRule type="notContainsBlanks" dxfId="4962" priority="5137">
      <formula>LEN(TRIM(N913))&gt;0</formula>
    </cfRule>
  </conditionalFormatting>
  <conditionalFormatting sqref="N913:R913">
    <cfRule type="notContainsBlanks" dxfId="4961" priority="5136">
      <formula>LEN(TRIM(N913))&gt;0</formula>
    </cfRule>
  </conditionalFormatting>
  <conditionalFormatting sqref="N913:R913">
    <cfRule type="notContainsBlanks" dxfId="4960" priority="5135">
      <formula>LEN(TRIM(N913))&gt;0</formula>
    </cfRule>
  </conditionalFormatting>
  <conditionalFormatting sqref="N913:R913">
    <cfRule type="notContainsBlanks" dxfId="4959" priority="5134">
      <formula>LEN(TRIM(N913))&gt;0</formula>
    </cfRule>
  </conditionalFormatting>
  <conditionalFormatting sqref="N913:R913">
    <cfRule type="notContainsBlanks" dxfId="4958" priority="5133">
      <formula>LEN(TRIM(N913))&gt;0</formula>
    </cfRule>
  </conditionalFormatting>
  <conditionalFormatting sqref="N926:R926">
    <cfRule type="notContainsBlanks" dxfId="4957" priority="5132">
      <formula>LEN(TRIM(N926))&gt;0</formula>
    </cfRule>
  </conditionalFormatting>
  <conditionalFormatting sqref="N926:R926">
    <cfRule type="notContainsBlanks" dxfId="4956" priority="5131">
      <formula>LEN(TRIM(N926))&gt;0</formula>
    </cfRule>
  </conditionalFormatting>
  <conditionalFormatting sqref="N926:R926">
    <cfRule type="notContainsBlanks" dxfId="4955" priority="5130">
      <formula>LEN(TRIM(N926))&gt;0</formula>
    </cfRule>
  </conditionalFormatting>
  <conditionalFormatting sqref="N926:R926">
    <cfRule type="notContainsBlanks" dxfId="4954" priority="5129">
      <formula>LEN(TRIM(N926))&gt;0</formula>
    </cfRule>
  </conditionalFormatting>
  <conditionalFormatting sqref="N926:R926">
    <cfRule type="notContainsBlanks" dxfId="4953" priority="5128">
      <formula>LEN(TRIM(N926))&gt;0</formula>
    </cfRule>
  </conditionalFormatting>
  <conditionalFormatting sqref="N926:R926">
    <cfRule type="notContainsBlanks" dxfId="4952" priority="5127">
      <formula>LEN(TRIM(N926))&gt;0</formula>
    </cfRule>
  </conditionalFormatting>
  <conditionalFormatting sqref="N926:R926">
    <cfRule type="notContainsBlanks" dxfId="4951" priority="5126">
      <formula>LEN(TRIM(N926))&gt;0</formula>
    </cfRule>
  </conditionalFormatting>
  <conditionalFormatting sqref="N926:R926">
    <cfRule type="notContainsBlanks" dxfId="4950" priority="5125">
      <formula>LEN(TRIM(N926))&gt;0</formula>
    </cfRule>
  </conditionalFormatting>
  <conditionalFormatting sqref="N926:R926">
    <cfRule type="notContainsBlanks" dxfId="4949" priority="5124">
      <formula>LEN(TRIM(N926))&gt;0</formula>
    </cfRule>
  </conditionalFormatting>
  <conditionalFormatting sqref="N926:R926">
    <cfRule type="notContainsBlanks" dxfId="4948" priority="5122">
      <formula>LEN(TRIM(N926))&gt;0</formula>
    </cfRule>
    <cfRule type="notContainsBlanks" dxfId="4947" priority="5123">
      <formula>LEN(TRIM(N926))&gt;0</formula>
    </cfRule>
  </conditionalFormatting>
  <conditionalFormatting sqref="N926:R926">
    <cfRule type="notContainsBlanks" dxfId="4946" priority="5121">
      <formula>LEN(TRIM(N926))&gt;0</formula>
    </cfRule>
  </conditionalFormatting>
  <conditionalFormatting sqref="N926:R926">
    <cfRule type="notContainsBlanks" dxfId="4945" priority="5120">
      <formula>LEN(TRIM(N926))&gt;0</formula>
    </cfRule>
  </conditionalFormatting>
  <conditionalFormatting sqref="N926:R926">
    <cfRule type="notContainsBlanks" dxfId="4944" priority="5119">
      <formula>LEN(TRIM(N926))&gt;0</formula>
    </cfRule>
  </conditionalFormatting>
  <conditionalFormatting sqref="N926:R926">
    <cfRule type="notContainsBlanks" dxfId="4943" priority="5118">
      <formula>LEN(TRIM(N926))&gt;0</formula>
    </cfRule>
  </conditionalFormatting>
  <conditionalFormatting sqref="N926:R926">
    <cfRule type="notContainsBlanks" dxfId="4942" priority="5117">
      <formula>LEN(TRIM(N926))&gt;0</formula>
    </cfRule>
  </conditionalFormatting>
  <conditionalFormatting sqref="N926:R926">
    <cfRule type="notContainsBlanks" dxfId="4941" priority="5116">
      <formula>LEN(TRIM(N926))&gt;0</formula>
    </cfRule>
  </conditionalFormatting>
  <conditionalFormatting sqref="N926:R926">
    <cfRule type="notContainsBlanks" dxfId="4940" priority="5115">
      <formula>LEN(TRIM(N926))&gt;0</formula>
    </cfRule>
  </conditionalFormatting>
  <conditionalFormatting sqref="N926:R926">
    <cfRule type="notContainsBlanks" dxfId="4939" priority="5114">
      <formula>LEN(TRIM(N926))&gt;0</formula>
    </cfRule>
  </conditionalFormatting>
  <conditionalFormatting sqref="N926:R926">
    <cfRule type="notContainsBlanks" dxfId="4938" priority="5113">
      <formula>LEN(TRIM(N926))&gt;0</formula>
    </cfRule>
  </conditionalFormatting>
  <conditionalFormatting sqref="N926:R926">
    <cfRule type="notContainsBlanks" priority="5112">
      <formula>LEN(TRIM(N926))&gt;0</formula>
    </cfRule>
  </conditionalFormatting>
  <conditionalFormatting sqref="N926:R926">
    <cfRule type="notContainsBlanks" dxfId="4937" priority="5111">
      <formula>LEN(TRIM(N926))&gt;0</formula>
    </cfRule>
  </conditionalFormatting>
  <conditionalFormatting sqref="N926:R926">
    <cfRule type="notContainsBlanks" dxfId="4936" priority="5110">
      <formula>LEN(TRIM(N926))&gt;0</formula>
    </cfRule>
  </conditionalFormatting>
  <conditionalFormatting sqref="N926:R926">
    <cfRule type="notContainsBlanks" dxfId="4935" priority="5109">
      <formula>LEN(TRIM(N926))&gt;0</formula>
    </cfRule>
  </conditionalFormatting>
  <conditionalFormatting sqref="N926:R926">
    <cfRule type="notContainsBlanks" dxfId="4934" priority="5108">
      <formula>LEN(TRIM(N926))&gt;0</formula>
    </cfRule>
  </conditionalFormatting>
  <conditionalFormatting sqref="N926:R926">
    <cfRule type="notContainsBlanks" dxfId="4933" priority="5107">
      <formula>LEN(TRIM(N926))&gt;0</formula>
    </cfRule>
  </conditionalFormatting>
  <conditionalFormatting sqref="N939:R939">
    <cfRule type="notContainsBlanks" dxfId="4932" priority="5106">
      <formula>LEN(TRIM(N939))&gt;0</formula>
    </cfRule>
  </conditionalFormatting>
  <conditionalFormatting sqref="N939:R939">
    <cfRule type="notContainsBlanks" dxfId="4931" priority="5105">
      <formula>LEN(TRIM(N939))&gt;0</formula>
    </cfRule>
  </conditionalFormatting>
  <conditionalFormatting sqref="N939:R939">
    <cfRule type="notContainsBlanks" dxfId="4930" priority="5104">
      <formula>LEN(TRIM(N939))&gt;0</formula>
    </cfRule>
  </conditionalFormatting>
  <conditionalFormatting sqref="N939:R939">
    <cfRule type="notContainsBlanks" dxfId="4929" priority="5103">
      <formula>LEN(TRIM(N939))&gt;0</formula>
    </cfRule>
  </conditionalFormatting>
  <conditionalFormatting sqref="N939:R939">
    <cfRule type="notContainsBlanks" dxfId="4928" priority="5102">
      <formula>LEN(TRIM(N939))&gt;0</formula>
    </cfRule>
  </conditionalFormatting>
  <conditionalFormatting sqref="N939:R939">
    <cfRule type="notContainsBlanks" dxfId="4927" priority="5101">
      <formula>LEN(TRIM(N939))&gt;0</formula>
    </cfRule>
  </conditionalFormatting>
  <conditionalFormatting sqref="N939:R939">
    <cfRule type="notContainsBlanks" dxfId="4926" priority="5100">
      <formula>LEN(TRIM(N939))&gt;0</formula>
    </cfRule>
  </conditionalFormatting>
  <conditionalFormatting sqref="N939:R939">
    <cfRule type="notContainsBlanks" dxfId="4925" priority="5099">
      <formula>LEN(TRIM(N939))&gt;0</formula>
    </cfRule>
  </conditionalFormatting>
  <conditionalFormatting sqref="N939:R939">
    <cfRule type="notContainsBlanks" dxfId="4924" priority="5098">
      <formula>LEN(TRIM(N939))&gt;0</formula>
    </cfRule>
  </conditionalFormatting>
  <conditionalFormatting sqref="N939:R939">
    <cfRule type="notContainsBlanks" dxfId="4923" priority="5096">
      <formula>LEN(TRIM(N939))&gt;0</formula>
    </cfRule>
    <cfRule type="notContainsBlanks" dxfId="4922" priority="5097">
      <formula>LEN(TRIM(N939))&gt;0</formula>
    </cfRule>
  </conditionalFormatting>
  <conditionalFormatting sqref="N939:R939">
    <cfRule type="notContainsBlanks" dxfId="4921" priority="5095">
      <formula>LEN(TRIM(N939))&gt;0</formula>
    </cfRule>
  </conditionalFormatting>
  <conditionalFormatting sqref="N939:R939">
    <cfRule type="notContainsBlanks" dxfId="4920" priority="5094">
      <formula>LEN(TRIM(N939))&gt;0</formula>
    </cfRule>
  </conditionalFormatting>
  <conditionalFormatting sqref="N939:R939">
    <cfRule type="notContainsBlanks" dxfId="4919" priority="5093">
      <formula>LEN(TRIM(N939))&gt;0</formula>
    </cfRule>
  </conditionalFormatting>
  <conditionalFormatting sqref="N939:R939">
    <cfRule type="notContainsBlanks" dxfId="4918" priority="5092">
      <formula>LEN(TRIM(N939))&gt;0</formula>
    </cfRule>
  </conditionalFormatting>
  <conditionalFormatting sqref="N939:R939">
    <cfRule type="notContainsBlanks" dxfId="4917" priority="5091">
      <formula>LEN(TRIM(N939))&gt;0</formula>
    </cfRule>
  </conditionalFormatting>
  <conditionalFormatting sqref="N939:R939">
    <cfRule type="notContainsBlanks" dxfId="4916" priority="5090">
      <formula>LEN(TRIM(N939))&gt;0</formula>
    </cfRule>
  </conditionalFormatting>
  <conditionalFormatting sqref="N939:R939">
    <cfRule type="notContainsBlanks" dxfId="4915" priority="5089">
      <formula>LEN(TRIM(N939))&gt;0</formula>
    </cfRule>
  </conditionalFormatting>
  <conditionalFormatting sqref="N939:R939">
    <cfRule type="notContainsBlanks" dxfId="4914" priority="5088">
      <formula>LEN(TRIM(N939))&gt;0</formula>
    </cfRule>
  </conditionalFormatting>
  <conditionalFormatting sqref="N939:R939">
    <cfRule type="notContainsBlanks" dxfId="4913" priority="5087">
      <formula>LEN(TRIM(N939))&gt;0</formula>
    </cfRule>
  </conditionalFormatting>
  <conditionalFormatting sqref="N939:R939">
    <cfRule type="notContainsBlanks" priority="5086">
      <formula>LEN(TRIM(N939))&gt;0</formula>
    </cfRule>
  </conditionalFormatting>
  <conditionalFormatting sqref="N939:R939">
    <cfRule type="notContainsBlanks" dxfId="4912" priority="5085">
      <formula>LEN(TRIM(N939))&gt;0</formula>
    </cfRule>
  </conditionalFormatting>
  <conditionalFormatting sqref="N939:R939">
    <cfRule type="notContainsBlanks" dxfId="4911" priority="5084">
      <formula>LEN(TRIM(N939))&gt;0</formula>
    </cfRule>
  </conditionalFormatting>
  <conditionalFormatting sqref="N939:R939">
    <cfRule type="notContainsBlanks" dxfId="4910" priority="5083">
      <formula>LEN(TRIM(N939))&gt;0</formula>
    </cfRule>
  </conditionalFormatting>
  <conditionalFormatting sqref="N939:R939">
    <cfRule type="notContainsBlanks" dxfId="4909" priority="5082">
      <formula>LEN(TRIM(N939))&gt;0</formula>
    </cfRule>
  </conditionalFormatting>
  <conditionalFormatting sqref="N939:R939">
    <cfRule type="notContainsBlanks" dxfId="4908" priority="5081">
      <formula>LEN(TRIM(N939))&gt;0</formula>
    </cfRule>
  </conditionalFormatting>
  <conditionalFormatting sqref="N952:R952">
    <cfRule type="notContainsBlanks" dxfId="4907" priority="5080">
      <formula>LEN(TRIM(N952))&gt;0</formula>
    </cfRule>
  </conditionalFormatting>
  <conditionalFormatting sqref="N952:R952">
    <cfRule type="notContainsBlanks" dxfId="4906" priority="5079">
      <formula>LEN(TRIM(N952))&gt;0</formula>
    </cfRule>
  </conditionalFormatting>
  <conditionalFormatting sqref="N952:R952">
    <cfRule type="notContainsBlanks" dxfId="4905" priority="5078">
      <formula>LEN(TRIM(N952))&gt;0</formula>
    </cfRule>
  </conditionalFormatting>
  <conditionalFormatting sqref="N952:R952">
    <cfRule type="notContainsBlanks" dxfId="4904" priority="5077">
      <formula>LEN(TRIM(N952))&gt;0</formula>
    </cfRule>
  </conditionalFormatting>
  <conditionalFormatting sqref="N952:R952">
    <cfRule type="notContainsBlanks" dxfId="4903" priority="5076">
      <formula>LEN(TRIM(N952))&gt;0</formula>
    </cfRule>
  </conditionalFormatting>
  <conditionalFormatting sqref="N952:R952">
    <cfRule type="notContainsBlanks" dxfId="4902" priority="5075">
      <formula>LEN(TRIM(N952))&gt;0</formula>
    </cfRule>
  </conditionalFormatting>
  <conditionalFormatting sqref="N952:R952">
    <cfRule type="notContainsBlanks" dxfId="4901" priority="5074">
      <formula>LEN(TRIM(N952))&gt;0</formula>
    </cfRule>
  </conditionalFormatting>
  <conditionalFormatting sqref="N952:R952">
    <cfRule type="notContainsBlanks" dxfId="4900" priority="5073">
      <formula>LEN(TRIM(N952))&gt;0</formula>
    </cfRule>
  </conditionalFormatting>
  <conditionalFormatting sqref="N952:R952">
    <cfRule type="notContainsBlanks" dxfId="4899" priority="5072">
      <formula>LEN(TRIM(N952))&gt;0</formula>
    </cfRule>
  </conditionalFormatting>
  <conditionalFormatting sqref="N952:R952">
    <cfRule type="notContainsBlanks" dxfId="4898" priority="5070">
      <formula>LEN(TRIM(N952))&gt;0</formula>
    </cfRule>
    <cfRule type="notContainsBlanks" dxfId="4897" priority="5071">
      <formula>LEN(TRIM(N952))&gt;0</formula>
    </cfRule>
  </conditionalFormatting>
  <conditionalFormatting sqref="N952:R952">
    <cfRule type="notContainsBlanks" dxfId="4896" priority="5069">
      <formula>LEN(TRIM(N952))&gt;0</formula>
    </cfRule>
  </conditionalFormatting>
  <conditionalFormatting sqref="N952:R952">
    <cfRule type="notContainsBlanks" dxfId="4895" priority="5068">
      <formula>LEN(TRIM(N952))&gt;0</formula>
    </cfRule>
  </conditionalFormatting>
  <conditionalFormatting sqref="N952:R952">
    <cfRule type="notContainsBlanks" dxfId="4894" priority="5067">
      <formula>LEN(TRIM(N952))&gt;0</formula>
    </cfRule>
  </conditionalFormatting>
  <conditionalFormatting sqref="N952:R952">
    <cfRule type="notContainsBlanks" dxfId="4893" priority="5066">
      <formula>LEN(TRIM(N952))&gt;0</formula>
    </cfRule>
  </conditionalFormatting>
  <conditionalFormatting sqref="N952:R952">
    <cfRule type="notContainsBlanks" dxfId="4892" priority="5065">
      <formula>LEN(TRIM(N952))&gt;0</formula>
    </cfRule>
  </conditionalFormatting>
  <conditionalFormatting sqref="N952:R952">
    <cfRule type="notContainsBlanks" dxfId="4891" priority="5064">
      <formula>LEN(TRIM(N952))&gt;0</formula>
    </cfRule>
  </conditionalFormatting>
  <conditionalFormatting sqref="N952:R952">
    <cfRule type="notContainsBlanks" dxfId="4890" priority="5063">
      <formula>LEN(TRIM(N952))&gt;0</formula>
    </cfRule>
  </conditionalFormatting>
  <conditionalFormatting sqref="N952:R952">
    <cfRule type="notContainsBlanks" dxfId="4889" priority="5062">
      <formula>LEN(TRIM(N952))&gt;0</formula>
    </cfRule>
  </conditionalFormatting>
  <conditionalFormatting sqref="N952:R952">
    <cfRule type="notContainsBlanks" dxfId="4888" priority="5061">
      <formula>LEN(TRIM(N952))&gt;0</formula>
    </cfRule>
  </conditionalFormatting>
  <conditionalFormatting sqref="N952:R952">
    <cfRule type="notContainsBlanks" priority="5060">
      <formula>LEN(TRIM(N952))&gt;0</formula>
    </cfRule>
  </conditionalFormatting>
  <conditionalFormatting sqref="N952:R952">
    <cfRule type="notContainsBlanks" dxfId="4887" priority="5059">
      <formula>LEN(TRIM(N952))&gt;0</formula>
    </cfRule>
  </conditionalFormatting>
  <conditionalFormatting sqref="N952:R952">
    <cfRule type="notContainsBlanks" dxfId="4886" priority="5058">
      <formula>LEN(TRIM(N952))&gt;0</formula>
    </cfRule>
  </conditionalFormatting>
  <conditionalFormatting sqref="N952:R952">
    <cfRule type="notContainsBlanks" dxfId="4885" priority="5057">
      <formula>LEN(TRIM(N952))&gt;0</formula>
    </cfRule>
  </conditionalFormatting>
  <conditionalFormatting sqref="N952:R952">
    <cfRule type="notContainsBlanks" dxfId="4884" priority="5056">
      <formula>LEN(TRIM(N952))&gt;0</formula>
    </cfRule>
  </conditionalFormatting>
  <conditionalFormatting sqref="N952:R952">
    <cfRule type="notContainsBlanks" dxfId="4883" priority="5055">
      <formula>LEN(TRIM(N952))&gt;0</formula>
    </cfRule>
  </conditionalFormatting>
  <conditionalFormatting sqref="N965:R965">
    <cfRule type="notContainsBlanks" dxfId="4882" priority="5054">
      <formula>LEN(TRIM(N965))&gt;0</formula>
    </cfRule>
  </conditionalFormatting>
  <conditionalFormatting sqref="N965:R965">
    <cfRule type="notContainsBlanks" dxfId="4881" priority="5053">
      <formula>LEN(TRIM(N965))&gt;0</formula>
    </cfRule>
  </conditionalFormatting>
  <conditionalFormatting sqref="N965:R965">
    <cfRule type="notContainsBlanks" dxfId="4880" priority="5052">
      <formula>LEN(TRIM(N965))&gt;0</formula>
    </cfRule>
  </conditionalFormatting>
  <conditionalFormatting sqref="N965:R965">
    <cfRule type="notContainsBlanks" dxfId="4879" priority="5051">
      <formula>LEN(TRIM(N965))&gt;0</formula>
    </cfRule>
  </conditionalFormatting>
  <conditionalFormatting sqref="N965:R965">
    <cfRule type="notContainsBlanks" dxfId="4878" priority="5050">
      <formula>LEN(TRIM(N965))&gt;0</formula>
    </cfRule>
  </conditionalFormatting>
  <conditionalFormatting sqref="N965:R965">
    <cfRule type="notContainsBlanks" dxfId="4877" priority="5049">
      <formula>LEN(TRIM(N965))&gt;0</formula>
    </cfRule>
  </conditionalFormatting>
  <conditionalFormatting sqref="N965:R965">
    <cfRule type="notContainsBlanks" dxfId="4876" priority="5048">
      <formula>LEN(TRIM(N965))&gt;0</formula>
    </cfRule>
  </conditionalFormatting>
  <conditionalFormatting sqref="N965:R965">
    <cfRule type="notContainsBlanks" dxfId="4875" priority="5047">
      <formula>LEN(TRIM(N965))&gt;0</formula>
    </cfRule>
  </conditionalFormatting>
  <conditionalFormatting sqref="N965:R965">
    <cfRule type="notContainsBlanks" dxfId="4874" priority="5046">
      <formula>LEN(TRIM(N965))&gt;0</formula>
    </cfRule>
  </conditionalFormatting>
  <conditionalFormatting sqref="N965:R965">
    <cfRule type="notContainsBlanks" dxfId="4873" priority="5044">
      <formula>LEN(TRIM(N965))&gt;0</formula>
    </cfRule>
    <cfRule type="notContainsBlanks" dxfId="4872" priority="5045">
      <formula>LEN(TRIM(N965))&gt;0</formula>
    </cfRule>
  </conditionalFormatting>
  <conditionalFormatting sqref="N965:R965">
    <cfRule type="notContainsBlanks" dxfId="4871" priority="5043">
      <formula>LEN(TRIM(N965))&gt;0</formula>
    </cfRule>
  </conditionalFormatting>
  <conditionalFormatting sqref="N965:R965">
    <cfRule type="notContainsBlanks" dxfId="4870" priority="5042">
      <formula>LEN(TRIM(N965))&gt;0</formula>
    </cfRule>
  </conditionalFormatting>
  <conditionalFormatting sqref="N965:R965">
    <cfRule type="notContainsBlanks" dxfId="4869" priority="5041">
      <formula>LEN(TRIM(N965))&gt;0</formula>
    </cfRule>
  </conditionalFormatting>
  <conditionalFormatting sqref="N965:R965">
    <cfRule type="notContainsBlanks" dxfId="4868" priority="5040">
      <formula>LEN(TRIM(N965))&gt;0</formula>
    </cfRule>
  </conditionalFormatting>
  <conditionalFormatting sqref="N965:R965">
    <cfRule type="notContainsBlanks" dxfId="4867" priority="5039">
      <formula>LEN(TRIM(N965))&gt;0</formula>
    </cfRule>
  </conditionalFormatting>
  <conditionalFormatting sqref="N965:R965">
    <cfRule type="notContainsBlanks" dxfId="4866" priority="5038">
      <formula>LEN(TRIM(N965))&gt;0</formula>
    </cfRule>
  </conditionalFormatting>
  <conditionalFormatting sqref="N965:R965">
    <cfRule type="notContainsBlanks" dxfId="4865" priority="5037">
      <formula>LEN(TRIM(N965))&gt;0</formula>
    </cfRule>
  </conditionalFormatting>
  <conditionalFormatting sqref="N965:R965">
    <cfRule type="notContainsBlanks" dxfId="4864" priority="5036">
      <formula>LEN(TRIM(N965))&gt;0</formula>
    </cfRule>
  </conditionalFormatting>
  <conditionalFormatting sqref="N965:R965">
    <cfRule type="notContainsBlanks" dxfId="4863" priority="5035">
      <formula>LEN(TRIM(N965))&gt;0</formula>
    </cfRule>
  </conditionalFormatting>
  <conditionalFormatting sqref="N965:R965">
    <cfRule type="notContainsBlanks" priority="5034">
      <formula>LEN(TRIM(N965))&gt;0</formula>
    </cfRule>
  </conditionalFormatting>
  <conditionalFormatting sqref="N965:R965">
    <cfRule type="notContainsBlanks" dxfId="4862" priority="5033">
      <formula>LEN(TRIM(N965))&gt;0</formula>
    </cfRule>
  </conditionalFormatting>
  <conditionalFormatting sqref="N965:R965">
    <cfRule type="notContainsBlanks" dxfId="4861" priority="5032">
      <formula>LEN(TRIM(N965))&gt;0</formula>
    </cfRule>
  </conditionalFormatting>
  <conditionalFormatting sqref="N965:R965">
    <cfRule type="notContainsBlanks" dxfId="4860" priority="5031">
      <formula>LEN(TRIM(N965))&gt;0</formula>
    </cfRule>
  </conditionalFormatting>
  <conditionalFormatting sqref="N965:R965">
    <cfRule type="notContainsBlanks" dxfId="4859" priority="5030">
      <formula>LEN(TRIM(N965))&gt;0</formula>
    </cfRule>
  </conditionalFormatting>
  <conditionalFormatting sqref="N965:R965">
    <cfRule type="notContainsBlanks" dxfId="4858" priority="5029">
      <formula>LEN(TRIM(N965))&gt;0</formula>
    </cfRule>
  </conditionalFormatting>
  <conditionalFormatting sqref="N978:R978">
    <cfRule type="notContainsBlanks" dxfId="4857" priority="5028">
      <formula>LEN(TRIM(N978))&gt;0</formula>
    </cfRule>
  </conditionalFormatting>
  <conditionalFormatting sqref="N978:R978">
    <cfRule type="notContainsBlanks" dxfId="4856" priority="5027">
      <formula>LEN(TRIM(N978))&gt;0</formula>
    </cfRule>
  </conditionalFormatting>
  <conditionalFormatting sqref="N978:R978">
    <cfRule type="notContainsBlanks" dxfId="4855" priority="5026">
      <formula>LEN(TRIM(N978))&gt;0</formula>
    </cfRule>
  </conditionalFormatting>
  <conditionalFormatting sqref="N978:R978">
    <cfRule type="notContainsBlanks" dxfId="4854" priority="5025">
      <formula>LEN(TRIM(N978))&gt;0</formula>
    </cfRule>
  </conditionalFormatting>
  <conditionalFormatting sqref="N978:R978">
    <cfRule type="notContainsBlanks" dxfId="4853" priority="5024">
      <formula>LEN(TRIM(N978))&gt;0</formula>
    </cfRule>
  </conditionalFormatting>
  <conditionalFormatting sqref="N978:R978">
    <cfRule type="notContainsBlanks" dxfId="4852" priority="5023">
      <formula>LEN(TRIM(N978))&gt;0</formula>
    </cfRule>
  </conditionalFormatting>
  <conditionalFormatting sqref="N978:R978">
    <cfRule type="notContainsBlanks" dxfId="4851" priority="5022">
      <formula>LEN(TRIM(N978))&gt;0</formula>
    </cfRule>
  </conditionalFormatting>
  <conditionalFormatting sqref="N978:R978">
    <cfRule type="notContainsBlanks" dxfId="4850" priority="5021">
      <formula>LEN(TRIM(N978))&gt;0</formula>
    </cfRule>
  </conditionalFormatting>
  <conditionalFormatting sqref="N978:R978">
    <cfRule type="notContainsBlanks" dxfId="4849" priority="5020">
      <formula>LEN(TRIM(N978))&gt;0</formula>
    </cfRule>
  </conditionalFormatting>
  <conditionalFormatting sqref="N978:R978">
    <cfRule type="notContainsBlanks" dxfId="4848" priority="5018">
      <formula>LEN(TRIM(N978))&gt;0</formula>
    </cfRule>
    <cfRule type="notContainsBlanks" dxfId="4847" priority="5019">
      <formula>LEN(TRIM(N978))&gt;0</formula>
    </cfRule>
  </conditionalFormatting>
  <conditionalFormatting sqref="N978:R978">
    <cfRule type="notContainsBlanks" dxfId="4846" priority="5017">
      <formula>LEN(TRIM(N978))&gt;0</formula>
    </cfRule>
  </conditionalFormatting>
  <conditionalFormatting sqref="N978:R978">
    <cfRule type="notContainsBlanks" dxfId="4845" priority="5016">
      <formula>LEN(TRIM(N978))&gt;0</formula>
    </cfRule>
  </conditionalFormatting>
  <conditionalFormatting sqref="N978:R978">
    <cfRule type="notContainsBlanks" dxfId="4844" priority="5015">
      <formula>LEN(TRIM(N978))&gt;0</formula>
    </cfRule>
  </conditionalFormatting>
  <conditionalFormatting sqref="N978:R978">
    <cfRule type="notContainsBlanks" dxfId="4843" priority="5014">
      <formula>LEN(TRIM(N978))&gt;0</formula>
    </cfRule>
  </conditionalFormatting>
  <conditionalFormatting sqref="N978:R978">
    <cfRule type="notContainsBlanks" dxfId="4842" priority="5013">
      <formula>LEN(TRIM(N978))&gt;0</formula>
    </cfRule>
  </conditionalFormatting>
  <conditionalFormatting sqref="N978:R978">
    <cfRule type="notContainsBlanks" dxfId="4841" priority="5012">
      <formula>LEN(TRIM(N978))&gt;0</formula>
    </cfRule>
  </conditionalFormatting>
  <conditionalFormatting sqref="N978:R978">
    <cfRule type="notContainsBlanks" dxfId="4840" priority="5011">
      <formula>LEN(TRIM(N978))&gt;0</formula>
    </cfRule>
  </conditionalFormatting>
  <conditionalFormatting sqref="N978:R978">
    <cfRule type="notContainsBlanks" dxfId="4839" priority="5010">
      <formula>LEN(TRIM(N978))&gt;0</formula>
    </cfRule>
  </conditionalFormatting>
  <conditionalFormatting sqref="N978:R978">
    <cfRule type="notContainsBlanks" dxfId="4838" priority="5009">
      <formula>LEN(TRIM(N978))&gt;0</formula>
    </cfRule>
  </conditionalFormatting>
  <conditionalFormatting sqref="N978:R978">
    <cfRule type="notContainsBlanks" priority="5008">
      <formula>LEN(TRIM(N978))&gt;0</formula>
    </cfRule>
  </conditionalFormatting>
  <conditionalFormatting sqref="N978:R978">
    <cfRule type="notContainsBlanks" dxfId="4837" priority="5007">
      <formula>LEN(TRIM(N978))&gt;0</formula>
    </cfRule>
  </conditionalFormatting>
  <conditionalFormatting sqref="N978:R978">
    <cfRule type="notContainsBlanks" dxfId="4836" priority="5006">
      <formula>LEN(TRIM(N978))&gt;0</formula>
    </cfRule>
  </conditionalFormatting>
  <conditionalFormatting sqref="N978:R978">
    <cfRule type="notContainsBlanks" dxfId="4835" priority="5005">
      <formula>LEN(TRIM(N978))&gt;0</formula>
    </cfRule>
  </conditionalFormatting>
  <conditionalFormatting sqref="N978:R978">
    <cfRule type="notContainsBlanks" dxfId="4834" priority="5004">
      <formula>LEN(TRIM(N978))&gt;0</formula>
    </cfRule>
  </conditionalFormatting>
  <conditionalFormatting sqref="N978:R978">
    <cfRule type="notContainsBlanks" dxfId="4833" priority="5003">
      <formula>LEN(TRIM(N978))&gt;0</formula>
    </cfRule>
  </conditionalFormatting>
  <conditionalFormatting sqref="N991:R991">
    <cfRule type="notContainsBlanks" dxfId="4832" priority="5002">
      <formula>LEN(TRIM(N991))&gt;0</formula>
    </cfRule>
  </conditionalFormatting>
  <conditionalFormatting sqref="N991:R991">
    <cfRule type="notContainsBlanks" dxfId="4831" priority="5001">
      <formula>LEN(TRIM(N991))&gt;0</formula>
    </cfRule>
  </conditionalFormatting>
  <conditionalFormatting sqref="N991:R991">
    <cfRule type="notContainsBlanks" dxfId="4830" priority="5000">
      <formula>LEN(TRIM(N991))&gt;0</formula>
    </cfRule>
  </conditionalFormatting>
  <conditionalFormatting sqref="N991:R991">
    <cfRule type="notContainsBlanks" dxfId="4829" priority="4999">
      <formula>LEN(TRIM(N991))&gt;0</formula>
    </cfRule>
  </conditionalFormatting>
  <conditionalFormatting sqref="N991:R991">
    <cfRule type="notContainsBlanks" dxfId="4828" priority="4998">
      <formula>LEN(TRIM(N991))&gt;0</formula>
    </cfRule>
  </conditionalFormatting>
  <conditionalFormatting sqref="N991:R991">
    <cfRule type="notContainsBlanks" dxfId="4827" priority="4997">
      <formula>LEN(TRIM(N991))&gt;0</formula>
    </cfRule>
  </conditionalFormatting>
  <conditionalFormatting sqref="N991:R991">
    <cfRule type="notContainsBlanks" dxfId="4826" priority="4996">
      <formula>LEN(TRIM(N991))&gt;0</formula>
    </cfRule>
  </conditionalFormatting>
  <conditionalFormatting sqref="N991:R991">
    <cfRule type="notContainsBlanks" dxfId="4825" priority="4995">
      <formula>LEN(TRIM(N991))&gt;0</formula>
    </cfRule>
  </conditionalFormatting>
  <conditionalFormatting sqref="N991:R991">
    <cfRule type="notContainsBlanks" dxfId="4824" priority="4994">
      <formula>LEN(TRIM(N991))&gt;0</formula>
    </cfRule>
  </conditionalFormatting>
  <conditionalFormatting sqref="N991:R991">
    <cfRule type="notContainsBlanks" dxfId="4823" priority="4992">
      <formula>LEN(TRIM(N991))&gt;0</formula>
    </cfRule>
    <cfRule type="notContainsBlanks" dxfId="4822" priority="4993">
      <formula>LEN(TRIM(N991))&gt;0</formula>
    </cfRule>
  </conditionalFormatting>
  <conditionalFormatting sqref="N991:R991">
    <cfRule type="notContainsBlanks" dxfId="4821" priority="4991">
      <formula>LEN(TRIM(N991))&gt;0</formula>
    </cfRule>
  </conditionalFormatting>
  <conditionalFormatting sqref="N991:R991">
    <cfRule type="notContainsBlanks" dxfId="4820" priority="4990">
      <formula>LEN(TRIM(N991))&gt;0</formula>
    </cfRule>
  </conditionalFormatting>
  <conditionalFormatting sqref="N991:R991">
    <cfRule type="notContainsBlanks" dxfId="4819" priority="4989">
      <formula>LEN(TRIM(N991))&gt;0</formula>
    </cfRule>
  </conditionalFormatting>
  <conditionalFormatting sqref="N991:R991">
    <cfRule type="notContainsBlanks" dxfId="4818" priority="4988">
      <formula>LEN(TRIM(N991))&gt;0</formula>
    </cfRule>
  </conditionalFormatting>
  <conditionalFormatting sqref="N991:R991">
    <cfRule type="notContainsBlanks" dxfId="4817" priority="4987">
      <formula>LEN(TRIM(N991))&gt;0</formula>
    </cfRule>
  </conditionalFormatting>
  <conditionalFormatting sqref="N991:R991">
    <cfRule type="notContainsBlanks" dxfId="4816" priority="4986">
      <formula>LEN(TRIM(N991))&gt;0</formula>
    </cfRule>
  </conditionalFormatting>
  <conditionalFormatting sqref="N991:R991">
    <cfRule type="notContainsBlanks" dxfId="4815" priority="4985">
      <formula>LEN(TRIM(N991))&gt;0</formula>
    </cfRule>
  </conditionalFormatting>
  <conditionalFormatting sqref="N991:R991">
    <cfRule type="notContainsBlanks" dxfId="4814" priority="4984">
      <formula>LEN(TRIM(N991))&gt;0</formula>
    </cfRule>
  </conditionalFormatting>
  <conditionalFormatting sqref="N991:R991">
    <cfRule type="notContainsBlanks" dxfId="4813" priority="4983">
      <formula>LEN(TRIM(N991))&gt;0</formula>
    </cfRule>
  </conditionalFormatting>
  <conditionalFormatting sqref="N991:R991">
    <cfRule type="notContainsBlanks" priority="4982">
      <formula>LEN(TRIM(N991))&gt;0</formula>
    </cfRule>
  </conditionalFormatting>
  <conditionalFormatting sqref="N991:R991">
    <cfRule type="notContainsBlanks" dxfId="4812" priority="4981">
      <formula>LEN(TRIM(N991))&gt;0</formula>
    </cfRule>
  </conditionalFormatting>
  <conditionalFormatting sqref="N991:R991">
    <cfRule type="notContainsBlanks" dxfId="4811" priority="4980">
      <formula>LEN(TRIM(N991))&gt;0</formula>
    </cfRule>
  </conditionalFormatting>
  <conditionalFormatting sqref="N991:R991">
    <cfRule type="notContainsBlanks" dxfId="4810" priority="4979">
      <formula>LEN(TRIM(N991))&gt;0</formula>
    </cfRule>
  </conditionalFormatting>
  <conditionalFormatting sqref="N991:R991">
    <cfRule type="notContainsBlanks" dxfId="4809" priority="4978">
      <formula>LEN(TRIM(N991))&gt;0</formula>
    </cfRule>
  </conditionalFormatting>
  <conditionalFormatting sqref="N991:R991">
    <cfRule type="notContainsBlanks" dxfId="4808" priority="4977">
      <formula>LEN(TRIM(N991))&gt;0</formula>
    </cfRule>
  </conditionalFormatting>
  <conditionalFormatting sqref="N1004:R1004">
    <cfRule type="notContainsBlanks" dxfId="4807" priority="4976">
      <formula>LEN(TRIM(N1004))&gt;0</formula>
    </cfRule>
  </conditionalFormatting>
  <conditionalFormatting sqref="N1004:R1004">
    <cfRule type="notContainsBlanks" dxfId="4806" priority="4975">
      <formula>LEN(TRIM(N1004))&gt;0</formula>
    </cfRule>
  </conditionalFormatting>
  <conditionalFormatting sqref="N1004:R1004">
    <cfRule type="notContainsBlanks" dxfId="4805" priority="4974">
      <formula>LEN(TRIM(N1004))&gt;0</formula>
    </cfRule>
  </conditionalFormatting>
  <conditionalFormatting sqref="N1004:R1004">
    <cfRule type="notContainsBlanks" dxfId="4804" priority="4973">
      <formula>LEN(TRIM(N1004))&gt;0</formula>
    </cfRule>
  </conditionalFormatting>
  <conditionalFormatting sqref="N1004:R1004">
    <cfRule type="notContainsBlanks" dxfId="4803" priority="4972">
      <formula>LEN(TRIM(N1004))&gt;0</formula>
    </cfRule>
  </conditionalFormatting>
  <conditionalFormatting sqref="N1004:R1004">
    <cfRule type="notContainsBlanks" dxfId="4802" priority="4971">
      <formula>LEN(TRIM(N1004))&gt;0</formula>
    </cfRule>
  </conditionalFormatting>
  <conditionalFormatting sqref="N1004:R1004">
    <cfRule type="notContainsBlanks" dxfId="4801" priority="4970">
      <formula>LEN(TRIM(N1004))&gt;0</formula>
    </cfRule>
  </conditionalFormatting>
  <conditionalFormatting sqref="N1004:R1004">
    <cfRule type="notContainsBlanks" dxfId="4800" priority="4969">
      <formula>LEN(TRIM(N1004))&gt;0</formula>
    </cfRule>
  </conditionalFormatting>
  <conditionalFormatting sqref="N1004:R1004">
    <cfRule type="notContainsBlanks" dxfId="4799" priority="4968">
      <formula>LEN(TRIM(N1004))&gt;0</formula>
    </cfRule>
  </conditionalFormatting>
  <conditionalFormatting sqref="N1004:R1004">
    <cfRule type="notContainsBlanks" dxfId="4798" priority="4966">
      <formula>LEN(TRIM(N1004))&gt;0</formula>
    </cfRule>
    <cfRule type="notContainsBlanks" dxfId="4797" priority="4967">
      <formula>LEN(TRIM(N1004))&gt;0</formula>
    </cfRule>
  </conditionalFormatting>
  <conditionalFormatting sqref="N1004:R1004">
    <cfRule type="notContainsBlanks" dxfId="4796" priority="4965">
      <formula>LEN(TRIM(N1004))&gt;0</formula>
    </cfRule>
  </conditionalFormatting>
  <conditionalFormatting sqref="N1004:R1004">
    <cfRule type="notContainsBlanks" dxfId="4795" priority="4964">
      <formula>LEN(TRIM(N1004))&gt;0</formula>
    </cfRule>
  </conditionalFormatting>
  <conditionalFormatting sqref="N1004:R1004">
    <cfRule type="notContainsBlanks" dxfId="4794" priority="4963">
      <formula>LEN(TRIM(N1004))&gt;0</formula>
    </cfRule>
  </conditionalFormatting>
  <conditionalFormatting sqref="N1004:R1004">
    <cfRule type="notContainsBlanks" dxfId="4793" priority="4962">
      <formula>LEN(TRIM(N1004))&gt;0</formula>
    </cfRule>
  </conditionalFormatting>
  <conditionalFormatting sqref="N1004:R1004">
    <cfRule type="notContainsBlanks" dxfId="4792" priority="4961">
      <formula>LEN(TRIM(N1004))&gt;0</formula>
    </cfRule>
  </conditionalFormatting>
  <conditionalFormatting sqref="N1004:R1004">
    <cfRule type="notContainsBlanks" dxfId="4791" priority="4960">
      <formula>LEN(TRIM(N1004))&gt;0</formula>
    </cfRule>
  </conditionalFormatting>
  <conditionalFormatting sqref="N1004:R1004">
    <cfRule type="notContainsBlanks" dxfId="4790" priority="4959">
      <formula>LEN(TRIM(N1004))&gt;0</formula>
    </cfRule>
  </conditionalFormatting>
  <conditionalFormatting sqref="N1004:R1004">
    <cfRule type="notContainsBlanks" dxfId="4789" priority="4958">
      <formula>LEN(TRIM(N1004))&gt;0</formula>
    </cfRule>
  </conditionalFormatting>
  <conditionalFormatting sqref="N1004:R1004">
    <cfRule type="notContainsBlanks" dxfId="4788" priority="4957">
      <formula>LEN(TRIM(N1004))&gt;0</formula>
    </cfRule>
  </conditionalFormatting>
  <conditionalFormatting sqref="N1004:R1004">
    <cfRule type="notContainsBlanks" priority="4956">
      <formula>LEN(TRIM(N1004))&gt;0</formula>
    </cfRule>
  </conditionalFormatting>
  <conditionalFormatting sqref="N1004:R1004">
    <cfRule type="notContainsBlanks" dxfId="4787" priority="4955">
      <formula>LEN(TRIM(N1004))&gt;0</formula>
    </cfRule>
  </conditionalFormatting>
  <conditionalFormatting sqref="N1004:R1004">
    <cfRule type="notContainsBlanks" dxfId="4786" priority="4954">
      <formula>LEN(TRIM(N1004))&gt;0</formula>
    </cfRule>
  </conditionalFormatting>
  <conditionalFormatting sqref="N1004:R1004">
    <cfRule type="notContainsBlanks" dxfId="4785" priority="4953">
      <formula>LEN(TRIM(N1004))&gt;0</formula>
    </cfRule>
  </conditionalFormatting>
  <conditionalFormatting sqref="N1004:R1004">
    <cfRule type="notContainsBlanks" dxfId="4784" priority="4952">
      <formula>LEN(TRIM(N1004))&gt;0</formula>
    </cfRule>
  </conditionalFormatting>
  <conditionalFormatting sqref="N1004:R1004">
    <cfRule type="notContainsBlanks" dxfId="4783" priority="4951">
      <formula>LEN(TRIM(N1004))&gt;0</formula>
    </cfRule>
  </conditionalFormatting>
  <conditionalFormatting sqref="N1017:R1017">
    <cfRule type="notContainsBlanks" dxfId="4782" priority="4950">
      <formula>LEN(TRIM(N1017))&gt;0</formula>
    </cfRule>
  </conditionalFormatting>
  <conditionalFormatting sqref="N1017:R1017">
    <cfRule type="notContainsBlanks" dxfId="4781" priority="4949">
      <formula>LEN(TRIM(N1017))&gt;0</formula>
    </cfRule>
  </conditionalFormatting>
  <conditionalFormatting sqref="N1017:R1017">
    <cfRule type="notContainsBlanks" dxfId="4780" priority="4948">
      <formula>LEN(TRIM(N1017))&gt;0</formula>
    </cfRule>
  </conditionalFormatting>
  <conditionalFormatting sqref="N1017:R1017">
    <cfRule type="notContainsBlanks" dxfId="4779" priority="4947">
      <formula>LEN(TRIM(N1017))&gt;0</formula>
    </cfRule>
  </conditionalFormatting>
  <conditionalFormatting sqref="N1017:R1017">
    <cfRule type="notContainsBlanks" dxfId="4778" priority="4946">
      <formula>LEN(TRIM(N1017))&gt;0</formula>
    </cfRule>
  </conditionalFormatting>
  <conditionalFormatting sqref="N1017:R1017">
    <cfRule type="notContainsBlanks" dxfId="4777" priority="4945">
      <formula>LEN(TRIM(N1017))&gt;0</formula>
    </cfRule>
  </conditionalFormatting>
  <conditionalFormatting sqref="N1017:R1017">
    <cfRule type="notContainsBlanks" dxfId="4776" priority="4944">
      <formula>LEN(TRIM(N1017))&gt;0</formula>
    </cfRule>
  </conditionalFormatting>
  <conditionalFormatting sqref="N1017:R1017">
    <cfRule type="notContainsBlanks" dxfId="4775" priority="4943">
      <formula>LEN(TRIM(N1017))&gt;0</formula>
    </cfRule>
  </conditionalFormatting>
  <conditionalFormatting sqref="N1017:R1017">
    <cfRule type="notContainsBlanks" dxfId="4774" priority="4942">
      <formula>LEN(TRIM(N1017))&gt;0</formula>
    </cfRule>
  </conditionalFormatting>
  <conditionalFormatting sqref="N1017:R1017">
    <cfRule type="notContainsBlanks" dxfId="4773" priority="4940">
      <formula>LEN(TRIM(N1017))&gt;0</formula>
    </cfRule>
    <cfRule type="notContainsBlanks" dxfId="4772" priority="4941">
      <formula>LEN(TRIM(N1017))&gt;0</formula>
    </cfRule>
  </conditionalFormatting>
  <conditionalFormatting sqref="N1017:R1017">
    <cfRule type="notContainsBlanks" dxfId="4771" priority="4939">
      <formula>LEN(TRIM(N1017))&gt;0</formula>
    </cfRule>
  </conditionalFormatting>
  <conditionalFormatting sqref="N1017:R1017">
    <cfRule type="notContainsBlanks" dxfId="4770" priority="4938">
      <formula>LEN(TRIM(N1017))&gt;0</formula>
    </cfRule>
  </conditionalFormatting>
  <conditionalFormatting sqref="N1017:R1017">
    <cfRule type="notContainsBlanks" dxfId="4769" priority="4937">
      <formula>LEN(TRIM(N1017))&gt;0</formula>
    </cfRule>
  </conditionalFormatting>
  <conditionalFormatting sqref="N1017:R1017">
    <cfRule type="notContainsBlanks" dxfId="4768" priority="4936">
      <formula>LEN(TRIM(N1017))&gt;0</formula>
    </cfRule>
  </conditionalFormatting>
  <conditionalFormatting sqref="N1017:R1017">
    <cfRule type="notContainsBlanks" dxfId="4767" priority="4935">
      <formula>LEN(TRIM(N1017))&gt;0</formula>
    </cfRule>
  </conditionalFormatting>
  <conditionalFormatting sqref="N1017:R1017">
    <cfRule type="notContainsBlanks" dxfId="4766" priority="4934">
      <formula>LEN(TRIM(N1017))&gt;0</formula>
    </cfRule>
  </conditionalFormatting>
  <conditionalFormatting sqref="N1017:R1017">
    <cfRule type="notContainsBlanks" dxfId="4765" priority="4933">
      <formula>LEN(TRIM(N1017))&gt;0</formula>
    </cfRule>
  </conditionalFormatting>
  <conditionalFormatting sqref="N1017:R1017">
    <cfRule type="notContainsBlanks" dxfId="4764" priority="4932">
      <formula>LEN(TRIM(N1017))&gt;0</formula>
    </cfRule>
  </conditionalFormatting>
  <conditionalFormatting sqref="N1017:R1017">
    <cfRule type="notContainsBlanks" dxfId="4763" priority="4931">
      <formula>LEN(TRIM(N1017))&gt;0</formula>
    </cfRule>
  </conditionalFormatting>
  <conditionalFormatting sqref="N1017:R1017">
    <cfRule type="notContainsBlanks" priority="4930">
      <formula>LEN(TRIM(N1017))&gt;0</formula>
    </cfRule>
  </conditionalFormatting>
  <conditionalFormatting sqref="N1017:R1017">
    <cfRule type="notContainsBlanks" dxfId="4762" priority="4929">
      <formula>LEN(TRIM(N1017))&gt;0</formula>
    </cfRule>
  </conditionalFormatting>
  <conditionalFormatting sqref="N1017:R1017">
    <cfRule type="notContainsBlanks" dxfId="4761" priority="4928">
      <formula>LEN(TRIM(N1017))&gt;0</formula>
    </cfRule>
  </conditionalFormatting>
  <conditionalFormatting sqref="N1017:R1017">
    <cfRule type="notContainsBlanks" dxfId="4760" priority="4927">
      <formula>LEN(TRIM(N1017))&gt;0</formula>
    </cfRule>
  </conditionalFormatting>
  <conditionalFormatting sqref="N1017:R1017">
    <cfRule type="notContainsBlanks" dxfId="4759" priority="4926">
      <formula>LEN(TRIM(N1017))&gt;0</formula>
    </cfRule>
  </conditionalFormatting>
  <conditionalFormatting sqref="N1017:R1017">
    <cfRule type="notContainsBlanks" dxfId="4758" priority="4925">
      <formula>LEN(TRIM(N1017))&gt;0</formula>
    </cfRule>
  </conditionalFormatting>
  <conditionalFormatting sqref="N1030:R1030">
    <cfRule type="notContainsBlanks" dxfId="4757" priority="4924">
      <formula>LEN(TRIM(N1030))&gt;0</formula>
    </cfRule>
  </conditionalFormatting>
  <conditionalFormatting sqref="N1030:R1030">
    <cfRule type="notContainsBlanks" dxfId="4756" priority="4923">
      <formula>LEN(TRIM(N1030))&gt;0</formula>
    </cfRule>
  </conditionalFormatting>
  <conditionalFormatting sqref="N1030:R1030">
    <cfRule type="notContainsBlanks" dxfId="4755" priority="4922">
      <formula>LEN(TRIM(N1030))&gt;0</formula>
    </cfRule>
  </conditionalFormatting>
  <conditionalFormatting sqref="N1030:R1030">
    <cfRule type="notContainsBlanks" dxfId="4754" priority="4921">
      <formula>LEN(TRIM(N1030))&gt;0</formula>
    </cfRule>
  </conditionalFormatting>
  <conditionalFormatting sqref="N1030:R1030">
    <cfRule type="notContainsBlanks" dxfId="4753" priority="4920">
      <formula>LEN(TRIM(N1030))&gt;0</formula>
    </cfRule>
  </conditionalFormatting>
  <conditionalFormatting sqref="N1030:R1030">
    <cfRule type="notContainsBlanks" dxfId="4752" priority="4919">
      <formula>LEN(TRIM(N1030))&gt;0</formula>
    </cfRule>
  </conditionalFormatting>
  <conditionalFormatting sqref="N1030:R1030">
    <cfRule type="notContainsBlanks" dxfId="4751" priority="4918">
      <formula>LEN(TRIM(N1030))&gt;0</formula>
    </cfRule>
  </conditionalFormatting>
  <conditionalFormatting sqref="N1030:R1030">
    <cfRule type="notContainsBlanks" dxfId="4750" priority="4917">
      <formula>LEN(TRIM(N1030))&gt;0</formula>
    </cfRule>
  </conditionalFormatting>
  <conditionalFormatting sqref="N1030:R1030">
    <cfRule type="notContainsBlanks" dxfId="4749" priority="4916">
      <formula>LEN(TRIM(N1030))&gt;0</formula>
    </cfRule>
  </conditionalFormatting>
  <conditionalFormatting sqref="N1030:R1030">
    <cfRule type="notContainsBlanks" dxfId="4748" priority="4914">
      <formula>LEN(TRIM(N1030))&gt;0</formula>
    </cfRule>
    <cfRule type="notContainsBlanks" dxfId="4747" priority="4915">
      <formula>LEN(TRIM(N1030))&gt;0</formula>
    </cfRule>
  </conditionalFormatting>
  <conditionalFormatting sqref="N1030:R1030">
    <cfRule type="notContainsBlanks" dxfId="4746" priority="4913">
      <formula>LEN(TRIM(N1030))&gt;0</formula>
    </cfRule>
  </conditionalFormatting>
  <conditionalFormatting sqref="N1030:R1030">
    <cfRule type="notContainsBlanks" dxfId="4745" priority="4912">
      <formula>LEN(TRIM(N1030))&gt;0</formula>
    </cfRule>
  </conditionalFormatting>
  <conditionalFormatting sqref="N1030:R1030">
    <cfRule type="notContainsBlanks" dxfId="4744" priority="4911">
      <formula>LEN(TRIM(N1030))&gt;0</formula>
    </cfRule>
  </conditionalFormatting>
  <conditionalFormatting sqref="N1030:R1030">
    <cfRule type="notContainsBlanks" dxfId="4743" priority="4910">
      <formula>LEN(TRIM(N1030))&gt;0</formula>
    </cfRule>
  </conditionalFormatting>
  <conditionalFormatting sqref="N1030:R1030">
    <cfRule type="notContainsBlanks" dxfId="4742" priority="4909">
      <formula>LEN(TRIM(N1030))&gt;0</formula>
    </cfRule>
  </conditionalFormatting>
  <conditionalFormatting sqref="N1030:R1030">
    <cfRule type="notContainsBlanks" dxfId="4741" priority="4908">
      <formula>LEN(TRIM(N1030))&gt;0</formula>
    </cfRule>
  </conditionalFormatting>
  <conditionalFormatting sqref="N1030:R1030">
    <cfRule type="notContainsBlanks" dxfId="4740" priority="4907">
      <formula>LEN(TRIM(N1030))&gt;0</formula>
    </cfRule>
  </conditionalFormatting>
  <conditionalFormatting sqref="N1030:R1030">
    <cfRule type="notContainsBlanks" dxfId="4739" priority="4906">
      <formula>LEN(TRIM(N1030))&gt;0</formula>
    </cfRule>
  </conditionalFormatting>
  <conditionalFormatting sqref="N1030:R1030">
    <cfRule type="notContainsBlanks" dxfId="4738" priority="4905">
      <formula>LEN(TRIM(N1030))&gt;0</formula>
    </cfRule>
  </conditionalFormatting>
  <conditionalFormatting sqref="N1030:R1030">
    <cfRule type="notContainsBlanks" priority="4904">
      <formula>LEN(TRIM(N1030))&gt;0</formula>
    </cfRule>
  </conditionalFormatting>
  <conditionalFormatting sqref="N1030:R1030">
    <cfRule type="notContainsBlanks" dxfId="4737" priority="4903">
      <formula>LEN(TRIM(N1030))&gt;0</formula>
    </cfRule>
  </conditionalFormatting>
  <conditionalFormatting sqref="N1030:R1030">
    <cfRule type="notContainsBlanks" dxfId="4736" priority="4902">
      <formula>LEN(TRIM(N1030))&gt;0</formula>
    </cfRule>
  </conditionalFormatting>
  <conditionalFormatting sqref="N1030:R1030">
    <cfRule type="notContainsBlanks" dxfId="4735" priority="4901">
      <formula>LEN(TRIM(N1030))&gt;0</formula>
    </cfRule>
  </conditionalFormatting>
  <conditionalFormatting sqref="N1030:R1030">
    <cfRule type="notContainsBlanks" dxfId="4734" priority="4900">
      <formula>LEN(TRIM(N1030))&gt;0</formula>
    </cfRule>
  </conditionalFormatting>
  <conditionalFormatting sqref="N1030:R1030">
    <cfRule type="notContainsBlanks" dxfId="4733" priority="4899">
      <formula>LEN(TRIM(N1030))&gt;0</formula>
    </cfRule>
  </conditionalFormatting>
  <conditionalFormatting sqref="N1043:R1043">
    <cfRule type="notContainsBlanks" dxfId="4732" priority="4898">
      <formula>LEN(TRIM(N1043))&gt;0</formula>
    </cfRule>
  </conditionalFormatting>
  <conditionalFormatting sqref="N1043:R1043">
    <cfRule type="notContainsBlanks" dxfId="4731" priority="4897">
      <formula>LEN(TRIM(N1043))&gt;0</formula>
    </cfRule>
  </conditionalFormatting>
  <conditionalFormatting sqref="N1043:R1043">
    <cfRule type="notContainsBlanks" dxfId="4730" priority="4896">
      <formula>LEN(TRIM(N1043))&gt;0</formula>
    </cfRule>
  </conditionalFormatting>
  <conditionalFormatting sqref="N1043:R1043">
    <cfRule type="notContainsBlanks" dxfId="4729" priority="4895">
      <formula>LEN(TRIM(N1043))&gt;0</formula>
    </cfRule>
  </conditionalFormatting>
  <conditionalFormatting sqref="N1043:R1043">
    <cfRule type="notContainsBlanks" dxfId="4728" priority="4894">
      <formula>LEN(TRIM(N1043))&gt;0</formula>
    </cfRule>
  </conditionalFormatting>
  <conditionalFormatting sqref="N1043:R1043">
    <cfRule type="notContainsBlanks" dxfId="4727" priority="4893">
      <formula>LEN(TRIM(N1043))&gt;0</formula>
    </cfRule>
  </conditionalFormatting>
  <conditionalFormatting sqref="N1043:R1043">
    <cfRule type="notContainsBlanks" dxfId="4726" priority="4892">
      <formula>LEN(TRIM(N1043))&gt;0</formula>
    </cfRule>
  </conditionalFormatting>
  <conditionalFormatting sqref="N1043:R1043">
    <cfRule type="notContainsBlanks" dxfId="4725" priority="4891">
      <formula>LEN(TRIM(N1043))&gt;0</formula>
    </cfRule>
  </conditionalFormatting>
  <conditionalFormatting sqref="N1043:R1043">
    <cfRule type="notContainsBlanks" dxfId="4724" priority="4890">
      <formula>LEN(TRIM(N1043))&gt;0</formula>
    </cfRule>
  </conditionalFormatting>
  <conditionalFormatting sqref="N1043:R1043">
    <cfRule type="notContainsBlanks" dxfId="4723" priority="4888">
      <formula>LEN(TRIM(N1043))&gt;0</formula>
    </cfRule>
    <cfRule type="notContainsBlanks" dxfId="4722" priority="4889">
      <formula>LEN(TRIM(N1043))&gt;0</formula>
    </cfRule>
  </conditionalFormatting>
  <conditionalFormatting sqref="N1043:R1043">
    <cfRule type="notContainsBlanks" dxfId="4721" priority="4887">
      <formula>LEN(TRIM(N1043))&gt;0</formula>
    </cfRule>
  </conditionalFormatting>
  <conditionalFormatting sqref="N1043:R1043">
    <cfRule type="notContainsBlanks" dxfId="4720" priority="4886">
      <formula>LEN(TRIM(N1043))&gt;0</formula>
    </cfRule>
  </conditionalFormatting>
  <conditionalFormatting sqref="N1043:R1043">
    <cfRule type="notContainsBlanks" dxfId="4719" priority="4885">
      <formula>LEN(TRIM(N1043))&gt;0</formula>
    </cfRule>
  </conditionalFormatting>
  <conditionalFormatting sqref="N1043:R1043">
    <cfRule type="notContainsBlanks" dxfId="4718" priority="4884">
      <formula>LEN(TRIM(N1043))&gt;0</formula>
    </cfRule>
  </conditionalFormatting>
  <conditionalFormatting sqref="N1043:R1043">
    <cfRule type="notContainsBlanks" dxfId="4717" priority="4883">
      <formula>LEN(TRIM(N1043))&gt;0</formula>
    </cfRule>
  </conditionalFormatting>
  <conditionalFormatting sqref="N1043:R1043">
    <cfRule type="notContainsBlanks" dxfId="4716" priority="4882">
      <formula>LEN(TRIM(N1043))&gt;0</formula>
    </cfRule>
  </conditionalFormatting>
  <conditionalFormatting sqref="N1043:R1043">
    <cfRule type="notContainsBlanks" dxfId="4715" priority="4881">
      <formula>LEN(TRIM(N1043))&gt;0</formula>
    </cfRule>
  </conditionalFormatting>
  <conditionalFormatting sqref="N1043:R1043">
    <cfRule type="notContainsBlanks" dxfId="4714" priority="4880">
      <formula>LEN(TRIM(N1043))&gt;0</formula>
    </cfRule>
  </conditionalFormatting>
  <conditionalFormatting sqref="N1043:R1043">
    <cfRule type="notContainsBlanks" dxfId="4713" priority="4879">
      <formula>LEN(TRIM(N1043))&gt;0</formula>
    </cfRule>
  </conditionalFormatting>
  <conditionalFormatting sqref="N1043:R1043">
    <cfRule type="notContainsBlanks" priority="4878">
      <formula>LEN(TRIM(N1043))&gt;0</formula>
    </cfRule>
  </conditionalFormatting>
  <conditionalFormatting sqref="N1043:R1043">
    <cfRule type="notContainsBlanks" dxfId="4712" priority="4877">
      <formula>LEN(TRIM(N1043))&gt;0</formula>
    </cfRule>
  </conditionalFormatting>
  <conditionalFormatting sqref="N1043:R1043">
    <cfRule type="notContainsBlanks" dxfId="4711" priority="4876">
      <formula>LEN(TRIM(N1043))&gt;0</formula>
    </cfRule>
  </conditionalFormatting>
  <conditionalFormatting sqref="N1043:R1043">
    <cfRule type="notContainsBlanks" dxfId="4710" priority="4875">
      <formula>LEN(TRIM(N1043))&gt;0</formula>
    </cfRule>
  </conditionalFormatting>
  <conditionalFormatting sqref="N1043:R1043">
    <cfRule type="notContainsBlanks" dxfId="4709" priority="4874">
      <formula>LEN(TRIM(N1043))&gt;0</formula>
    </cfRule>
  </conditionalFormatting>
  <conditionalFormatting sqref="N1043:R1043">
    <cfRule type="notContainsBlanks" dxfId="4708" priority="4873">
      <formula>LEN(TRIM(N1043))&gt;0</formula>
    </cfRule>
  </conditionalFormatting>
  <conditionalFormatting sqref="N1056:R1056">
    <cfRule type="notContainsBlanks" dxfId="4707" priority="4872">
      <formula>LEN(TRIM(N1056))&gt;0</formula>
    </cfRule>
  </conditionalFormatting>
  <conditionalFormatting sqref="N1056:R1056">
    <cfRule type="notContainsBlanks" dxfId="4706" priority="4871">
      <formula>LEN(TRIM(N1056))&gt;0</formula>
    </cfRule>
  </conditionalFormatting>
  <conditionalFormatting sqref="N1056:R1056">
    <cfRule type="notContainsBlanks" dxfId="4705" priority="4870">
      <formula>LEN(TRIM(N1056))&gt;0</formula>
    </cfRule>
  </conditionalFormatting>
  <conditionalFormatting sqref="N1056:R1056">
    <cfRule type="notContainsBlanks" dxfId="4704" priority="4869">
      <formula>LEN(TRIM(N1056))&gt;0</formula>
    </cfRule>
  </conditionalFormatting>
  <conditionalFormatting sqref="N1056:R1056">
    <cfRule type="notContainsBlanks" dxfId="4703" priority="4868">
      <formula>LEN(TRIM(N1056))&gt;0</formula>
    </cfRule>
  </conditionalFormatting>
  <conditionalFormatting sqref="N1056:R1056">
    <cfRule type="notContainsBlanks" dxfId="4702" priority="4867">
      <formula>LEN(TRIM(N1056))&gt;0</formula>
    </cfRule>
  </conditionalFormatting>
  <conditionalFormatting sqref="N1056:R1056">
    <cfRule type="notContainsBlanks" dxfId="4701" priority="4866">
      <formula>LEN(TRIM(N1056))&gt;0</formula>
    </cfRule>
  </conditionalFormatting>
  <conditionalFormatting sqref="N1056:R1056">
    <cfRule type="notContainsBlanks" dxfId="4700" priority="4865">
      <formula>LEN(TRIM(N1056))&gt;0</formula>
    </cfRule>
  </conditionalFormatting>
  <conditionalFormatting sqref="N1056:R1056">
    <cfRule type="notContainsBlanks" dxfId="4699" priority="4864">
      <formula>LEN(TRIM(N1056))&gt;0</formula>
    </cfRule>
  </conditionalFormatting>
  <conditionalFormatting sqref="N1056:R1056">
    <cfRule type="notContainsBlanks" dxfId="4698" priority="4862">
      <formula>LEN(TRIM(N1056))&gt;0</formula>
    </cfRule>
    <cfRule type="notContainsBlanks" dxfId="4697" priority="4863">
      <formula>LEN(TRIM(N1056))&gt;0</formula>
    </cfRule>
  </conditionalFormatting>
  <conditionalFormatting sqref="N1056:R1056">
    <cfRule type="notContainsBlanks" dxfId="4696" priority="4861">
      <formula>LEN(TRIM(N1056))&gt;0</formula>
    </cfRule>
  </conditionalFormatting>
  <conditionalFormatting sqref="N1056:R1056">
    <cfRule type="notContainsBlanks" dxfId="4695" priority="4860">
      <formula>LEN(TRIM(N1056))&gt;0</formula>
    </cfRule>
  </conditionalFormatting>
  <conditionalFormatting sqref="N1056:R1056">
    <cfRule type="notContainsBlanks" dxfId="4694" priority="4859">
      <formula>LEN(TRIM(N1056))&gt;0</formula>
    </cfRule>
  </conditionalFormatting>
  <conditionalFormatting sqref="N1056:R1056">
    <cfRule type="notContainsBlanks" dxfId="4693" priority="4858">
      <formula>LEN(TRIM(N1056))&gt;0</formula>
    </cfRule>
  </conditionalFormatting>
  <conditionalFormatting sqref="N1056:R1056">
    <cfRule type="notContainsBlanks" dxfId="4692" priority="4857">
      <formula>LEN(TRIM(N1056))&gt;0</formula>
    </cfRule>
  </conditionalFormatting>
  <conditionalFormatting sqref="N1056:R1056">
    <cfRule type="notContainsBlanks" dxfId="4691" priority="4856">
      <formula>LEN(TRIM(N1056))&gt;0</formula>
    </cfRule>
  </conditionalFormatting>
  <conditionalFormatting sqref="N1056:R1056">
    <cfRule type="notContainsBlanks" dxfId="4690" priority="4855">
      <formula>LEN(TRIM(N1056))&gt;0</formula>
    </cfRule>
  </conditionalFormatting>
  <conditionalFormatting sqref="N1056:R1056">
    <cfRule type="notContainsBlanks" dxfId="4689" priority="4854">
      <formula>LEN(TRIM(N1056))&gt;0</formula>
    </cfRule>
  </conditionalFormatting>
  <conditionalFormatting sqref="N1056:R1056">
    <cfRule type="notContainsBlanks" dxfId="4688" priority="4853">
      <formula>LEN(TRIM(N1056))&gt;0</formula>
    </cfRule>
  </conditionalFormatting>
  <conditionalFormatting sqref="N1056:R1056">
    <cfRule type="notContainsBlanks" priority="4852">
      <formula>LEN(TRIM(N1056))&gt;0</formula>
    </cfRule>
  </conditionalFormatting>
  <conditionalFormatting sqref="N1056:R1056">
    <cfRule type="notContainsBlanks" dxfId="4687" priority="4851">
      <formula>LEN(TRIM(N1056))&gt;0</formula>
    </cfRule>
  </conditionalFormatting>
  <conditionalFormatting sqref="N1056:R1056">
    <cfRule type="notContainsBlanks" dxfId="4686" priority="4850">
      <formula>LEN(TRIM(N1056))&gt;0</formula>
    </cfRule>
  </conditionalFormatting>
  <conditionalFormatting sqref="N1056:R1056">
    <cfRule type="notContainsBlanks" dxfId="4685" priority="4849">
      <formula>LEN(TRIM(N1056))&gt;0</formula>
    </cfRule>
  </conditionalFormatting>
  <conditionalFormatting sqref="N1056:R1056">
    <cfRule type="notContainsBlanks" dxfId="4684" priority="4848">
      <formula>LEN(TRIM(N1056))&gt;0</formula>
    </cfRule>
  </conditionalFormatting>
  <conditionalFormatting sqref="N1056:R1056">
    <cfRule type="notContainsBlanks" dxfId="4683" priority="4847">
      <formula>LEN(TRIM(N1056))&gt;0</formula>
    </cfRule>
  </conditionalFormatting>
  <conditionalFormatting sqref="N1069:R1069">
    <cfRule type="notContainsBlanks" dxfId="4682" priority="4846">
      <formula>LEN(TRIM(N1069))&gt;0</formula>
    </cfRule>
  </conditionalFormatting>
  <conditionalFormatting sqref="N1069:R1069">
    <cfRule type="notContainsBlanks" dxfId="4681" priority="4845">
      <formula>LEN(TRIM(N1069))&gt;0</formula>
    </cfRule>
  </conditionalFormatting>
  <conditionalFormatting sqref="N1069:R1069">
    <cfRule type="notContainsBlanks" dxfId="4680" priority="4844">
      <formula>LEN(TRIM(N1069))&gt;0</formula>
    </cfRule>
  </conditionalFormatting>
  <conditionalFormatting sqref="N1069:R1069">
    <cfRule type="notContainsBlanks" dxfId="4679" priority="4843">
      <formula>LEN(TRIM(N1069))&gt;0</formula>
    </cfRule>
  </conditionalFormatting>
  <conditionalFormatting sqref="N1069:R1069">
    <cfRule type="notContainsBlanks" dxfId="4678" priority="4842">
      <formula>LEN(TRIM(N1069))&gt;0</formula>
    </cfRule>
  </conditionalFormatting>
  <conditionalFormatting sqref="N1069:R1069">
    <cfRule type="notContainsBlanks" dxfId="4677" priority="4841">
      <formula>LEN(TRIM(N1069))&gt;0</formula>
    </cfRule>
  </conditionalFormatting>
  <conditionalFormatting sqref="N1069:R1069">
    <cfRule type="notContainsBlanks" dxfId="4676" priority="4840">
      <formula>LEN(TRIM(N1069))&gt;0</formula>
    </cfRule>
  </conditionalFormatting>
  <conditionalFormatting sqref="N1069:R1069">
    <cfRule type="notContainsBlanks" dxfId="4675" priority="4839">
      <formula>LEN(TRIM(N1069))&gt;0</formula>
    </cfRule>
  </conditionalFormatting>
  <conditionalFormatting sqref="N1069:R1069">
    <cfRule type="notContainsBlanks" dxfId="4674" priority="4838">
      <formula>LEN(TRIM(N1069))&gt;0</formula>
    </cfRule>
  </conditionalFormatting>
  <conditionalFormatting sqref="N1069:R1069">
    <cfRule type="notContainsBlanks" dxfId="4673" priority="4836">
      <formula>LEN(TRIM(N1069))&gt;0</formula>
    </cfRule>
    <cfRule type="notContainsBlanks" dxfId="4672" priority="4837">
      <formula>LEN(TRIM(N1069))&gt;0</formula>
    </cfRule>
  </conditionalFormatting>
  <conditionalFormatting sqref="N1069:R1069">
    <cfRule type="notContainsBlanks" dxfId="4671" priority="4835">
      <formula>LEN(TRIM(N1069))&gt;0</formula>
    </cfRule>
  </conditionalFormatting>
  <conditionalFormatting sqref="N1069:R1069">
    <cfRule type="notContainsBlanks" dxfId="4670" priority="4834">
      <formula>LEN(TRIM(N1069))&gt;0</formula>
    </cfRule>
  </conditionalFormatting>
  <conditionalFormatting sqref="N1069:R1069">
    <cfRule type="notContainsBlanks" dxfId="4669" priority="4833">
      <formula>LEN(TRIM(N1069))&gt;0</formula>
    </cfRule>
  </conditionalFormatting>
  <conditionalFormatting sqref="N1069:R1069">
    <cfRule type="notContainsBlanks" dxfId="4668" priority="4832">
      <formula>LEN(TRIM(N1069))&gt;0</formula>
    </cfRule>
  </conditionalFormatting>
  <conditionalFormatting sqref="N1069:R1069">
    <cfRule type="notContainsBlanks" dxfId="4667" priority="4831">
      <formula>LEN(TRIM(N1069))&gt;0</formula>
    </cfRule>
  </conditionalFormatting>
  <conditionalFormatting sqref="N1069:R1069">
    <cfRule type="notContainsBlanks" dxfId="4666" priority="4830">
      <formula>LEN(TRIM(N1069))&gt;0</formula>
    </cfRule>
  </conditionalFormatting>
  <conditionalFormatting sqref="N1069:R1069">
    <cfRule type="notContainsBlanks" dxfId="4665" priority="4829">
      <formula>LEN(TRIM(N1069))&gt;0</formula>
    </cfRule>
  </conditionalFormatting>
  <conditionalFormatting sqref="N1069:R1069">
    <cfRule type="notContainsBlanks" dxfId="4664" priority="4828">
      <formula>LEN(TRIM(N1069))&gt;0</formula>
    </cfRule>
  </conditionalFormatting>
  <conditionalFormatting sqref="N1069:R1069">
    <cfRule type="notContainsBlanks" dxfId="4663" priority="4827">
      <formula>LEN(TRIM(N1069))&gt;0</formula>
    </cfRule>
  </conditionalFormatting>
  <conditionalFormatting sqref="N1069:R1069">
    <cfRule type="notContainsBlanks" priority="4826">
      <formula>LEN(TRIM(N1069))&gt;0</formula>
    </cfRule>
  </conditionalFormatting>
  <conditionalFormatting sqref="N1069:R1069">
    <cfRule type="notContainsBlanks" dxfId="4662" priority="4825">
      <formula>LEN(TRIM(N1069))&gt;0</formula>
    </cfRule>
  </conditionalFormatting>
  <conditionalFormatting sqref="N1069:R1069">
    <cfRule type="notContainsBlanks" dxfId="4661" priority="4824">
      <formula>LEN(TRIM(N1069))&gt;0</formula>
    </cfRule>
  </conditionalFormatting>
  <conditionalFormatting sqref="N1069:R1069">
    <cfRule type="notContainsBlanks" dxfId="4660" priority="4823">
      <formula>LEN(TRIM(N1069))&gt;0</formula>
    </cfRule>
  </conditionalFormatting>
  <conditionalFormatting sqref="N1069:R1069">
    <cfRule type="notContainsBlanks" dxfId="4659" priority="4822">
      <formula>LEN(TRIM(N1069))&gt;0</formula>
    </cfRule>
  </conditionalFormatting>
  <conditionalFormatting sqref="N1069:R1069">
    <cfRule type="notContainsBlanks" dxfId="4658" priority="4821">
      <formula>LEN(TRIM(N1069))&gt;0</formula>
    </cfRule>
  </conditionalFormatting>
  <conditionalFormatting sqref="N1082:R1082">
    <cfRule type="notContainsBlanks" dxfId="4657" priority="4820">
      <formula>LEN(TRIM(N1082))&gt;0</formula>
    </cfRule>
  </conditionalFormatting>
  <conditionalFormatting sqref="N1082:R1082">
    <cfRule type="notContainsBlanks" dxfId="4656" priority="4819">
      <formula>LEN(TRIM(N1082))&gt;0</formula>
    </cfRule>
  </conditionalFormatting>
  <conditionalFormatting sqref="N1082:R1082">
    <cfRule type="notContainsBlanks" dxfId="4655" priority="4818">
      <formula>LEN(TRIM(N1082))&gt;0</formula>
    </cfRule>
  </conditionalFormatting>
  <conditionalFormatting sqref="N1082:R1082">
    <cfRule type="notContainsBlanks" dxfId="4654" priority="4817">
      <formula>LEN(TRIM(N1082))&gt;0</formula>
    </cfRule>
  </conditionalFormatting>
  <conditionalFormatting sqref="N1082:R1082">
    <cfRule type="notContainsBlanks" dxfId="4653" priority="4816">
      <formula>LEN(TRIM(N1082))&gt;0</formula>
    </cfRule>
  </conditionalFormatting>
  <conditionalFormatting sqref="N1082:R1082">
    <cfRule type="notContainsBlanks" dxfId="4652" priority="4815">
      <formula>LEN(TRIM(N1082))&gt;0</formula>
    </cfRule>
  </conditionalFormatting>
  <conditionalFormatting sqref="N1082:R1082">
    <cfRule type="notContainsBlanks" dxfId="4651" priority="4814">
      <formula>LEN(TRIM(N1082))&gt;0</formula>
    </cfRule>
  </conditionalFormatting>
  <conditionalFormatting sqref="N1082:R1082">
    <cfRule type="notContainsBlanks" dxfId="4650" priority="4813">
      <formula>LEN(TRIM(N1082))&gt;0</formula>
    </cfRule>
  </conditionalFormatting>
  <conditionalFormatting sqref="N1082:R1082">
    <cfRule type="notContainsBlanks" dxfId="4649" priority="4812">
      <formula>LEN(TRIM(N1082))&gt;0</formula>
    </cfRule>
  </conditionalFormatting>
  <conditionalFormatting sqref="N1082:R1082">
    <cfRule type="notContainsBlanks" dxfId="4648" priority="4810">
      <formula>LEN(TRIM(N1082))&gt;0</formula>
    </cfRule>
    <cfRule type="notContainsBlanks" dxfId="4647" priority="4811">
      <formula>LEN(TRIM(N1082))&gt;0</formula>
    </cfRule>
  </conditionalFormatting>
  <conditionalFormatting sqref="N1082:R1082">
    <cfRule type="notContainsBlanks" dxfId="4646" priority="4809">
      <formula>LEN(TRIM(N1082))&gt;0</formula>
    </cfRule>
  </conditionalFormatting>
  <conditionalFormatting sqref="N1082:R1082">
    <cfRule type="notContainsBlanks" dxfId="4645" priority="4808">
      <formula>LEN(TRIM(N1082))&gt;0</formula>
    </cfRule>
  </conditionalFormatting>
  <conditionalFormatting sqref="N1082:R1082">
    <cfRule type="notContainsBlanks" dxfId="4644" priority="4807">
      <formula>LEN(TRIM(N1082))&gt;0</formula>
    </cfRule>
  </conditionalFormatting>
  <conditionalFormatting sqref="N1082:R1082">
    <cfRule type="notContainsBlanks" dxfId="4643" priority="4806">
      <formula>LEN(TRIM(N1082))&gt;0</formula>
    </cfRule>
  </conditionalFormatting>
  <conditionalFormatting sqref="N1082:R1082">
    <cfRule type="notContainsBlanks" dxfId="4642" priority="4805">
      <formula>LEN(TRIM(N1082))&gt;0</formula>
    </cfRule>
  </conditionalFormatting>
  <conditionalFormatting sqref="N1082:R1082">
    <cfRule type="notContainsBlanks" dxfId="4641" priority="4804">
      <formula>LEN(TRIM(N1082))&gt;0</formula>
    </cfRule>
  </conditionalFormatting>
  <conditionalFormatting sqref="N1082:R1082">
    <cfRule type="notContainsBlanks" dxfId="4640" priority="4803">
      <formula>LEN(TRIM(N1082))&gt;0</formula>
    </cfRule>
  </conditionalFormatting>
  <conditionalFormatting sqref="N1082:R1082">
    <cfRule type="notContainsBlanks" dxfId="4639" priority="4802">
      <formula>LEN(TRIM(N1082))&gt;0</formula>
    </cfRule>
  </conditionalFormatting>
  <conditionalFormatting sqref="N1082:R1082">
    <cfRule type="notContainsBlanks" dxfId="4638" priority="4801">
      <formula>LEN(TRIM(N1082))&gt;0</formula>
    </cfRule>
  </conditionalFormatting>
  <conditionalFormatting sqref="N1082:R1082">
    <cfRule type="notContainsBlanks" priority="4800">
      <formula>LEN(TRIM(N1082))&gt;0</formula>
    </cfRule>
  </conditionalFormatting>
  <conditionalFormatting sqref="N1082:R1082">
    <cfRule type="notContainsBlanks" dxfId="4637" priority="4799">
      <formula>LEN(TRIM(N1082))&gt;0</formula>
    </cfRule>
  </conditionalFormatting>
  <conditionalFormatting sqref="N1082:R1082">
    <cfRule type="notContainsBlanks" dxfId="4636" priority="4798">
      <formula>LEN(TRIM(N1082))&gt;0</formula>
    </cfRule>
  </conditionalFormatting>
  <conditionalFormatting sqref="N1082:R1082">
    <cfRule type="notContainsBlanks" dxfId="4635" priority="4797">
      <formula>LEN(TRIM(N1082))&gt;0</formula>
    </cfRule>
  </conditionalFormatting>
  <conditionalFormatting sqref="N1082:R1082">
    <cfRule type="notContainsBlanks" dxfId="4634" priority="4796">
      <formula>LEN(TRIM(N1082))&gt;0</formula>
    </cfRule>
  </conditionalFormatting>
  <conditionalFormatting sqref="N1082:R1082">
    <cfRule type="notContainsBlanks" dxfId="4633" priority="4795">
      <formula>LEN(TRIM(N1082))&gt;0</formula>
    </cfRule>
  </conditionalFormatting>
  <conditionalFormatting sqref="N1095:R1095">
    <cfRule type="notContainsBlanks" dxfId="4632" priority="4794">
      <formula>LEN(TRIM(N1095))&gt;0</formula>
    </cfRule>
  </conditionalFormatting>
  <conditionalFormatting sqref="N1095:R1095">
    <cfRule type="notContainsBlanks" dxfId="4631" priority="4793">
      <formula>LEN(TRIM(N1095))&gt;0</formula>
    </cfRule>
  </conditionalFormatting>
  <conditionalFormatting sqref="N1095:R1095">
    <cfRule type="notContainsBlanks" dxfId="4630" priority="4792">
      <formula>LEN(TRIM(N1095))&gt;0</formula>
    </cfRule>
  </conditionalFormatting>
  <conditionalFormatting sqref="N1095:R1095">
    <cfRule type="notContainsBlanks" dxfId="4629" priority="4791">
      <formula>LEN(TRIM(N1095))&gt;0</formula>
    </cfRule>
  </conditionalFormatting>
  <conditionalFormatting sqref="N1095:R1095">
    <cfRule type="notContainsBlanks" dxfId="4628" priority="4790">
      <formula>LEN(TRIM(N1095))&gt;0</formula>
    </cfRule>
  </conditionalFormatting>
  <conditionalFormatting sqref="N1095:R1095">
    <cfRule type="notContainsBlanks" dxfId="4627" priority="4789">
      <formula>LEN(TRIM(N1095))&gt;0</formula>
    </cfRule>
  </conditionalFormatting>
  <conditionalFormatting sqref="N1095:R1095">
    <cfRule type="notContainsBlanks" dxfId="4626" priority="4788">
      <formula>LEN(TRIM(N1095))&gt;0</formula>
    </cfRule>
  </conditionalFormatting>
  <conditionalFormatting sqref="N1095:R1095">
    <cfRule type="notContainsBlanks" dxfId="4625" priority="4787">
      <formula>LEN(TRIM(N1095))&gt;0</formula>
    </cfRule>
  </conditionalFormatting>
  <conditionalFormatting sqref="N1095:R1095">
    <cfRule type="notContainsBlanks" dxfId="4624" priority="4786">
      <formula>LEN(TRIM(N1095))&gt;0</formula>
    </cfRule>
  </conditionalFormatting>
  <conditionalFormatting sqref="N1095:R1095">
    <cfRule type="notContainsBlanks" dxfId="4623" priority="4784">
      <formula>LEN(TRIM(N1095))&gt;0</formula>
    </cfRule>
    <cfRule type="notContainsBlanks" dxfId="4622" priority="4785">
      <formula>LEN(TRIM(N1095))&gt;0</formula>
    </cfRule>
  </conditionalFormatting>
  <conditionalFormatting sqref="N1095:R1095">
    <cfRule type="notContainsBlanks" dxfId="4621" priority="4783">
      <formula>LEN(TRIM(N1095))&gt;0</formula>
    </cfRule>
  </conditionalFormatting>
  <conditionalFormatting sqref="N1095:R1095">
    <cfRule type="notContainsBlanks" dxfId="4620" priority="4782">
      <formula>LEN(TRIM(N1095))&gt;0</formula>
    </cfRule>
  </conditionalFormatting>
  <conditionalFormatting sqref="N1095:R1095">
    <cfRule type="notContainsBlanks" dxfId="4619" priority="4781">
      <formula>LEN(TRIM(N1095))&gt;0</formula>
    </cfRule>
  </conditionalFormatting>
  <conditionalFormatting sqref="N1095:R1095">
    <cfRule type="notContainsBlanks" dxfId="4618" priority="4780">
      <formula>LEN(TRIM(N1095))&gt;0</formula>
    </cfRule>
  </conditionalFormatting>
  <conditionalFormatting sqref="N1095:R1095">
    <cfRule type="notContainsBlanks" dxfId="4617" priority="4779">
      <formula>LEN(TRIM(N1095))&gt;0</formula>
    </cfRule>
  </conditionalFormatting>
  <conditionalFormatting sqref="N1095:R1095">
    <cfRule type="notContainsBlanks" dxfId="4616" priority="4778">
      <formula>LEN(TRIM(N1095))&gt;0</formula>
    </cfRule>
  </conditionalFormatting>
  <conditionalFormatting sqref="N1095:R1095">
    <cfRule type="notContainsBlanks" dxfId="4615" priority="4777">
      <formula>LEN(TRIM(N1095))&gt;0</formula>
    </cfRule>
  </conditionalFormatting>
  <conditionalFormatting sqref="N1095:R1095">
    <cfRule type="notContainsBlanks" dxfId="4614" priority="4776">
      <formula>LEN(TRIM(N1095))&gt;0</formula>
    </cfRule>
  </conditionalFormatting>
  <conditionalFormatting sqref="N1095:R1095">
    <cfRule type="notContainsBlanks" dxfId="4613" priority="4775">
      <formula>LEN(TRIM(N1095))&gt;0</formula>
    </cfRule>
  </conditionalFormatting>
  <conditionalFormatting sqref="N1095:R1095">
    <cfRule type="notContainsBlanks" priority="4774">
      <formula>LEN(TRIM(N1095))&gt;0</formula>
    </cfRule>
  </conditionalFormatting>
  <conditionalFormatting sqref="N1095:R1095">
    <cfRule type="notContainsBlanks" dxfId="4612" priority="4773">
      <formula>LEN(TRIM(N1095))&gt;0</formula>
    </cfRule>
  </conditionalFormatting>
  <conditionalFormatting sqref="N1095:R1095">
    <cfRule type="notContainsBlanks" dxfId="4611" priority="4772">
      <formula>LEN(TRIM(N1095))&gt;0</formula>
    </cfRule>
  </conditionalFormatting>
  <conditionalFormatting sqref="N1095:R1095">
    <cfRule type="notContainsBlanks" dxfId="4610" priority="4771">
      <formula>LEN(TRIM(N1095))&gt;0</formula>
    </cfRule>
  </conditionalFormatting>
  <conditionalFormatting sqref="N1095:R1095">
    <cfRule type="notContainsBlanks" dxfId="4609" priority="4770">
      <formula>LEN(TRIM(N1095))&gt;0</formula>
    </cfRule>
  </conditionalFormatting>
  <conditionalFormatting sqref="N1095:R1095">
    <cfRule type="notContainsBlanks" dxfId="4608" priority="4769">
      <formula>LEN(TRIM(N1095))&gt;0</formula>
    </cfRule>
  </conditionalFormatting>
  <conditionalFormatting sqref="N1108:R1108">
    <cfRule type="notContainsBlanks" dxfId="4607" priority="4768">
      <formula>LEN(TRIM(N1108))&gt;0</formula>
    </cfRule>
  </conditionalFormatting>
  <conditionalFormatting sqref="N1108:R1108">
    <cfRule type="notContainsBlanks" dxfId="4606" priority="4767">
      <formula>LEN(TRIM(N1108))&gt;0</formula>
    </cfRule>
  </conditionalFormatting>
  <conditionalFormatting sqref="N1108:R1108">
    <cfRule type="notContainsBlanks" dxfId="4605" priority="4766">
      <formula>LEN(TRIM(N1108))&gt;0</formula>
    </cfRule>
  </conditionalFormatting>
  <conditionalFormatting sqref="N1108:R1108">
    <cfRule type="notContainsBlanks" dxfId="4604" priority="4765">
      <formula>LEN(TRIM(N1108))&gt;0</formula>
    </cfRule>
  </conditionalFormatting>
  <conditionalFormatting sqref="N1108:R1108">
    <cfRule type="notContainsBlanks" dxfId="4603" priority="4764">
      <formula>LEN(TRIM(N1108))&gt;0</formula>
    </cfRule>
  </conditionalFormatting>
  <conditionalFormatting sqref="N1108:R1108">
    <cfRule type="notContainsBlanks" dxfId="4602" priority="4763">
      <formula>LEN(TRIM(N1108))&gt;0</formula>
    </cfRule>
  </conditionalFormatting>
  <conditionalFormatting sqref="N1108:R1108">
    <cfRule type="notContainsBlanks" dxfId="4601" priority="4762">
      <formula>LEN(TRIM(N1108))&gt;0</formula>
    </cfRule>
  </conditionalFormatting>
  <conditionalFormatting sqref="N1108:R1108">
    <cfRule type="notContainsBlanks" dxfId="4600" priority="4761">
      <formula>LEN(TRIM(N1108))&gt;0</formula>
    </cfRule>
  </conditionalFormatting>
  <conditionalFormatting sqref="N1108:R1108">
    <cfRule type="notContainsBlanks" dxfId="4599" priority="4760">
      <formula>LEN(TRIM(N1108))&gt;0</formula>
    </cfRule>
  </conditionalFormatting>
  <conditionalFormatting sqref="N1108:R1108">
    <cfRule type="notContainsBlanks" dxfId="4598" priority="4758">
      <formula>LEN(TRIM(N1108))&gt;0</formula>
    </cfRule>
    <cfRule type="notContainsBlanks" dxfId="4597" priority="4759">
      <formula>LEN(TRIM(N1108))&gt;0</formula>
    </cfRule>
  </conditionalFormatting>
  <conditionalFormatting sqref="N1108:R1108">
    <cfRule type="notContainsBlanks" dxfId="4596" priority="4757">
      <formula>LEN(TRIM(N1108))&gt;0</formula>
    </cfRule>
  </conditionalFormatting>
  <conditionalFormatting sqref="N1108:R1108">
    <cfRule type="notContainsBlanks" dxfId="4595" priority="4756">
      <formula>LEN(TRIM(N1108))&gt;0</formula>
    </cfRule>
  </conditionalFormatting>
  <conditionalFormatting sqref="N1108:R1108">
    <cfRule type="notContainsBlanks" dxfId="4594" priority="4755">
      <formula>LEN(TRIM(N1108))&gt;0</formula>
    </cfRule>
  </conditionalFormatting>
  <conditionalFormatting sqref="N1108:R1108">
    <cfRule type="notContainsBlanks" dxfId="4593" priority="4754">
      <formula>LEN(TRIM(N1108))&gt;0</formula>
    </cfRule>
  </conditionalFormatting>
  <conditionalFormatting sqref="N1108:R1108">
    <cfRule type="notContainsBlanks" dxfId="4592" priority="4753">
      <formula>LEN(TRIM(N1108))&gt;0</formula>
    </cfRule>
  </conditionalFormatting>
  <conditionalFormatting sqref="N1108:R1108">
    <cfRule type="notContainsBlanks" dxfId="4591" priority="4752">
      <formula>LEN(TRIM(N1108))&gt;0</formula>
    </cfRule>
  </conditionalFormatting>
  <conditionalFormatting sqref="N1108:R1108">
    <cfRule type="notContainsBlanks" dxfId="4590" priority="4751">
      <formula>LEN(TRIM(N1108))&gt;0</formula>
    </cfRule>
  </conditionalFormatting>
  <conditionalFormatting sqref="N1108:R1108">
    <cfRule type="notContainsBlanks" dxfId="4589" priority="4750">
      <formula>LEN(TRIM(N1108))&gt;0</formula>
    </cfRule>
  </conditionalFormatting>
  <conditionalFormatting sqref="N1108:R1108">
    <cfRule type="notContainsBlanks" dxfId="4588" priority="4749">
      <formula>LEN(TRIM(N1108))&gt;0</formula>
    </cfRule>
  </conditionalFormatting>
  <conditionalFormatting sqref="N1108:R1108">
    <cfRule type="notContainsBlanks" priority="4748">
      <formula>LEN(TRIM(N1108))&gt;0</formula>
    </cfRule>
  </conditionalFormatting>
  <conditionalFormatting sqref="N1108:R1108">
    <cfRule type="notContainsBlanks" dxfId="4587" priority="4747">
      <formula>LEN(TRIM(N1108))&gt;0</formula>
    </cfRule>
  </conditionalFormatting>
  <conditionalFormatting sqref="N1108:R1108">
    <cfRule type="notContainsBlanks" dxfId="4586" priority="4746">
      <formula>LEN(TRIM(N1108))&gt;0</formula>
    </cfRule>
  </conditionalFormatting>
  <conditionalFormatting sqref="N1108:R1108">
    <cfRule type="notContainsBlanks" dxfId="4585" priority="4745">
      <formula>LEN(TRIM(N1108))&gt;0</formula>
    </cfRule>
  </conditionalFormatting>
  <conditionalFormatting sqref="N1108:R1108">
    <cfRule type="notContainsBlanks" dxfId="4584" priority="4744">
      <formula>LEN(TRIM(N1108))&gt;0</formula>
    </cfRule>
  </conditionalFormatting>
  <conditionalFormatting sqref="N1108:R1108">
    <cfRule type="notContainsBlanks" dxfId="4583" priority="4743">
      <formula>LEN(TRIM(N1108))&gt;0</formula>
    </cfRule>
  </conditionalFormatting>
  <conditionalFormatting sqref="N1121:R1121">
    <cfRule type="notContainsBlanks" dxfId="4582" priority="4742">
      <formula>LEN(TRIM(N1121))&gt;0</formula>
    </cfRule>
  </conditionalFormatting>
  <conditionalFormatting sqref="N1121:R1121">
    <cfRule type="notContainsBlanks" dxfId="4581" priority="4741">
      <formula>LEN(TRIM(N1121))&gt;0</formula>
    </cfRule>
  </conditionalFormatting>
  <conditionalFormatting sqref="N1121:R1121">
    <cfRule type="notContainsBlanks" dxfId="4580" priority="4740">
      <formula>LEN(TRIM(N1121))&gt;0</formula>
    </cfRule>
  </conditionalFormatting>
  <conditionalFormatting sqref="N1121:R1121">
    <cfRule type="notContainsBlanks" dxfId="4579" priority="4739">
      <formula>LEN(TRIM(N1121))&gt;0</formula>
    </cfRule>
  </conditionalFormatting>
  <conditionalFormatting sqref="N1121:R1121">
    <cfRule type="notContainsBlanks" dxfId="4578" priority="4738">
      <formula>LEN(TRIM(N1121))&gt;0</formula>
    </cfRule>
  </conditionalFormatting>
  <conditionalFormatting sqref="N1121:R1121">
    <cfRule type="notContainsBlanks" dxfId="4577" priority="4737">
      <formula>LEN(TRIM(N1121))&gt;0</formula>
    </cfRule>
  </conditionalFormatting>
  <conditionalFormatting sqref="N1121:R1121">
    <cfRule type="notContainsBlanks" dxfId="4576" priority="4736">
      <formula>LEN(TRIM(N1121))&gt;0</formula>
    </cfRule>
  </conditionalFormatting>
  <conditionalFormatting sqref="N1121:R1121">
    <cfRule type="notContainsBlanks" dxfId="4575" priority="4735">
      <formula>LEN(TRIM(N1121))&gt;0</formula>
    </cfRule>
  </conditionalFormatting>
  <conditionalFormatting sqref="N1121:R1121">
    <cfRule type="notContainsBlanks" dxfId="4574" priority="4734">
      <formula>LEN(TRIM(N1121))&gt;0</formula>
    </cfRule>
  </conditionalFormatting>
  <conditionalFormatting sqref="N1121:R1121">
    <cfRule type="notContainsBlanks" dxfId="4573" priority="4732">
      <formula>LEN(TRIM(N1121))&gt;0</formula>
    </cfRule>
    <cfRule type="notContainsBlanks" dxfId="4572" priority="4733">
      <formula>LEN(TRIM(N1121))&gt;0</formula>
    </cfRule>
  </conditionalFormatting>
  <conditionalFormatting sqref="N1121:R1121">
    <cfRule type="notContainsBlanks" dxfId="4571" priority="4731">
      <formula>LEN(TRIM(N1121))&gt;0</formula>
    </cfRule>
  </conditionalFormatting>
  <conditionalFormatting sqref="N1121:R1121">
    <cfRule type="notContainsBlanks" dxfId="4570" priority="4730">
      <formula>LEN(TRIM(N1121))&gt;0</formula>
    </cfRule>
  </conditionalFormatting>
  <conditionalFormatting sqref="N1121:R1121">
    <cfRule type="notContainsBlanks" dxfId="4569" priority="4729">
      <formula>LEN(TRIM(N1121))&gt;0</formula>
    </cfRule>
  </conditionalFormatting>
  <conditionalFormatting sqref="N1121:R1121">
    <cfRule type="notContainsBlanks" dxfId="4568" priority="4728">
      <formula>LEN(TRIM(N1121))&gt;0</formula>
    </cfRule>
  </conditionalFormatting>
  <conditionalFormatting sqref="N1121:R1121">
    <cfRule type="notContainsBlanks" dxfId="4567" priority="4727">
      <formula>LEN(TRIM(N1121))&gt;0</formula>
    </cfRule>
  </conditionalFormatting>
  <conditionalFormatting sqref="N1121:R1121">
    <cfRule type="notContainsBlanks" dxfId="4566" priority="4726">
      <formula>LEN(TRIM(N1121))&gt;0</formula>
    </cfRule>
  </conditionalFormatting>
  <conditionalFormatting sqref="N1121:R1121">
    <cfRule type="notContainsBlanks" dxfId="4565" priority="4725">
      <formula>LEN(TRIM(N1121))&gt;0</formula>
    </cfRule>
  </conditionalFormatting>
  <conditionalFormatting sqref="N1121:R1121">
    <cfRule type="notContainsBlanks" dxfId="4564" priority="4724">
      <formula>LEN(TRIM(N1121))&gt;0</formula>
    </cfRule>
  </conditionalFormatting>
  <conditionalFormatting sqref="N1121:R1121">
    <cfRule type="notContainsBlanks" dxfId="4563" priority="4723">
      <formula>LEN(TRIM(N1121))&gt;0</formula>
    </cfRule>
  </conditionalFormatting>
  <conditionalFormatting sqref="N1121:R1121">
    <cfRule type="notContainsBlanks" priority="4722">
      <formula>LEN(TRIM(N1121))&gt;0</formula>
    </cfRule>
  </conditionalFormatting>
  <conditionalFormatting sqref="N1121:R1121">
    <cfRule type="notContainsBlanks" dxfId="4562" priority="4721">
      <formula>LEN(TRIM(N1121))&gt;0</formula>
    </cfRule>
  </conditionalFormatting>
  <conditionalFormatting sqref="N1121:R1121">
    <cfRule type="notContainsBlanks" dxfId="4561" priority="4720">
      <formula>LEN(TRIM(N1121))&gt;0</formula>
    </cfRule>
  </conditionalFormatting>
  <conditionalFormatting sqref="N1121:R1121">
    <cfRule type="notContainsBlanks" dxfId="4560" priority="4719">
      <formula>LEN(TRIM(N1121))&gt;0</formula>
    </cfRule>
  </conditionalFormatting>
  <conditionalFormatting sqref="N1121:R1121">
    <cfRule type="notContainsBlanks" dxfId="4559" priority="4718">
      <formula>LEN(TRIM(N1121))&gt;0</formula>
    </cfRule>
  </conditionalFormatting>
  <conditionalFormatting sqref="N1121:R1121">
    <cfRule type="notContainsBlanks" dxfId="4558" priority="4717">
      <formula>LEN(TRIM(N1121))&gt;0</formula>
    </cfRule>
  </conditionalFormatting>
  <conditionalFormatting sqref="N1134:R1134">
    <cfRule type="notContainsBlanks" dxfId="4557" priority="4716">
      <formula>LEN(TRIM(N1134))&gt;0</formula>
    </cfRule>
  </conditionalFormatting>
  <conditionalFormatting sqref="N1134:R1134">
    <cfRule type="notContainsBlanks" dxfId="4556" priority="4715">
      <formula>LEN(TRIM(N1134))&gt;0</formula>
    </cfRule>
  </conditionalFormatting>
  <conditionalFormatting sqref="N1134:R1134">
    <cfRule type="notContainsBlanks" dxfId="4555" priority="4714">
      <formula>LEN(TRIM(N1134))&gt;0</formula>
    </cfRule>
  </conditionalFormatting>
  <conditionalFormatting sqref="N1134:R1134">
    <cfRule type="notContainsBlanks" dxfId="4554" priority="4713">
      <formula>LEN(TRIM(N1134))&gt;0</formula>
    </cfRule>
  </conditionalFormatting>
  <conditionalFormatting sqref="N1134:R1134">
    <cfRule type="notContainsBlanks" dxfId="4553" priority="4712">
      <formula>LEN(TRIM(N1134))&gt;0</formula>
    </cfRule>
  </conditionalFormatting>
  <conditionalFormatting sqref="N1134:R1134">
    <cfRule type="notContainsBlanks" dxfId="4552" priority="4711">
      <formula>LEN(TRIM(N1134))&gt;0</formula>
    </cfRule>
  </conditionalFormatting>
  <conditionalFormatting sqref="N1134:R1134">
    <cfRule type="notContainsBlanks" dxfId="4551" priority="4710">
      <formula>LEN(TRIM(N1134))&gt;0</formula>
    </cfRule>
  </conditionalFormatting>
  <conditionalFormatting sqref="N1134:R1134">
    <cfRule type="notContainsBlanks" dxfId="4550" priority="4709">
      <formula>LEN(TRIM(N1134))&gt;0</formula>
    </cfRule>
  </conditionalFormatting>
  <conditionalFormatting sqref="N1134:R1134">
    <cfRule type="notContainsBlanks" dxfId="4549" priority="4708">
      <formula>LEN(TRIM(N1134))&gt;0</formula>
    </cfRule>
  </conditionalFormatting>
  <conditionalFormatting sqref="N1134:R1134">
    <cfRule type="notContainsBlanks" dxfId="4548" priority="4706">
      <formula>LEN(TRIM(N1134))&gt;0</formula>
    </cfRule>
    <cfRule type="notContainsBlanks" dxfId="4547" priority="4707">
      <formula>LEN(TRIM(N1134))&gt;0</formula>
    </cfRule>
  </conditionalFormatting>
  <conditionalFormatting sqref="N1134:R1134">
    <cfRule type="notContainsBlanks" dxfId="4546" priority="4705">
      <formula>LEN(TRIM(N1134))&gt;0</formula>
    </cfRule>
  </conditionalFormatting>
  <conditionalFormatting sqref="N1134:R1134">
    <cfRule type="notContainsBlanks" dxfId="4545" priority="4704">
      <formula>LEN(TRIM(N1134))&gt;0</formula>
    </cfRule>
  </conditionalFormatting>
  <conditionalFormatting sqref="N1134:R1134">
    <cfRule type="notContainsBlanks" dxfId="4544" priority="4703">
      <formula>LEN(TRIM(N1134))&gt;0</formula>
    </cfRule>
  </conditionalFormatting>
  <conditionalFormatting sqref="N1134:R1134">
    <cfRule type="notContainsBlanks" dxfId="4543" priority="4702">
      <formula>LEN(TRIM(N1134))&gt;0</formula>
    </cfRule>
  </conditionalFormatting>
  <conditionalFormatting sqref="N1134:R1134">
    <cfRule type="notContainsBlanks" dxfId="4542" priority="4701">
      <formula>LEN(TRIM(N1134))&gt;0</formula>
    </cfRule>
  </conditionalFormatting>
  <conditionalFormatting sqref="N1134:R1134">
    <cfRule type="notContainsBlanks" dxfId="4541" priority="4700">
      <formula>LEN(TRIM(N1134))&gt;0</formula>
    </cfRule>
  </conditionalFormatting>
  <conditionalFormatting sqref="N1134:R1134">
    <cfRule type="notContainsBlanks" dxfId="4540" priority="4699">
      <formula>LEN(TRIM(N1134))&gt;0</formula>
    </cfRule>
  </conditionalFormatting>
  <conditionalFormatting sqref="N1134:R1134">
    <cfRule type="notContainsBlanks" dxfId="4539" priority="4698">
      <formula>LEN(TRIM(N1134))&gt;0</formula>
    </cfRule>
  </conditionalFormatting>
  <conditionalFormatting sqref="N1134:R1134">
    <cfRule type="notContainsBlanks" dxfId="4538" priority="4697">
      <formula>LEN(TRIM(N1134))&gt;0</formula>
    </cfRule>
  </conditionalFormatting>
  <conditionalFormatting sqref="N1134:R1134">
    <cfRule type="notContainsBlanks" priority="4696">
      <formula>LEN(TRIM(N1134))&gt;0</formula>
    </cfRule>
  </conditionalFormatting>
  <conditionalFormatting sqref="N1134:R1134">
    <cfRule type="notContainsBlanks" dxfId="4537" priority="4695">
      <formula>LEN(TRIM(N1134))&gt;0</formula>
    </cfRule>
  </conditionalFormatting>
  <conditionalFormatting sqref="N1134:R1134">
    <cfRule type="notContainsBlanks" dxfId="4536" priority="4694">
      <formula>LEN(TRIM(N1134))&gt;0</formula>
    </cfRule>
  </conditionalFormatting>
  <conditionalFormatting sqref="N1134:R1134">
    <cfRule type="notContainsBlanks" dxfId="4535" priority="4693">
      <formula>LEN(TRIM(N1134))&gt;0</formula>
    </cfRule>
  </conditionalFormatting>
  <conditionalFormatting sqref="N1134:R1134">
    <cfRule type="notContainsBlanks" dxfId="4534" priority="4692">
      <formula>LEN(TRIM(N1134))&gt;0</formula>
    </cfRule>
  </conditionalFormatting>
  <conditionalFormatting sqref="N1134:R1134">
    <cfRule type="notContainsBlanks" dxfId="4533" priority="4691">
      <formula>LEN(TRIM(N1134))&gt;0</formula>
    </cfRule>
  </conditionalFormatting>
  <conditionalFormatting sqref="N1147:R1147">
    <cfRule type="notContainsBlanks" dxfId="4532" priority="4690">
      <formula>LEN(TRIM(N1147))&gt;0</formula>
    </cfRule>
  </conditionalFormatting>
  <conditionalFormatting sqref="N1147:R1147">
    <cfRule type="notContainsBlanks" dxfId="4531" priority="4689">
      <formula>LEN(TRIM(N1147))&gt;0</formula>
    </cfRule>
  </conditionalFormatting>
  <conditionalFormatting sqref="N1147:R1147">
    <cfRule type="notContainsBlanks" dxfId="4530" priority="4688">
      <formula>LEN(TRIM(N1147))&gt;0</formula>
    </cfRule>
  </conditionalFormatting>
  <conditionalFormatting sqref="N1147:R1147">
    <cfRule type="notContainsBlanks" dxfId="4529" priority="4687">
      <formula>LEN(TRIM(N1147))&gt;0</formula>
    </cfRule>
  </conditionalFormatting>
  <conditionalFormatting sqref="N1147:R1147">
    <cfRule type="notContainsBlanks" dxfId="4528" priority="4686">
      <formula>LEN(TRIM(N1147))&gt;0</formula>
    </cfRule>
  </conditionalFormatting>
  <conditionalFormatting sqref="N1147:R1147">
    <cfRule type="notContainsBlanks" dxfId="4527" priority="4685">
      <formula>LEN(TRIM(N1147))&gt;0</formula>
    </cfRule>
  </conditionalFormatting>
  <conditionalFormatting sqref="N1147:R1147">
    <cfRule type="notContainsBlanks" dxfId="4526" priority="4684">
      <formula>LEN(TRIM(N1147))&gt;0</formula>
    </cfRule>
  </conditionalFormatting>
  <conditionalFormatting sqref="N1147:R1147">
    <cfRule type="notContainsBlanks" dxfId="4525" priority="4683">
      <formula>LEN(TRIM(N1147))&gt;0</formula>
    </cfRule>
  </conditionalFormatting>
  <conditionalFormatting sqref="N1147:R1147">
    <cfRule type="notContainsBlanks" dxfId="4524" priority="4682">
      <formula>LEN(TRIM(N1147))&gt;0</formula>
    </cfRule>
  </conditionalFormatting>
  <conditionalFormatting sqref="N1147:R1147">
    <cfRule type="notContainsBlanks" dxfId="4523" priority="4680">
      <formula>LEN(TRIM(N1147))&gt;0</formula>
    </cfRule>
    <cfRule type="notContainsBlanks" dxfId="4522" priority="4681">
      <formula>LEN(TRIM(N1147))&gt;0</formula>
    </cfRule>
  </conditionalFormatting>
  <conditionalFormatting sqref="N1147:R1147">
    <cfRule type="notContainsBlanks" dxfId="4521" priority="4679">
      <formula>LEN(TRIM(N1147))&gt;0</formula>
    </cfRule>
  </conditionalFormatting>
  <conditionalFormatting sqref="N1147:R1147">
    <cfRule type="notContainsBlanks" dxfId="4520" priority="4678">
      <formula>LEN(TRIM(N1147))&gt;0</formula>
    </cfRule>
  </conditionalFormatting>
  <conditionalFormatting sqref="N1147:R1147">
    <cfRule type="notContainsBlanks" dxfId="4519" priority="4677">
      <formula>LEN(TRIM(N1147))&gt;0</formula>
    </cfRule>
  </conditionalFormatting>
  <conditionalFormatting sqref="N1147:R1147">
    <cfRule type="notContainsBlanks" dxfId="4518" priority="4676">
      <formula>LEN(TRIM(N1147))&gt;0</formula>
    </cfRule>
  </conditionalFormatting>
  <conditionalFormatting sqref="N1147:R1147">
    <cfRule type="notContainsBlanks" dxfId="4517" priority="4675">
      <formula>LEN(TRIM(N1147))&gt;0</formula>
    </cfRule>
  </conditionalFormatting>
  <conditionalFormatting sqref="N1147:R1147">
    <cfRule type="notContainsBlanks" dxfId="4516" priority="4674">
      <formula>LEN(TRIM(N1147))&gt;0</formula>
    </cfRule>
  </conditionalFormatting>
  <conditionalFormatting sqref="N1147:R1147">
    <cfRule type="notContainsBlanks" dxfId="4515" priority="4673">
      <formula>LEN(TRIM(N1147))&gt;0</formula>
    </cfRule>
  </conditionalFormatting>
  <conditionalFormatting sqref="N1147:R1147">
    <cfRule type="notContainsBlanks" dxfId="4514" priority="4672">
      <formula>LEN(TRIM(N1147))&gt;0</formula>
    </cfRule>
  </conditionalFormatting>
  <conditionalFormatting sqref="N1147:R1147">
    <cfRule type="notContainsBlanks" dxfId="4513" priority="4671">
      <formula>LEN(TRIM(N1147))&gt;0</formula>
    </cfRule>
  </conditionalFormatting>
  <conditionalFormatting sqref="N1147:R1147">
    <cfRule type="notContainsBlanks" priority="4670">
      <formula>LEN(TRIM(N1147))&gt;0</formula>
    </cfRule>
  </conditionalFormatting>
  <conditionalFormatting sqref="N1147:R1147">
    <cfRule type="notContainsBlanks" dxfId="4512" priority="4669">
      <formula>LEN(TRIM(N1147))&gt;0</formula>
    </cfRule>
  </conditionalFormatting>
  <conditionalFormatting sqref="N1147:R1147">
    <cfRule type="notContainsBlanks" dxfId="4511" priority="4668">
      <formula>LEN(TRIM(N1147))&gt;0</formula>
    </cfRule>
  </conditionalFormatting>
  <conditionalFormatting sqref="N1147:R1147">
    <cfRule type="notContainsBlanks" dxfId="4510" priority="4667">
      <formula>LEN(TRIM(N1147))&gt;0</formula>
    </cfRule>
  </conditionalFormatting>
  <conditionalFormatting sqref="N1147:R1147">
    <cfRule type="notContainsBlanks" dxfId="4509" priority="4666">
      <formula>LEN(TRIM(N1147))&gt;0</formula>
    </cfRule>
  </conditionalFormatting>
  <conditionalFormatting sqref="N1147:R1147">
    <cfRule type="notContainsBlanks" dxfId="4508" priority="4665">
      <formula>LEN(TRIM(N1147))&gt;0</formula>
    </cfRule>
  </conditionalFormatting>
  <conditionalFormatting sqref="N1160:R1160">
    <cfRule type="notContainsBlanks" dxfId="4507" priority="4664">
      <formula>LEN(TRIM(N1160))&gt;0</formula>
    </cfRule>
  </conditionalFormatting>
  <conditionalFormatting sqref="N1160:R1160">
    <cfRule type="notContainsBlanks" dxfId="4506" priority="4663">
      <formula>LEN(TRIM(N1160))&gt;0</formula>
    </cfRule>
  </conditionalFormatting>
  <conditionalFormatting sqref="N1160:R1160">
    <cfRule type="notContainsBlanks" dxfId="4505" priority="4662">
      <formula>LEN(TRIM(N1160))&gt;0</formula>
    </cfRule>
  </conditionalFormatting>
  <conditionalFormatting sqref="N1160:R1160">
    <cfRule type="notContainsBlanks" dxfId="4504" priority="4661">
      <formula>LEN(TRIM(N1160))&gt;0</formula>
    </cfRule>
  </conditionalFormatting>
  <conditionalFormatting sqref="N1160:R1160">
    <cfRule type="notContainsBlanks" dxfId="4503" priority="4660">
      <formula>LEN(TRIM(N1160))&gt;0</formula>
    </cfRule>
  </conditionalFormatting>
  <conditionalFormatting sqref="N1160:R1160">
    <cfRule type="notContainsBlanks" dxfId="4502" priority="4659">
      <formula>LEN(TRIM(N1160))&gt;0</formula>
    </cfRule>
  </conditionalFormatting>
  <conditionalFormatting sqref="N1160:R1160">
    <cfRule type="notContainsBlanks" dxfId="4501" priority="4658">
      <formula>LEN(TRIM(N1160))&gt;0</formula>
    </cfRule>
  </conditionalFormatting>
  <conditionalFormatting sqref="N1160:R1160">
    <cfRule type="notContainsBlanks" dxfId="4500" priority="4657">
      <formula>LEN(TRIM(N1160))&gt;0</formula>
    </cfRule>
  </conditionalFormatting>
  <conditionalFormatting sqref="N1160:R1160">
    <cfRule type="notContainsBlanks" dxfId="4499" priority="4656">
      <formula>LEN(TRIM(N1160))&gt;0</formula>
    </cfRule>
  </conditionalFormatting>
  <conditionalFormatting sqref="N1160:R1160">
    <cfRule type="notContainsBlanks" dxfId="4498" priority="4654">
      <formula>LEN(TRIM(N1160))&gt;0</formula>
    </cfRule>
    <cfRule type="notContainsBlanks" dxfId="4497" priority="4655">
      <formula>LEN(TRIM(N1160))&gt;0</formula>
    </cfRule>
  </conditionalFormatting>
  <conditionalFormatting sqref="N1160:R1160">
    <cfRule type="notContainsBlanks" dxfId="4496" priority="4653">
      <formula>LEN(TRIM(N1160))&gt;0</formula>
    </cfRule>
  </conditionalFormatting>
  <conditionalFormatting sqref="N1160:R1160">
    <cfRule type="notContainsBlanks" dxfId="4495" priority="4652">
      <formula>LEN(TRIM(N1160))&gt;0</formula>
    </cfRule>
  </conditionalFormatting>
  <conditionalFormatting sqref="N1160:R1160">
    <cfRule type="notContainsBlanks" dxfId="4494" priority="4651">
      <formula>LEN(TRIM(N1160))&gt;0</formula>
    </cfRule>
  </conditionalFormatting>
  <conditionalFormatting sqref="N1160:R1160">
    <cfRule type="notContainsBlanks" dxfId="4493" priority="4650">
      <formula>LEN(TRIM(N1160))&gt;0</formula>
    </cfRule>
  </conditionalFormatting>
  <conditionalFormatting sqref="N1160:R1160">
    <cfRule type="notContainsBlanks" dxfId="4492" priority="4649">
      <formula>LEN(TRIM(N1160))&gt;0</formula>
    </cfRule>
  </conditionalFormatting>
  <conditionalFormatting sqref="N1160:R1160">
    <cfRule type="notContainsBlanks" dxfId="4491" priority="4648">
      <formula>LEN(TRIM(N1160))&gt;0</formula>
    </cfRule>
  </conditionalFormatting>
  <conditionalFormatting sqref="N1160:R1160">
    <cfRule type="notContainsBlanks" dxfId="4490" priority="4647">
      <formula>LEN(TRIM(N1160))&gt;0</formula>
    </cfRule>
  </conditionalFormatting>
  <conditionalFormatting sqref="N1160:R1160">
    <cfRule type="notContainsBlanks" dxfId="4489" priority="4646">
      <formula>LEN(TRIM(N1160))&gt;0</formula>
    </cfRule>
  </conditionalFormatting>
  <conditionalFormatting sqref="N1160:R1160">
    <cfRule type="notContainsBlanks" dxfId="4488" priority="4645">
      <formula>LEN(TRIM(N1160))&gt;0</formula>
    </cfRule>
  </conditionalFormatting>
  <conditionalFormatting sqref="N1160:R1160">
    <cfRule type="notContainsBlanks" priority="4644">
      <formula>LEN(TRIM(N1160))&gt;0</formula>
    </cfRule>
  </conditionalFormatting>
  <conditionalFormatting sqref="N1160:R1160">
    <cfRule type="notContainsBlanks" dxfId="4487" priority="4643">
      <formula>LEN(TRIM(N1160))&gt;0</formula>
    </cfRule>
  </conditionalFormatting>
  <conditionalFormatting sqref="N1160:R1160">
    <cfRule type="notContainsBlanks" dxfId="4486" priority="4642">
      <formula>LEN(TRIM(N1160))&gt;0</formula>
    </cfRule>
  </conditionalFormatting>
  <conditionalFormatting sqref="N1160:R1160">
    <cfRule type="notContainsBlanks" dxfId="4485" priority="4641">
      <formula>LEN(TRIM(N1160))&gt;0</formula>
    </cfRule>
  </conditionalFormatting>
  <conditionalFormatting sqref="N1160:R1160">
    <cfRule type="notContainsBlanks" dxfId="4484" priority="4640">
      <formula>LEN(TRIM(N1160))&gt;0</formula>
    </cfRule>
  </conditionalFormatting>
  <conditionalFormatting sqref="N1160:R1160">
    <cfRule type="notContainsBlanks" dxfId="4483" priority="4639">
      <formula>LEN(TRIM(N1160))&gt;0</formula>
    </cfRule>
  </conditionalFormatting>
  <conditionalFormatting sqref="N1173:R1173">
    <cfRule type="notContainsBlanks" dxfId="4482" priority="4638">
      <formula>LEN(TRIM(N1173))&gt;0</formula>
    </cfRule>
  </conditionalFormatting>
  <conditionalFormatting sqref="N1173:R1173">
    <cfRule type="notContainsBlanks" dxfId="4481" priority="4637">
      <formula>LEN(TRIM(N1173))&gt;0</formula>
    </cfRule>
  </conditionalFormatting>
  <conditionalFormatting sqref="N1173:R1173">
    <cfRule type="notContainsBlanks" dxfId="4480" priority="4636">
      <formula>LEN(TRIM(N1173))&gt;0</formula>
    </cfRule>
  </conditionalFormatting>
  <conditionalFormatting sqref="N1173:R1173">
    <cfRule type="notContainsBlanks" dxfId="4479" priority="4635">
      <formula>LEN(TRIM(N1173))&gt;0</formula>
    </cfRule>
  </conditionalFormatting>
  <conditionalFormatting sqref="N1173:R1173">
    <cfRule type="notContainsBlanks" dxfId="4478" priority="4634">
      <formula>LEN(TRIM(N1173))&gt;0</formula>
    </cfRule>
  </conditionalFormatting>
  <conditionalFormatting sqref="N1173:R1173">
    <cfRule type="notContainsBlanks" dxfId="4477" priority="4633">
      <formula>LEN(TRIM(N1173))&gt;0</formula>
    </cfRule>
  </conditionalFormatting>
  <conditionalFormatting sqref="N1173:R1173">
    <cfRule type="notContainsBlanks" dxfId="4476" priority="4632">
      <formula>LEN(TRIM(N1173))&gt;0</formula>
    </cfRule>
  </conditionalFormatting>
  <conditionalFormatting sqref="N1173:R1173">
    <cfRule type="notContainsBlanks" dxfId="4475" priority="4631">
      <formula>LEN(TRIM(N1173))&gt;0</formula>
    </cfRule>
  </conditionalFormatting>
  <conditionalFormatting sqref="N1173:R1173">
    <cfRule type="notContainsBlanks" dxfId="4474" priority="4630">
      <formula>LEN(TRIM(N1173))&gt;0</formula>
    </cfRule>
  </conditionalFormatting>
  <conditionalFormatting sqref="N1173:R1173">
    <cfRule type="notContainsBlanks" dxfId="4473" priority="4628">
      <formula>LEN(TRIM(N1173))&gt;0</formula>
    </cfRule>
    <cfRule type="notContainsBlanks" dxfId="4472" priority="4629">
      <formula>LEN(TRIM(N1173))&gt;0</formula>
    </cfRule>
  </conditionalFormatting>
  <conditionalFormatting sqref="N1173:R1173">
    <cfRule type="notContainsBlanks" dxfId="4471" priority="4627">
      <formula>LEN(TRIM(N1173))&gt;0</formula>
    </cfRule>
  </conditionalFormatting>
  <conditionalFormatting sqref="N1173:R1173">
    <cfRule type="notContainsBlanks" dxfId="4470" priority="4626">
      <formula>LEN(TRIM(N1173))&gt;0</formula>
    </cfRule>
  </conditionalFormatting>
  <conditionalFormatting sqref="N1173:R1173">
    <cfRule type="notContainsBlanks" dxfId="4469" priority="4625">
      <formula>LEN(TRIM(N1173))&gt;0</formula>
    </cfRule>
  </conditionalFormatting>
  <conditionalFormatting sqref="N1173:R1173">
    <cfRule type="notContainsBlanks" dxfId="4468" priority="4624">
      <formula>LEN(TRIM(N1173))&gt;0</formula>
    </cfRule>
  </conditionalFormatting>
  <conditionalFormatting sqref="N1173:R1173">
    <cfRule type="notContainsBlanks" dxfId="4467" priority="4623">
      <formula>LEN(TRIM(N1173))&gt;0</formula>
    </cfRule>
  </conditionalFormatting>
  <conditionalFormatting sqref="N1173:R1173">
    <cfRule type="notContainsBlanks" dxfId="4466" priority="4622">
      <formula>LEN(TRIM(N1173))&gt;0</formula>
    </cfRule>
  </conditionalFormatting>
  <conditionalFormatting sqref="N1173:R1173">
    <cfRule type="notContainsBlanks" dxfId="4465" priority="4621">
      <formula>LEN(TRIM(N1173))&gt;0</formula>
    </cfRule>
  </conditionalFormatting>
  <conditionalFormatting sqref="N1173:R1173">
    <cfRule type="notContainsBlanks" dxfId="4464" priority="4620">
      <formula>LEN(TRIM(N1173))&gt;0</formula>
    </cfRule>
  </conditionalFormatting>
  <conditionalFormatting sqref="N1173:R1173">
    <cfRule type="notContainsBlanks" dxfId="4463" priority="4619">
      <formula>LEN(TRIM(N1173))&gt;0</formula>
    </cfRule>
  </conditionalFormatting>
  <conditionalFormatting sqref="N1173:R1173">
    <cfRule type="notContainsBlanks" priority="4618">
      <formula>LEN(TRIM(N1173))&gt;0</formula>
    </cfRule>
  </conditionalFormatting>
  <conditionalFormatting sqref="N1173:R1173">
    <cfRule type="notContainsBlanks" dxfId="4462" priority="4617">
      <formula>LEN(TRIM(N1173))&gt;0</formula>
    </cfRule>
  </conditionalFormatting>
  <conditionalFormatting sqref="N1173:R1173">
    <cfRule type="notContainsBlanks" dxfId="4461" priority="4616">
      <formula>LEN(TRIM(N1173))&gt;0</formula>
    </cfRule>
  </conditionalFormatting>
  <conditionalFormatting sqref="N1173:R1173">
    <cfRule type="notContainsBlanks" dxfId="4460" priority="4615">
      <formula>LEN(TRIM(N1173))&gt;0</formula>
    </cfRule>
  </conditionalFormatting>
  <conditionalFormatting sqref="N1173:R1173">
    <cfRule type="notContainsBlanks" dxfId="4459" priority="4614">
      <formula>LEN(TRIM(N1173))&gt;0</formula>
    </cfRule>
  </conditionalFormatting>
  <conditionalFormatting sqref="N1173:R1173">
    <cfRule type="notContainsBlanks" dxfId="4458" priority="4613">
      <formula>LEN(TRIM(N1173))&gt;0</formula>
    </cfRule>
  </conditionalFormatting>
  <conditionalFormatting sqref="N1186:R1186">
    <cfRule type="notContainsBlanks" dxfId="4457" priority="4612">
      <formula>LEN(TRIM(N1186))&gt;0</formula>
    </cfRule>
  </conditionalFormatting>
  <conditionalFormatting sqref="N1186:R1186">
    <cfRule type="notContainsBlanks" dxfId="4456" priority="4611">
      <formula>LEN(TRIM(N1186))&gt;0</formula>
    </cfRule>
  </conditionalFormatting>
  <conditionalFormatting sqref="N1186:R1186">
    <cfRule type="notContainsBlanks" dxfId="4455" priority="4610">
      <formula>LEN(TRIM(N1186))&gt;0</formula>
    </cfRule>
  </conditionalFormatting>
  <conditionalFormatting sqref="N1186:R1186">
    <cfRule type="notContainsBlanks" dxfId="4454" priority="4609">
      <formula>LEN(TRIM(N1186))&gt;0</formula>
    </cfRule>
  </conditionalFormatting>
  <conditionalFormatting sqref="N1186:R1186">
    <cfRule type="notContainsBlanks" dxfId="4453" priority="4608">
      <formula>LEN(TRIM(N1186))&gt;0</formula>
    </cfRule>
  </conditionalFormatting>
  <conditionalFormatting sqref="N1186:R1186">
    <cfRule type="notContainsBlanks" dxfId="4452" priority="4607">
      <formula>LEN(TRIM(N1186))&gt;0</formula>
    </cfRule>
  </conditionalFormatting>
  <conditionalFormatting sqref="N1186:R1186">
    <cfRule type="notContainsBlanks" dxfId="4451" priority="4606">
      <formula>LEN(TRIM(N1186))&gt;0</formula>
    </cfRule>
  </conditionalFormatting>
  <conditionalFormatting sqref="N1186:R1186">
    <cfRule type="notContainsBlanks" dxfId="4450" priority="4605">
      <formula>LEN(TRIM(N1186))&gt;0</formula>
    </cfRule>
  </conditionalFormatting>
  <conditionalFormatting sqref="N1186:R1186">
    <cfRule type="notContainsBlanks" dxfId="4449" priority="4604">
      <formula>LEN(TRIM(N1186))&gt;0</formula>
    </cfRule>
  </conditionalFormatting>
  <conditionalFormatting sqref="N1186:R1186">
    <cfRule type="notContainsBlanks" dxfId="4448" priority="4602">
      <formula>LEN(TRIM(N1186))&gt;0</formula>
    </cfRule>
    <cfRule type="notContainsBlanks" dxfId="4447" priority="4603">
      <formula>LEN(TRIM(N1186))&gt;0</formula>
    </cfRule>
  </conditionalFormatting>
  <conditionalFormatting sqref="N1186:R1186">
    <cfRule type="notContainsBlanks" dxfId="4446" priority="4601">
      <formula>LEN(TRIM(N1186))&gt;0</formula>
    </cfRule>
  </conditionalFormatting>
  <conditionalFormatting sqref="N1186:R1186">
    <cfRule type="notContainsBlanks" dxfId="4445" priority="4600">
      <formula>LEN(TRIM(N1186))&gt;0</formula>
    </cfRule>
  </conditionalFormatting>
  <conditionalFormatting sqref="N1186:R1186">
    <cfRule type="notContainsBlanks" dxfId="4444" priority="4599">
      <formula>LEN(TRIM(N1186))&gt;0</formula>
    </cfRule>
  </conditionalFormatting>
  <conditionalFormatting sqref="N1186:R1186">
    <cfRule type="notContainsBlanks" dxfId="4443" priority="4598">
      <formula>LEN(TRIM(N1186))&gt;0</formula>
    </cfRule>
  </conditionalFormatting>
  <conditionalFormatting sqref="N1186:R1186">
    <cfRule type="notContainsBlanks" dxfId="4442" priority="4597">
      <formula>LEN(TRIM(N1186))&gt;0</formula>
    </cfRule>
  </conditionalFormatting>
  <conditionalFormatting sqref="N1186:R1186">
    <cfRule type="notContainsBlanks" dxfId="4441" priority="4596">
      <formula>LEN(TRIM(N1186))&gt;0</formula>
    </cfRule>
  </conditionalFormatting>
  <conditionalFormatting sqref="N1186:R1186">
    <cfRule type="notContainsBlanks" dxfId="4440" priority="4595">
      <formula>LEN(TRIM(N1186))&gt;0</formula>
    </cfRule>
  </conditionalFormatting>
  <conditionalFormatting sqref="N1186:R1186">
    <cfRule type="notContainsBlanks" dxfId="4439" priority="4594">
      <formula>LEN(TRIM(N1186))&gt;0</formula>
    </cfRule>
  </conditionalFormatting>
  <conditionalFormatting sqref="N1186:R1186">
    <cfRule type="notContainsBlanks" dxfId="4438" priority="4593">
      <formula>LEN(TRIM(N1186))&gt;0</formula>
    </cfRule>
  </conditionalFormatting>
  <conditionalFormatting sqref="N1186:R1186">
    <cfRule type="notContainsBlanks" priority="4592">
      <formula>LEN(TRIM(N1186))&gt;0</formula>
    </cfRule>
  </conditionalFormatting>
  <conditionalFormatting sqref="N1186:R1186">
    <cfRule type="notContainsBlanks" dxfId="4437" priority="4591">
      <formula>LEN(TRIM(N1186))&gt;0</formula>
    </cfRule>
  </conditionalFormatting>
  <conditionalFormatting sqref="N1186:R1186">
    <cfRule type="notContainsBlanks" dxfId="4436" priority="4590">
      <formula>LEN(TRIM(N1186))&gt;0</formula>
    </cfRule>
  </conditionalFormatting>
  <conditionalFormatting sqref="N1186:R1186">
    <cfRule type="notContainsBlanks" dxfId="4435" priority="4589">
      <formula>LEN(TRIM(N1186))&gt;0</formula>
    </cfRule>
  </conditionalFormatting>
  <conditionalFormatting sqref="N1186:R1186">
    <cfRule type="notContainsBlanks" dxfId="4434" priority="4588">
      <formula>LEN(TRIM(N1186))&gt;0</formula>
    </cfRule>
  </conditionalFormatting>
  <conditionalFormatting sqref="N1186:R1186">
    <cfRule type="notContainsBlanks" dxfId="4433" priority="4587">
      <formula>LEN(TRIM(N1186))&gt;0</formula>
    </cfRule>
  </conditionalFormatting>
  <conditionalFormatting sqref="N1199:R1199">
    <cfRule type="notContainsBlanks" dxfId="4432" priority="4586">
      <formula>LEN(TRIM(N1199))&gt;0</formula>
    </cfRule>
  </conditionalFormatting>
  <conditionalFormatting sqref="N1199:R1199">
    <cfRule type="notContainsBlanks" dxfId="4431" priority="4585">
      <formula>LEN(TRIM(N1199))&gt;0</formula>
    </cfRule>
  </conditionalFormatting>
  <conditionalFormatting sqref="N1199:R1199">
    <cfRule type="notContainsBlanks" dxfId="4430" priority="4584">
      <formula>LEN(TRIM(N1199))&gt;0</formula>
    </cfRule>
  </conditionalFormatting>
  <conditionalFormatting sqref="N1199:R1199">
    <cfRule type="notContainsBlanks" dxfId="4429" priority="4583">
      <formula>LEN(TRIM(N1199))&gt;0</formula>
    </cfRule>
  </conditionalFormatting>
  <conditionalFormatting sqref="N1199:R1199">
    <cfRule type="notContainsBlanks" dxfId="4428" priority="4582">
      <formula>LEN(TRIM(N1199))&gt;0</formula>
    </cfRule>
  </conditionalFormatting>
  <conditionalFormatting sqref="N1199:R1199">
    <cfRule type="notContainsBlanks" dxfId="4427" priority="4581">
      <formula>LEN(TRIM(N1199))&gt;0</formula>
    </cfRule>
  </conditionalFormatting>
  <conditionalFormatting sqref="N1199:R1199">
    <cfRule type="notContainsBlanks" dxfId="4426" priority="4580">
      <formula>LEN(TRIM(N1199))&gt;0</formula>
    </cfRule>
  </conditionalFormatting>
  <conditionalFormatting sqref="N1199:R1199">
    <cfRule type="notContainsBlanks" dxfId="4425" priority="4579">
      <formula>LEN(TRIM(N1199))&gt;0</formula>
    </cfRule>
  </conditionalFormatting>
  <conditionalFormatting sqref="N1199:R1199">
    <cfRule type="notContainsBlanks" dxfId="4424" priority="4578">
      <formula>LEN(TRIM(N1199))&gt;0</formula>
    </cfRule>
  </conditionalFormatting>
  <conditionalFormatting sqref="N1199:R1199">
    <cfRule type="notContainsBlanks" dxfId="4423" priority="4576">
      <formula>LEN(TRIM(N1199))&gt;0</formula>
    </cfRule>
    <cfRule type="notContainsBlanks" dxfId="4422" priority="4577">
      <formula>LEN(TRIM(N1199))&gt;0</formula>
    </cfRule>
  </conditionalFormatting>
  <conditionalFormatting sqref="N1199:R1199">
    <cfRule type="notContainsBlanks" dxfId="4421" priority="4575">
      <formula>LEN(TRIM(N1199))&gt;0</formula>
    </cfRule>
  </conditionalFormatting>
  <conditionalFormatting sqref="N1199:R1199">
    <cfRule type="notContainsBlanks" dxfId="4420" priority="4574">
      <formula>LEN(TRIM(N1199))&gt;0</formula>
    </cfRule>
  </conditionalFormatting>
  <conditionalFormatting sqref="N1199:R1199">
    <cfRule type="notContainsBlanks" dxfId="4419" priority="4573">
      <formula>LEN(TRIM(N1199))&gt;0</formula>
    </cfRule>
  </conditionalFormatting>
  <conditionalFormatting sqref="N1199:R1199">
    <cfRule type="notContainsBlanks" dxfId="4418" priority="4572">
      <formula>LEN(TRIM(N1199))&gt;0</formula>
    </cfRule>
  </conditionalFormatting>
  <conditionalFormatting sqref="N1199:R1199">
    <cfRule type="notContainsBlanks" dxfId="4417" priority="4571">
      <formula>LEN(TRIM(N1199))&gt;0</formula>
    </cfRule>
  </conditionalFormatting>
  <conditionalFormatting sqref="N1199:R1199">
    <cfRule type="notContainsBlanks" dxfId="4416" priority="4570">
      <formula>LEN(TRIM(N1199))&gt;0</formula>
    </cfRule>
  </conditionalFormatting>
  <conditionalFormatting sqref="N1199:R1199">
    <cfRule type="notContainsBlanks" dxfId="4415" priority="4569">
      <formula>LEN(TRIM(N1199))&gt;0</formula>
    </cfRule>
  </conditionalFormatting>
  <conditionalFormatting sqref="N1199:R1199">
    <cfRule type="notContainsBlanks" dxfId="4414" priority="4568">
      <formula>LEN(TRIM(N1199))&gt;0</formula>
    </cfRule>
  </conditionalFormatting>
  <conditionalFormatting sqref="N1199:R1199">
    <cfRule type="notContainsBlanks" dxfId="4413" priority="4567">
      <formula>LEN(TRIM(N1199))&gt;0</formula>
    </cfRule>
  </conditionalFormatting>
  <conditionalFormatting sqref="N1199:R1199">
    <cfRule type="notContainsBlanks" priority="4566">
      <formula>LEN(TRIM(N1199))&gt;0</formula>
    </cfRule>
  </conditionalFormatting>
  <conditionalFormatting sqref="N1199:R1199">
    <cfRule type="notContainsBlanks" dxfId="4412" priority="4565">
      <formula>LEN(TRIM(N1199))&gt;0</formula>
    </cfRule>
  </conditionalFormatting>
  <conditionalFormatting sqref="N1199:R1199">
    <cfRule type="notContainsBlanks" dxfId="4411" priority="4564">
      <formula>LEN(TRIM(N1199))&gt;0</formula>
    </cfRule>
  </conditionalFormatting>
  <conditionalFormatting sqref="N1199:R1199">
    <cfRule type="notContainsBlanks" dxfId="4410" priority="4563">
      <formula>LEN(TRIM(N1199))&gt;0</formula>
    </cfRule>
  </conditionalFormatting>
  <conditionalFormatting sqref="N1199:R1199">
    <cfRule type="notContainsBlanks" dxfId="4409" priority="4562">
      <formula>LEN(TRIM(N1199))&gt;0</formula>
    </cfRule>
  </conditionalFormatting>
  <conditionalFormatting sqref="N1199:R1199">
    <cfRule type="notContainsBlanks" dxfId="4408" priority="4561">
      <formula>LEN(TRIM(N1199))&gt;0</formula>
    </cfRule>
  </conditionalFormatting>
  <conditionalFormatting sqref="N1212:R1212">
    <cfRule type="notContainsBlanks" dxfId="4407" priority="4560">
      <formula>LEN(TRIM(N1212))&gt;0</formula>
    </cfRule>
  </conditionalFormatting>
  <conditionalFormatting sqref="N1212:R1212">
    <cfRule type="notContainsBlanks" dxfId="4406" priority="4559">
      <formula>LEN(TRIM(N1212))&gt;0</formula>
    </cfRule>
  </conditionalFormatting>
  <conditionalFormatting sqref="N1212:R1212">
    <cfRule type="notContainsBlanks" dxfId="4405" priority="4558">
      <formula>LEN(TRIM(N1212))&gt;0</formula>
    </cfRule>
  </conditionalFormatting>
  <conditionalFormatting sqref="N1212:R1212">
    <cfRule type="notContainsBlanks" dxfId="4404" priority="4557">
      <formula>LEN(TRIM(N1212))&gt;0</formula>
    </cfRule>
  </conditionalFormatting>
  <conditionalFormatting sqref="N1212:R1212">
    <cfRule type="notContainsBlanks" dxfId="4403" priority="4556">
      <formula>LEN(TRIM(N1212))&gt;0</formula>
    </cfRule>
  </conditionalFormatting>
  <conditionalFormatting sqref="N1212:R1212">
    <cfRule type="notContainsBlanks" dxfId="4402" priority="4555">
      <formula>LEN(TRIM(N1212))&gt;0</formula>
    </cfRule>
  </conditionalFormatting>
  <conditionalFormatting sqref="N1212:R1212">
    <cfRule type="notContainsBlanks" dxfId="4401" priority="4554">
      <formula>LEN(TRIM(N1212))&gt;0</formula>
    </cfRule>
  </conditionalFormatting>
  <conditionalFormatting sqref="N1212:R1212">
    <cfRule type="notContainsBlanks" dxfId="4400" priority="4553">
      <formula>LEN(TRIM(N1212))&gt;0</formula>
    </cfRule>
  </conditionalFormatting>
  <conditionalFormatting sqref="N1212:R1212">
    <cfRule type="notContainsBlanks" dxfId="4399" priority="4552">
      <formula>LEN(TRIM(N1212))&gt;0</formula>
    </cfRule>
  </conditionalFormatting>
  <conditionalFormatting sqref="N1212:R1212">
    <cfRule type="notContainsBlanks" dxfId="4398" priority="4550">
      <formula>LEN(TRIM(N1212))&gt;0</formula>
    </cfRule>
    <cfRule type="notContainsBlanks" dxfId="4397" priority="4551">
      <formula>LEN(TRIM(N1212))&gt;0</formula>
    </cfRule>
  </conditionalFormatting>
  <conditionalFormatting sqref="N1212:R1212">
    <cfRule type="notContainsBlanks" dxfId="4396" priority="4549">
      <formula>LEN(TRIM(N1212))&gt;0</formula>
    </cfRule>
  </conditionalFormatting>
  <conditionalFormatting sqref="N1212:R1212">
    <cfRule type="notContainsBlanks" dxfId="4395" priority="4548">
      <formula>LEN(TRIM(N1212))&gt;0</formula>
    </cfRule>
  </conditionalFormatting>
  <conditionalFormatting sqref="N1212:R1212">
    <cfRule type="notContainsBlanks" dxfId="4394" priority="4547">
      <formula>LEN(TRIM(N1212))&gt;0</formula>
    </cfRule>
  </conditionalFormatting>
  <conditionalFormatting sqref="N1212:R1212">
    <cfRule type="notContainsBlanks" dxfId="4393" priority="4546">
      <formula>LEN(TRIM(N1212))&gt;0</formula>
    </cfRule>
  </conditionalFormatting>
  <conditionalFormatting sqref="N1212:R1212">
    <cfRule type="notContainsBlanks" dxfId="4392" priority="4545">
      <formula>LEN(TRIM(N1212))&gt;0</formula>
    </cfRule>
  </conditionalFormatting>
  <conditionalFormatting sqref="N1212:R1212">
    <cfRule type="notContainsBlanks" dxfId="4391" priority="4544">
      <formula>LEN(TRIM(N1212))&gt;0</formula>
    </cfRule>
  </conditionalFormatting>
  <conditionalFormatting sqref="N1212:R1212">
    <cfRule type="notContainsBlanks" dxfId="4390" priority="4543">
      <formula>LEN(TRIM(N1212))&gt;0</formula>
    </cfRule>
  </conditionalFormatting>
  <conditionalFormatting sqref="N1212:R1212">
    <cfRule type="notContainsBlanks" dxfId="4389" priority="4542">
      <formula>LEN(TRIM(N1212))&gt;0</formula>
    </cfRule>
  </conditionalFormatting>
  <conditionalFormatting sqref="N1212:R1212">
    <cfRule type="notContainsBlanks" dxfId="4388" priority="4541">
      <formula>LEN(TRIM(N1212))&gt;0</formula>
    </cfRule>
  </conditionalFormatting>
  <conditionalFormatting sqref="N1212:R1212">
    <cfRule type="notContainsBlanks" priority="4540">
      <formula>LEN(TRIM(N1212))&gt;0</formula>
    </cfRule>
  </conditionalFormatting>
  <conditionalFormatting sqref="N1212:R1212">
    <cfRule type="notContainsBlanks" dxfId="4387" priority="4539">
      <formula>LEN(TRIM(N1212))&gt;0</formula>
    </cfRule>
  </conditionalFormatting>
  <conditionalFormatting sqref="N1212:R1212">
    <cfRule type="notContainsBlanks" dxfId="4386" priority="4538">
      <formula>LEN(TRIM(N1212))&gt;0</formula>
    </cfRule>
  </conditionalFormatting>
  <conditionalFormatting sqref="N1212:R1212">
    <cfRule type="notContainsBlanks" dxfId="4385" priority="4537">
      <formula>LEN(TRIM(N1212))&gt;0</formula>
    </cfRule>
  </conditionalFormatting>
  <conditionalFormatting sqref="N1212:R1212">
    <cfRule type="notContainsBlanks" dxfId="4384" priority="4536">
      <formula>LEN(TRIM(N1212))&gt;0</formula>
    </cfRule>
  </conditionalFormatting>
  <conditionalFormatting sqref="N1212:R1212">
    <cfRule type="notContainsBlanks" dxfId="4383" priority="4535">
      <formula>LEN(TRIM(N1212))&gt;0</formula>
    </cfRule>
  </conditionalFormatting>
  <conditionalFormatting sqref="N1225:R1225">
    <cfRule type="notContainsBlanks" dxfId="4382" priority="4534">
      <formula>LEN(TRIM(N1225))&gt;0</formula>
    </cfRule>
  </conditionalFormatting>
  <conditionalFormatting sqref="N1225:R1225">
    <cfRule type="notContainsBlanks" dxfId="4381" priority="4533">
      <formula>LEN(TRIM(N1225))&gt;0</formula>
    </cfRule>
  </conditionalFormatting>
  <conditionalFormatting sqref="N1225:R1225">
    <cfRule type="notContainsBlanks" dxfId="4380" priority="4532">
      <formula>LEN(TRIM(N1225))&gt;0</formula>
    </cfRule>
  </conditionalFormatting>
  <conditionalFormatting sqref="N1225:R1225">
    <cfRule type="notContainsBlanks" dxfId="4379" priority="4531">
      <formula>LEN(TRIM(N1225))&gt;0</formula>
    </cfRule>
  </conditionalFormatting>
  <conditionalFormatting sqref="N1225:R1225">
    <cfRule type="notContainsBlanks" dxfId="4378" priority="4530">
      <formula>LEN(TRIM(N1225))&gt;0</formula>
    </cfRule>
  </conditionalFormatting>
  <conditionalFormatting sqref="N1225:R1225">
    <cfRule type="notContainsBlanks" dxfId="4377" priority="4529">
      <formula>LEN(TRIM(N1225))&gt;0</formula>
    </cfRule>
  </conditionalFormatting>
  <conditionalFormatting sqref="N1225:R1225">
    <cfRule type="notContainsBlanks" dxfId="4376" priority="4528">
      <formula>LEN(TRIM(N1225))&gt;0</formula>
    </cfRule>
  </conditionalFormatting>
  <conditionalFormatting sqref="N1225:R1225">
    <cfRule type="notContainsBlanks" dxfId="4375" priority="4527">
      <formula>LEN(TRIM(N1225))&gt;0</formula>
    </cfRule>
  </conditionalFormatting>
  <conditionalFormatting sqref="N1225:R1225">
    <cfRule type="notContainsBlanks" dxfId="4374" priority="4526">
      <formula>LEN(TRIM(N1225))&gt;0</formula>
    </cfRule>
  </conditionalFormatting>
  <conditionalFormatting sqref="N1225:R1225">
    <cfRule type="notContainsBlanks" dxfId="4373" priority="4524">
      <formula>LEN(TRIM(N1225))&gt;0</formula>
    </cfRule>
    <cfRule type="notContainsBlanks" dxfId="4372" priority="4525">
      <formula>LEN(TRIM(N1225))&gt;0</formula>
    </cfRule>
  </conditionalFormatting>
  <conditionalFormatting sqref="N1225:R1225">
    <cfRule type="notContainsBlanks" dxfId="4371" priority="4523">
      <formula>LEN(TRIM(N1225))&gt;0</formula>
    </cfRule>
  </conditionalFormatting>
  <conditionalFormatting sqref="N1225:R1225">
    <cfRule type="notContainsBlanks" dxfId="4370" priority="4522">
      <formula>LEN(TRIM(N1225))&gt;0</formula>
    </cfRule>
  </conditionalFormatting>
  <conditionalFormatting sqref="N1225:R1225">
    <cfRule type="notContainsBlanks" dxfId="4369" priority="4521">
      <formula>LEN(TRIM(N1225))&gt;0</formula>
    </cfRule>
  </conditionalFormatting>
  <conditionalFormatting sqref="N1225:R1225">
    <cfRule type="notContainsBlanks" dxfId="4368" priority="4520">
      <formula>LEN(TRIM(N1225))&gt;0</formula>
    </cfRule>
  </conditionalFormatting>
  <conditionalFormatting sqref="N1225:R1225">
    <cfRule type="notContainsBlanks" dxfId="4367" priority="4519">
      <formula>LEN(TRIM(N1225))&gt;0</formula>
    </cfRule>
  </conditionalFormatting>
  <conditionalFormatting sqref="N1225:R1225">
    <cfRule type="notContainsBlanks" dxfId="4366" priority="4518">
      <formula>LEN(TRIM(N1225))&gt;0</formula>
    </cfRule>
  </conditionalFormatting>
  <conditionalFormatting sqref="N1225:R1225">
    <cfRule type="notContainsBlanks" dxfId="4365" priority="4517">
      <formula>LEN(TRIM(N1225))&gt;0</formula>
    </cfRule>
  </conditionalFormatting>
  <conditionalFormatting sqref="N1225:R1225">
    <cfRule type="notContainsBlanks" dxfId="4364" priority="4516">
      <formula>LEN(TRIM(N1225))&gt;0</formula>
    </cfRule>
  </conditionalFormatting>
  <conditionalFormatting sqref="N1225:R1225">
    <cfRule type="notContainsBlanks" dxfId="4363" priority="4515">
      <formula>LEN(TRIM(N1225))&gt;0</formula>
    </cfRule>
  </conditionalFormatting>
  <conditionalFormatting sqref="N1225:R1225">
    <cfRule type="notContainsBlanks" priority="4514">
      <formula>LEN(TRIM(N1225))&gt;0</formula>
    </cfRule>
  </conditionalFormatting>
  <conditionalFormatting sqref="N1225:R1225">
    <cfRule type="notContainsBlanks" dxfId="4362" priority="4513">
      <formula>LEN(TRIM(N1225))&gt;0</formula>
    </cfRule>
  </conditionalFormatting>
  <conditionalFormatting sqref="N1225:R1225">
    <cfRule type="notContainsBlanks" dxfId="4361" priority="4512">
      <formula>LEN(TRIM(N1225))&gt;0</formula>
    </cfRule>
  </conditionalFormatting>
  <conditionalFormatting sqref="N1225:R1225">
    <cfRule type="notContainsBlanks" dxfId="4360" priority="4511">
      <formula>LEN(TRIM(N1225))&gt;0</formula>
    </cfRule>
  </conditionalFormatting>
  <conditionalFormatting sqref="N1225:R1225">
    <cfRule type="notContainsBlanks" dxfId="4359" priority="4510">
      <formula>LEN(TRIM(N1225))&gt;0</formula>
    </cfRule>
  </conditionalFormatting>
  <conditionalFormatting sqref="N1225:R1225">
    <cfRule type="notContainsBlanks" dxfId="4358" priority="4509">
      <formula>LEN(TRIM(N1225))&gt;0</formula>
    </cfRule>
  </conditionalFormatting>
  <conditionalFormatting sqref="N1238:R1238">
    <cfRule type="notContainsBlanks" dxfId="4357" priority="4508">
      <formula>LEN(TRIM(N1238))&gt;0</formula>
    </cfRule>
  </conditionalFormatting>
  <conditionalFormatting sqref="N1238:R1238">
    <cfRule type="notContainsBlanks" dxfId="4356" priority="4507">
      <formula>LEN(TRIM(N1238))&gt;0</formula>
    </cfRule>
  </conditionalFormatting>
  <conditionalFormatting sqref="N1238:R1238">
    <cfRule type="notContainsBlanks" dxfId="4355" priority="4506">
      <formula>LEN(TRIM(N1238))&gt;0</formula>
    </cfRule>
  </conditionalFormatting>
  <conditionalFormatting sqref="N1238:R1238">
    <cfRule type="notContainsBlanks" dxfId="4354" priority="4505">
      <formula>LEN(TRIM(N1238))&gt;0</formula>
    </cfRule>
  </conditionalFormatting>
  <conditionalFormatting sqref="N1238:R1238">
    <cfRule type="notContainsBlanks" dxfId="4353" priority="4504">
      <formula>LEN(TRIM(N1238))&gt;0</formula>
    </cfRule>
  </conditionalFormatting>
  <conditionalFormatting sqref="N1238:R1238">
    <cfRule type="notContainsBlanks" dxfId="4352" priority="4503">
      <formula>LEN(TRIM(N1238))&gt;0</formula>
    </cfRule>
  </conditionalFormatting>
  <conditionalFormatting sqref="N1238:R1238">
    <cfRule type="notContainsBlanks" dxfId="4351" priority="4502">
      <formula>LEN(TRIM(N1238))&gt;0</formula>
    </cfRule>
  </conditionalFormatting>
  <conditionalFormatting sqref="N1238:R1238">
    <cfRule type="notContainsBlanks" dxfId="4350" priority="4501">
      <formula>LEN(TRIM(N1238))&gt;0</formula>
    </cfRule>
  </conditionalFormatting>
  <conditionalFormatting sqref="N1238:R1238">
    <cfRule type="notContainsBlanks" dxfId="4349" priority="4500">
      <formula>LEN(TRIM(N1238))&gt;0</formula>
    </cfRule>
  </conditionalFormatting>
  <conditionalFormatting sqref="N1238:R1238">
    <cfRule type="notContainsBlanks" dxfId="4348" priority="4498">
      <formula>LEN(TRIM(N1238))&gt;0</formula>
    </cfRule>
    <cfRule type="notContainsBlanks" dxfId="4347" priority="4499">
      <formula>LEN(TRIM(N1238))&gt;0</formula>
    </cfRule>
  </conditionalFormatting>
  <conditionalFormatting sqref="N1238:R1238">
    <cfRule type="notContainsBlanks" dxfId="4346" priority="4497">
      <formula>LEN(TRIM(N1238))&gt;0</formula>
    </cfRule>
  </conditionalFormatting>
  <conditionalFormatting sqref="N1238:R1238">
    <cfRule type="notContainsBlanks" dxfId="4345" priority="4496">
      <formula>LEN(TRIM(N1238))&gt;0</formula>
    </cfRule>
  </conditionalFormatting>
  <conditionalFormatting sqref="N1238:R1238">
    <cfRule type="notContainsBlanks" dxfId="4344" priority="4495">
      <formula>LEN(TRIM(N1238))&gt;0</formula>
    </cfRule>
  </conditionalFormatting>
  <conditionalFormatting sqref="N1238:R1238">
    <cfRule type="notContainsBlanks" dxfId="4343" priority="4494">
      <formula>LEN(TRIM(N1238))&gt;0</formula>
    </cfRule>
  </conditionalFormatting>
  <conditionalFormatting sqref="N1238:R1238">
    <cfRule type="notContainsBlanks" dxfId="4342" priority="4493">
      <formula>LEN(TRIM(N1238))&gt;0</formula>
    </cfRule>
  </conditionalFormatting>
  <conditionalFormatting sqref="N1238:R1238">
    <cfRule type="notContainsBlanks" dxfId="4341" priority="4492">
      <formula>LEN(TRIM(N1238))&gt;0</formula>
    </cfRule>
  </conditionalFormatting>
  <conditionalFormatting sqref="N1238:R1238">
    <cfRule type="notContainsBlanks" dxfId="4340" priority="4491">
      <formula>LEN(TRIM(N1238))&gt;0</formula>
    </cfRule>
  </conditionalFormatting>
  <conditionalFormatting sqref="N1238:R1238">
    <cfRule type="notContainsBlanks" dxfId="4339" priority="4490">
      <formula>LEN(TRIM(N1238))&gt;0</formula>
    </cfRule>
  </conditionalFormatting>
  <conditionalFormatting sqref="N1238:R1238">
    <cfRule type="notContainsBlanks" dxfId="4338" priority="4489">
      <formula>LEN(TRIM(N1238))&gt;0</formula>
    </cfRule>
  </conditionalFormatting>
  <conditionalFormatting sqref="N1238:R1238">
    <cfRule type="notContainsBlanks" priority="4488">
      <formula>LEN(TRIM(N1238))&gt;0</formula>
    </cfRule>
  </conditionalFormatting>
  <conditionalFormatting sqref="N1238:R1238">
    <cfRule type="notContainsBlanks" dxfId="4337" priority="4487">
      <formula>LEN(TRIM(N1238))&gt;0</formula>
    </cfRule>
  </conditionalFormatting>
  <conditionalFormatting sqref="N1238:R1238">
    <cfRule type="notContainsBlanks" dxfId="4336" priority="4486">
      <formula>LEN(TRIM(N1238))&gt;0</formula>
    </cfRule>
  </conditionalFormatting>
  <conditionalFormatting sqref="N1238:R1238">
    <cfRule type="notContainsBlanks" dxfId="4335" priority="4485">
      <formula>LEN(TRIM(N1238))&gt;0</formula>
    </cfRule>
  </conditionalFormatting>
  <conditionalFormatting sqref="N1238:R1238">
    <cfRule type="notContainsBlanks" dxfId="4334" priority="4484">
      <formula>LEN(TRIM(N1238))&gt;0</formula>
    </cfRule>
  </conditionalFormatting>
  <conditionalFormatting sqref="N1238:R1238">
    <cfRule type="notContainsBlanks" dxfId="4333" priority="4483">
      <formula>LEN(TRIM(N1238))&gt;0</formula>
    </cfRule>
  </conditionalFormatting>
  <conditionalFormatting sqref="N1251:R1251">
    <cfRule type="notContainsBlanks" dxfId="4332" priority="4482">
      <formula>LEN(TRIM(N1251))&gt;0</formula>
    </cfRule>
  </conditionalFormatting>
  <conditionalFormatting sqref="N1251:R1251">
    <cfRule type="notContainsBlanks" dxfId="4331" priority="4481">
      <formula>LEN(TRIM(N1251))&gt;0</formula>
    </cfRule>
  </conditionalFormatting>
  <conditionalFormatting sqref="N1251:R1251">
    <cfRule type="notContainsBlanks" dxfId="4330" priority="4480">
      <formula>LEN(TRIM(N1251))&gt;0</formula>
    </cfRule>
  </conditionalFormatting>
  <conditionalFormatting sqref="N1251:R1251">
    <cfRule type="notContainsBlanks" dxfId="4329" priority="4479">
      <formula>LEN(TRIM(N1251))&gt;0</formula>
    </cfRule>
  </conditionalFormatting>
  <conditionalFormatting sqref="N1251:R1251">
    <cfRule type="notContainsBlanks" dxfId="4328" priority="4478">
      <formula>LEN(TRIM(N1251))&gt;0</formula>
    </cfRule>
  </conditionalFormatting>
  <conditionalFormatting sqref="N1251:R1251">
    <cfRule type="notContainsBlanks" dxfId="4327" priority="4477">
      <formula>LEN(TRIM(N1251))&gt;0</formula>
    </cfRule>
  </conditionalFormatting>
  <conditionalFormatting sqref="N1251:R1251">
    <cfRule type="notContainsBlanks" dxfId="4326" priority="4476">
      <formula>LEN(TRIM(N1251))&gt;0</formula>
    </cfRule>
  </conditionalFormatting>
  <conditionalFormatting sqref="N1251:R1251">
    <cfRule type="notContainsBlanks" dxfId="4325" priority="4475">
      <formula>LEN(TRIM(N1251))&gt;0</formula>
    </cfRule>
  </conditionalFormatting>
  <conditionalFormatting sqref="N1251:R1251">
    <cfRule type="notContainsBlanks" dxfId="4324" priority="4474">
      <formula>LEN(TRIM(N1251))&gt;0</formula>
    </cfRule>
  </conditionalFormatting>
  <conditionalFormatting sqref="N1251:R1251">
    <cfRule type="notContainsBlanks" dxfId="4323" priority="4472">
      <formula>LEN(TRIM(N1251))&gt;0</formula>
    </cfRule>
    <cfRule type="notContainsBlanks" dxfId="4322" priority="4473">
      <formula>LEN(TRIM(N1251))&gt;0</formula>
    </cfRule>
  </conditionalFormatting>
  <conditionalFormatting sqref="N1251:R1251">
    <cfRule type="notContainsBlanks" dxfId="4321" priority="4471">
      <formula>LEN(TRIM(N1251))&gt;0</formula>
    </cfRule>
  </conditionalFormatting>
  <conditionalFormatting sqref="N1251:R1251">
    <cfRule type="notContainsBlanks" dxfId="4320" priority="4470">
      <formula>LEN(TRIM(N1251))&gt;0</formula>
    </cfRule>
  </conditionalFormatting>
  <conditionalFormatting sqref="N1251:R1251">
    <cfRule type="notContainsBlanks" dxfId="4319" priority="4469">
      <formula>LEN(TRIM(N1251))&gt;0</formula>
    </cfRule>
  </conditionalFormatting>
  <conditionalFormatting sqref="N1251:R1251">
    <cfRule type="notContainsBlanks" dxfId="4318" priority="4468">
      <formula>LEN(TRIM(N1251))&gt;0</formula>
    </cfRule>
  </conditionalFormatting>
  <conditionalFormatting sqref="N1251:R1251">
    <cfRule type="notContainsBlanks" dxfId="4317" priority="4467">
      <formula>LEN(TRIM(N1251))&gt;0</formula>
    </cfRule>
  </conditionalFormatting>
  <conditionalFormatting sqref="N1251:R1251">
    <cfRule type="notContainsBlanks" dxfId="4316" priority="4466">
      <formula>LEN(TRIM(N1251))&gt;0</formula>
    </cfRule>
  </conditionalFormatting>
  <conditionalFormatting sqref="N1251:R1251">
    <cfRule type="notContainsBlanks" dxfId="4315" priority="4465">
      <formula>LEN(TRIM(N1251))&gt;0</formula>
    </cfRule>
  </conditionalFormatting>
  <conditionalFormatting sqref="N1251:R1251">
    <cfRule type="notContainsBlanks" dxfId="4314" priority="4464">
      <formula>LEN(TRIM(N1251))&gt;0</formula>
    </cfRule>
  </conditionalFormatting>
  <conditionalFormatting sqref="N1251:R1251">
    <cfRule type="notContainsBlanks" dxfId="4313" priority="4463">
      <formula>LEN(TRIM(N1251))&gt;0</formula>
    </cfRule>
  </conditionalFormatting>
  <conditionalFormatting sqref="N1251:R1251">
    <cfRule type="notContainsBlanks" priority="4462">
      <formula>LEN(TRIM(N1251))&gt;0</formula>
    </cfRule>
  </conditionalFormatting>
  <conditionalFormatting sqref="N1251:R1251">
    <cfRule type="notContainsBlanks" dxfId="4312" priority="4461">
      <formula>LEN(TRIM(N1251))&gt;0</formula>
    </cfRule>
  </conditionalFormatting>
  <conditionalFormatting sqref="N1251:R1251">
    <cfRule type="notContainsBlanks" dxfId="4311" priority="4460">
      <formula>LEN(TRIM(N1251))&gt;0</formula>
    </cfRule>
  </conditionalFormatting>
  <conditionalFormatting sqref="N1251:R1251">
    <cfRule type="notContainsBlanks" dxfId="4310" priority="4459">
      <formula>LEN(TRIM(N1251))&gt;0</formula>
    </cfRule>
  </conditionalFormatting>
  <conditionalFormatting sqref="N1251:R1251">
    <cfRule type="notContainsBlanks" dxfId="4309" priority="4458">
      <formula>LEN(TRIM(N1251))&gt;0</formula>
    </cfRule>
  </conditionalFormatting>
  <conditionalFormatting sqref="N1251:R1251">
    <cfRule type="notContainsBlanks" dxfId="4308" priority="4457">
      <formula>LEN(TRIM(N1251))&gt;0</formula>
    </cfRule>
  </conditionalFormatting>
  <conditionalFormatting sqref="N1264:R1264">
    <cfRule type="notContainsBlanks" dxfId="4307" priority="4456">
      <formula>LEN(TRIM(N1264))&gt;0</formula>
    </cfRule>
  </conditionalFormatting>
  <conditionalFormatting sqref="N1264:R1264">
    <cfRule type="notContainsBlanks" dxfId="4306" priority="4455">
      <formula>LEN(TRIM(N1264))&gt;0</formula>
    </cfRule>
  </conditionalFormatting>
  <conditionalFormatting sqref="N1264:R1264">
    <cfRule type="notContainsBlanks" dxfId="4305" priority="4454">
      <formula>LEN(TRIM(N1264))&gt;0</formula>
    </cfRule>
  </conditionalFormatting>
  <conditionalFormatting sqref="N1264:R1264">
    <cfRule type="notContainsBlanks" dxfId="4304" priority="4453">
      <formula>LEN(TRIM(N1264))&gt;0</formula>
    </cfRule>
  </conditionalFormatting>
  <conditionalFormatting sqref="N1264:R1264">
    <cfRule type="notContainsBlanks" dxfId="4303" priority="4452">
      <formula>LEN(TRIM(N1264))&gt;0</formula>
    </cfRule>
  </conditionalFormatting>
  <conditionalFormatting sqref="N1264:R1264">
    <cfRule type="notContainsBlanks" dxfId="4302" priority="4451">
      <formula>LEN(TRIM(N1264))&gt;0</formula>
    </cfRule>
  </conditionalFormatting>
  <conditionalFormatting sqref="N1264:R1264">
    <cfRule type="notContainsBlanks" dxfId="4301" priority="4450">
      <formula>LEN(TRIM(N1264))&gt;0</formula>
    </cfRule>
  </conditionalFormatting>
  <conditionalFormatting sqref="N1264:R1264">
    <cfRule type="notContainsBlanks" dxfId="4300" priority="4449">
      <formula>LEN(TRIM(N1264))&gt;0</formula>
    </cfRule>
  </conditionalFormatting>
  <conditionalFormatting sqref="N1264:R1264">
    <cfRule type="notContainsBlanks" dxfId="4299" priority="4448">
      <formula>LEN(TRIM(N1264))&gt;0</formula>
    </cfRule>
  </conditionalFormatting>
  <conditionalFormatting sqref="N1264:R1264">
    <cfRule type="notContainsBlanks" dxfId="4298" priority="4446">
      <formula>LEN(TRIM(N1264))&gt;0</formula>
    </cfRule>
    <cfRule type="notContainsBlanks" dxfId="4297" priority="4447">
      <formula>LEN(TRIM(N1264))&gt;0</formula>
    </cfRule>
  </conditionalFormatting>
  <conditionalFormatting sqref="N1264:R1264">
    <cfRule type="notContainsBlanks" dxfId="4296" priority="4445">
      <formula>LEN(TRIM(N1264))&gt;0</formula>
    </cfRule>
  </conditionalFormatting>
  <conditionalFormatting sqref="N1264:R1264">
    <cfRule type="notContainsBlanks" dxfId="4295" priority="4444">
      <formula>LEN(TRIM(N1264))&gt;0</formula>
    </cfRule>
  </conditionalFormatting>
  <conditionalFormatting sqref="N1264:R1264">
    <cfRule type="notContainsBlanks" dxfId="4294" priority="4443">
      <formula>LEN(TRIM(N1264))&gt;0</formula>
    </cfRule>
  </conditionalFormatting>
  <conditionalFormatting sqref="N1264:R1264">
    <cfRule type="notContainsBlanks" dxfId="4293" priority="4442">
      <formula>LEN(TRIM(N1264))&gt;0</formula>
    </cfRule>
  </conditionalFormatting>
  <conditionalFormatting sqref="N1264:R1264">
    <cfRule type="notContainsBlanks" dxfId="4292" priority="4441">
      <formula>LEN(TRIM(N1264))&gt;0</formula>
    </cfRule>
  </conditionalFormatting>
  <conditionalFormatting sqref="N1264:R1264">
    <cfRule type="notContainsBlanks" dxfId="4291" priority="4440">
      <formula>LEN(TRIM(N1264))&gt;0</formula>
    </cfRule>
  </conditionalFormatting>
  <conditionalFormatting sqref="N1264:R1264">
    <cfRule type="notContainsBlanks" dxfId="4290" priority="4439">
      <formula>LEN(TRIM(N1264))&gt;0</formula>
    </cfRule>
  </conditionalFormatting>
  <conditionalFormatting sqref="N1264:R1264">
    <cfRule type="notContainsBlanks" dxfId="4289" priority="4438">
      <formula>LEN(TRIM(N1264))&gt;0</formula>
    </cfRule>
  </conditionalFormatting>
  <conditionalFormatting sqref="N1264:R1264">
    <cfRule type="notContainsBlanks" dxfId="4288" priority="4437">
      <formula>LEN(TRIM(N1264))&gt;0</formula>
    </cfRule>
  </conditionalFormatting>
  <conditionalFormatting sqref="N1264:R1264">
    <cfRule type="notContainsBlanks" priority="4436">
      <formula>LEN(TRIM(N1264))&gt;0</formula>
    </cfRule>
  </conditionalFormatting>
  <conditionalFormatting sqref="N1264:R1264">
    <cfRule type="notContainsBlanks" dxfId="4287" priority="4435">
      <formula>LEN(TRIM(N1264))&gt;0</formula>
    </cfRule>
  </conditionalFormatting>
  <conditionalFormatting sqref="N1264:R1264">
    <cfRule type="notContainsBlanks" dxfId="4286" priority="4434">
      <formula>LEN(TRIM(N1264))&gt;0</formula>
    </cfRule>
  </conditionalFormatting>
  <conditionalFormatting sqref="N1264:R1264">
    <cfRule type="notContainsBlanks" dxfId="4285" priority="4433">
      <formula>LEN(TRIM(N1264))&gt;0</formula>
    </cfRule>
  </conditionalFormatting>
  <conditionalFormatting sqref="N1264:R1264">
    <cfRule type="notContainsBlanks" dxfId="4284" priority="4432">
      <formula>LEN(TRIM(N1264))&gt;0</formula>
    </cfRule>
  </conditionalFormatting>
  <conditionalFormatting sqref="N1264:R1264">
    <cfRule type="notContainsBlanks" dxfId="4283" priority="4431">
      <formula>LEN(TRIM(N1264))&gt;0</formula>
    </cfRule>
  </conditionalFormatting>
  <conditionalFormatting sqref="N1277:R1277">
    <cfRule type="notContainsBlanks" dxfId="4282" priority="4430">
      <formula>LEN(TRIM(N1277))&gt;0</formula>
    </cfRule>
  </conditionalFormatting>
  <conditionalFormatting sqref="N1277:R1277">
    <cfRule type="notContainsBlanks" dxfId="4281" priority="4429">
      <formula>LEN(TRIM(N1277))&gt;0</formula>
    </cfRule>
  </conditionalFormatting>
  <conditionalFormatting sqref="N1277:R1277">
    <cfRule type="notContainsBlanks" dxfId="4280" priority="4428">
      <formula>LEN(TRIM(N1277))&gt;0</formula>
    </cfRule>
  </conditionalFormatting>
  <conditionalFormatting sqref="N1277:R1277">
    <cfRule type="notContainsBlanks" dxfId="4279" priority="4427">
      <formula>LEN(TRIM(N1277))&gt;0</formula>
    </cfRule>
  </conditionalFormatting>
  <conditionalFormatting sqref="N1277:R1277">
    <cfRule type="notContainsBlanks" dxfId="4278" priority="4426">
      <formula>LEN(TRIM(N1277))&gt;0</formula>
    </cfRule>
  </conditionalFormatting>
  <conditionalFormatting sqref="N1277:R1277">
    <cfRule type="notContainsBlanks" dxfId="4277" priority="4425">
      <formula>LEN(TRIM(N1277))&gt;0</formula>
    </cfRule>
  </conditionalFormatting>
  <conditionalFormatting sqref="N1277:R1277">
    <cfRule type="notContainsBlanks" dxfId="4276" priority="4424">
      <formula>LEN(TRIM(N1277))&gt;0</formula>
    </cfRule>
  </conditionalFormatting>
  <conditionalFormatting sqref="N1277:R1277">
    <cfRule type="notContainsBlanks" dxfId="4275" priority="4423">
      <formula>LEN(TRIM(N1277))&gt;0</formula>
    </cfRule>
  </conditionalFormatting>
  <conditionalFormatting sqref="N1277:R1277">
    <cfRule type="notContainsBlanks" dxfId="4274" priority="4422">
      <formula>LEN(TRIM(N1277))&gt;0</formula>
    </cfRule>
  </conditionalFormatting>
  <conditionalFormatting sqref="N1277:R1277">
    <cfRule type="notContainsBlanks" dxfId="4273" priority="4420">
      <formula>LEN(TRIM(N1277))&gt;0</formula>
    </cfRule>
    <cfRule type="notContainsBlanks" dxfId="4272" priority="4421">
      <formula>LEN(TRIM(N1277))&gt;0</formula>
    </cfRule>
  </conditionalFormatting>
  <conditionalFormatting sqref="N1277:R1277">
    <cfRule type="notContainsBlanks" dxfId="4271" priority="4419">
      <formula>LEN(TRIM(N1277))&gt;0</formula>
    </cfRule>
  </conditionalFormatting>
  <conditionalFormatting sqref="N1277:R1277">
    <cfRule type="notContainsBlanks" dxfId="4270" priority="4418">
      <formula>LEN(TRIM(N1277))&gt;0</formula>
    </cfRule>
  </conditionalFormatting>
  <conditionalFormatting sqref="N1277:R1277">
    <cfRule type="notContainsBlanks" dxfId="4269" priority="4417">
      <formula>LEN(TRIM(N1277))&gt;0</formula>
    </cfRule>
  </conditionalFormatting>
  <conditionalFormatting sqref="N1277:R1277">
    <cfRule type="notContainsBlanks" dxfId="4268" priority="4416">
      <formula>LEN(TRIM(N1277))&gt;0</formula>
    </cfRule>
  </conditionalFormatting>
  <conditionalFormatting sqref="N1277:R1277">
    <cfRule type="notContainsBlanks" dxfId="4267" priority="4415">
      <formula>LEN(TRIM(N1277))&gt;0</formula>
    </cfRule>
  </conditionalFormatting>
  <conditionalFormatting sqref="N1277:R1277">
    <cfRule type="notContainsBlanks" dxfId="4266" priority="4414">
      <formula>LEN(TRIM(N1277))&gt;0</formula>
    </cfRule>
  </conditionalFormatting>
  <conditionalFormatting sqref="N1277:R1277">
    <cfRule type="notContainsBlanks" dxfId="4265" priority="4413">
      <formula>LEN(TRIM(N1277))&gt;0</formula>
    </cfRule>
  </conditionalFormatting>
  <conditionalFormatting sqref="N1277:R1277">
    <cfRule type="notContainsBlanks" dxfId="4264" priority="4412">
      <formula>LEN(TRIM(N1277))&gt;0</formula>
    </cfRule>
  </conditionalFormatting>
  <conditionalFormatting sqref="N1277:R1277">
    <cfRule type="notContainsBlanks" dxfId="4263" priority="4411">
      <formula>LEN(TRIM(N1277))&gt;0</formula>
    </cfRule>
  </conditionalFormatting>
  <conditionalFormatting sqref="N1277:R1277">
    <cfRule type="notContainsBlanks" priority="4410">
      <formula>LEN(TRIM(N1277))&gt;0</formula>
    </cfRule>
  </conditionalFormatting>
  <conditionalFormatting sqref="N1277:R1277">
    <cfRule type="notContainsBlanks" dxfId="4262" priority="4409">
      <formula>LEN(TRIM(N1277))&gt;0</formula>
    </cfRule>
  </conditionalFormatting>
  <conditionalFormatting sqref="N1277:R1277">
    <cfRule type="notContainsBlanks" dxfId="4261" priority="4408">
      <formula>LEN(TRIM(N1277))&gt;0</formula>
    </cfRule>
  </conditionalFormatting>
  <conditionalFormatting sqref="N1277:R1277">
    <cfRule type="notContainsBlanks" dxfId="4260" priority="4407">
      <formula>LEN(TRIM(N1277))&gt;0</formula>
    </cfRule>
  </conditionalFormatting>
  <conditionalFormatting sqref="N1277:R1277">
    <cfRule type="notContainsBlanks" dxfId="4259" priority="4406">
      <formula>LEN(TRIM(N1277))&gt;0</formula>
    </cfRule>
  </conditionalFormatting>
  <conditionalFormatting sqref="N1277:R1277">
    <cfRule type="notContainsBlanks" dxfId="4258" priority="4405">
      <formula>LEN(TRIM(N1277))&gt;0</formula>
    </cfRule>
  </conditionalFormatting>
  <conditionalFormatting sqref="N1290:R1290">
    <cfRule type="notContainsBlanks" dxfId="4257" priority="4404">
      <formula>LEN(TRIM(N1290))&gt;0</formula>
    </cfRule>
  </conditionalFormatting>
  <conditionalFormatting sqref="N1290:R1290">
    <cfRule type="notContainsBlanks" dxfId="4256" priority="4403">
      <formula>LEN(TRIM(N1290))&gt;0</formula>
    </cfRule>
  </conditionalFormatting>
  <conditionalFormatting sqref="N1290:R1290">
    <cfRule type="notContainsBlanks" dxfId="4255" priority="4402">
      <formula>LEN(TRIM(N1290))&gt;0</formula>
    </cfRule>
  </conditionalFormatting>
  <conditionalFormatting sqref="N1290:R1290">
    <cfRule type="notContainsBlanks" dxfId="4254" priority="4401">
      <formula>LEN(TRIM(N1290))&gt;0</formula>
    </cfRule>
  </conditionalFormatting>
  <conditionalFormatting sqref="N1290:R1290">
    <cfRule type="notContainsBlanks" dxfId="4253" priority="4400">
      <formula>LEN(TRIM(N1290))&gt;0</formula>
    </cfRule>
  </conditionalFormatting>
  <conditionalFormatting sqref="N1290:R1290">
    <cfRule type="notContainsBlanks" dxfId="4252" priority="4399">
      <formula>LEN(TRIM(N1290))&gt;0</formula>
    </cfRule>
  </conditionalFormatting>
  <conditionalFormatting sqref="N1290:R1290">
    <cfRule type="notContainsBlanks" dxfId="4251" priority="4398">
      <formula>LEN(TRIM(N1290))&gt;0</formula>
    </cfRule>
  </conditionalFormatting>
  <conditionalFormatting sqref="N1290:R1290">
    <cfRule type="notContainsBlanks" dxfId="4250" priority="4397">
      <formula>LEN(TRIM(N1290))&gt;0</formula>
    </cfRule>
  </conditionalFormatting>
  <conditionalFormatting sqref="N1290:R1290">
    <cfRule type="notContainsBlanks" dxfId="4249" priority="4396">
      <formula>LEN(TRIM(N1290))&gt;0</formula>
    </cfRule>
  </conditionalFormatting>
  <conditionalFormatting sqref="N1290:R1290">
    <cfRule type="notContainsBlanks" dxfId="4248" priority="4394">
      <formula>LEN(TRIM(N1290))&gt;0</formula>
    </cfRule>
    <cfRule type="notContainsBlanks" dxfId="4247" priority="4395">
      <formula>LEN(TRIM(N1290))&gt;0</formula>
    </cfRule>
  </conditionalFormatting>
  <conditionalFormatting sqref="N1290:R1290">
    <cfRule type="notContainsBlanks" dxfId="4246" priority="4393">
      <formula>LEN(TRIM(N1290))&gt;0</formula>
    </cfRule>
  </conditionalFormatting>
  <conditionalFormatting sqref="N1290:R1290">
    <cfRule type="notContainsBlanks" dxfId="4245" priority="4392">
      <formula>LEN(TRIM(N1290))&gt;0</formula>
    </cfRule>
  </conditionalFormatting>
  <conditionalFormatting sqref="N1290:R1290">
    <cfRule type="notContainsBlanks" dxfId="4244" priority="4391">
      <formula>LEN(TRIM(N1290))&gt;0</formula>
    </cfRule>
  </conditionalFormatting>
  <conditionalFormatting sqref="N1290:R1290">
    <cfRule type="notContainsBlanks" dxfId="4243" priority="4390">
      <formula>LEN(TRIM(N1290))&gt;0</formula>
    </cfRule>
  </conditionalFormatting>
  <conditionalFormatting sqref="N1290:R1290">
    <cfRule type="notContainsBlanks" dxfId="4242" priority="4389">
      <formula>LEN(TRIM(N1290))&gt;0</formula>
    </cfRule>
  </conditionalFormatting>
  <conditionalFormatting sqref="N1290:R1290">
    <cfRule type="notContainsBlanks" dxfId="4241" priority="4388">
      <formula>LEN(TRIM(N1290))&gt;0</formula>
    </cfRule>
  </conditionalFormatting>
  <conditionalFormatting sqref="N1290:R1290">
    <cfRule type="notContainsBlanks" dxfId="4240" priority="4387">
      <formula>LEN(TRIM(N1290))&gt;0</formula>
    </cfRule>
  </conditionalFormatting>
  <conditionalFormatting sqref="N1290:R1290">
    <cfRule type="notContainsBlanks" dxfId="4239" priority="4386">
      <formula>LEN(TRIM(N1290))&gt;0</formula>
    </cfRule>
  </conditionalFormatting>
  <conditionalFormatting sqref="N1290:R1290">
    <cfRule type="notContainsBlanks" dxfId="4238" priority="4385">
      <formula>LEN(TRIM(N1290))&gt;0</formula>
    </cfRule>
  </conditionalFormatting>
  <conditionalFormatting sqref="N1290:R1290">
    <cfRule type="notContainsBlanks" priority="4384">
      <formula>LEN(TRIM(N1290))&gt;0</formula>
    </cfRule>
  </conditionalFormatting>
  <conditionalFormatting sqref="N1290:R1290">
    <cfRule type="notContainsBlanks" dxfId="4237" priority="4383">
      <formula>LEN(TRIM(N1290))&gt;0</formula>
    </cfRule>
  </conditionalFormatting>
  <conditionalFormatting sqref="N1290:R1290">
    <cfRule type="notContainsBlanks" dxfId="4236" priority="4382">
      <formula>LEN(TRIM(N1290))&gt;0</formula>
    </cfRule>
  </conditionalFormatting>
  <conditionalFormatting sqref="N1290:R1290">
    <cfRule type="notContainsBlanks" dxfId="4235" priority="4381">
      <formula>LEN(TRIM(N1290))&gt;0</formula>
    </cfRule>
  </conditionalFormatting>
  <conditionalFormatting sqref="N1290:R1290">
    <cfRule type="notContainsBlanks" dxfId="4234" priority="4380">
      <formula>LEN(TRIM(N1290))&gt;0</formula>
    </cfRule>
  </conditionalFormatting>
  <conditionalFormatting sqref="N1290:R1290">
    <cfRule type="notContainsBlanks" dxfId="4233" priority="4379">
      <formula>LEN(TRIM(N1290))&gt;0</formula>
    </cfRule>
  </conditionalFormatting>
  <conditionalFormatting sqref="N1303:R1303">
    <cfRule type="notContainsBlanks" dxfId="4232" priority="4378">
      <formula>LEN(TRIM(N1303))&gt;0</formula>
    </cfRule>
  </conditionalFormatting>
  <conditionalFormatting sqref="N1303:R1303">
    <cfRule type="notContainsBlanks" dxfId="4231" priority="4377">
      <formula>LEN(TRIM(N1303))&gt;0</formula>
    </cfRule>
  </conditionalFormatting>
  <conditionalFormatting sqref="N1303:R1303">
    <cfRule type="notContainsBlanks" dxfId="4230" priority="4376">
      <formula>LEN(TRIM(N1303))&gt;0</formula>
    </cfRule>
  </conditionalFormatting>
  <conditionalFormatting sqref="N1303:R1303">
    <cfRule type="notContainsBlanks" dxfId="4229" priority="4375">
      <formula>LEN(TRIM(N1303))&gt;0</formula>
    </cfRule>
  </conditionalFormatting>
  <conditionalFormatting sqref="N1303:R1303">
    <cfRule type="notContainsBlanks" dxfId="4228" priority="4374">
      <formula>LEN(TRIM(N1303))&gt;0</formula>
    </cfRule>
  </conditionalFormatting>
  <conditionalFormatting sqref="N1303:R1303">
    <cfRule type="notContainsBlanks" dxfId="4227" priority="4373">
      <formula>LEN(TRIM(N1303))&gt;0</formula>
    </cfRule>
  </conditionalFormatting>
  <conditionalFormatting sqref="N1303:R1303">
    <cfRule type="notContainsBlanks" dxfId="4226" priority="4372">
      <formula>LEN(TRIM(N1303))&gt;0</formula>
    </cfRule>
  </conditionalFormatting>
  <conditionalFormatting sqref="N1303:R1303">
    <cfRule type="notContainsBlanks" dxfId="4225" priority="4371">
      <formula>LEN(TRIM(N1303))&gt;0</formula>
    </cfRule>
  </conditionalFormatting>
  <conditionalFormatting sqref="N1303:R1303">
    <cfRule type="notContainsBlanks" dxfId="4224" priority="4370">
      <formula>LEN(TRIM(N1303))&gt;0</formula>
    </cfRule>
  </conditionalFormatting>
  <conditionalFormatting sqref="N1303:R1303">
    <cfRule type="notContainsBlanks" dxfId="4223" priority="4368">
      <formula>LEN(TRIM(N1303))&gt;0</formula>
    </cfRule>
    <cfRule type="notContainsBlanks" dxfId="4222" priority="4369">
      <formula>LEN(TRIM(N1303))&gt;0</formula>
    </cfRule>
  </conditionalFormatting>
  <conditionalFormatting sqref="N1303:R1303">
    <cfRule type="notContainsBlanks" dxfId="4221" priority="4367">
      <formula>LEN(TRIM(N1303))&gt;0</formula>
    </cfRule>
  </conditionalFormatting>
  <conditionalFormatting sqref="N1303:R1303">
    <cfRule type="notContainsBlanks" dxfId="4220" priority="4366">
      <formula>LEN(TRIM(N1303))&gt;0</formula>
    </cfRule>
  </conditionalFormatting>
  <conditionalFormatting sqref="N1303:R1303">
    <cfRule type="notContainsBlanks" dxfId="4219" priority="4365">
      <formula>LEN(TRIM(N1303))&gt;0</formula>
    </cfRule>
  </conditionalFormatting>
  <conditionalFormatting sqref="N1303:R1303">
    <cfRule type="notContainsBlanks" dxfId="4218" priority="4364">
      <formula>LEN(TRIM(N1303))&gt;0</formula>
    </cfRule>
  </conditionalFormatting>
  <conditionalFormatting sqref="N1303:R1303">
    <cfRule type="notContainsBlanks" dxfId="4217" priority="4363">
      <formula>LEN(TRIM(N1303))&gt;0</formula>
    </cfRule>
  </conditionalFormatting>
  <conditionalFormatting sqref="N1303:R1303">
    <cfRule type="notContainsBlanks" dxfId="4216" priority="4362">
      <formula>LEN(TRIM(N1303))&gt;0</formula>
    </cfRule>
  </conditionalFormatting>
  <conditionalFormatting sqref="N1303:R1303">
    <cfRule type="notContainsBlanks" dxfId="4215" priority="4361">
      <formula>LEN(TRIM(N1303))&gt;0</formula>
    </cfRule>
  </conditionalFormatting>
  <conditionalFormatting sqref="N1303:R1303">
    <cfRule type="notContainsBlanks" dxfId="4214" priority="4360">
      <formula>LEN(TRIM(N1303))&gt;0</formula>
    </cfRule>
  </conditionalFormatting>
  <conditionalFormatting sqref="N1303:R1303">
    <cfRule type="notContainsBlanks" dxfId="4213" priority="4359">
      <formula>LEN(TRIM(N1303))&gt;0</formula>
    </cfRule>
  </conditionalFormatting>
  <conditionalFormatting sqref="N1303:R1303">
    <cfRule type="notContainsBlanks" priority="4358">
      <formula>LEN(TRIM(N1303))&gt;0</formula>
    </cfRule>
  </conditionalFormatting>
  <conditionalFormatting sqref="N1303:R1303">
    <cfRule type="notContainsBlanks" dxfId="4212" priority="4357">
      <formula>LEN(TRIM(N1303))&gt;0</formula>
    </cfRule>
  </conditionalFormatting>
  <conditionalFormatting sqref="N1303:R1303">
    <cfRule type="notContainsBlanks" dxfId="4211" priority="4356">
      <formula>LEN(TRIM(N1303))&gt;0</formula>
    </cfRule>
  </conditionalFormatting>
  <conditionalFormatting sqref="N1303:R1303">
    <cfRule type="notContainsBlanks" dxfId="4210" priority="4355">
      <formula>LEN(TRIM(N1303))&gt;0</formula>
    </cfRule>
  </conditionalFormatting>
  <conditionalFormatting sqref="N1303:R1303">
    <cfRule type="notContainsBlanks" dxfId="4209" priority="4354">
      <formula>LEN(TRIM(N1303))&gt;0</formula>
    </cfRule>
  </conditionalFormatting>
  <conditionalFormatting sqref="N1303:R1303">
    <cfRule type="notContainsBlanks" dxfId="4208" priority="4353">
      <formula>LEN(TRIM(N1303))&gt;0</formula>
    </cfRule>
  </conditionalFormatting>
  <conditionalFormatting sqref="N1316:R1316">
    <cfRule type="notContainsBlanks" dxfId="4207" priority="4352">
      <formula>LEN(TRIM(N1316))&gt;0</formula>
    </cfRule>
  </conditionalFormatting>
  <conditionalFormatting sqref="N1316:R1316">
    <cfRule type="notContainsBlanks" dxfId="4206" priority="4351">
      <formula>LEN(TRIM(N1316))&gt;0</formula>
    </cfRule>
  </conditionalFormatting>
  <conditionalFormatting sqref="N1316:R1316">
    <cfRule type="notContainsBlanks" dxfId="4205" priority="4350">
      <formula>LEN(TRIM(N1316))&gt;0</formula>
    </cfRule>
  </conditionalFormatting>
  <conditionalFormatting sqref="N1316:R1316">
    <cfRule type="notContainsBlanks" dxfId="4204" priority="4349">
      <formula>LEN(TRIM(N1316))&gt;0</formula>
    </cfRule>
  </conditionalFormatting>
  <conditionalFormatting sqref="N1316:R1316">
    <cfRule type="notContainsBlanks" dxfId="4203" priority="4348">
      <formula>LEN(TRIM(N1316))&gt;0</formula>
    </cfRule>
  </conditionalFormatting>
  <conditionalFormatting sqref="N1316:R1316">
    <cfRule type="notContainsBlanks" dxfId="4202" priority="4347">
      <formula>LEN(TRIM(N1316))&gt;0</formula>
    </cfRule>
  </conditionalFormatting>
  <conditionalFormatting sqref="N1316:R1316">
    <cfRule type="notContainsBlanks" dxfId="4201" priority="4346">
      <formula>LEN(TRIM(N1316))&gt;0</formula>
    </cfRule>
  </conditionalFormatting>
  <conditionalFormatting sqref="N1316:R1316">
    <cfRule type="notContainsBlanks" dxfId="4200" priority="4345">
      <formula>LEN(TRIM(N1316))&gt;0</formula>
    </cfRule>
  </conditionalFormatting>
  <conditionalFormatting sqref="N1316:R1316">
    <cfRule type="notContainsBlanks" dxfId="4199" priority="4344">
      <formula>LEN(TRIM(N1316))&gt;0</formula>
    </cfRule>
  </conditionalFormatting>
  <conditionalFormatting sqref="N1316:R1316">
    <cfRule type="notContainsBlanks" dxfId="4198" priority="4342">
      <formula>LEN(TRIM(N1316))&gt;0</formula>
    </cfRule>
    <cfRule type="notContainsBlanks" dxfId="4197" priority="4343">
      <formula>LEN(TRIM(N1316))&gt;0</formula>
    </cfRule>
  </conditionalFormatting>
  <conditionalFormatting sqref="N1316:R1316">
    <cfRule type="notContainsBlanks" dxfId="4196" priority="4341">
      <formula>LEN(TRIM(N1316))&gt;0</formula>
    </cfRule>
  </conditionalFormatting>
  <conditionalFormatting sqref="N1316:R1316">
    <cfRule type="notContainsBlanks" dxfId="4195" priority="4340">
      <formula>LEN(TRIM(N1316))&gt;0</formula>
    </cfRule>
  </conditionalFormatting>
  <conditionalFormatting sqref="N1316:R1316">
    <cfRule type="notContainsBlanks" dxfId="4194" priority="4339">
      <formula>LEN(TRIM(N1316))&gt;0</formula>
    </cfRule>
  </conditionalFormatting>
  <conditionalFormatting sqref="N1316:R1316">
    <cfRule type="notContainsBlanks" dxfId="4193" priority="4338">
      <formula>LEN(TRIM(N1316))&gt;0</formula>
    </cfRule>
  </conditionalFormatting>
  <conditionalFormatting sqref="N1316:R1316">
    <cfRule type="notContainsBlanks" dxfId="4192" priority="4337">
      <formula>LEN(TRIM(N1316))&gt;0</formula>
    </cfRule>
  </conditionalFormatting>
  <conditionalFormatting sqref="N1316:R1316">
    <cfRule type="notContainsBlanks" dxfId="4191" priority="4336">
      <formula>LEN(TRIM(N1316))&gt;0</formula>
    </cfRule>
  </conditionalFormatting>
  <conditionalFormatting sqref="N1316:R1316">
    <cfRule type="notContainsBlanks" dxfId="4190" priority="4335">
      <formula>LEN(TRIM(N1316))&gt;0</formula>
    </cfRule>
  </conditionalFormatting>
  <conditionalFormatting sqref="N1316:R1316">
    <cfRule type="notContainsBlanks" dxfId="4189" priority="4334">
      <formula>LEN(TRIM(N1316))&gt;0</formula>
    </cfRule>
  </conditionalFormatting>
  <conditionalFormatting sqref="N1316:R1316">
    <cfRule type="notContainsBlanks" dxfId="4188" priority="4333">
      <formula>LEN(TRIM(N1316))&gt;0</formula>
    </cfRule>
  </conditionalFormatting>
  <conditionalFormatting sqref="N1316:R1316">
    <cfRule type="notContainsBlanks" priority="4332">
      <formula>LEN(TRIM(N1316))&gt;0</formula>
    </cfRule>
  </conditionalFormatting>
  <conditionalFormatting sqref="N1316:R1316">
    <cfRule type="notContainsBlanks" dxfId="4187" priority="4331">
      <formula>LEN(TRIM(N1316))&gt;0</formula>
    </cfRule>
  </conditionalFormatting>
  <conditionalFormatting sqref="N1316:R1316">
    <cfRule type="notContainsBlanks" dxfId="4186" priority="4330">
      <formula>LEN(TRIM(N1316))&gt;0</formula>
    </cfRule>
  </conditionalFormatting>
  <conditionalFormatting sqref="N1316:R1316">
    <cfRule type="notContainsBlanks" dxfId="4185" priority="4329">
      <formula>LEN(TRIM(N1316))&gt;0</formula>
    </cfRule>
  </conditionalFormatting>
  <conditionalFormatting sqref="N1316:R1316">
    <cfRule type="notContainsBlanks" dxfId="4184" priority="4328">
      <formula>LEN(TRIM(N1316))&gt;0</formula>
    </cfRule>
  </conditionalFormatting>
  <conditionalFormatting sqref="N1316:R1316">
    <cfRule type="notContainsBlanks" dxfId="4183" priority="4327">
      <formula>LEN(TRIM(N1316))&gt;0</formula>
    </cfRule>
  </conditionalFormatting>
  <conditionalFormatting sqref="N1329:R1329">
    <cfRule type="notContainsBlanks" dxfId="4182" priority="4326">
      <formula>LEN(TRIM(N1329))&gt;0</formula>
    </cfRule>
  </conditionalFormatting>
  <conditionalFormatting sqref="N1329:R1329">
    <cfRule type="notContainsBlanks" dxfId="4181" priority="4325">
      <formula>LEN(TRIM(N1329))&gt;0</formula>
    </cfRule>
  </conditionalFormatting>
  <conditionalFormatting sqref="N1329:R1329">
    <cfRule type="notContainsBlanks" dxfId="4180" priority="4324">
      <formula>LEN(TRIM(N1329))&gt;0</formula>
    </cfRule>
  </conditionalFormatting>
  <conditionalFormatting sqref="N1329:R1329">
    <cfRule type="notContainsBlanks" dxfId="4179" priority="4323">
      <formula>LEN(TRIM(N1329))&gt;0</formula>
    </cfRule>
  </conditionalFormatting>
  <conditionalFormatting sqref="N1329:R1329">
    <cfRule type="notContainsBlanks" dxfId="4178" priority="4322">
      <formula>LEN(TRIM(N1329))&gt;0</formula>
    </cfRule>
  </conditionalFormatting>
  <conditionalFormatting sqref="N1329:R1329">
    <cfRule type="notContainsBlanks" dxfId="4177" priority="4321">
      <formula>LEN(TRIM(N1329))&gt;0</formula>
    </cfRule>
  </conditionalFormatting>
  <conditionalFormatting sqref="N1329:R1329">
    <cfRule type="notContainsBlanks" dxfId="4176" priority="4320">
      <formula>LEN(TRIM(N1329))&gt;0</formula>
    </cfRule>
  </conditionalFormatting>
  <conditionalFormatting sqref="N1329:R1329">
    <cfRule type="notContainsBlanks" dxfId="4175" priority="4319">
      <formula>LEN(TRIM(N1329))&gt;0</formula>
    </cfRule>
  </conditionalFormatting>
  <conditionalFormatting sqref="N1329:R1329">
    <cfRule type="notContainsBlanks" dxfId="4174" priority="4318">
      <formula>LEN(TRIM(N1329))&gt;0</formula>
    </cfRule>
  </conditionalFormatting>
  <conditionalFormatting sqref="N1329:R1329">
    <cfRule type="notContainsBlanks" dxfId="4173" priority="4316">
      <formula>LEN(TRIM(N1329))&gt;0</formula>
    </cfRule>
    <cfRule type="notContainsBlanks" dxfId="4172" priority="4317">
      <formula>LEN(TRIM(N1329))&gt;0</formula>
    </cfRule>
  </conditionalFormatting>
  <conditionalFormatting sqref="N1329:R1329">
    <cfRule type="notContainsBlanks" dxfId="4171" priority="4315">
      <formula>LEN(TRIM(N1329))&gt;0</formula>
    </cfRule>
  </conditionalFormatting>
  <conditionalFormatting sqref="N1329:R1329">
    <cfRule type="notContainsBlanks" dxfId="4170" priority="4314">
      <formula>LEN(TRIM(N1329))&gt;0</formula>
    </cfRule>
  </conditionalFormatting>
  <conditionalFormatting sqref="N1329:R1329">
    <cfRule type="notContainsBlanks" dxfId="4169" priority="4313">
      <formula>LEN(TRIM(N1329))&gt;0</formula>
    </cfRule>
  </conditionalFormatting>
  <conditionalFormatting sqref="N1329:R1329">
    <cfRule type="notContainsBlanks" dxfId="4168" priority="4312">
      <formula>LEN(TRIM(N1329))&gt;0</formula>
    </cfRule>
  </conditionalFormatting>
  <conditionalFormatting sqref="N1329:R1329">
    <cfRule type="notContainsBlanks" dxfId="4167" priority="4311">
      <formula>LEN(TRIM(N1329))&gt;0</formula>
    </cfRule>
  </conditionalFormatting>
  <conditionalFormatting sqref="N1329:R1329">
    <cfRule type="notContainsBlanks" dxfId="4166" priority="4310">
      <formula>LEN(TRIM(N1329))&gt;0</formula>
    </cfRule>
  </conditionalFormatting>
  <conditionalFormatting sqref="N1329:R1329">
    <cfRule type="notContainsBlanks" dxfId="4165" priority="4309">
      <formula>LEN(TRIM(N1329))&gt;0</formula>
    </cfRule>
  </conditionalFormatting>
  <conditionalFormatting sqref="N1329:R1329">
    <cfRule type="notContainsBlanks" dxfId="4164" priority="4308">
      <formula>LEN(TRIM(N1329))&gt;0</formula>
    </cfRule>
  </conditionalFormatting>
  <conditionalFormatting sqref="N1329:R1329">
    <cfRule type="notContainsBlanks" dxfId="4163" priority="4307">
      <formula>LEN(TRIM(N1329))&gt;0</formula>
    </cfRule>
  </conditionalFormatting>
  <conditionalFormatting sqref="N1329:R1329">
    <cfRule type="notContainsBlanks" priority="4306">
      <formula>LEN(TRIM(N1329))&gt;0</formula>
    </cfRule>
  </conditionalFormatting>
  <conditionalFormatting sqref="N1329:R1329">
    <cfRule type="notContainsBlanks" dxfId="4162" priority="4305">
      <formula>LEN(TRIM(N1329))&gt;0</formula>
    </cfRule>
  </conditionalFormatting>
  <conditionalFormatting sqref="N1329:R1329">
    <cfRule type="notContainsBlanks" dxfId="4161" priority="4304">
      <formula>LEN(TRIM(N1329))&gt;0</formula>
    </cfRule>
  </conditionalFormatting>
  <conditionalFormatting sqref="N1329:R1329">
    <cfRule type="notContainsBlanks" dxfId="4160" priority="4303">
      <formula>LEN(TRIM(N1329))&gt;0</formula>
    </cfRule>
  </conditionalFormatting>
  <conditionalFormatting sqref="N1329:R1329">
    <cfRule type="notContainsBlanks" dxfId="4159" priority="4302">
      <formula>LEN(TRIM(N1329))&gt;0</formula>
    </cfRule>
  </conditionalFormatting>
  <conditionalFormatting sqref="N1329:R1329">
    <cfRule type="notContainsBlanks" dxfId="4158" priority="4301">
      <formula>LEN(TRIM(N1329))&gt;0</formula>
    </cfRule>
  </conditionalFormatting>
  <conditionalFormatting sqref="N523:R523">
    <cfRule type="notContainsBlanks" dxfId="4157" priority="4300">
      <formula>LEN(TRIM(N523))&gt;0</formula>
    </cfRule>
  </conditionalFormatting>
  <conditionalFormatting sqref="N523:R523">
    <cfRule type="notContainsBlanks" dxfId="4156" priority="4299">
      <formula>LEN(TRIM(N523))&gt;0</formula>
    </cfRule>
  </conditionalFormatting>
  <conditionalFormatting sqref="N523:R523">
    <cfRule type="notContainsBlanks" dxfId="4155" priority="4298">
      <formula>LEN(TRIM(N523))&gt;0</formula>
    </cfRule>
  </conditionalFormatting>
  <conditionalFormatting sqref="N523:R523">
    <cfRule type="notContainsBlanks" dxfId="4154" priority="4297">
      <formula>LEN(TRIM(N523))&gt;0</formula>
    </cfRule>
  </conditionalFormatting>
  <conditionalFormatting sqref="N523:R523">
    <cfRule type="notContainsBlanks" dxfId="4153" priority="4296">
      <formula>LEN(TRIM(N523))&gt;0</formula>
    </cfRule>
  </conditionalFormatting>
  <conditionalFormatting sqref="N523:R523">
    <cfRule type="notContainsBlanks" dxfId="4152" priority="4295">
      <formula>LEN(TRIM(N523))&gt;0</formula>
    </cfRule>
  </conditionalFormatting>
  <conditionalFormatting sqref="N523:R523">
    <cfRule type="notContainsBlanks" dxfId="4151" priority="4294">
      <formula>LEN(TRIM(N523))&gt;0</formula>
    </cfRule>
  </conditionalFormatting>
  <conditionalFormatting sqref="N523:R523">
    <cfRule type="notContainsBlanks" dxfId="4150" priority="4293">
      <formula>LEN(TRIM(N523))&gt;0</formula>
    </cfRule>
  </conditionalFormatting>
  <conditionalFormatting sqref="N523:R523">
    <cfRule type="notContainsBlanks" dxfId="4149" priority="4292">
      <formula>LEN(TRIM(N523))&gt;0</formula>
    </cfRule>
  </conditionalFormatting>
  <conditionalFormatting sqref="N523:R523">
    <cfRule type="notContainsBlanks" dxfId="4148" priority="4290">
      <formula>LEN(TRIM(N523))&gt;0</formula>
    </cfRule>
    <cfRule type="notContainsBlanks" dxfId="4147" priority="4291">
      <formula>LEN(TRIM(N523))&gt;0</formula>
    </cfRule>
  </conditionalFormatting>
  <conditionalFormatting sqref="N523:R523">
    <cfRule type="notContainsBlanks" dxfId="4146" priority="4289">
      <formula>LEN(TRIM(N523))&gt;0</formula>
    </cfRule>
  </conditionalFormatting>
  <conditionalFormatting sqref="N523:R523">
    <cfRule type="notContainsBlanks" dxfId="4145" priority="4288">
      <formula>LEN(TRIM(N523))&gt;0</formula>
    </cfRule>
  </conditionalFormatting>
  <conditionalFormatting sqref="N523:R523">
    <cfRule type="notContainsBlanks" dxfId="4144" priority="4287">
      <formula>LEN(TRIM(N523))&gt;0</formula>
    </cfRule>
  </conditionalFormatting>
  <conditionalFormatting sqref="N523:R523">
    <cfRule type="notContainsBlanks" dxfId="4143" priority="4286">
      <formula>LEN(TRIM(N523))&gt;0</formula>
    </cfRule>
  </conditionalFormatting>
  <conditionalFormatting sqref="N523:R523">
    <cfRule type="notContainsBlanks" dxfId="4142" priority="4285">
      <formula>LEN(TRIM(N523))&gt;0</formula>
    </cfRule>
  </conditionalFormatting>
  <conditionalFormatting sqref="N523:R523">
    <cfRule type="notContainsBlanks" dxfId="4141" priority="4284">
      <formula>LEN(TRIM(N523))&gt;0</formula>
    </cfRule>
  </conditionalFormatting>
  <conditionalFormatting sqref="N523:R523">
    <cfRule type="notContainsBlanks" dxfId="4140" priority="4283">
      <formula>LEN(TRIM(N523))&gt;0</formula>
    </cfRule>
  </conditionalFormatting>
  <conditionalFormatting sqref="N523:R523">
    <cfRule type="notContainsBlanks" dxfId="4139" priority="4282">
      <formula>LEN(TRIM(N523))&gt;0</formula>
    </cfRule>
  </conditionalFormatting>
  <conditionalFormatting sqref="N523:R523">
    <cfRule type="notContainsBlanks" dxfId="4138" priority="4281">
      <formula>LEN(TRIM(N523))&gt;0</formula>
    </cfRule>
  </conditionalFormatting>
  <conditionalFormatting sqref="N523:R523">
    <cfRule type="notContainsBlanks" priority="4280">
      <formula>LEN(TRIM(N523))&gt;0</formula>
    </cfRule>
  </conditionalFormatting>
  <conditionalFormatting sqref="N523:R523">
    <cfRule type="notContainsBlanks" dxfId="4137" priority="4279">
      <formula>LEN(TRIM(N523))&gt;0</formula>
    </cfRule>
  </conditionalFormatting>
  <conditionalFormatting sqref="N523:R523">
    <cfRule type="notContainsBlanks" dxfId="4136" priority="4278">
      <formula>LEN(TRIM(N523))&gt;0</formula>
    </cfRule>
  </conditionalFormatting>
  <conditionalFormatting sqref="N523:R523">
    <cfRule type="notContainsBlanks" dxfId="4135" priority="4277">
      <formula>LEN(TRIM(N523))&gt;0</formula>
    </cfRule>
  </conditionalFormatting>
  <conditionalFormatting sqref="N523:R523">
    <cfRule type="notContainsBlanks" dxfId="4134" priority="4276">
      <formula>LEN(TRIM(N523))&gt;0</formula>
    </cfRule>
  </conditionalFormatting>
  <conditionalFormatting sqref="N523:R523">
    <cfRule type="notContainsBlanks" dxfId="4133" priority="4275">
      <formula>LEN(TRIM(N523))&gt;0</formula>
    </cfRule>
  </conditionalFormatting>
  <conditionalFormatting sqref="N430:S432 N434:S445 S433 N447:S458 S446 N460:S471 S459 N473:S484 S472 N486:S497 S485 N499:S510 S498 N512:S523 S511 N525:S536 S524 N538:S549 S537 N551:S562 S550 N564:S575 S563 N577:S588 S576 N590:S601 S589 N603:S614 S602 N616:S627 S615 N629:S640 S628 N642:S653 S641 N655:S666 S654 N668:S679 S667 N681:S692 S680 N694:S705 S693 N707:S718 S706 N720:S731 S719 N733:S744 S732 N746:S757 S745 N759:S770 S758 N772:S783 S771 N785:S796 S784 N798:S809 S797 N811:S822 S810 N824:S835 S823 N837:S848 S836 N850:S861 S849 N863:S874 S862 N876:S887 S875 N889:S900 S888 N902:S913 S901 N915:S926 S914 N928:S939 S927 N941:S952 S940 N954:S965 S953 N967:S978 S966 N980:S991 S979 N993:S1004 S992 N1006:S1017 S1005 N1019:S1030 S1018 N1032:S1043 S1031 N1045:S1056 S1044 N1058:S1069 S1057 N1071:S1082 S1070 N1084:S1095 S1083 N1097:S1108 S1096 N1110:S1121 S1109 N1123:S1134 S1122 N1136:S1147 S1135 N1149:S1160 S1148 N1162:S1173 S1161 N1175:S1186 S1174 N1188:S1199 S1187 N1201:S1212 S1200 N1214:S1225 S1213 N1227:S1238 S1226 N1240:S1251 S1239 N1253:S1264 S1252 N1266:S1277 S1265 N1279:S1290 S1278 N1292:S1303 S1291 N1305:S1316 S1304 N1318:S1329 S1317 N1331:S1338 S1330">
    <cfRule type="notContainsBlanks" dxfId="4132" priority="4274">
      <formula>LEN(TRIM(N430))&gt;0</formula>
    </cfRule>
  </conditionalFormatting>
  <conditionalFormatting sqref="U432:Y432">
    <cfRule type="notContainsBlanks" dxfId="4131" priority="4273">
      <formula>LEN(TRIM(U432))&gt;0</formula>
    </cfRule>
  </conditionalFormatting>
  <conditionalFormatting sqref="U432:Y432">
    <cfRule type="notContainsBlanks" dxfId="4130" priority="4272">
      <formula>LEN(TRIM(U432))&gt;0</formula>
    </cfRule>
  </conditionalFormatting>
  <conditionalFormatting sqref="U432:Y432">
    <cfRule type="notContainsBlanks" dxfId="4129" priority="4271">
      <formula>LEN(TRIM(U432))&gt;0</formula>
    </cfRule>
  </conditionalFormatting>
  <conditionalFormatting sqref="U432:Y432">
    <cfRule type="notContainsBlanks" dxfId="4128" priority="4270">
      <formula>LEN(TRIM(U432))&gt;0</formula>
    </cfRule>
  </conditionalFormatting>
  <conditionalFormatting sqref="U432:Y432">
    <cfRule type="notContainsBlanks" dxfId="4127" priority="4269">
      <formula>LEN(TRIM(U432))&gt;0</formula>
    </cfRule>
  </conditionalFormatting>
  <conditionalFormatting sqref="U432:Y432">
    <cfRule type="notContainsBlanks" dxfId="4126" priority="4268">
      <formula>LEN(TRIM(U432))&gt;0</formula>
    </cfRule>
  </conditionalFormatting>
  <conditionalFormatting sqref="U432:Y432">
    <cfRule type="notContainsBlanks" dxfId="4125" priority="4267">
      <formula>LEN(TRIM(U432))&gt;0</formula>
    </cfRule>
  </conditionalFormatting>
  <conditionalFormatting sqref="U432:Y432">
    <cfRule type="notContainsBlanks" dxfId="4124" priority="4266">
      <formula>LEN(TRIM(U432))&gt;0</formula>
    </cfRule>
  </conditionalFormatting>
  <conditionalFormatting sqref="U432:Y432">
    <cfRule type="notContainsBlanks" dxfId="4123" priority="4265">
      <formula>LEN(TRIM(U432))&gt;0</formula>
    </cfRule>
  </conditionalFormatting>
  <conditionalFormatting sqref="U432:Y432">
    <cfRule type="notContainsBlanks" dxfId="4122" priority="4263">
      <formula>LEN(TRIM(U432))&gt;0</formula>
    </cfRule>
    <cfRule type="notContainsBlanks" dxfId="4121" priority="4264">
      <formula>LEN(TRIM(U432))&gt;0</formula>
    </cfRule>
  </conditionalFormatting>
  <conditionalFormatting sqref="U432:Y432">
    <cfRule type="notContainsBlanks" dxfId="4120" priority="4262">
      <formula>LEN(TRIM(U432))&gt;0</formula>
    </cfRule>
  </conditionalFormatting>
  <conditionalFormatting sqref="U432:Y432">
    <cfRule type="notContainsBlanks" dxfId="4119" priority="4261">
      <formula>LEN(TRIM(U432))&gt;0</formula>
    </cfRule>
  </conditionalFormatting>
  <conditionalFormatting sqref="U432:Y432">
    <cfRule type="notContainsBlanks" dxfId="4118" priority="4260">
      <formula>LEN(TRIM(U432))&gt;0</formula>
    </cfRule>
  </conditionalFormatting>
  <conditionalFormatting sqref="U432:Y432">
    <cfRule type="notContainsBlanks" dxfId="4117" priority="4259">
      <formula>LEN(TRIM(U432))&gt;0</formula>
    </cfRule>
  </conditionalFormatting>
  <conditionalFormatting sqref="U432:Y432">
    <cfRule type="notContainsBlanks" dxfId="4116" priority="4258">
      <formula>LEN(TRIM(U432))&gt;0</formula>
    </cfRule>
  </conditionalFormatting>
  <conditionalFormatting sqref="U432:Y432">
    <cfRule type="notContainsBlanks" dxfId="4115" priority="4257">
      <formula>LEN(TRIM(U432))&gt;0</formula>
    </cfRule>
  </conditionalFormatting>
  <conditionalFormatting sqref="U432:Y432">
    <cfRule type="notContainsBlanks" dxfId="4114" priority="4256">
      <formula>LEN(TRIM(U432))&gt;0</formula>
    </cfRule>
  </conditionalFormatting>
  <conditionalFormatting sqref="U432:Y432">
    <cfRule type="notContainsBlanks" dxfId="4113" priority="4255">
      <formula>LEN(TRIM(U432))&gt;0</formula>
    </cfRule>
  </conditionalFormatting>
  <conditionalFormatting sqref="U432:Y432">
    <cfRule type="notContainsBlanks" dxfId="4112" priority="4254">
      <formula>LEN(TRIM(U432))&gt;0</formula>
    </cfRule>
  </conditionalFormatting>
  <conditionalFormatting sqref="U432:Y432">
    <cfRule type="notContainsBlanks" priority="4253">
      <formula>LEN(TRIM(U432))&gt;0</formula>
    </cfRule>
  </conditionalFormatting>
  <conditionalFormatting sqref="U432:Y432">
    <cfRule type="notContainsBlanks" dxfId="4111" priority="4252">
      <formula>LEN(TRIM(U432))&gt;0</formula>
    </cfRule>
  </conditionalFormatting>
  <conditionalFormatting sqref="U432:Y432">
    <cfRule type="notContainsBlanks" dxfId="4110" priority="4251">
      <formula>LEN(TRIM(U432))&gt;0</formula>
    </cfRule>
  </conditionalFormatting>
  <conditionalFormatting sqref="U432:Y432">
    <cfRule type="notContainsBlanks" dxfId="4109" priority="4250">
      <formula>LEN(TRIM(U432))&gt;0</formula>
    </cfRule>
  </conditionalFormatting>
  <conditionalFormatting sqref="U432:Y432">
    <cfRule type="notContainsBlanks" dxfId="4108" priority="4249">
      <formula>LEN(TRIM(U432))&gt;0</formula>
    </cfRule>
  </conditionalFormatting>
  <conditionalFormatting sqref="U432:Y432">
    <cfRule type="notContainsBlanks" dxfId="4107" priority="4248">
      <formula>LEN(TRIM(U432))&gt;0</formula>
    </cfRule>
  </conditionalFormatting>
  <conditionalFormatting sqref="U445:Y445">
    <cfRule type="notContainsBlanks" dxfId="4106" priority="4247">
      <formula>LEN(TRIM(U445))&gt;0</formula>
    </cfRule>
  </conditionalFormatting>
  <conditionalFormatting sqref="U445:Y445">
    <cfRule type="notContainsBlanks" dxfId="4105" priority="4246">
      <formula>LEN(TRIM(U445))&gt;0</formula>
    </cfRule>
  </conditionalFormatting>
  <conditionalFormatting sqref="U445:Y445">
    <cfRule type="notContainsBlanks" dxfId="4104" priority="4245">
      <formula>LEN(TRIM(U445))&gt;0</formula>
    </cfRule>
  </conditionalFormatting>
  <conditionalFormatting sqref="U445:Y445">
    <cfRule type="notContainsBlanks" dxfId="4103" priority="4244">
      <formula>LEN(TRIM(U445))&gt;0</formula>
    </cfRule>
  </conditionalFormatting>
  <conditionalFormatting sqref="U445:Y445">
    <cfRule type="notContainsBlanks" dxfId="4102" priority="4243">
      <formula>LEN(TRIM(U445))&gt;0</formula>
    </cfRule>
  </conditionalFormatting>
  <conditionalFormatting sqref="U445:Y445">
    <cfRule type="notContainsBlanks" dxfId="4101" priority="4242">
      <formula>LEN(TRIM(U445))&gt;0</formula>
    </cfRule>
  </conditionalFormatting>
  <conditionalFormatting sqref="U445:Y445">
    <cfRule type="notContainsBlanks" dxfId="4100" priority="4241">
      <formula>LEN(TRIM(U445))&gt;0</formula>
    </cfRule>
  </conditionalFormatting>
  <conditionalFormatting sqref="U445:Y445">
    <cfRule type="notContainsBlanks" dxfId="4099" priority="4240">
      <formula>LEN(TRIM(U445))&gt;0</formula>
    </cfRule>
  </conditionalFormatting>
  <conditionalFormatting sqref="U445:Y445">
    <cfRule type="notContainsBlanks" dxfId="4098" priority="4239">
      <formula>LEN(TRIM(U445))&gt;0</formula>
    </cfRule>
  </conditionalFormatting>
  <conditionalFormatting sqref="U445:Y445">
    <cfRule type="notContainsBlanks" dxfId="4097" priority="4237">
      <formula>LEN(TRIM(U445))&gt;0</formula>
    </cfRule>
    <cfRule type="notContainsBlanks" dxfId="4096" priority="4238">
      <formula>LEN(TRIM(U445))&gt;0</formula>
    </cfRule>
  </conditionalFormatting>
  <conditionalFormatting sqref="U445:Y445">
    <cfRule type="notContainsBlanks" dxfId="4095" priority="4236">
      <formula>LEN(TRIM(U445))&gt;0</formula>
    </cfRule>
  </conditionalFormatting>
  <conditionalFormatting sqref="U445:Y445">
    <cfRule type="notContainsBlanks" dxfId="4094" priority="4235">
      <formula>LEN(TRIM(U445))&gt;0</formula>
    </cfRule>
  </conditionalFormatting>
  <conditionalFormatting sqref="U445:Y445">
    <cfRule type="notContainsBlanks" dxfId="4093" priority="4234">
      <formula>LEN(TRIM(U445))&gt;0</formula>
    </cfRule>
  </conditionalFormatting>
  <conditionalFormatting sqref="U445:Y445">
    <cfRule type="notContainsBlanks" dxfId="4092" priority="4233">
      <formula>LEN(TRIM(U445))&gt;0</formula>
    </cfRule>
  </conditionalFormatting>
  <conditionalFormatting sqref="U445:Y445">
    <cfRule type="notContainsBlanks" dxfId="4091" priority="4232">
      <formula>LEN(TRIM(U445))&gt;0</formula>
    </cfRule>
  </conditionalFormatting>
  <conditionalFormatting sqref="U445:Y445">
    <cfRule type="notContainsBlanks" dxfId="4090" priority="4231">
      <formula>LEN(TRIM(U445))&gt;0</formula>
    </cfRule>
  </conditionalFormatting>
  <conditionalFormatting sqref="U445:Y445">
    <cfRule type="notContainsBlanks" dxfId="4089" priority="4230">
      <formula>LEN(TRIM(U445))&gt;0</formula>
    </cfRule>
  </conditionalFormatting>
  <conditionalFormatting sqref="U445:Y445">
    <cfRule type="notContainsBlanks" dxfId="4088" priority="4229">
      <formula>LEN(TRIM(U445))&gt;0</formula>
    </cfRule>
  </conditionalFormatting>
  <conditionalFormatting sqref="U445:Y445">
    <cfRule type="notContainsBlanks" dxfId="4087" priority="4228">
      <formula>LEN(TRIM(U445))&gt;0</formula>
    </cfRule>
  </conditionalFormatting>
  <conditionalFormatting sqref="U445:Y445">
    <cfRule type="notContainsBlanks" priority="4227">
      <formula>LEN(TRIM(U445))&gt;0</formula>
    </cfRule>
  </conditionalFormatting>
  <conditionalFormatting sqref="U445:Y445">
    <cfRule type="notContainsBlanks" dxfId="4086" priority="4226">
      <formula>LEN(TRIM(U445))&gt;0</formula>
    </cfRule>
  </conditionalFormatting>
  <conditionalFormatting sqref="U445:Y445">
    <cfRule type="notContainsBlanks" dxfId="4085" priority="4225">
      <formula>LEN(TRIM(U445))&gt;0</formula>
    </cfRule>
  </conditionalFormatting>
  <conditionalFormatting sqref="U445:Y445">
    <cfRule type="notContainsBlanks" dxfId="4084" priority="4224">
      <formula>LEN(TRIM(U445))&gt;0</formula>
    </cfRule>
  </conditionalFormatting>
  <conditionalFormatting sqref="U445:Y445">
    <cfRule type="notContainsBlanks" dxfId="4083" priority="4223">
      <formula>LEN(TRIM(U445))&gt;0</formula>
    </cfRule>
  </conditionalFormatting>
  <conditionalFormatting sqref="U445:Y445">
    <cfRule type="notContainsBlanks" dxfId="4082" priority="4222">
      <formula>LEN(TRIM(U445))&gt;0</formula>
    </cfRule>
  </conditionalFormatting>
  <conditionalFormatting sqref="U458:Y458">
    <cfRule type="notContainsBlanks" dxfId="4081" priority="4221">
      <formula>LEN(TRIM(U458))&gt;0</formula>
    </cfRule>
  </conditionalFormatting>
  <conditionalFormatting sqref="U458:Y458">
    <cfRule type="notContainsBlanks" dxfId="4080" priority="4220">
      <formula>LEN(TRIM(U458))&gt;0</formula>
    </cfRule>
  </conditionalFormatting>
  <conditionalFormatting sqref="U458:Y458">
    <cfRule type="notContainsBlanks" dxfId="4079" priority="4219">
      <formula>LEN(TRIM(U458))&gt;0</formula>
    </cfRule>
  </conditionalFormatting>
  <conditionalFormatting sqref="U458:Y458">
    <cfRule type="notContainsBlanks" dxfId="4078" priority="4218">
      <formula>LEN(TRIM(U458))&gt;0</formula>
    </cfRule>
  </conditionalFormatting>
  <conditionalFormatting sqref="U458:Y458">
    <cfRule type="notContainsBlanks" dxfId="4077" priority="4217">
      <formula>LEN(TRIM(U458))&gt;0</formula>
    </cfRule>
  </conditionalFormatting>
  <conditionalFormatting sqref="U458:Y458">
    <cfRule type="notContainsBlanks" dxfId="4076" priority="4216">
      <formula>LEN(TRIM(U458))&gt;0</formula>
    </cfRule>
  </conditionalFormatting>
  <conditionalFormatting sqref="U458:Y458">
    <cfRule type="notContainsBlanks" dxfId="4075" priority="4215">
      <formula>LEN(TRIM(U458))&gt;0</formula>
    </cfRule>
  </conditionalFormatting>
  <conditionalFormatting sqref="U458:Y458">
    <cfRule type="notContainsBlanks" dxfId="4074" priority="4214">
      <formula>LEN(TRIM(U458))&gt;0</formula>
    </cfRule>
  </conditionalFormatting>
  <conditionalFormatting sqref="U458:Y458">
    <cfRule type="notContainsBlanks" dxfId="4073" priority="4213">
      <formula>LEN(TRIM(U458))&gt;0</formula>
    </cfRule>
  </conditionalFormatting>
  <conditionalFormatting sqref="U458:Y458">
    <cfRule type="notContainsBlanks" dxfId="4072" priority="4211">
      <formula>LEN(TRIM(U458))&gt;0</formula>
    </cfRule>
    <cfRule type="notContainsBlanks" dxfId="4071" priority="4212">
      <formula>LEN(TRIM(U458))&gt;0</formula>
    </cfRule>
  </conditionalFormatting>
  <conditionalFormatting sqref="U458:Y458">
    <cfRule type="notContainsBlanks" dxfId="4070" priority="4210">
      <formula>LEN(TRIM(U458))&gt;0</formula>
    </cfRule>
  </conditionalFormatting>
  <conditionalFormatting sqref="U458:Y458">
    <cfRule type="notContainsBlanks" dxfId="4069" priority="4209">
      <formula>LEN(TRIM(U458))&gt;0</formula>
    </cfRule>
  </conditionalFormatting>
  <conditionalFormatting sqref="U458:Y458">
    <cfRule type="notContainsBlanks" dxfId="4068" priority="4208">
      <formula>LEN(TRIM(U458))&gt;0</formula>
    </cfRule>
  </conditionalFormatting>
  <conditionalFormatting sqref="U458:Y458">
    <cfRule type="notContainsBlanks" dxfId="4067" priority="4207">
      <formula>LEN(TRIM(U458))&gt;0</formula>
    </cfRule>
  </conditionalFormatting>
  <conditionalFormatting sqref="U458:Y458">
    <cfRule type="notContainsBlanks" dxfId="4066" priority="4206">
      <formula>LEN(TRIM(U458))&gt;0</formula>
    </cfRule>
  </conditionalFormatting>
  <conditionalFormatting sqref="U458:Y458">
    <cfRule type="notContainsBlanks" dxfId="4065" priority="4205">
      <formula>LEN(TRIM(U458))&gt;0</formula>
    </cfRule>
  </conditionalFormatting>
  <conditionalFormatting sqref="U458:Y458">
    <cfRule type="notContainsBlanks" dxfId="4064" priority="4204">
      <formula>LEN(TRIM(U458))&gt;0</formula>
    </cfRule>
  </conditionalFormatting>
  <conditionalFormatting sqref="U458:Y458">
    <cfRule type="notContainsBlanks" dxfId="4063" priority="4203">
      <formula>LEN(TRIM(U458))&gt;0</formula>
    </cfRule>
  </conditionalFormatting>
  <conditionalFormatting sqref="U458:Y458">
    <cfRule type="notContainsBlanks" dxfId="4062" priority="4202">
      <formula>LEN(TRIM(U458))&gt;0</formula>
    </cfRule>
  </conditionalFormatting>
  <conditionalFormatting sqref="U458:Y458">
    <cfRule type="notContainsBlanks" priority="4201">
      <formula>LEN(TRIM(U458))&gt;0</formula>
    </cfRule>
  </conditionalFormatting>
  <conditionalFormatting sqref="U458:Y458">
    <cfRule type="notContainsBlanks" dxfId="4061" priority="4200">
      <formula>LEN(TRIM(U458))&gt;0</formula>
    </cfRule>
  </conditionalFormatting>
  <conditionalFormatting sqref="U458:Y458">
    <cfRule type="notContainsBlanks" dxfId="4060" priority="4199">
      <formula>LEN(TRIM(U458))&gt;0</formula>
    </cfRule>
  </conditionalFormatting>
  <conditionalFormatting sqref="U458:Y458">
    <cfRule type="notContainsBlanks" dxfId="4059" priority="4198">
      <formula>LEN(TRIM(U458))&gt;0</formula>
    </cfRule>
  </conditionalFormatting>
  <conditionalFormatting sqref="U458:Y458">
    <cfRule type="notContainsBlanks" dxfId="4058" priority="4197">
      <formula>LEN(TRIM(U458))&gt;0</formula>
    </cfRule>
  </conditionalFormatting>
  <conditionalFormatting sqref="U458:Y458">
    <cfRule type="notContainsBlanks" dxfId="4057" priority="4196">
      <formula>LEN(TRIM(U458))&gt;0</formula>
    </cfRule>
  </conditionalFormatting>
  <conditionalFormatting sqref="U471:Y471">
    <cfRule type="notContainsBlanks" dxfId="4056" priority="4195">
      <formula>LEN(TRIM(U471))&gt;0</formula>
    </cfRule>
  </conditionalFormatting>
  <conditionalFormatting sqref="U471:Y471">
    <cfRule type="notContainsBlanks" dxfId="4055" priority="4194">
      <formula>LEN(TRIM(U471))&gt;0</formula>
    </cfRule>
  </conditionalFormatting>
  <conditionalFormatting sqref="U471:Y471">
    <cfRule type="notContainsBlanks" dxfId="4054" priority="4193">
      <formula>LEN(TRIM(U471))&gt;0</formula>
    </cfRule>
  </conditionalFormatting>
  <conditionalFormatting sqref="U471:Y471">
    <cfRule type="notContainsBlanks" dxfId="4053" priority="4192">
      <formula>LEN(TRIM(U471))&gt;0</formula>
    </cfRule>
  </conditionalFormatting>
  <conditionalFormatting sqref="U471:Y471">
    <cfRule type="notContainsBlanks" dxfId="4052" priority="4191">
      <formula>LEN(TRIM(U471))&gt;0</formula>
    </cfRule>
  </conditionalFormatting>
  <conditionalFormatting sqref="U471:Y471">
    <cfRule type="notContainsBlanks" dxfId="4051" priority="4190">
      <formula>LEN(TRIM(U471))&gt;0</formula>
    </cfRule>
  </conditionalFormatting>
  <conditionalFormatting sqref="U471:Y471">
    <cfRule type="notContainsBlanks" dxfId="4050" priority="4189">
      <formula>LEN(TRIM(U471))&gt;0</formula>
    </cfRule>
  </conditionalFormatting>
  <conditionalFormatting sqref="U471:Y471">
    <cfRule type="notContainsBlanks" dxfId="4049" priority="4188">
      <formula>LEN(TRIM(U471))&gt;0</formula>
    </cfRule>
  </conditionalFormatting>
  <conditionalFormatting sqref="U471:Y471">
    <cfRule type="notContainsBlanks" dxfId="4048" priority="4187">
      <formula>LEN(TRIM(U471))&gt;0</formula>
    </cfRule>
  </conditionalFormatting>
  <conditionalFormatting sqref="U471:Y471">
    <cfRule type="notContainsBlanks" dxfId="4047" priority="4185">
      <formula>LEN(TRIM(U471))&gt;0</formula>
    </cfRule>
    <cfRule type="notContainsBlanks" dxfId="4046" priority="4186">
      <formula>LEN(TRIM(U471))&gt;0</formula>
    </cfRule>
  </conditionalFormatting>
  <conditionalFormatting sqref="U471:Y471">
    <cfRule type="notContainsBlanks" dxfId="4045" priority="4184">
      <formula>LEN(TRIM(U471))&gt;0</formula>
    </cfRule>
  </conditionalFormatting>
  <conditionalFormatting sqref="U471:Y471">
    <cfRule type="notContainsBlanks" dxfId="4044" priority="4183">
      <formula>LEN(TRIM(U471))&gt;0</formula>
    </cfRule>
  </conditionalFormatting>
  <conditionalFormatting sqref="U471:Y471">
    <cfRule type="notContainsBlanks" dxfId="4043" priority="4182">
      <formula>LEN(TRIM(U471))&gt;0</formula>
    </cfRule>
  </conditionalFormatting>
  <conditionalFormatting sqref="U471:Y471">
    <cfRule type="notContainsBlanks" dxfId="4042" priority="4181">
      <formula>LEN(TRIM(U471))&gt;0</formula>
    </cfRule>
  </conditionalFormatting>
  <conditionalFormatting sqref="U471:Y471">
    <cfRule type="notContainsBlanks" dxfId="4041" priority="4180">
      <formula>LEN(TRIM(U471))&gt;0</formula>
    </cfRule>
  </conditionalFormatting>
  <conditionalFormatting sqref="U471:Y471">
    <cfRule type="notContainsBlanks" dxfId="4040" priority="4179">
      <formula>LEN(TRIM(U471))&gt;0</formula>
    </cfRule>
  </conditionalFormatting>
  <conditionalFormatting sqref="U471:Y471">
    <cfRule type="notContainsBlanks" dxfId="4039" priority="4178">
      <formula>LEN(TRIM(U471))&gt;0</formula>
    </cfRule>
  </conditionalFormatting>
  <conditionalFormatting sqref="U471:Y471">
    <cfRule type="notContainsBlanks" dxfId="4038" priority="4177">
      <formula>LEN(TRIM(U471))&gt;0</formula>
    </cfRule>
  </conditionalFormatting>
  <conditionalFormatting sqref="U471:Y471">
    <cfRule type="notContainsBlanks" dxfId="4037" priority="4176">
      <formula>LEN(TRIM(U471))&gt;0</formula>
    </cfRule>
  </conditionalFormatting>
  <conditionalFormatting sqref="U471:Y471">
    <cfRule type="notContainsBlanks" priority="4175">
      <formula>LEN(TRIM(U471))&gt;0</formula>
    </cfRule>
  </conditionalFormatting>
  <conditionalFormatting sqref="U471:Y471">
    <cfRule type="notContainsBlanks" dxfId="4036" priority="4174">
      <formula>LEN(TRIM(U471))&gt;0</formula>
    </cfRule>
  </conditionalFormatting>
  <conditionalFormatting sqref="U471:Y471">
    <cfRule type="notContainsBlanks" dxfId="4035" priority="4173">
      <formula>LEN(TRIM(U471))&gt;0</formula>
    </cfRule>
  </conditionalFormatting>
  <conditionalFormatting sqref="U471:Y471">
    <cfRule type="notContainsBlanks" dxfId="4034" priority="4172">
      <formula>LEN(TRIM(U471))&gt;0</formula>
    </cfRule>
  </conditionalFormatting>
  <conditionalFormatting sqref="U471:Y471">
    <cfRule type="notContainsBlanks" dxfId="4033" priority="4171">
      <formula>LEN(TRIM(U471))&gt;0</formula>
    </cfRule>
  </conditionalFormatting>
  <conditionalFormatting sqref="U471:Y471">
    <cfRule type="notContainsBlanks" dxfId="4032" priority="4170">
      <formula>LEN(TRIM(U471))&gt;0</formula>
    </cfRule>
  </conditionalFormatting>
  <conditionalFormatting sqref="U484:Y484">
    <cfRule type="notContainsBlanks" dxfId="4031" priority="4169">
      <formula>LEN(TRIM(U484))&gt;0</formula>
    </cfRule>
  </conditionalFormatting>
  <conditionalFormatting sqref="U484:Y484">
    <cfRule type="notContainsBlanks" dxfId="4030" priority="4168">
      <formula>LEN(TRIM(U484))&gt;0</formula>
    </cfRule>
  </conditionalFormatting>
  <conditionalFormatting sqref="U484:Y484">
    <cfRule type="notContainsBlanks" dxfId="4029" priority="4167">
      <formula>LEN(TRIM(U484))&gt;0</formula>
    </cfRule>
  </conditionalFormatting>
  <conditionalFormatting sqref="U484:Y484">
    <cfRule type="notContainsBlanks" dxfId="4028" priority="4166">
      <formula>LEN(TRIM(U484))&gt;0</formula>
    </cfRule>
  </conditionalFormatting>
  <conditionalFormatting sqref="U484:Y484">
    <cfRule type="notContainsBlanks" dxfId="4027" priority="4165">
      <formula>LEN(TRIM(U484))&gt;0</formula>
    </cfRule>
  </conditionalFormatting>
  <conditionalFormatting sqref="U484:Y484">
    <cfRule type="notContainsBlanks" dxfId="4026" priority="4164">
      <formula>LEN(TRIM(U484))&gt;0</formula>
    </cfRule>
  </conditionalFormatting>
  <conditionalFormatting sqref="U484:Y484">
    <cfRule type="notContainsBlanks" dxfId="4025" priority="4163">
      <formula>LEN(TRIM(U484))&gt;0</formula>
    </cfRule>
  </conditionalFormatting>
  <conditionalFormatting sqref="U484:Y484">
    <cfRule type="notContainsBlanks" dxfId="4024" priority="4162">
      <formula>LEN(TRIM(U484))&gt;0</formula>
    </cfRule>
  </conditionalFormatting>
  <conditionalFormatting sqref="U484:Y484">
    <cfRule type="notContainsBlanks" dxfId="4023" priority="4161">
      <formula>LEN(TRIM(U484))&gt;0</formula>
    </cfRule>
  </conditionalFormatting>
  <conditionalFormatting sqref="U484:Y484">
    <cfRule type="notContainsBlanks" dxfId="4022" priority="4159">
      <formula>LEN(TRIM(U484))&gt;0</formula>
    </cfRule>
    <cfRule type="notContainsBlanks" dxfId="4021" priority="4160">
      <formula>LEN(TRIM(U484))&gt;0</formula>
    </cfRule>
  </conditionalFormatting>
  <conditionalFormatting sqref="U484:Y484">
    <cfRule type="notContainsBlanks" dxfId="4020" priority="4158">
      <formula>LEN(TRIM(U484))&gt;0</formula>
    </cfRule>
  </conditionalFormatting>
  <conditionalFormatting sqref="U484:Y484">
    <cfRule type="notContainsBlanks" dxfId="4019" priority="4157">
      <formula>LEN(TRIM(U484))&gt;0</formula>
    </cfRule>
  </conditionalFormatting>
  <conditionalFormatting sqref="U484:Y484">
    <cfRule type="notContainsBlanks" dxfId="4018" priority="4156">
      <formula>LEN(TRIM(U484))&gt;0</formula>
    </cfRule>
  </conditionalFormatting>
  <conditionalFormatting sqref="U484:Y484">
    <cfRule type="notContainsBlanks" dxfId="4017" priority="4155">
      <formula>LEN(TRIM(U484))&gt;0</formula>
    </cfRule>
  </conditionalFormatting>
  <conditionalFormatting sqref="U484:Y484">
    <cfRule type="notContainsBlanks" dxfId="4016" priority="4154">
      <formula>LEN(TRIM(U484))&gt;0</formula>
    </cfRule>
  </conditionalFormatting>
  <conditionalFormatting sqref="U484:Y484">
    <cfRule type="notContainsBlanks" dxfId="4015" priority="4153">
      <formula>LEN(TRIM(U484))&gt;0</formula>
    </cfRule>
  </conditionalFormatting>
  <conditionalFormatting sqref="U484:Y484">
    <cfRule type="notContainsBlanks" dxfId="4014" priority="4152">
      <formula>LEN(TRIM(U484))&gt;0</formula>
    </cfRule>
  </conditionalFormatting>
  <conditionalFormatting sqref="U484:Y484">
    <cfRule type="notContainsBlanks" dxfId="4013" priority="4151">
      <formula>LEN(TRIM(U484))&gt;0</formula>
    </cfRule>
  </conditionalFormatting>
  <conditionalFormatting sqref="U484:Y484">
    <cfRule type="notContainsBlanks" dxfId="4012" priority="4150">
      <formula>LEN(TRIM(U484))&gt;0</formula>
    </cfRule>
  </conditionalFormatting>
  <conditionalFormatting sqref="U484:Y484">
    <cfRule type="notContainsBlanks" priority="4149">
      <formula>LEN(TRIM(U484))&gt;0</formula>
    </cfRule>
  </conditionalFormatting>
  <conditionalFormatting sqref="U484:Y484">
    <cfRule type="notContainsBlanks" dxfId="4011" priority="4148">
      <formula>LEN(TRIM(U484))&gt;0</formula>
    </cfRule>
  </conditionalFormatting>
  <conditionalFormatting sqref="U484:Y484">
    <cfRule type="notContainsBlanks" dxfId="4010" priority="4147">
      <formula>LEN(TRIM(U484))&gt;0</formula>
    </cfRule>
  </conditionalFormatting>
  <conditionalFormatting sqref="U484:Y484">
    <cfRule type="notContainsBlanks" dxfId="4009" priority="4146">
      <formula>LEN(TRIM(U484))&gt;0</formula>
    </cfRule>
  </conditionalFormatting>
  <conditionalFormatting sqref="U484:Y484">
    <cfRule type="notContainsBlanks" dxfId="4008" priority="4145">
      <formula>LEN(TRIM(U484))&gt;0</formula>
    </cfRule>
  </conditionalFormatting>
  <conditionalFormatting sqref="U484:Y484">
    <cfRule type="notContainsBlanks" dxfId="4007" priority="4144">
      <formula>LEN(TRIM(U484))&gt;0</formula>
    </cfRule>
  </conditionalFormatting>
  <conditionalFormatting sqref="U497:Y497">
    <cfRule type="notContainsBlanks" dxfId="4006" priority="4143">
      <formula>LEN(TRIM(U497))&gt;0</formula>
    </cfRule>
  </conditionalFormatting>
  <conditionalFormatting sqref="U497:Y497">
    <cfRule type="notContainsBlanks" dxfId="4005" priority="4142">
      <formula>LEN(TRIM(U497))&gt;0</formula>
    </cfRule>
  </conditionalFormatting>
  <conditionalFormatting sqref="U497:Y497">
    <cfRule type="notContainsBlanks" dxfId="4004" priority="4141">
      <formula>LEN(TRIM(U497))&gt;0</formula>
    </cfRule>
  </conditionalFormatting>
  <conditionalFormatting sqref="U497:Y497">
    <cfRule type="notContainsBlanks" dxfId="4003" priority="4140">
      <formula>LEN(TRIM(U497))&gt;0</formula>
    </cfRule>
  </conditionalFormatting>
  <conditionalFormatting sqref="U497:Y497">
    <cfRule type="notContainsBlanks" dxfId="4002" priority="4139">
      <formula>LEN(TRIM(U497))&gt;0</formula>
    </cfRule>
  </conditionalFormatting>
  <conditionalFormatting sqref="U497:Y497">
    <cfRule type="notContainsBlanks" dxfId="4001" priority="4138">
      <formula>LEN(TRIM(U497))&gt;0</formula>
    </cfRule>
  </conditionalFormatting>
  <conditionalFormatting sqref="U497:Y497">
    <cfRule type="notContainsBlanks" dxfId="4000" priority="4137">
      <formula>LEN(TRIM(U497))&gt;0</formula>
    </cfRule>
  </conditionalFormatting>
  <conditionalFormatting sqref="U497:Y497">
    <cfRule type="notContainsBlanks" dxfId="3999" priority="4136">
      <formula>LEN(TRIM(U497))&gt;0</formula>
    </cfRule>
  </conditionalFormatting>
  <conditionalFormatting sqref="U497:Y497">
    <cfRule type="notContainsBlanks" dxfId="3998" priority="4135">
      <formula>LEN(TRIM(U497))&gt;0</formula>
    </cfRule>
  </conditionalFormatting>
  <conditionalFormatting sqref="U497:Y497">
    <cfRule type="notContainsBlanks" dxfId="3997" priority="4133">
      <formula>LEN(TRIM(U497))&gt;0</formula>
    </cfRule>
    <cfRule type="notContainsBlanks" dxfId="3996" priority="4134">
      <formula>LEN(TRIM(U497))&gt;0</formula>
    </cfRule>
  </conditionalFormatting>
  <conditionalFormatting sqref="U497:Y497">
    <cfRule type="notContainsBlanks" dxfId="3995" priority="4132">
      <formula>LEN(TRIM(U497))&gt;0</formula>
    </cfRule>
  </conditionalFormatting>
  <conditionalFormatting sqref="U497:Y497">
    <cfRule type="notContainsBlanks" dxfId="3994" priority="4131">
      <formula>LEN(TRIM(U497))&gt;0</formula>
    </cfRule>
  </conditionalFormatting>
  <conditionalFormatting sqref="U497:Y497">
    <cfRule type="notContainsBlanks" dxfId="3993" priority="4130">
      <formula>LEN(TRIM(U497))&gt;0</formula>
    </cfRule>
  </conditionalFormatting>
  <conditionalFormatting sqref="U497:Y497">
    <cfRule type="notContainsBlanks" dxfId="3992" priority="4129">
      <formula>LEN(TRIM(U497))&gt;0</formula>
    </cfRule>
  </conditionalFormatting>
  <conditionalFormatting sqref="U497:Y497">
    <cfRule type="notContainsBlanks" dxfId="3991" priority="4128">
      <formula>LEN(TRIM(U497))&gt;0</formula>
    </cfRule>
  </conditionalFormatting>
  <conditionalFormatting sqref="U497:Y497">
    <cfRule type="notContainsBlanks" dxfId="3990" priority="4127">
      <formula>LEN(TRIM(U497))&gt;0</formula>
    </cfRule>
  </conditionalFormatting>
  <conditionalFormatting sqref="U497:Y497">
    <cfRule type="notContainsBlanks" dxfId="3989" priority="4126">
      <formula>LEN(TRIM(U497))&gt;0</formula>
    </cfRule>
  </conditionalFormatting>
  <conditionalFormatting sqref="U497:Y497">
    <cfRule type="notContainsBlanks" dxfId="3988" priority="4125">
      <formula>LEN(TRIM(U497))&gt;0</formula>
    </cfRule>
  </conditionalFormatting>
  <conditionalFormatting sqref="U497:Y497">
    <cfRule type="notContainsBlanks" dxfId="3987" priority="4124">
      <formula>LEN(TRIM(U497))&gt;0</formula>
    </cfRule>
  </conditionalFormatting>
  <conditionalFormatting sqref="U497:Y497">
    <cfRule type="notContainsBlanks" priority="4123">
      <formula>LEN(TRIM(U497))&gt;0</formula>
    </cfRule>
  </conditionalFormatting>
  <conditionalFormatting sqref="U497:Y497">
    <cfRule type="notContainsBlanks" dxfId="3986" priority="4122">
      <formula>LEN(TRIM(U497))&gt;0</formula>
    </cfRule>
  </conditionalFormatting>
  <conditionalFormatting sqref="U497:Y497">
    <cfRule type="notContainsBlanks" dxfId="3985" priority="4121">
      <formula>LEN(TRIM(U497))&gt;0</formula>
    </cfRule>
  </conditionalFormatting>
  <conditionalFormatting sqref="U497:Y497">
    <cfRule type="notContainsBlanks" dxfId="3984" priority="4120">
      <formula>LEN(TRIM(U497))&gt;0</formula>
    </cfRule>
  </conditionalFormatting>
  <conditionalFormatting sqref="U497:Y497">
    <cfRule type="notContainsBlanks" dxfId="3983" priority="4119">
      <formula>LEN(TRIM(U497))&gt;0</formula>
    </cfRule>
  </conditionalFormatting>
  <conditionalFormatting sqref="U497:Y497">
    <cfRule type="notContainsBlanks" dxfId="3982" priority="4118">
      <formula>LEN(TRIM(U497))&gt;0</formula>
    </cfRule>
  </conditionalFormatting>
  <conditionalFormatting sqref="U510:Y510">
    <cfRule type="notContainsBlanks" dxfId="3981" priority="4117">
      <formula>LEN(TRIM(U510))&gt;0</formula>
    </cfRule>
  </conditionalFormatting>
  <conditionalFormatting sqref="U510:Y510">
    <cfRule type="notContainsBlanks" dxfId="3980" priority="4116">
      <formula>LEN(TRIM(U510))&gt;0</formula>
    </cfRule>
  </conditionalFormatting>
  <conditionalFormatting sqref="U510:Y510">
    <cfRule type="notContainsBlanks" dxfId="3979" priority="4115">
      <formula>LEN(TRIM(U510))&gt;0</formula>
    </cfRule>
  </conditionalFormatting>
  <conditionalFormatting sqref="U510:Y510">
    <cfRule type="notContainsBlanks" dxfId="3978" priority="4114">
      <formula>LEN(TRIM(U510))&gt;0</formula>
    </cfRule>
  </conditionalFormatting>
  <conditionalFormatting sqref="U510:Y510">
    <cfRule type="notContainsBlanks" dxfId="3977" priority="4113">
      <formula>LEN(TRIM(U510))&gt;0</formula>
    </cfRule>
  </conditionalFormatting>
  <conditionalFormatting sqref="U510:Y510">
    <cfRule type="notContainsBlanks" dxfId="3976" priority="4112">
      <formula>LEN(TRIM(U510))&gt;0</formula>
    </cfRule>
  </conditionalFormatting>
  <conditionalFormatting sqref="U510:Y510">
    <cfRule type="notContainsBlanks" dxfId="3975" priority="4111">
      <formula>LEN(TRIM(U510))&gt;0</formula>
    </cfRule>
  </conditionalFormatting>
  <conditionalFormatting sqref="U510:Y510">
    <cfRule type="notContainsBlanks" dxfId="3974" priority="4110">
      <formula>LEN(TRIM(U510))&gt;0</formula>
    </cfRule>
  </conditionalFormatting>
  <conditionalFormatting sqref="U510:Y510">
    <cfRule type="notContainsBlanks" dxfId="3973" priority="4109">
      <formula>LEN(TRIM(U510))&gt;0</formula>
    </cfRule>
  </conditionalFormatting>
  <conditionalFormatting sqref="U510:Y510">
    <cfRule type="notContainsBlanks" dxfId="3972" priority="4107">
      <formula>LEN(TRIM(U510))&gt;0</formula>
    </cfRule>
    <cfRule type="notContainsBlanks" dxfId="3971" priority="4108">
      <formula>LEN(TRIM(U510))&gt;0</formula>
    </cfRule>
  </conditionalFormatting>
  <conditionalFormatting sqref="U510:Y510">
    <cfRule type="notContainsBlanks" dxfId="3970" priority="4106">
      <formula>LEN(TRIM(U510))&gt;0</formula>
    </cfRule>
  </conditionalFormatting>
  <conditionalFormatting sqref="U510:Y510">
    <cfRule type="notContainsBlanks" dxfId="3969" priority="4105">
      <formula>LEN(TRIM(U510))&gt;0</formula>
    </cfRule>
  </conditionalFormatting>
  <conditionalFormatting sqref="U510:Y510">
    <cfRule type="notContainsBlanks" dxfId="3968" priority="4104">
      <formula>LEN(TRIM(U510))&gt;0</formula>
    </cfRule>
  </conditionalFormatting>
  <conditionalFormatting sqref="U510:Y510">
    <cfRule type="notContainsBlanks" dxfId="3967" priority="4103">
      <formula>LEN(TRIM(U510))&gt;0</formula>
    </cfRule>
  </conditionalFormatting>
  <conditionalFormatting sqref="U510:Y510">
    <cfRule type="notContainsBlanks" dxfId="3966" priority="4102">
      <formula>LEN(TRIM(U510))&gt;0</formula>
    </cfRule>
  </conditionalFormatting>
  <conditionalFormatting sqref="U510:Y510">
    <cfRule type="notContainsBlanks" dxfId="3965" priority="4101">
      <formula>LEN(TRIM(U510))&gt;0</formula>
    </cfRule>
  </conditionalFormatting>
  <conditionalFormatting sqref="U510:Y510">
    <cfRule type="notContainsBlanks" dxfId="3964" priority="4100">
      <formula>LEN(TRIM(U510))&gt;0</formula>
    </cfRule>
  </conditionalFormatting>
  <conditionalFormatting sqref="U510:Y510">
    <cfRule type="notContainsBlanks" dxfId="3963" priority="4099">
      <formula>LEN(TRIM(U510))&gt;0</formula>
    </cfRule>
  </conditionalFormatting>
  <conditionalFormatting sqref="U510:Y510">
    <cfRule type="notContainsBlanks" dxfId="3962" priority="4098">
      <formula>LEN(TRIM(U510))&gt;0</formula>
    </cfRule>
  </conditionalFormatting>
  <conditionalFormatting sqref="U510:Y510">
    <cfRule type="notContainsBlanks" priority="4097">
      <formula>LEN(TRIM(U510))&gt;0</formula>
    </cfRule>
  </conditionalFormatting>
  <conditionalFormatting sqref="U510:Y510">
    <cfRule type="notContainsBlanks" dxfId="3961" priority="4096">
      <formula>LEN(TRIM(U510))&gt;0</formula>
    </cfRule>
  </conditionalFormatting>
  <conditionalFormatting sqref="U510:Y510">
    <cfRule type="notContainsBlanks" dxfId="3960" priority="4095">
      <formula>LEN(TRIM(U510))&gt;0</formula>
    </cfRule>
  </conditionalFormatting>
  <conditionalFormatting sqref="U510:Y510">
    <cfRule type="notContainsBlanks" dxfId="3959" priority="4094">
      <formula>LEN(TRIM(U510))&gt;0</formula>
    </cfRule>
  </conditionalFormatting>
  <conditionalFormatting sqref="U510:Y510">
    <cfRule type="notContainsBlanks" dxfId="3958" priority="4093">
      <formula>LEN(TRIM(U510))&gt;0</formula>
    </cfRule>
  </conditionalFormatting>
  <conditionalFormatting sqref="U510:Y510">
    <cfRule type="notContainsBlanks" dxfId="3957" priority="4092">
      <formula>LEN(TRIM(U510))&gt;0</formula>
    </cfRule>
  </conditionalFormatting>
  <conditionalFormatting sqref="U523:Y523">
    <cfRule type="notContainsBlanks" dxfId="3956" priority="4091">
      <formula>LEN(TRIM(U523))&gt;0</formula>
    </cfRule>
  </conditionalFormatting>
  <conditionalFormatting sqref="U523:Y523">
    <cfRule type="notContainsBlanks" dxfId="3955" priority="4090">
      <formula>LEN(TRIM(U523))&gt;0</formula>
    </cfRule>
  </conditionalFormatting>
  <conditionalFormatting sqref="U523:Y523">
    <cfRule type="notContainsBlanks" dxfId="3954" priority="4089">
      <formula>LEN(TRIM(U523))&gt;0</formula>
    </cfRule>
  </conditionalFormatting>
  <conditionalFormatting sqref="U523:Y523">
    <cfRule type="notContainsBlanks" dxfId="3953" priority="4088">
      <formula>LEN(TRIM(U523))&gt;0</formula>
    </cfRule>
  </conditionalFormatting>
  <conditionalFormatting sqref="U523:Y523">
    <cfRule type="notContainsBlanks" dxfId="3952" priority="4087">
      <formula>LEN(TRIM(U523))&gt;0</formula>
    </cfRule>
  </conditionalFormatting>
  <conditionalFormatting sqref="U523:Y523">
    <cfRule type="notContainsBlanks" dxfId="3951" priority="4086">
      <formula>LEN(TRIM(U523))&gt;0</formula>
    </cfRule>
  </conditionalFormatting>
  <conditionalFormatting sqref="U523:Y523">
    <cfRule type="notContainsBlanks" dxfId="3950" priority="4085">
      <formula>LEN(TRIM(U523))&gt;0</formula>
    </cfRule>
  </conditionalFormatting>
  <conditionalFormatting sqref="U523:Y523">
    <cfRule type="notContainsBlanks" dxfId="3949" priority="4084">
      <formula>LEN(TRIM(U523))&gt;0</formula>
    </cfRule>
  </conditionalFormatting>
  <conditionalFormatting sqref="U523:Y523">
    <cfRule type="notContainsBlanks" dxfId="3948" priority="4083">
      <formula>LEN(TRIM(U523))&gt;0</formula>
    </cfRule>
  </conditionalFormatting>
  <conditionalFormatting sqref="U523:Y523">
    <cfRule type="notContainsBlanks" dxfId="3947" priority="4081">
      <formula>LEN(TRIM(U523))&gt;0</formula>
    </cfRule>
    <cfRule type="notContainsBlanks" dxfId="3946" priority="4082">
      <formula>LEN(TRIM(U523))&gt;0</formula>
    </cfRule>
  </conditionalFormatting>
  <conditionalFormatting sqref="U523:Y523">
    <cfRule type="notContainsBlanks" dxfId="3945" priority="4080">
      <formula>LEN(TRIM(U523))&gt;0</formula>
    </cfRule>
  </conditionalFormatting>
  <conditionalFormatting sqref="U523:Y523">
    <cfRule type="notContainsBlanks" dxfId="3944" priority="4079">
      <formula>LEN(TRIM(U523))&gt;0</formula>
    </cfRule>
  </conditionalFormatting>
  <conditionalFormatting sqref="U523:Y523">
    <cfRule type="notContainsBlanks" dxfId="3943" priority="4078">
      <formula>LEN(TRIM(U523))&gt;0</formula>
    </cfRule>
  </conditionalFormatting>
  <conditionalFormatting sqref="U523:Y523">
    <cfRule type="notContainsBlanks" dxfId="3942" priority="4077">
      <formula>LEN(TRIM(U523))&gt;0</formula>
    </cfRule>
  </conditionalFormatting>
  <conditionalFormatting sqref="U523:Y523">
    <cfRule type="notContainsBlanks" dxfId="3941" priority="4076">
      <formula>LEN(TRIM(U523))&gt;0</formula>
    </cfRule>
  </conditionalFormatting>
  <conditionalFormatting sqref="U523:Y523">
    <cfRule type="notContainsBlanks" dxfId="3940" priority="4075">
      <formula>LEN(TRIM(U523))&gt;0</formula>
    </cfRule>
  </conditionalFormatting>
  <conditionalFormatting sqref="U523:Y523">
    <cfRule type="notContainsBlanks" dxfId="3939" priority="4074">
      <formula>LEN(TRIM(U523))&gt;0</formula>
    </cfRule>
  </conditionalFormatting>
  <conditionalFormatting sqref="U523:Y523">
    <cfRule type="notContainsBlanks" dxfId="3938" priority="4073">
      <formula>LEN(TRIM(U523))&gt;0</formula>
    </cfRule>
  </conditionalFormatting>
  <conditionalFormatting sqref="U523:Y523">
    <cfRule type="notContainsBlanks" dxfId="3937" priority="4072">
      <formula>LEN(TRIM(U523))&gt;0</formula>
    </cfRule>
  </conditionalFormatting>
  <conditionalFormatting sqref="U523:Y523">
    <cfRule type="notContainsBlanks" priority="4071">
      <formula>LEN(TRIM(U523))&gt;0</formula>
    </cfRule>
  </conditionalFormatting>
  <conditionalFormatting sqref="U523:Y523">
    <cfRule type="notContainsBlanks" dxfId="3936" priority="4070">
      <formula>LEN(TRIM(U523))&gt;0</formula>
    </cfRule>
  </conditionalFormatting>
  <conditionalFormatting sqref="U523:Y523">
    <cfRule type="notContainsBlanks" dxfId="3935" priority="4069">
      <formula>LEN(TRIM(U523))&gt;0</formula>
    </cfRule>
  </conditionalFormatting>
  <conditionalFormatting sqref="U523:Y523">
    <cfRule type="notContainsBlanks" dxfId="3934" priority="4068">
      <formula>LEN(TRIM(U523))&gt;0</formula>
    </cfRule>
  </conditionalFormatting>
  <conditionalFormatting sqref="U523:Y523">
    <cfRule type="notContainsBlanks" dxfId="3933" priority="4067">
      <formula>LEN(TRIM(U523))&gt;0</formula>
    </cfRule>
  </conditionalFormatting>
  <conditionalFormatting sqref="U523:Y523">
    <cfRule type="notContainsBlanks" dxfId="3932" priority="4066">
      <formula>LEN(TRIM(U523))&gt;0</formula>
    </cfRule>
  </conditionalFormatting>
  <conditionalFormatting sqref="U536:Y536">
    <cfRule type="notContainsBlanks" dxfId="3931" priority="4065">
      <formula>LEN(TRIM(U536))&gt;0</formula>
    </cfRule>
  </conditionalFormatting>
  <conditionalFormatting sqref="U536:Y536">
    <cfRule type="notContainsBlanks" dxfId="3930" priority="4064">
      <formula>LEN(TRIM(U536))&gt;0</formula>
    </cfRule>
  </conditionalFormatting>
  <conditionalFormatting sqref="U536:Y536">
    <cfRule type="notContainsBlanks" dxfId="3929" priority="4063">
      <formula>LEN(TRIM(U536))&gt;0</formula>
    </cfRule>
  </conditionalFormatting>
  <conditionalFormatting sqref="U536:Y536">
    <cfRule type="notContainsBlanks" dxfId="3928" priority="4062">
      <formula>LEN(TRIM(U536))&gt;0</formula>
    </cfRule>
  </conditionalFormatting>
  <conditionalFormatting sqref="U536:Y536">
    <cfRule type="notContainsBlanks" dxfId="3927" priority="4061">
      <formula>LEN(TRIM(U536))&gt;0</formula>
    </cfRule>
  </conditionalFormatting>
  <conditionalFormatting sqref="U536:Y536">
    <cfRule type="notContainsBlanks" dxfId="3926" priority="4060">
      <formula>LEN(TRIM(U536))&gt;0</formula>
    </cfRule>
  </conditionalFormatting>
  <conditionalFormatting sqref="U536:Y536">
    <cfRule type="notContainsBlanks" dxfId="3925" priority="4059">
      <formula>LEN(TRIM(U536))&gt;0</formula>
    </cfRule>
  </conditionalFormatting>
  <conditionalFormatting sqref="U536:Y536">
    <cfRule type="notContainsBlanks" dxfId="3924" priority="4058">
      <formula>LEN(TRIM(U536))&gt;0</formula>
    </cfRule>
  </conditionalFormatting>
  <conditionalFormatting sqref="U536:Y536">
    <cfRule type="notContainsBlanks" dxfId="3923" priority="4057">
      <formula>LEN(TRIM(U536))&gt;0</formula>
    </cfRule>
  </conditionalFormatting>
  <conditionalFormatting sqref="U536:Y536">
    <cfRule type="notContainsBlanks" dxfId="3922" priority="4055">
      <formula>LEN(TRIM(U536))&gt;0</formula>
    </cfRule>
    <cfRule type="notContainsBlanks" dxfId="3921" priority="4056">
      <formula>LEN(TRIM(U536))&gt;0</formula>
    </cfRule>
  </conditionalFormatting>
  <conditionalFormatting sqref="U536:Y536">
    <cfRule type="notContainsBlanks" dxfId="3920" priority="4054">
      <formula>LEN(TRIM(U536))&gt;0</formula>
    </cfRule>
  </conditionalFormatting>
  <conditionalFormatting sqref="U536:Y536">
    <cfRule type="notContainsBlanks" dxfId="3919" priority="4053">
      <formula>LEN(TRIM(U536))&gt;0</formula>
    </cfRule>
  </conditionalFormatting>
  <conditionalFormatting sqref="U536:Y536">
    <cfRule type="notContainsBlanks" dxfId="3918" priority="4052">
      <formula>LEN(TRIM(U536))&gt;0</formula>
    </cfRule>
  </conditionalFormatting>
  <conditionalFormatting sqref="U536:Y536">
    <cfRule type="notContainsBlanks" dxfId="3917" priority="4051">
      <formula>LEN(TRIM(U536))&gt;0</formula>
    </cfRule>
  </conditionalFormatting>
  <conditionalFormatting sqref="U536:Y536">
    <cfRule type="notContainsBlanks" dxfId="3916" priority="4050">
      <formula>LEN(TRIM(U536))&gt;0</formula>
    </cfRule>
  </conditionalFormatting>
  <conditionalFormatting sqref="U536:Y536">
    <cfRule type="notContainsBlanks" dxfId="3915" priority="4049">
      <formula>LEN(TRIM(U536))&gt;0</formula>
    </cfRule>
  </conditionalFormatting>
  <conditionalFormatting sqref="U536:Y536">
    <cfRule type="notContainsBlanks" dxfId="3914" priority="4048">
      <formula>LEN(TRIM(U536))&gt;0</formula>
    </cfRule>
  </conditionalFormatting>
  <conditionalFormatting sqref="U536:Y536">
    <cfRule type="notContainsBlanks" dxfId="3913" priority="4047">
      <formula>LEN(TRIM(U536))&gt;0</formula>
    </cfRule>
  </conditionalFormatting>
  <conditionalFormatting sqref="U536:Y536">
    <cfRule type="notContainsBlanks" dxfId="3912" priority="4046">
      <formula>LEN(TRIM(U536))&gt;0</formula>
    </cfRule>
  </conditionalFormatting>
  <conditionalFormatting sqref="U536:Y536">
    <cfRule type="notContainsBlanks" priority="4045">
      <formula>LEN(TRIM(U536))&gt;0</formula>
    </cfRule>
  </conditionalFormatting>
  <conditionalFormatting sqref="U536:Y536">
    <cfRule type="notContainsBlanks" dxfId="3911" priority="4044">
      <formula>LEN(TRIM(U536))&gt;0</formula>
    </cfRule>
  </conditionalFormatting>
  <conditionalFormatting sqref="U536:Y536">
    <cfRule type="notContainsBlanks" dxfId="3910" priority="4043">
      <formula>LEN(TRIM(U536))&gt;0</formula>
    </cfRule>
  </conditionalFormatting>
  <conditionalFormatting sqref="U536:Y536">
    <cfRule type="notContainsBlanks" dxfId="3909" priority="4042">
      <formula>LEN(TRIM(U536))&gt;0</formula>
    </cfRule>
  </conditionalFormatting>
  <conditionalFormatting sqref="U536:Y536">
    <cfRule type="notContainsBlanks" dxfId="3908" priority="4041">
      <formula>LEN(TRIM(U536))&gt;0</formula>
    </cfRule>
  </conditionalFormatting>
  <conditionalFormatting sqref="U536:Y536">
    <cfRule type="notContainsBlanks" dxfId="3907" priority="4040">
      <formula>LEN(TRIM(U536))&gt;0</formula>
    </cfRule>
  </conditionalFormatting>
  <conditionalFormatting sqref="U549:Y549">
    <cfRule type="notContainsBlanks" dxfId="3906" priority="4039">
      <formula>LEN(TRIM(U549))&gt;0</formula>
    </cfRule>
  </conditionalFormatting>
  <conditionalFormatting sqref="U549:Y549">
    <cfRule type="notContainsBlanks" dxfId="3905" priority="4038">
      <formula>LEN(TRIM(U549))&gt;0</formula>
    </cfRule>
  </conditionalFormatting>
  <conditionalFormatting sqref="U549:Y549">
    <cfRule type="notContainsBlanks" dxfId="3904" priority="4037">
      <formula>LEN(TRIM(U549))&gt;0</formula>
    </cfRule>
  </conditionalFormatting>
  <conditionalFormatting sqref="U549:Y549">
    <cfRule type="notContainsBlanks" dxfId="3903" priority="4036">
      <formula>LEN(TRIM(U549))&gt;0</formula>
    </cfRule>
  </conditionalFormatting>
  <conditionalFormatting sqref="U549:Y549">
    <cfRule type="notContainsBlanks" dxfId="3902" priority="4035">
      <formula>LEN(TRIM(U549))&gt;0</formula>
    </cfRule>
  </conditionalFormatting>
  <conditionalFormatting sqref="U549:Y549">
    <cfRule type="notContainsBlanks" dxfId="3901" priority="4034">
      <formula>LEN(TRIM(U549))&gt;0</formula>
    </cfRule>
  </conditionalFormatting>
  <conditionalFormatting sqref="U549:Y549">
    <cfRule type="notContainsBlanks" dxfId="3900" priority="4033">
      <formula>LEN(TRIM(U549))&gt;0</formula>
    </cfRule>
  </conditionalFormatting>
  <conditionalFormatting sqref="U549:Y549">
    <cfRule type="notContainsBlanks" dxfId="3899" priority="4032">
      <formula>LEN(TRIM(U549))&gt;0</formula>
    </cfRule>
  </conditionalFormatting>
  <conditionalFormatting sqref="U549:Y549">
    <cfRule type="notContainsBlanks" dxfId="3898" priority="4031">
      <formula>LEN(TRIM(U549))&gt;0</formula>
    </cfRule>
  </conditionalFormatting>
  <conditionalFormatting sqref="U549:Y549">
    <cfRule type="notContainsBlanks" dxfId="3897" priority="4029">
      <formula>LEN(TRIM(U549))&gt;0</formula>
    </cfRule>
    <cfRule type="notContainsBlanks" dxfId="3896" priority="4030">
      <formula>LEN(TRIM(U549))&gt;0</formula>
    </cfRule>
  </conditionalFormatting>
  <conditionalFormatting sqref="U549:Y549">
    <cfRule type="notContainsBlanks" dxfId="3895" priority="4028">
      <formula>LEN(TRIM(U549))&gt;0</formula>
    </cfRule>
  </conditionalFormatting>
  <conditionalFormatting sqref="U549:Y549">
    <cfRule type="notContainsBlanks" dxfId="3894" priority="4027">
      <formula>LEN(TRIM(U549))&gt;0</formula>
    </cfRule>
  </conditionalFormatting>
  <conditionalFormatting sqref="U549:Y549">
    <cfRule type="notContainsBlanks" dxfId="3893" priority="4026">
      <formula>LEN(TRIM(U549))&gt;0</formula>
    </cfRule>
  </conditionalFormatting>
  <conditionalFormatting sqref="U549:Y549">
    <cfRule type="notContainsBlanks" dxfId="3892" priority="4025">
      <formula>LEN(TRIM(U549))&gt;0</formula>
    </cfRule>
  </conditionalFormatting>
  <conditionalFormatting sqref="U549:Y549">
    <cfRule type="notContainsBlanks" dxfId="3891" priority="4024">
      <formula>LEN(TRIM(U549))&gt;0</formula>
    </cfRule>
  </conditionalFormatting>
  <conditionalFormatting sqref="U549:Y549">
    <cfRule type="notContainsBlanks" dxfId="3890" priority="4023">
      <formula>LEN(TRIM(U549))&gt;0</formula>
    </cfRule>
  </conditionalFormatting>
  <conditionalFormatting sqref="U549:Y549">
    <cfRule type="notContainsBlanks" dxfId="3889" priority="4022">
      <formula>LEN(TRIM(U549))&gt;0</formula>
    </cfRule>
  </conditionalFormatting>
  <conditionalFormatting sqref="U549:Y549">
    <cfRule type="notContainsBlanks" dxfId="3888" priority="4021">
      <formula>LEN(TRIM(U549))&gt;0</formula>
    </cfRule>
  </conditionalFormatting>
  <conditionalFormatting sqref="U549:Y549">
    <cfRule type="notContainsBlanks" dxfId="3887" priority="4020">
      <formula>LEN(TRIM(U549))&gt;0</formula>
    </cfRule>
  </conditionalFormatting>
  <conditionalFormatting sqref="U549:Y549">
    <cfRule type="notContainsBlanks" priority="4019">
      <formula>LEN(TRIM(U549))&gt;0</formula>
    </cfRule>
  </conditionalFormatting>
  <conditionalFormatting sqref="U549:Y549">
    <cfRule type="notContainsBlanks" dxfId="3886" priority="4018">
      <formula>LEN(TRIM(U549))&gt;0</formula>
    </cfRule>
  </conditionalFormatting>
  <conditionalFormatting sqref="U549:Y549">
    <cfRule type="notContainsBlanks" dxfId="3885" priority="4017">
      <formula>LEN(TRIM(U549))&gt;0</formula>
    </cfRule>
  </conditionalFormatting>
  <conditionalFormatting sqref="U549:Y549">
    <cfRule type="notContainsBlanks" dxfId="3884" priority="4016">
      <formula>LEN(TRIM(U549))&gt;0</formula>
    </cfRule>
  </conditionalFormatting>
  <conditionalFormatting sqref="U549:Y549">
    <cfRule type="notContainsBlanks" dxfId="3883" priority="4015">
      <formula>LEN(TRIM(U549))&gt;0</formula>
    </cfRule>
  </conditionalFormatting>
  <conditionalFormatting sqref="U549:Y549">
    <cfRule type="notContainsBlanks" dxfId="3882" priority="4014">
      <formula>LEN(TRIM(U549))&gt;0</formula>
    </cfRule>
  </conditionalFormatting>
  <conditionalFormatting sqref="U562:Y562">
    <cfRule type="notContainsBlanks" dxfId="3881" priority="4013">
      <formula>LEN(TRIM(U562))&gt;0</formula>
    </cfRule>
  </conditionalFormatting>
  <conditionalFormatting sqref="U562:Y562">
    <cfRule type="notContainsBlanks" dxfId="3880" priority="4012">
      <formula>LEN(TRIM(U562))&gt;0</formula>
    </cfRule>
  </conditionalFormatting>
  <conditionalFormatting sqref="U562:Y562">
    <cfRule type="notContainsBlanks" dxfId="3879" priority="4011">
      <formula>LEN(TRIM(U562))&gt;0</formula>
    </cfRule>
  </conditionalFormatting>
  <conditionalFormatting sqref="U562:Y562">
    <cfRule type="notContainsBlanks" dxfId="3878" priority="4010">
      <formula>LEN(TRIM(U562))&gt;0</formula>
    </cfRule>
  </conditionalFormatting>
  <conditionalFormatting sqref="U562:Y562">
    <cfRule type="notContainsBlanks" dxfId="3877" priority="4009">
      <formula>LEN(TRIM(U562))&gt;0</formula>
    </cfRule>
  </conditionalFormatting>
  <conditionalFormatting sqref="U562:Y562">
    <cfRule type="notContainsBlanks" dxfId="3876" priority="4008">
      <formula>LEN(TRIM(U562))&gt;0</formula>
    </cfRule>
  </conditionalFormatting>
  <conditionalFormatting sqref="U562:Y562">
    <cfRule type="notContainsBlanks" dxfId="3875" priority="4007">
      <formula>LEN(TRIM(U562))&gt;0</formula>
    </cfRule>
  </conditionalFormatting>
  <conditionalFormatting sqref="U562:Y562">
    <cfRule type="notContainsBlanks" dxfId="3874" priority="4006">
      <formula>LEN(TRIM(U562))&gt;0</formula>
    </cfRule>
  </conditionalFormatting>
  <conditionalFormatting sqref="U562:Y562">
    <cfRule type="notContainsBlanks" dxfId="3873" priority="4005">
      <formula>LEN(TRIM(U562))&gt;0</formula>
    </cfRule>
  </conditionalFormatting>
  <conditionalFormatting sqref="U562:Y562">
    <cfRule type="notContainsBlanks" dxfId="3872" priority="4003">
      <formula>LEN(TRIM(U562))&gt;0</formula>
    </cfRule>
    <cfRule type="notContainsBlanks" dxfId="3871" priority="4004">
      <formula>LEN(TRIM(U562))&gt;0</formula>
    </cfRule>
  </conditionalFormatting>
  <conditionalFormatting sqref="U562:Y562">
    <cfRule type="notContainsBlanks" dxfId="3870" priority="4002">
      <formula>LEN(TRIM(U562))&gt;0</formula>
    </cfRule>
  </conditionalFormatting>
  <conditionalFormatting sqref="U562:Y562">
    <cfRule type="notContainsBlanks" dxfId="3869" priority="4001">
      <formula>LEN(TRIM(U562))&gt;0</formula>
    </cfRule>
  </conditionalFormatting>
  <conditionalFormatting sqref="U562:Y562">
    <cfRule type="notContainsBlanks" dxfId="3868" priority="4000">
      <formula>LEN(TRIM(U562))&gt;0</formula>
    </cfRule>
  </conditionalFormatting>
  <conditionalFormatting sqref="U562:Y562">
    <cfRule type="notContainsBlanks" dxfId="3867" priority="3999">
      <formula>LEN(TRIM(U562))&gt;0</formula>
    </cfRule>
  </conditionalFormatting>
  <conditionalFormatting sqref="U562:Y562">
    <cfRule type="notContainsBlanks" dxfId="3866" priority="3998">
      <formula>LEN(TRIM(U562))&gt;0</formula>
    </cfRule>
  </conditionalFormatting>
  <conditionalFormatting sqref="U562:Y562">
    <cfRule type="notContainsBlanks" dxfId="3865" priority="3997">
      <formula>LEN(TRIM(U562))&gt;0</formula>
    </cfRule>
  </conditionalFormatting>
  <conditionalFormatting sqref="U562:Y562">
    <cfRule type="notContainsBlanks" dxfId="3864" priority="3996">
      <formula>LEN(TRIM(U562))&gt;0</formula>
    </cfRule>
  </conditionalFormatting>
  <conditionalFormatting sqref="U562:Y562">
    <cfRule type="notContainsBlanks" dxfId="3863" priority="3995">
      <formula>LEN(TRIM(U562))&gt;0</formula>
    </cfRule>
  </conditionalFormatting>
  <conditionalFormatting sqref="U562:Y562">
    <cfRule type="notContainsBlanks" dxfId="3862" priority="3994">
      <formula>LEN(TRIM(U562))&gt;0</formula>
    </cfRule>
  </conditionalFormatting>
  <conditionalFormatting sqref="U562:Y562">
    <cfRule type="notContainsBlanks" priority="3993">
      <formula>LEN(TRIM(U562))&gt;0</formula>
    </cfRule>
  </conditionalFormatting>
  <conditionalFormatting sqref="U562:Y562">
    <cfRule type="notContainsBlanks" dxfId="3861" priority="3992">
      <formula>LEN(TRIM(U562))&gt;0</formula>
    </cfRule>
  </conditionalFormatting>
  <conditionalFormatting sqref="U562:Y562">
    <cfRule type="notContainsBlanks" dxfId="3860" priority="3991">
      <formula>LEN(TRIM(U562))&gt;0</formula>
    </cfRule>
  </conditionalFormatting>
  <conditionalFormatting sqref="U562:Y562">
    <cfRule type="notContainsBlanks" dxfId="3859" priority="3990">
      <formula>LEN(TRIM(U562))&gt;0</formula>
    </cfRule>
  </conditionalFormatting>
  <conditionalFormatting sqref="U562:Y562">
    <cfRule type="notContainsBlanks" dxfId="3858" priority="3989">
      <formula>LEN(TRIM(U562))&gt;0</formula>
    </cfRule>
  </conditionalFormatting>
  <conditionalFormatting sqref="U562:Y562">
    <cfRule type="notContainsBlanks" dxfId="3857" priority="3988">
      <formula>LEN(TRIM(U562))&gt;0</formula>
    </cfRule>
  </conditionalFormatting>
  <conditionalFormatting sqref="U575:Y575">
    <cfRule type="notContainsBlanks" dxfId="3856" priority="3987">
      <formula>LEN(TRIM(U575))&gt;0</formula>
    </cfRule>
  </conditionalFormatting>
  <conditionalFormatting sqref="U575:Y575">
    <cfRule type="notContainsBlanks" dxfId="3855" priority="3986">
      <formula>LEN(TRIM(U575))&gt;0</formula>
    </cfRule>
  </conditionalFormatting>
  <conditionalFormatting sqref="U575:Y575">
    <cfRule type="notContainsBlanks" dxfId="3854" priority="3985">
      <formula>LEN(TRIM(U575))&gt;0</formula>
    </cfRule>
  </conditionalFormatting>
  <conditionalFormatting sqref="U575:Y575">
    <cfRule type="notContainsBlanks" dxfId="3853" priority="3984">
      <formula>LEN(TRIM(U575))&gt;0</formula>
    </cfRule>
  </conditionalFormatting>
  <conditionalFormatting sqref="U575:Y575">
    <cfRule type="notContainsBlanks" dxfId="3852" priority="3983">
      <formula>LEN(TRIM(U575))&gt;0</formula>
    </cfRule>
  </conditionalFormatting>
  <conditionalFormatting sqref="U575:Y575">
    <cfRule type="notContainsBlanks" dxfId="3851" priority="3982">
      <formula>LEN(TRIM(U575))&gt;0</formula>
    </cfRule>
  </conditionalFormatting>
  <conditionalFormatting sqref="U575:Y575">
    <cfRule type="notContainsBlanks" dxfId="3850" priority="3981">
      <formula>LEN(TRIM(U575))&gt;0</formula>
    </cfRule>
  </conditionalFormatting>
  <conditionalFormatting sqref="U575:Y575">
    <cfRule type="notContainsBlanks" dxfId="3849" priority="3980">
      <formula>LEN(TRIM(U575))&gt;0</formula>
    </cfRule>
  </conditionalFormatting>
  <conditionalFormatting sqref="U575:Y575">
    <cfRule type="notContainsBlanks" dxfId="3848" priority="3979">
      <formula>LEN(TRIM(U575))&gt;0</formula>
    </cfRule>
  </conditionalFormatting>
  <conditionalFormatting sqref="U575:Y575">
    <cfRule type="notContainsBlanks" dxfId="3847" priority="3977">
      <formula>LEN(TRIM(U575))&gt;0</formula>
    </cfRule>
    <cfRule type="notContainsBlanks" dxfId="3846" priority="3978">
      <formula>LEN(TRIM(U575))&gt;0</formula>
    </cfRule>
  </conditionalFormatting>
  <conditionalFormatting sqref="U575:Y575">
    <cfRule type="notContainsBlanks" dxfId="3845" priority="3976">
      <formula>LEN(TRIM(U575))&gt;0</formula>
    </cfRule>
  </conditionalFormatting>
  <conditionalFormatting sqref="U575:Y575">
    <cfRule type="notContainsBlanks" dxfId="3844" priority="3975">
      <formula>LEN(TRIM(U575))&gt;0</formula>
    </cfRule>
  </conditionalFormatting>
  <conditionalFormatting sqref="U575:Y575">
    <cfRule type="notContainsBlanks" dxfId="3843" priority="3974">
      <formula>LEN(TRIM(U575))&gt;0</formula>
    </cfRule>
  </conditionalFormatting>
  <conditionalFormatting sqref="U575:Y575">
    <cfRule type="notContainsBlanks" dxfId="3842" priority="3973">
      <formula>LEN(TRIM(U575))&gt;0</formula>
    </cfRule>
  </conditionalFormatting>
  <conditionalFormatting sqref="U575:Y575">
    <cfRule type="notContainsBlanks" dxfId="3841" priority="3972">
      <formula>LEN(TRIM(U575))&gt;0</formula>
    </cfRule>
  </conditionalFormatting>
  <conditionalFormatting sqref="U575:Y575">
    <cfRule type="notContainsBlanks" dxfId="3840" priority="3971">
      <formula>LEN(TRIM(U575))&gt;0</formula>
    </cfRule>
  </conditionalFormatting>
  <conditionalFormatting sqref="U575:Y575">
    <cfRule type="notContainsBlanks" dxfId="3839" priority="3970">
      <formula>LEN(TRIM(U575))&gt;0</formula>
    </cfRule>
  </conditionalFormatting>
  <conditionalFormatting sqref="U575:Y575">
    <cfRule type="notContainsBlanks" dxfId="3838" priority="3969">
      <formula>LEN(TRIM(U575))&gt;0</formula>
    </cfRule>
  </conditionalFormatting>
  <conditionalFormatting sqref="U575:Y575">
    <cfRule type="notContainsBlanks" dxfId="3837" priority="3968">
      <formula>LEN(TRIM(U575))&gt;0</formula>
    </cfRule>
  </conditionalFormatting>
  <conditionalFormatting sqref="U575:Y575">
    <cfRule type="notContainsBlanks" priority="3967">
      <formula>LEN(TRIM(U575))&gt;0</formula>
    </cfRule>
  </conditionalFormatting>
  <conditionalFormatting sqref="U575:Y575">
    <cfRule type="notContainsBlanks" dxfId="3836" priority="3966">
      <formula>LEN(TRIM(U575))&gt;0</formula>
    </cfRule>
  </conditionalFormatting>
  <conditionalFormatting sqref="U575:Y575">
    <cfRule type="notContainsBlanks" dxfId="3835" priority="3965">
      <formula>LEN(TRIM(U575))&gt;0</formula>
    </cfRule>
  </conditionalFormatting>
  <conditionalFormatting sqref="U575:Y575">
    <cfRule type="notContainsBlanks" dxfId="3834" priority="3964">
      <formula>LEN(TRIM(U575))&gt;0</formula>
    </cfRule>
  </conditionalFormatting>
  <conditionalFormatting sqref="U575:Y575">
    <cfRule type="notContainsBlanks" dxfId="3833" priority="3963">
      <formula>LEN(TRIM(U575))&gt;0</formula>
    </cfRule>
  </conditionalFormatting>
  <conditionalFormatting sqref="U575:Y575">
    <cfRule type="notContainsBlanks" dxfId="3832" priority="3962">
      <formula>LEN(TRIM(U575))&gt;0</formula>
    </cfRule>
  </conditionalFormatting>
  <conditionalFormatting sqref="U588:Y588">
    <cfRule type="notContainsBlanks" dxfId="3831" priority="3961">
      <formula>LEN(TRIM(U588))&gt;0</formula>
    </cfRule>
  </conditionalFormatting>
  <conditionalFormatting sqref="U588:Y588">
    <cfRule type="notContainsBlanks" dxfId="3830" priority="3960">
      <formula>LEN(TRIM(U588))&gt;0</formula>
    </cfRule>
  </conditionalFormatting>
  <conditionalFormatting sqref="U588:Y588">
    <cfRule type="notContainsBlanks" dxfId="3829" priority="3959">
      <formula>LEN(TRIM(U588))&gt;0</formula>
    </cfRule>
  </conditionalFormatting>
  <conditionalFormatting sqref="U588:Y588">
    <cfRule type="notContainsBlanks" dxfId="3828" priority="3958">
      <formula>LEN(TRIM(U588))&gt;0</formula>
    </cfRule>
  </conditionalFormatting>
  <conditionalFormatting sqref="U588:Y588">
    <cfRule type="notContainsBlanks" dxfId="3827" priority="3957">
      <formula>LEN(TRIM(U588))&gt;0</formula>
    </cfRule>
  </conditionalFormatting>
  <conditionalFormatting sqref="U588:Y588">
    <cfRule type="notContainsBlanks" dxfId="3826" priority="3956">
      <formula>LEN(TRIM(U588))&gt;0</formula>
    </cfRule>
  </conditionalFormatting>
  <conditionalFormatting sqref="U588:Y588">
    <cfRule type="notContainsBlanks" dxfId="3825" priority="3955">
      <formula>LEN(TRIM(U588))&gt;0</formula>
    </cfRule>
  </conditionalFormatting>
  <conditionalFormatting sqref="U588:Y588">
    <cfRule type="notContainsBlanks" dxfId="3824" priority="3954">
      <formula>LEN(TRIM(U588))&gt;0</formula>
    </cfRule>
  </conditionalFormatting>
  <conditionalFormatting sqref="U588:Y588">
    <cfRule type="notContainsBlanks" dxfId="3823" priority="3953">
      <formula>LEN(TRIM(U588))&gt;0</formula>
    </cfRule>
  </conditionalFormatting>
  <conditionalFormatting sqref="U588:Y588">
    <cfRule type="notContainsBlanks" dxfId="3822" priority="3951">
      <formula>LEN(TRIM(U588))&gt;0</formula>
    </cfRule>
    <cfRule type="notContainsBlanks" dxfId="3821" priority="3952">
      <formula>LEN(TRIM(U588))&gt;0</formula>
    </cfRule>
  </conditionalFormatting>
  <conditionalFormatting sqref="U588:Y588">
    <cfRule type="notContainsBlanks" dxfId="3820" priority="3950">
      <formula>LEN(TRIM(U588))&gt;0</formula>
    </cfRule>
  </conditionalFormatting>
  <conditionalFormatting sqref="U588:Y588">
    <cfRule type="notContainsBlanks" dxfId="3819" priority="3949">
      <formula>LEN(TRIM(U588))&gt;0</formula>
    </cfRule>
  </conditionalFormatting>
  <conditionalFormatting sqref="U588:Y588">
    <cfRule type="notContainsBlanks" dxfId="3818" priority="3948">
      <formula>LEN(TRIM(U588))&gt;0</formula>
    </cfRule>
  </conditionalFormatting>
  <conditionalFormatting sqref="U588:Y588">
    <cfRule type="notContainsBlanks" dxfId="3817" priority="3947">
      <formula>LEN(TRIM(U588))&gt;0</formula>
    </cfRule>
  </conditionalFormatting>
  <conditionalFormatting sqref="U588:Y588">
    <cfRule type="notContainsBlanks" dxfId="3816" priority="3946">
      <formula>LEN(TRIM(U588))&gt;0</formula>
    </cfRule>
  </conditionalFormatting>
  <conditionalFormatting sqref="U588:Y588">
    <cfRule type="notContainsBlanks" dxfId="3815" priority="3945">
      <formula>LEN(TRIM(U588))&gt;0</formula>
    </cfRule>
  </conditionalFormatting>
  <conditionalFormatting sqref="U588:Y588">
    <cfRule type="notContainsBlanks" dxfId="3814" priority="3944">
      <formula>LEN(TRIM(U588))&gt;0</formula>
    </cfRule>
  </conditionalFormatting>
  <conditionalFormatting sqref="U588:Y588">
    <cfRule type="notContainsBlanks" dxfId="3813" priority="3943">
      <formula>LEN(TRIM(U588))&gt;0</formula>
    </cfRule>
  </conditionalFormatting>
  <conditionalFormatting sqref="U588:Y588">
    <cfRule type="notContainsBlanks" dxfId="3812" priority="3942">
      <formula>LEN(TRIM(U588))&gt;0</formula>
    </cfRule>
  </conditionalFormatting>
  <conditionalFormatting sqref="U588:Y588">
    <cfRule type="notContainsBlanks" priority="3941">
      <formula>LEN(TRIM(U588))&gt;0</formula>
    </cfRule>
  </conditionalFormatting>
  <conditionalFormatting sqref="U588:Y588">
    <cfRule type="notContainsBlanks" dxfId="3811" priority="3940">
      <formula>LEN(TRIM(U588))&gt;0</formula>
    </cfRule>
  </conditionalFormatting>
  <conditionalFormatting sqref="U588:Y588">
    <cfRule type="notContainsBlanks" dxfId="3810" priority="3939">
      <formula>LEN(TRIM(U588))&gt;0</formula>
    </cfRule>
  </conditionalFormatting>
  <conditionalFormatting sqref="U588:Y588">
    <cfRule type="notContainsBlanks" dxfId="3809" priority="3938">
      <formula>LEN(TRIM(U588))&gt;0</formula>
    </cfRule>
  </conditionalFormatting>
  <conditionalFormatting sqref="U588:Y588">
    <cfRule type="notContainsBlanks" dxfId="3808" priority="3937">
      <formula>LEN(TRIM(U588))&gt;0</formula>
    </cfRule>
  </conditionalFormatting>
  <conditionalFormatting sqref="U588:Y588">
    <cfRule type="notContainsBlanks" dxfId="3807" priority="3936">
      <formula>LEN(TRIM(U588))&gt;0</formula>
    </cfRule>
  </conditionalFormatting>
  <conditionalFormatting sqref="U601:Y601">
    <cfRule type="notContainsBlanks" dxfId="3806" priority="3935">
      <formula>LEN(TRIM(U601))&gt;0</formula>
    </cfRule>
  </conditionalFormatting>
  <conditionalFormatting sqref="U601:Y601">
    <cfRule type="notContainsBlanks" dxfId="3805" priority="3934">
      <formula>LEN(TRIM(U601))&gt;0</formula>
    </cfRule>
  </conditionalFormatting>
  <conditionalFormatting sqref="U601:Y601">
    <cfRule type="notContainsBlanks" dxfId="3804" priority="3933">
      <formula>LEN(TRIM(U601))&gt;0</formula>
    </cfRule>
  </conditionalFormatting>
  <conditionalFormatting sqref="U601:Y601">
    <cfRule type="notContainsBlanks" dxfId="3803" priority="3932">
      <formula>LEN(TRIM(U601))&gt;0</formula>
    </cfRule>
  </conditionalFormatting>
  <conditionalFormatting sqref="U601:Y601">
    <cfRule type="notContainsBlanks" dxfId="3802" priority="3931">
      <formula>LEN(TRIM(U601))&gt;0</formula>
    </cfRule>
  </conditionalFormatting>
  <conditionalFormatting sqref="U601:Y601">
    <cfRule type="notContainsBlanks" dxfId="3801" priority="3930">
      <formula>LEN(TRIM(U601))&gt;0</formula>
    </cfRule>
  </conditionalFormatting>
  <conditionalFormatting sqref="U601:Y601">
    <cfRule type="notContainsBlanks" dxfId="3800" priority="3929">
      <formula>LEN(TRIM(U601))&gt;0</formula>
    </cfRule>
  </conditionalFormatting>
  <conditionalFormatting sqref="U601:Y601">
    <cfRule type="notContainsBlanks" dxfId="3799" priority="3928">
      <formula>LEN(TRIM(U601))&gt;0</formula>
    </cfRule>
  </conditionalFormatting>
  <conditionalFormatting sqref="U601:Y601">
    <cfRule type="notContainsBlanks" dxfId="3798" priority="3927">
      <formula>LEN(TRIM(U601))&gt;0</formula>
    </cfRule>
  </conditionalFormatting>
  <conditionalFormatting sqref="U601:Y601">
    <cfRule type="notContainsBlanks" dxfId="3797" priority="3925">
      <formula>LEN(TRIM(U601))&gt;0</formula>
    </cfRule>
    <cfRule type="notContainsBlanks" dxfId="3796" priority="3926">
      <formula>LEN(TRIM(U601))&gt;0</formula>
    </cfRule>
  </conditionalFormatting>
  <conditionalFormatting sqref="U601:Y601">
    <cfRule type="notContainsBlanks" dxfId="3795" priority="3924">
      <formula>LEN(TRIM(U601))&gt;0</formula>
    </cfRule>
  </conditionalFormatting>
  <conditionalFormatting sqref="U601:Y601">
    <cfRule type="notContainsBlanks" dxfId="3794" priority="3923">
      <formula>LEN(TRIM(U601))&gt;0</formula>
    </cfRule>
  </conditionalFormatting>
  <conditionalFormatting sqref="U601:Y601">
    <cfRule type="notContainsBlanks" dxfId="3793" priority="3922">
      <formula>LEN(TRIM(U601))&gt;0</formula>
    </cfRule>
  </conditionalFormatting>
  <conditionalFormatting sqref="U601:Y601">
    <cfRule type="notContainsBlanks" dxfId="3792" priority="3921">
      <formula>LEN(TRIM(U601))&gt;0</formula>
    </cfRule>
  </conditionalFormatting>
  <conditionalFormatting sqref="U601:Y601">
    <cfRule type="notContainsBlanks" dxfId="3791" priority="3920">
      <formula>LEN(TRIM(U601))&gt;0</formula>
    </cfRule>
  </conditionalFormatting>
  <conditionalFormatting sqref="U601:Y601">
    <cfRule type="notContainsBlanks" dxfId="3790" priority="3919">
      <formula>LEN(TRIM(U601))&gt;0</formula>
    </cfRule>
  </conditionalFormatting>
  <conditionalFormatting sqref="U601:Y601">
    <cfRule type="notContainsBlanks" dxfId="3789" priority="3918">
      <formula>LEN(TRIM(U601))&gt;0</formula>
    </cfRule>
  </conditionalFormatting>
  <conditionalFormatting sqref="U601:Y601">
    <cfRule type="notContainsBlanks" dxfId="3788" priority="3917">
      <formula>LEN(TRIM(U601))&gt;0</formula>
    </cfRule>
  </conditionalFormatting>
  <conditionalFormatting sqref="U601:Y601">
    <cfRule type="notContainsBlanks" dxfId="3787" priority="3916">
      <formula>LEN(TRIM(U601))&gt;0</formula>
    </cfRule>
  </conditionalFormatting>
  <conditionalFormatting sqref="U601:Y601">
    <cfRule type="notContainsBlanks" priority="3915">
      <formula>LEN(TRIM(U601))&gt;0</formula>
    </cfRule>
  </conditionalFormatting>
  <conditionalFormatting sqref="U601:Y601">
    <cfRule type="notContainsBlanks" dxfId="3786" priority="3914">
      <formula>LEN(TRIM(U601))&gt;0</formula>
    </cfRule>
  </conditionalFormatting>
  <conditionalFormatting sqref="U601:Y601">
    <cfRule type="notContainsBlanks" dxfId="3785" priority="3913">
      <formula>LEN(TRIM(U601))&gt;0</formula>
    </cfRule>
  </conditionalFormatting>
  <conditionalFormatting sqref="U601:Y601">
    <cfRule type="notContainsBlanks" dxfId="3784" priority="3912">
      <formula>LEN(TRIM(U601))&gt;0</formula>
    </cfRule>
  </conditionalFormatting>
  <conditionalFormatting sqref="U601:Y601">
    <cfRule type="notContainsBlanks" dxfId="3783" priority="3911">
      <formula>LEN(TRIM(U601))&gt;0</formula>
    </cfRule>
  </conditionalFormatting>
  <conditionalFormatting sqref="U601:Y601">
    <cfRule type="notContainsBlanks" dxfId="3782" priority="3910">
      <formula>LEN(TRIM(U601))&gt;0</formula>
    </cfRule>
  </conditionalFormatting>
  <conditionalFormatting sqref="U614:Y614">
    <cfRule type="notContainsBlanks" dxfId="3781" priority="3909">
      <formula>LEN(TRIM(U614))&gt;0</formula>
    </cfRule>
  </conditionalFormatting>
  <conditionalFormatting sqref="U614:Y614">
    <cfRule type="notContainsBlanks" dxfId="3780" priority="3908">
      <formula>LEN(TRIM(U614))&gt;0</formula>
    </cfRule>
  </conditionalFormatting>
  <conditionalFormatting sqref="U614:Y614">
    <cfRule type="notContainsBlanks" dxfId="3779" priority="3907">
      <formula>LEN(TRIM(U614))&gt;0</formula>
    </cfRule>
  </conditionalFormatting>
  <conditionalFormatting sqref="U614:Y614">
    <cfRule type="notContainsBlanks" dxfId="3778" priority="3906">
      <formula>LEN(TRIM(U614))&gt;0</formula>
    </cfRule>
  </conditionalFormatting>
  <conditionalFormatting sqref="U614:Y614">
    <cfRule type="notContainsBlanks" dxfId="3777" priority="3905">
      <formula>LEN(TRIM(U614))&gt;0</formula>
    </cfRule>
  </conditionalFormatting>
  <conditionalFormatting sqref="U614:Y614">
    <cfRule type="notContainsBlanks" dxfId="3776" priority="3904">
      <formula>LEN(TRIM(U614))&gt;0</formula>
    </cfRule>
  </conditionalFormatting>
  <conditionalFormatting sqref="U614:Y614">
    <cfRule type="notContainsBlanks" dxfId="3775" priority="3903">
      <formula>LEN(TRIM(U614))&gt;0</formula>
    </cfRule>
  </conditionalFormatting>
  <conditionalFormatting sqref="U614:Y614">
    <cfRule type="notContainsBlanks" dxfId="3774" priority="3902">
      <formula>LEN(TRIM(U614))&gt;0</formula>
    </cfRule>
  </conditionalFormatting>
  <conditionalFormatting sqref="U614:Y614">
    <cfRule type="notContainsBlanks" dxfId="3773" priority="3901">
      <formula>LEN(TRIM(U614))&gt;0</formula>
    </cfRule>
  </conditionalFormatting>
  <conditionalFormatting sqref="U614:Y614">
    <cfRule type="notContainsBlanks" dxfId="3772" priority="3899">
      <formula>LEN(TRIM(U614))&gt;0</formula>
    </cfRule>
    <cfRule type="notContainsBlanks" dxfId="3771" priority="3900">
      <formula>LEN(TRIM(U614))&gt;0</formula>
    </cfRule>
  </conditionalFormatting>
  <conditionalFormatting sqref="U614:Y614">
    <cfRule type="notContainsBlanks" dxfId="3770" priority="3898">
      <formula>LEN(TRIM(U614))&gt;0</formula>
    </cfRule>
  </conditionalFormatting>
  <conditionalFormatting sqref="U614:Y614">
    <cfRule type="notContainsBlanks" dxfId="3769" priority="3897">
      <formula>LEN(TRIM(U614))&gt;0</formula>
    </cfRule>
  </conditionalFormatting>
  <conditionalFormatting sqref="U614:Y614">
    <cfRule type="notContainsBlanks" dxfId="3768" priority="3896">
      <formula>LEN(TRIM(U614))&gt;0</formula>
    </cfRule>
  </conditionalFormatting>
  <conditionalFormatting sqref="U614:Y614">
    <cfRule type="notContainsBlanks" dxfId="3767" priority="3895">
      <formula>LEN(TRIM(U614))&gt;0</formula>
    </cfRule>
  </conditionalFormatting>
  <conditionalFormatting sqref="U614:Y614">
    <cfRule type="notContainsBlanks" dxfId="3766" priority="3894">
      <formula>LEN(TRIM(U614))&gt;0</formula>
    </cfRule>
  </conditionalFormatting>
  <conditionalFormatting sqref="U614:Y614">
    <cfRule type="notContainsBlanks" dxfId="3765" priority="3893">
      <formula>LEN(TRIM(U614))&gt;0</formula>
    </cfRule>
  </conditionalFormatting>
  <conditionalFormatting sqref="U614:Y614">
    <cfRule type="notContainsBlanks" dxfId="3764" priority="3892">
      <formula>LEN(TRIM(U614))&gt;0</formula>
    </cfRule>
  </conditionalFormatting>
  <conditionalFormatting sqref="U614:Y614">
    <cfRule type="notContainsBlanks" dxfId="3763" priority="3891">
      <formula>LEN(TRIM(U614))&gt;0</formula>
    </cfRule>
  </conditionalFormatting>
  <conditionalFormatting sqref="U614:Y614">
    <cfRule type="notContainsBlanks" dxfId="3762" priority="3890">
      <formula>LEN(TRIM(U614))&gt;0</formula>
    </cfRule>
  </conditionalFormatting>
  <conditionalFormatting sqref="U614:Y614">
    <cfRule type="notContainsBlanks" priority="3889">
      <formula>LEN(TRIM(U614))&gt;0</formula>
    </cfRule>
  </conditionalFormatting>
  <conditionalFormatting sqref="U614:Y614">
    <cfRule type="notContainsBlanks" dxfId="3761" priority="3888">
      <formula>LEN(TRIM(U614))&gt;0</formula>
    </cfRule>
  </conditionalFormatting>
  <conditionalFormatting sqref="U614:Y614">
    <cfRule type="notContainsBlanks" dxfId="3760" priority="3887">
      <formula>LEN(TRIM(U614))&gt;0</formula>
    </cfRule>
  </conditionalFormatting>
  <conditionalFormatting sqref="U614:Y614">
    <cfRule type="notContainsBlanks" dxfId="3759" priority="3886">
      <formula>LEN(TRIM(U614))&gt;0</formula>
    </cfRule>
  </conditionalFormatting>
  <conditionalFormatting sqref="U614:Y614">
    <cfRule type="notContainsBlanks" dxfId="3758" priority="3885">
      <formula>LEN(TRIM(U614))&gt;0</formula>
    </cfRule>
  </conditionalFormatting>
  <conditionalFormatting sqref="U614:Y614">
    <cfRule type="notContainsBlanks" dxfId="3757" priority="3884">
      <formula>LEN(TRIM(U614))&gt;0</formula>
    </cfRule>
  </conditionalFormatting>
  <conditionalFormatting sqref="U627:Y627">
    <cfRule type="notContainsBlanks" dxfId="3756" priority="3883">
      <formula>LEN(TRIM(U627))&gt;0</formula>
    </cfRule>
  </conditionalFormatting>
  <conditionalFormatting sqref="U627:Y627">
    <cfRule type="notContainsBlanks" dxfId="3755" priority="3882">
      <formula>LEN(TRIM(U627))&gt;0</formula>
    </cfRule>
  </conditionalFormatting>
  <conditionalFormatting sqref="U627:Y627">
    <cfRule type="notContainsBlanks" dxfId="3754" priority="3881">
      <formula>LEN(TRIM(U627))&gt;0</formula>
    </cfRule>
  </conditionalFormatting>
  <conditionalFormatting sqref="U627:Y627">
    <cfRule type="notContainsBlanks" dxfId="3753" priority="3880">
      <formula>LEN(TRIM(U627))&gt;0</formula>
    </cfRule>
  </conditionalFormatting>
  <conditionalFormatting sqref="U627:Y627">
    <cfRule type="notContainsBlanks" dxfId="3752" priority="3879">
      <formula>LEN(TRIM(U627))&gt;0</formula>
    </cfRule>
  </conditionalFormatting>
  <conditionalFormatting sqref="U627:Y627">
    <cfRule type="notContainsBlanks" dxfId="3751" priority="3878">
      <formula>LEN(TRIM(U627))&gt;0</formula>
    </cfRule>
  </conditionalFormatting>
  <conditionalFormatting sqref="U627:Y627">
    <cfRule type="notContainsBlanks" dxfId="3750" priority="3877">
      <formula>LEN(TRIM(U627))&gt;0</formula>
    </cfRule>
  </conditionalFormatting>
  <conditionalFormatting sqref="U627:Y627">
    <cfRule type="notContainsBlanks" dxfId="3749" priority="3876">
      <formula>LEN(TRIM(U627))&gt;0</formula>
    </cfRule>
  </conditionalFormatting>
  <conditionalFormatting sqref="U627:Y627">
    <cfRule type="notContainsBlanks" dxfId="3748" priority="3875">
      <formula>LEN(TRIM(U627))&gt;0</formula>
    </cfRule>
  </conditionalFormatting>
  <conditionalFormatting sqref="U627:Y627">
    <cfRule type="notContainsBlanks" dxfId="3747" priority="3873">
      <formula>LEN(TRIM(U627))&gt;0</formula>
    </cfRule>
    <cfRule type="notContainsBlanks" dxfId="3746" priority="3874">
      <formula>LEN(TRIM(U627))&gt;0</formula>
    </cfRule>
  </conditionalFormatting>
  <conditionalFormatting sqref="U627:Y627">
    <cfRule type="notContainsBlanks" dxfId="3745" priority="3872">
      <formula>LEN(TRIM(U627))&gt;0</formula>
    </cfRule>
  </conditionalFormatting>
  <conditionalFormatting sqref="U627:Y627">
    <cfRule type="notContainsBlanks" dxfId="3744" priority="3871">
      <formula>LEN(TRIM(U627))&gt;0</formula>
    </cfRule>
  </conditionalFormatting>
  <conditionalFormatting sqref="U627:Y627">
    <cfRule type="notContainsBlanks" dxfId="3743" priority="3870">
      <formula>LEN(TRIM(U627))&gt;0</formula>
    </cfRule>
  </conditionalFormatting>
  <conditionalFormatting sqref="U627:Y627">
    <cfRule type="notContainsBlanks" dxfId="3742" priority="3869">
      <formula>LEN(TRIM(U627))&gt;0</formula>
    </cfRule>
  </conditionalFormatting>
  <conditionalFormatting sqref="U627:Y627">
    <cfRule type="notContainsBlanks" dxfId="3741" priority="3868">
      <formula>LEN(TRIM(U627))&gt;0</formula>
    </cfRule>
  </conditionalFormatting>
  <conditionalFormatting sqref="U627:Y627">
    <cfRule type="notContainsBlanks" dxfId="3740" priority="3867">
      <formula>LEN(TRIM(U627))&gt;0</formula>
    </cfRule>
  </conditionalFormatting>
  <conditionalFormatting sqref="U627:Y627">
    <cfRule type="notContainsBlanks" dxfId="3739" priority="3866">
      <formula>LEN(TRIM(U627))&gt;0</formula>
    </cfRule>
  </conditionalFormatting>
  <conditionalFormatting sqref="U627:Y627">
    <cfRule type="notContainsBlanks" dxfId="3738" priority="3865">
      <formula>LEN(TRIM(U627))&gt;0</formula>
    </cfRule>
  </conditionalFormatting>
  <conditionalFormatting sqref="U627:Y627">
    <cfRule type="notContainsBlanks" dxfId="3737" priority="3864">
      <formula>LEN(TRIM(U627))&gt;0</formula>
    </cfRule>
  </conditionalFormatting>
  <conditionalFormatting sqref="U627:Y627">
    <cfRule type="notContainsBlanks" priority="3863">
      <formula>LEN(TRIM(U627))&gt;0</formula>
    </cfRule>
  </conditionalFormatting>
  <conditionalFormatting sqref="U627:Y627">
    <cfRule type="notContainsBlanks" dxfId="3736" priority="3862">
      <formula>LEN(TRIM(U627))&gt;0</formula>
    </cfRule>
  </conditionalFormatting>
  <conditionalFormatting sqref="U627:Y627">
    <cfRule type="notContainsBlanks" dxfId="3735" priority="3861">
      <formula>LEN(TRIM(U627))&gt;0</formula>
    </cfRule>
  </conditionalFormatting>
  <conditionalFormatting sqref="U627:Y627">
    <cfRule type="notContainsBlanks" dxfId="3734" priority="3860">
      <formula>LEN(TRIM(U627))&gt;0</formula>
    </cfRule>
  </conditionalFormatting>
  <conditionalFormatting sqref="U627:Y627">
    <cfRule type="notContainsBlanks" dxfId="3733" priority="3859">
      <formula>LEN(TRIM(U627))&gt;0</formula>
    </cfRule>
  </conditionalFormatting>
  <conditionalFormatting sqref="U627:Y627">
    <cfRule type="notContainsBlanks" dxfId="3732" priority="3858">
      <formula>LEN(TRIM(U627))&gt;0</formula>
    </cfRule>
  </conditionalFormatting>
  <conditionalFormatting sqref="U640:Y640">
    <cfRule type="notContainsBlanks" dxfId="3731" priority="3857">
      <formula>LEN(TRIM(U640))&gt;0</formula>
    </cfRule>
  </conditionalFormatting>
  <conditionalFormatting sqref="U640:Y640">
    <cfRule type="notContainsBlanks" dxfId="3730" priority="3856">
      <formula>LEN(TRIM(U640))&gt;0</formula>
    </cfRule>
  </conditionalFormatting>
  <conditionalFormatting sqref="U640:Y640">
    <cfRule type="notContainsBlanks" dxfId="3729" priority="3855">
      <formula>LEN(TRIM(U640))&gt;0</formula>
    </cfRule>
  </conditionalFormatting>
  <conditionalFormatting sqref="U640:Y640">
    <cfRule type="notContainsBlanks" dxfId="3728" priority="3854">
      <formula>LEN(TRIM(U640))&gt;0</formula>
    </cfRule>
  </conditionalFormatting>
  <conditionalFormatting sqref="U640:Y640">
    <cfRule type="notContainsBlanks" dxfId="3727" priority="3853">
      <formula>LEN(TRIM(U640))&gt;0</formula>
    </cfRule>
  </conditionalFormatting>
  <conditionalFormatting sqref="U640:Y640">
    <cfRule type="notContainsBlanks" dxfId="3726" priority="3852">
      <formula>LEN(TRIM(U640))&gt;0</formula>
    </cfRule>
  </conditionalFormatting>
  <conditionalFormatting sqref="U640:Y640">
    <cfRule type="notContainsBlanks" dxfId="3725" priority="3851">
      <formula>LEN(TRIM(U640))&gt;0</formula>
    </cfRule>
  </conditionalFormatting>
  <conditionalFormatting sqref="U640:Y640">
    <cfRule type="notContainsBlanks" dxfId="3724" priority="3850">
      <formula>LEN(TRIM(U640))&gt;0</formula>
    </cfRule>
  </conditionalFormatting>
  <conditionalFormatting sqref="U640:Y640">
    <cfRule type="notContainsBlanks" dxfId="3723" priority="3849">
      <formula>LEN(TRIM(U640))&gt;0</formula>
    </cfRule>
  </conditionalFormatting>
  <conditionalFormatting sqref="U640:Y640">
    <cfRule type="notContainsBlanks" dxfId="3722" priority="3847">
      <formula>LEN(TRIM(U640))&gt;0</formula>
    </cfRule>
    <cfRule type="notContainsBlanks" dxfId="3721" priority="3848">
      <formula>LEN(TRIM(U640))&gt;0</formula>
    </cfRule>
  </conditionalFormatting>
  <conditionalFormatting sqref="U640:Y640">
    <cfRule type="notContainsBlanks" dxfId="3720" priority="3846">
      <formula>LEN(TRIM(U640))&gt;0</formula>
    </cfRule>
  </conditionalFormatting>
  <conditionalFormatting sqref="U640:Y640">
    <cfRule type="notContainsBlanks" dxfId="3719" priority="3845">
      <formula>LEN(TRIM(U640))&gt;0</formula>
    </cfRule>
  </conditionalFormatting>
  <conditionalFormatting sqref="U640:Y640">
    <cfRule type="notContainsBlanks" dxfId="3718" priority="3844">
      <formula>LEN(TRIM(U640))&gt;0</formula>
    </cfRule>
  </conditionalFormatting>
  <conditionalFormatting sqref="U640:Y640">
    <cfRule type="notContainsBlanks" dxfId="3717" priority="3843">
      <formula>LEN(TRIM(U640))&gt;0</formula>
    </cfRule>
  </conditionalFormatting>
  <conditionalFormatting sqref="U640:Y640">
    <cfRule type="notContainsBlanks" dxfId="3716" priority="3842">
      <formula>LEN(TRIM(U640))&gt;0</formula>
    </cfRule>
  </conditionalFormatting>
  <conditionalFormatting sqref="U640:Y640">
    <cfRule type="notContainsBlanks" dxfId="3715" priority="3841">
      <formula>LEN(TRIM(U640))&gt;0</formula>
    </cfRule>
  </conditionalFormatting>
  <conditionalFormatting sqref="U640:Y640">
    <cfRule type="notContainsBlanks" dxfId="3714" priority="3840">
      <formula>LEN(TRIM(U640))&gt;0</formula>
    </cfRule>
  </conditionalFormatting>
  <conditionalFormatting sqref="U640:Y640">
    <cfRule type="notContainsBlanks" dxfId="3713" priority="3839">
      <formula>LEN(TRIM(U640))&gt;0</formula>
    </cfRule>
  </conditionalFormatting>
  <conditionalFormatting sqref="U640:Y640">
    <cfRule type="notContainsBlanks" dxfId="3712" priority="3838">
      <formula>LEN(TRIM(U640))&gt;0</formula>
    </cfRule>
  </conditionalFormatting>
  <conditionalFormatting sqref="U640:Y640">
    <cfRule type="notContainsBlanks" priority="3837">
      <formula>LEN(TRIM(U640))&gt;0</formula>
    </cfRule>
  </conditionalFormatting>
  <conditionalFormatting sqref="U640:Y640">
    <cfRule type="notContainsBlanks" dxfId="3711" priority="3836">
      <formula>LEN(TRIM(U640))&gt;0</formula>
    </cfRule>
  </conditionalFormatting>
  <conditionalFormatting sqref="U640:Y640">
    <cfRule type="notContainsBlanks" dxfId="3710" priority="3835">
      <formula>LEN(TRIM(U640))&gt;0</formula>
    </cfRule>
  </conditionalFormatting>
  <conditionalFormatting sqref="U640:Y640">
    <cfRule type="notContainsBlanks" dxfId="3709" priority="3834">
      <formula>LEN(TRIM(U640))&gt;0</formula>
    </cfRule>
  </conditionalFormatting>
  <conditionalFormatting sqref="U640:Y640">
    <cfRule type="notContainsBlanks" dxfId="3708" priority="3833">
      <formula>LEN(TRIM(U640))&gt;0</formula>
    </cfRule>
  </conditionalFormatting>
  <conditionalFormatting sqref="U640:Y640">
    <cfRule type="notContainsBlanks" dxfId="3707" priority="3832">
      <formula>LEN(TRIM(U640))&gt;0</formula>
    </cfRule>
  </conditionalFormatting>
  <conditionalFormatting sqref="U653:Y653">
    <cfRule type="notContainsBlanks" dxfId="3706" priority="3831">
      <formula>LEN(TRIM(U653))&gt;0</formula>
    </cfRule>
  </conditionalFormatting>
  <conditionalFormatting sqref="U653:Y653">
    <cfRule type="notContainsBlanks" dxfId="3705" priority="3830">
      <formula>LEN(TRIM(U653))&gt;0</formula>
    </cfRule>
  </conditionalFormatting>
  <conditionalFormatting sqref="U653:Y653">
    <cfRule type="notContainsBlanks" dxfId="3704" priority="3829">
      <formula>LEN(TRIM(U653))&gt;0</formula>
    </cfRule>
  </conditionalFormatting>
  <conditionalFormatting sqref="U653:Y653">
    <cfRule type="notContainsBlanks" dxfId="3703" priority="3828">
      <formula>LEN(TRIM(U653))&gt;0</formula>
    </cfRule>
  </conditionalFormatting>
  <conditionalFormatting sqref="U653:Y653">
    <cfRule type="notContainsBlanks" dxfId="3702" priority="3827">
      <formula>LEN(TRIM(U653))&gt;0</formula>
    </cfRule>
  </conditionalFormatting>
  <conditionalFormatting sqref="U653:Y653">
    <cfRule type="notContainsBlanks" dxfId="3701" priority="3826">
      <formula>LEN(TRIM(U653))&gt;0</formula>
    </cfRule>
  </conditionalFormatting>
  <conditionalFormatting sqref="U653:Y653">
    <cfRule type="notContainsBlanks" dxfId="3700" priority="3825">
      <formula>LEN(TRIM(U653))&gt;0</formula>
    </cfRule>
  </conditionalFormatting>
  <conditionalFormatting sqref="U653:Y653">
    <cfRule type="notContainsBlanks" dxfId="3699" priority="3824">
      <formula>LEN(TRIM(U653))&gt;0</formula>
    </cfRule>
  </conditionalFormatting>
  <conditionalFormatting sqref="U653:Y653">
    <cfRule type="notContainsBlanks" dxfId="3698" priority="3823">
      <formula>LEN(TRIM(U653))&gt;0</formula>
    </cfRule>
  </conditionalFormatting>
  <conditionalFormatting sqref="U653:Y653">
    <cfRule type="notContainsBlanks" dxfId="3697" priority="3821">
      <formula>LEN(TRIM(U653))&gt;0</formula>
    </cfRule>
    <cfRule type="notContainsBlanks" dxfId="3696" priority="3822">
      <formula>LEN(TRIM(U653))&gt;0</formula>
    </cfRule>
  </conditionalFormatting>
  <conditionalFormatting sqref="U653:Y653">
    <cfRule type="notContainsBlanks" dxfId="3695" priority="3820">
      <formula>LEN(TRIM(U653))&gt;0</formula>
    </cfRule>
  </conditionalFormatting>
  <conditionalFormatting sqref="U653:Y653">
    <cfRule type="notContainsBlanks" dxfId="3694" priority="3819">
      <formula>LEN(TRIM(U653))&gt;0</formula>
    </cfRule>
  </conditionalFormatting>
  <conditionalFormatting sqref="U653:Y653">
    <cfRule type="notContainsBlanks" dxfId="3693" priority="3818">
      <formula>LEN(TRIM(U653))&gt;0</formula>
    </cfRule>
  </conditionalFormatting>
  <conditionalFormatting sqref="U653:Y653">
    <cfRule type="notContainsBlanks" dxfId="3692" priority="3817">
      <formula>LEN(TRIM(U653))&gt;0</formula>
    </cfRule>
  </conditionalFormatting>
  <conditionalFormatting sqref="U653:Y653">
    <cfRule type="notContainsBlanks" dxfId="3691" priority="3816">
      <formula>LEN(TRIM(U653))&gt;0</formula>
    </cfRule>
  </conditionalFormatting>
  <conditionalFormatting sqref="U653:Y653">
    <cfRule type="notContainsBlanks" dxfId="3690" priority="3815">
      <formula>LEN(TRIM(U653))&gt;0</formula>
    </cfRule>
  </conditionalFormatting>
  <conditionalFormatting sqref="U653:Y653">
    <cfRule type="notContainsBlanks" dxfId="3689" priority="3814">
      <formula>LEN(TRIM(U653))&gt;0</formula>
    </cfRule>
  </conditionalFormatting>
  <conditionalFormatting sqref="U653:Y653">
    <cfRule type="notContainsBlanks" dxfId="3688" priority="3813">
      <formula>LEN(TRIM(U653))&gt;0</formula>
    </cfRule>
  </conditionalFormatting>
  <conditionalFormatting sqref="U653:Y653">
    <cfRule type="notContainsBlanks" dxfId="3687" priority="3812">
      <formula>LEN(TRIM(U653))&gt;0</formula>
    </cfRule>
  </conditionalFormatting>
  <conditionalFormatting sqref="U653:Y653">
    <cfRule type="notContainsBlanks" priority="3811">
      <formula>LEN(TRIM(U653))&gt;0</formula>
    </cfRule>
  </conditionalFormatting>
  <conditionalFormatting sqref="U653:Y653">
    <cfRule type="notContainsBlanks" dxfId="3686" priority="3810">
      <formula>LEN(TRIM(U653))&gt;0</formula>
    </cfRule>
  </conditionalFormatting>
  <conditionalFormatting sqref="U653:Y653">
    <cfRule type="notContainsBlanks" dxfId="3685" priority="3809">
      <formula>LEN(TRIM(U653))&gt;0</formula>
    </cfRule>
  </conditionalFormatting>
  <conditionalFormatting sqref="U653:Y653">
    <cfRule type="notContainsBlanks" dxfId="3684" priority="3808">
      <formula>LEN(TRIM(U653))&gt;0</formula>
    </cfRule>
  </conditionalFormatting>
  <conditionalFormatting sqref="U653:Y653">
    <cfRule type="notContainsBlanks" dxfId="3683" priority="3807">
      <formula>LEN(TRIM(U653))&gt;0</formula>
    </cfRule>
  </conditionalFormatting>
  <conditionalFormatting sqref="U653:Y653">
    <cfRule type="notContainsBlanks" dxfId="3682" priority="3806">
      <formula>LEN(TRIM(U653))&gt;0</formula>
    </cfRule>
  </conditionalFormatting>
  <conditionalFormatting sqref="U666:Y666">
    <cfRule type="notContainsBlanks" dxfId="3681" priority="3805">
      <formula>LEN(TRIM(U666))&gt;0</formula>
    </cfRule>
  </conditionalFormatting>
  <conditionalFormatting sqref="U666:Y666">
    <cfRule type="notContainsBlanks" dxfId="3680" priority="3804">
      <formula>LEN(TRIM(U666))&gt;0</formula>
    </cfRule>
  </conditionalFormatting>
  <conditionalFormatting sqref="U666:Y666">
    <cfRule type="notContainsBlanks" dxfId="3679" priority="3803">
      <formula>LEN(TRIM(U666))&gt;0</formula>
    </cfRule>
  </conditionalFormatting>
  <conditionalFormatting sqref="U666:Y666">
    <cfRule type="notContainsBlanks" dxfId="3678" priority="3802">
      <formula>LEN(TRIM(U666))&gt;0</formula>
    </cfRule>
  </conditionalFormatting>
  <conditionalFormatting sqref="U666:Y666">
    <cfRule type="notContainsBlanks" dxfId="3677" priority="3801">
      <formula>LEN(TRIM(U666))&gt;0</formula>
    </cfRule>
  </conditionalFormatting>
  <conditionalFormatting sqref="U666:Y666">
    <cfRule type="notContainsBlanks" dxfId="3676" priority="3800">
      <formula>LEN(TRIM(U666))&gt;0</formula>
    </cfRule>
  </conditionalFormatting>
  <conditionalFormatting sqref="U666:Y666">
    <cfRule type="notContainsBlanks" dxfId="3675" priority="3799">
      <formula>LEN(TRIM(U666))&gt;0</formula>
    </cfRule>
  </conditionalFormatting>
  <conditionalFormatting sqref="U666:Y666">
    <cfRule type="notContainsBlanks" dxfId="3674" priority="3798">
      <formula>LEN(TRIM(U666))&gt;0</formula>
    </cfRule>
  </conditionalFormatting>
  <conditionalFormatting sqref="U666:Y666">
    <cfRule type="notContainsBlanks" dxfId="3673" priority="3797">
      <formula>LEN(TRIM(U666))&gt;0</formula>
    </cfRule>
  </conditionalFormatting>
  <conditionalFormatting sqref="U666:Y666">
    <cfRule type="notContainsBlanks" dxfId="3672" priority="3795">
      <formula>LEN(TRIM(U666))&gt;0</formula>
    </cfRule>
    <cfRule type="notContainsBlanks" dxfId="3671" priority="3796">
      <formula>LEN(TRIM(U666))&gt;0</formula>
    </cfRule>
  </conditionalFormatting>
  <conditionalFormatting sqref="U666:Y666">
    <cfRule type="notContainsBlanks" dxfId="3670" priority="3794">
      <formula>LEN(TRIM(U666))&gt;0</formula>
    </cfRule>
  </conditionalFormatting>
  <conditionalFormatting sqref="U666:Y666">
    <cfRule type="notContainsBlanks" dxfId="3669" priority="3793">
      <formula>LEN(TRIM(U666))&gt;0</formula>
    </cfRule>
  </conditionalFormatting>
  <conditionalFormatting sqref="U666:Y666">
    <cfRule type="notContainsBlanks" dxfId="3668" priority="3792">
      <formula>LEN(TRIM(U666))&gt;0</formula>
    </cfRule>
  </conditionalFormatting>
  <conditionalFormatting sqref="U666:Y666">
    <cfRule type="notContainsBlanks" dxfId="3667" priority="3791">
      <formula>LEN(TRIM(U666))&gt;0</formula>
    </cfRule>
  </conditionalFormatting>
  <conditionalFormatting sqref="U666:Y666">
    <cfRule type="notContainsBlanks" dxfId="3666" priority="3790">
      <formula>LEN(TRIM(U666))&gt;0</formula>
    </cfRule>
  </conditionalFormatting>
  <conditionalFormatting sqref="U666:Y666">
    <cfRule type="notContainsBlanks" dxfId="3665" priority="3789">
      <formula>LEN(TRIM(U666))&gt;0</formula>
    </cfRule>
  </conditionalFormatting>
  <conditionalFormatting sqref="U666:Y666">
    <cfRule type="notContainsBlanks" dxfId="3664" priority="3788">
      <formula>LEN(TRIM(U666))&gt;0</formula>
    </cfRule>
  </conditionalFormatting>
  <conditionalFormatting sqref="U666:Y666">
    <cfRule type="notContainsBlanks" dxfId="3663" priority="3787">
      <formula>LEN(TRIM(U666))&gt;0</formula>
    </cfRule>
  </conditionalFormatting>
  <conditionalFormatting sqref="U666:Y666">
    <cfRule type="notContainsBlanks" dxfId="3662" priority="3786">
      <formula>LEN(TRIM(U666))&gt;0</formula>
    </cfRule>
  </conditionalFormatting>
  <conditionalFormatting sqref="U666:Y666">
    <cfRule type="notContainsBlanks" priority="3785">
      <formula>LEN(TRIM(U666))&gt;0</formula>
    </cfRule>
  </conditionalFormatting>
  <conditionalFormatting sqref="U666:Y666">
    <cfRule type="notContainsBlanks" dxfId="3661" priority="3784">
      <formula>LEN(TRIM(U666))&gt;0</formula>
    </cfRule>
  </conditionalFormatting>
  <conditionalFormatting sqref="U666:Y666">
    <cfRule type="notContainsBlanks" dxfId="3660" priority="3783">
      <formula>LEN(TRIM(U666))&gt;0</formula>
    </cfRule>
  </conditionalFormatting>
  <conditionalFormatting sqref="U666:Y666">
    <cfRule type="notContainsBlanks" dxfId="3659" priority="3782">
      <formula>LEN(TRIM(U666))&gt;0</formula>
    </cfRule>
  </conditionalFormatting>
  <conditionalFormatting sqref="U666:Y666">
    <cfRule type="notContainsBlanks" dxfId="3658" priority="3781">
      <formula>LEN(TRIM(U666))&gt;0</formula>
    </cfRule>
  </conditionalFormatting>
  <conditionalFormatting sqref="U666:Y666">
    <cfRule type="notContainsBlanks" dxfId="3657" priority="3780">
      <formula>LEN(TRIM(U666))&gt;0</formula>
    </cfRule>
  </conditionalFormatting>
  <conditionalFormatting sqref="U679:Y679">
    <cfRule type="notContainsBlanks" dxfId="3656" priority="3779">
      <formula>LEN(TRIM(U679))&gt;0</formula>
    </cfRule>
  </conditionalFormatting>
  <conditionalFormatting sqref="U679:Y679">
    <cfRule type="notContainsBlanks" dxfId="3655" priority="3778">
      <formula>LEN(TRIM(U679))&gt;0</formula>
    </cfRule>
  </conditionalFormatting>
  <conditionalFormatting sqref="U679:Y679">
    <cfRule type="notContainsBlanks" dxfId="3654" priority="3777">
      <formula>LEN(TRIM(U679))&gt;0</formula>
    </cfRule>
  </conditionalFormatting>
  <conditionalFormatting sqref="U679:Y679">
    <cfRule type="notContainsBlanks" dxfId="3653" priority="3776">
      <formula>LEN(TRIM(U679))&gt;0</formula>
    </cfRule>
  </conditionalFormatting>
  <conditionalFormatting sqref="U679:Y679">
    <cfRule type="notContainsBlanks" dxfId="3652" priority="3775">
      <formula>LEN(TRIM(U679))&gt;0</formula>
    </cfRule>
  </conditionalFormatting>
  <conditionalFormatting sqref="U679:Y679">
    <cfRule type="notContainsBlanks" dxfId="3651" priority="3774">
      <formula>LEN(TRIM(U679))&gt;0</formula>
    </cfRule>
  </conditionalFormatting>
  <conditionalFormatting sqref="U679:Y679">
    <cfRule type="notContainsBlanks" dxfId="3650" priority="3773">
      <formula>LEN(TRIM(U679))&gt;0</formula>
    </cfRule>
  </conditionalFormatting>
  <conditionalFormatting sqref="U679:Y679">
    <cfRule type="notContainsBlanks" dxfId="3649" priority="3772">
      <formula>LEN(TRIM(U679))&gt;0</formula>
    </cfRule>
  </conditionalFormatting>
  <conditionalFormatting sqref="U679:Y679">
    <cfRule type="notContainsBlanks" dxfId="3648" priority="3771">
      <formula>LEN(TRIM(U679))&gt;0</formula>
    </cfRule>
  </conditionalFormatting>
  <conditionalFormatting sqref="U679:Y679">
    <cfRule type="notContainsBlanks" dxfId="3647" priority="3769">
      <formula>LEN(TRIM(U679))&gt;0</formula>
    </cfRule>
    <cfRule type="notContainsBlanks" dxfId="3646" priority="3770">
      <formula>LEN(TRIM(U679))&gt;0</formula>
    </cfRule>
  </conditionalFormatting>
  <conditionalFormatting sqref="U679:Y679">
    <cfRule type="notContainsBlanks" dxfId="3645" priority="3768">
      <formula>LEN(TRIM(U679))&gt;0</formula>
    </cfRule>
  </conditionalFormatting>
  <conditionalFormatting sqref="U679:Y679">
    <cfRule type="notContainsBlanks" dxfId="3644" priority="3767">
      <formula>LEN(TRIM(U679))&gt;0</formula>
    </cfRule>
  </conditionalFormatting>
  <conditionalFormatting sqref="U679:Y679">
    <cfRule type="notContainsBlanks" dxfId="3643" priority="3766">
      <formula>LEN(TRIM(U679))&gt;0</formula>
    </cfRule>
  </conditionalFormatting>
  <conditionalFormatting sqref="U679:Y679">
    <cfRule type="notContainsBlanks" dxfId="3642" priority="3765">
      <formula>LEN(TRIM(U679))&gt;0</formula>
    </cfRule>
  </conditionalFormatting>
  <conditionalFormatting sqref="U679:Y679">
    <cfRule type="notContainsBlanks" dxfId="3641" priority="3764">
      <formula>LEN(TRIM(U679))&gt;0</formula>
    </cfRule>
  </conditionalFormatting>
  <conditionalFormatting sqref="U679:Y679">
    <cfRule type="notContainsBlanks" dxfId="3640" priority="3763">
      <formula>LEN(TRIM(U679))&gt;0</formula>
    </cfRule>
  </conditionalFormatting>
  <conditionalFormatting sqref="U679:Y679">
    <cfRule type="notContainsBlanks" dxfId="3639" priority="3762">
      <formula>LEN(TRIM(U679))&gt;0</formula>
    </cfRule>
  </conditionalFormatting>
  <conditionalFormatting sqref="U679:Y679">
    <cfRule type="notContainsBlanks" dxfId="3638" priority="3761">
      <formula>LEN(TRIM(U679))&gt;0</formula>
    </cfRule>
  </conditionalFormatting>
  <conditionalFormatting sqref="U679:Y679">
    <cfRule type="notContainsBlanks" dxfId="3637" priority="3760">
      <formula>LEN(TRIM(U679))&gt;0</formula>
    </cfRule>
  </conditionalFormatting>
  <conditionalFormatting sqref="U679:Y679">
    <cfRule type="notContainsBlanks" priority="3759">
      <formula>LEN(TRIM(U679))&gt;0</formula>
    </cfRule>
  </conditionalFormatting>
  <conditionalFormatting sqref="U679:Y679">
    <cfRule type="notContainsBlanks" dxfId="3636" priority="3758">
      <formula>LEN(TRIM(U679))&gt;0</formula>
    </cfRule>
  </conditionalFormatting>
  <conditionalFormatting sqref="U679:Y679">
    <cfRule type="notContainsBlanks" dxfId="3635" priority="3757">
      <formula>LEN(TRIM(U679))&gt;0</formula>
    </cfRule>
  </conditionalFormatting>
  <conditionalFormatting sqref="U679:Y679">
    <cfRule type="notContainsBlanks" dxfId="3634" priority="3756">
      <formula>LEN(TRIM(U679))&gt;0</formula>
    </cfRule>
  </conditionalFormatting>
  <conditionalFormatting sqref="U679:Y679">
    <cfRule type="notContainsBlanks" dxfId="3633" priority="3755">
      <formula>LEN(TRIM(U679))&gt;0</formula>
    </cfRule>
  </conditionalFormatting>
  <conditionalFormatting sqref="U679:Y679">
    <cfRule type="notContainsBlanks" dxfId="3632" priority="3754">
      <formula>LEN(TRIM(U679))&gt;0</formula>
    </cfRule>
  </conditionalFormatting>
  <conditionalFormatting sqref="U692:Y692">
    <cfRule type="notContainsBlanks" dxfId="3631" priority="3753">
      <formula>LEN(TRIM(U692))&gt;0</formula>
    </cfRule>
  </conditionalFormatting>
  <conditionalFormatting sqref="U692:Y692">
    <cfRule type="notContainsBlanks" dxfId="3630" priority="3752">
      <formula>LEN(TRIM(U692))&gt;0</formula>
    </cfRule>
  </conditionalFormatting>
  <conditionalFormatting sqref="U692:Y692">
    <cfRule type="notContainsBlanks" dxfId="3629" priority="3751">
      <formula>LEN(TRIM(U692))&gt;0</formula>
    </cfRule>
  </conditionalFormatting>
  <conditionalFormatting sqref="U692:Y692">
    <cfRule type="notContainsBlanks" dxfId="3628" priority="3750">
      <formula>LEN(TRIM(U692))&gt;0</formula>
    </cfRule>
  </conditionalFormatting>
  <conditionalFormatting sqref="U692:Y692">
    <cfRule type="notContainsBlanks" dxfId="3627" priority="3749">
      <formula>LEN(TRIM(U692))&gt;0</formula>
    </cfRule>
  </conditionalFormatting>
  <conditionalFormatting sqref="U692:Y692">
    <cfRule type="notContainsBlanks" dxfId="3626" priority="3748">
      <formula>LEN(TRIM(U692))&gt;0</formula>
    </cfRule>
  </conditionalFormatting>
  <conditionalFormatting sqref="U692:Y692">
    <cfRule type="notContainsBlanks" dxfId="3625" priority="3747">
      <formula>LEN(TRIM(U692))&gt;0</formula>
    </cfRule>
  </conditionalFormatting>
  <conditionalFormatting sqref="U692:Y692">
    <cfRule type="notContainsBlanks" dxfId="3624" priority="3746">
      <formula>LEN(TRIM(U692))&gt;0</formula>
    </cfRule>
  </conditionalFormatting>
  <conditionalFormatting sqref="U692:Y692">
    <cfRule type="notContainsBlanks" dxfId="3623" priority="3745">
      <formula>LEN(TRIM(U692))&gt;0</formula>
    </cfRule>
  </conditionalFormatting>
  <conditionalFormatting sqref="U692:Y692">
    <cfRule type="notContainsBlanks" dxfId="3622" priority="3743">
      <formula>LEN(TRIM(U692))&gt;0</formula>
    </cfRule>
    <cfRule type="notContainsBlanks" dxfId="3621" priority="3744">
      <formula>LEN(TRIM(U692))&gt;0</formula>
    </cfRule>
  </conditionalFormatting>
  <conditionalFormatting sqref="U692:Y692">
    <cfRule type="notContainsBlanks" dxfId="3620" priority="3742">
      <formula>LEN(TRIM(U692))&gt;0</formula>
    </cfRule>
  </conditionalFormatting>
  <conditionalFormatting sqref="U692:Y692">
    <cfRule type="notContainsBlanks" dxfId="3619" priority="3741">
      <formula>LEN(TRIM(U692))&gt;0</formula>
    </cfRule>
  </conditionalFormatting>
  <conditionalFormatting sqref="U692:Y692">
    <cfRule type="notContainsBlanks" dxfId="3618" priority="3740">
      <formula>LEN(TRIM(U692))&gt;0</formula>
    </cfRule>
  </conditionalFormatting>
  <conditionalFormatting sqref="U692:Y692">
    <cfRule type="notContainsBlanks" dxfId="3617" priority="3739">
      <formula>LEN(TRIM(U692))&gt;0</formula>
    </cfRule>
  </conditionalFormatting>
  <conditionalFormatting sqref="U692:Y692">
    <cfRule type="notContainsBlanks" dxfId="3616" priority="3738">
      <formula>LEN(TRIM(U692))&gt;0</formula>
    </cfRule>
  </conditionalFormatting>
  <conditionalFormatting sqref="U692:Y692">
    <cfRule type="notContainsBlanks" dxfId="3615" priority="3737">
      <formula>LEN(TRIM(U692))&gt;0</formula>
    </cfRule>
  </conditionalFormatting>
  <conditionalFormatting sqref="U692:Y692">
    <cfRule type="notContainsBlanks" dxfId="3614" priority="3736">
      <formula>LEN(TRIM(U692))&gt;0</formula>
    </cfRule>
  </conditionalFormatting>
  <conditionalFormatting sqref="U692:Y692">
    <cfRule type="notContainsBlanks" dxfId="3613" priority="3735">
      <formula>LEN(TRIM(U692))&gt;0</formula>
    </cfRule>
  </conditionalFormatting>
  <conditionalFormatting sqref="U692:Y692">
    <cfRule type="notContainsBlanks" dxfId="3612" priority="3734">
      <formula>LEN(TRIM(U692))&gt;0</formula>
    </cfRule>
  </conditionalFormatting>
  <conditionalFormatting sqref="U692:Y692">
    <cfRule type="notContainsBlanks" priority="3733">
      <formula>LEN(TRIM(U692))&gt;0</formula>
    </cfRule>
  </conditionalFormatting>
  <conditionalFormatting sqref="U692:Y692">
    <cfRule type="notContainsBlanks" dxfId="3611" priority="3732">
      <formula>LEN(TRIM(U692))&gt;0</formula>
    </cfRule>
  </conditionalFormatting>
  <conditionalFormatting sqref="U692:Y692">
    <cfRule type="notContainsBlanks" dxfId="3610" priority="3731">
      <formula>LEN(TRIM(U692))&gt;0</formula>
    </cfRule>
  </conditionalFormatting>
  <conditionalFormatting sqref="U692:Y692">
    <cfRule type="notContainsBlanks" dxfId="3609" priority="3730">
      <formula>LEN(TRIM(U692))&gt;0</formula>
    </cfRule>
  </conditionalFormatting>
  <conditionalFormatting sqref="U692:Y692">
    <cfRule type="notContainsBlanks" dxfId="3608" priority="3729">
      <formula>LEN(TRIM(U692))&gt;0</formula>
    </cfRule>
  </conditionalFormatting>
  <conditionalFormatting sqref="U692:Y692">
    <cfRule type="notContainsBlanks" dxfId="3607" priority="3728">
      <formula>LEN(TRIM(U692))&gt;0</formula>
    </cfRule>
  </conditionalFormatting>
  <conditionalFormatting sqref="U705:Y705">
    <cfRule type="notContainsBlanks" dxfId="3606" priority="3727">
      <formula>LEN(TRIM(U705))&gt;0</formula>
    </cfRule>
  </conditionalFormatting>
  <conditionalFormatting sqref="U705:Y705">
    <cfRule type="notContainsBlanks" dxfId="3605" priority="3726">
      <formula>LEN(TRIM(U705))&gt;0</formula>
    </cfRule>
  </conditionalFormatting>
  <conditionalFormatting sqref="U705:Y705">
    <cfRule type="notContainsBlanks" dxfId="3604" priority="3725">
      <formula>LEN(TRIM(U705))&gt;0</formula>
    </cfRule>
  </conditionalFormatting>
  <conditionalFormatting sqref="U705:Y705">
    <cfRule type="notContainsBlanks" dxfId="3603" priority="3724">
      <formula>LEN(TRIM(U705))&gt;0</formula>
    </cfRule>
  </conditionalFormatting>
  <conditionalFormatting sqref="U705:Y705">
    <cfRule type="notContainsBlanks" dxfId="3602" priority="3723">
      <formula>LEN(TRIM(U705))&gt;0</formula>
    </cfRule>
  </conditionalFormatting>
  <conditionalFormatting sqref="U705:Y705">
    <cfRule type="notContainsBlanks" dxfId="3601" priority="3722">
      <formula>LEN(TRIM(U705))&gt;0</formula>
    </cfRule>
  </conditionalFormatting>
  <conditionalFormatting sqref="U705:Y705">
    <cfRule type="notContainsBlanks" dxfId="3600" priority="3721">
      <formula>LEN(TRIM(U705))&gt;0</formula>
    </cfRule>
  </conditionalFormatting>
  <conditionalFormatting sqref="U705:Y705">
    <cfRule type="notContainsBlanks" dxfId="3599" priority="3720">
      <formula>LEN(TRIM(U705))&gt;0</formula>
    </cfRule>
  </conditionalFormatting>
  <conditionalFormatting sqref="U705:Y705">
    <cfRule type="notContainsBlanks" dxfId="3598" priority="3719">
      <formula>LEN(TRIM(U705))&gt;0</formula>
    </cfRule>
  </conditionalFormatting>
  <conditionalFormatting sqref="U705:Y705">
    <cfRule type="notContainsBlanks" dxfId="3597" priority="3717">
      <formula>LEN(TRIM(U705))&gt;0</formula>
    </cfRule>
    <cfRule type="notContainsBlanks" dxfId="3596" priority="3718">
      <formula>LEN(TRIM(U705))&gt;0</formula>
    </cfRule>
  </conditionalFormatting>
  <conditionalFormatting sqref="U705:Y705">
    <cfRule type="notContainsBlanks" dxfId="3595" priority="3716">
      <formula>LEN(TRIM(U705))&gt;0</formula>
    </cfRule>
  </conditionalFormatting>
  <conditionalFormatting sqref="U705:Y705">
    <cfRule type="notContainsBlanks" dxfId="3594" priority="3715">
      <formula>LEN(TRIM(U705))&gt;0</formula>
    </cfRule>
  </conditionalFormatting>
  <conditionalFormatting sqref="U705:Y705">
    <cfRule type="notContainsBlanks" dxfId="3593" priority="3714">
      <formula>LEN(TRIM(U705))&gt;0</formula>
    </cfRule>
  </conditionalFormatting>
  <conditionalFormatting sqref="U705:Y705">
    <cfRule type="notContainsBlanks" dxfId="3592" priority="3713">
      <formula>LEN(TRIM(U705))&gt;0</formula>
    </cfRule>
  </conditionalFormatting>
  <conditionalFormatting sqref="U705:Y705">
    <cfRule type="notContainsBlanks" dxfId="3591" priority="3712">
      <formula>LEN(TRIM(U705))&gt;0</formula>
    </cfRule>
  </conditionalFormatting>
  <conditionalFormatting sqref="U705:Y705">
    <cfRule type="notContainsBlanks" dxfId="3590" priority="3711">
      <formula>LEN(TRIM(U705))&gt;0</formula>
    </cfRule>
  </conditionalFormatting>
  <conditionalFormatting sqref="U705:Y705">
    <cfRule type="notContainsBlanks" dxfId="3589" priority="3710">
      <formula>LEN(TRIM(U705))&gt;0</formula>
    </cfRule>
  </conditionalFormatting>
  <conditionalFormatting sqref="U705:Y705">
    <cfRule type="notContainsBlanks" dxfId="3588" priority="3709">
      <formula>LEN(TRIM(U705))&gt;0</formula>
    </cfRule>
  </conditionalFormatting>
  <conditionalFormatting sqref="U705:Y705">
    <cfRule type="notContainsBlanks" dxfId="3587" priority="3708">
      <formula>LEN(TRIM(U705))&gt;0</formula>
    </cfRule>
  </conditionalFormatting>
  <conditionalFormatting sqref="U705:Y705">
    <cfRule type="notContainsBlanks" priority="3707">
      <formula>LEN(TRIM(U705))&gt;0</formula>
    </cfRule>
  </conditionalFormatting>
  <conditionalFormatting sqref="U705:Y705">
    <cfRule type="notContainsBlanks" dxfId="3586" priority="3706">
      <formula>LEN(TRIM(U705))&gt;0</formula>
    </cfRule>
  </conditionalFormatting>
  <conditionalFormatting sqref="U705:Y705">
    <cfRule type="notContainsBlanks" dxfId="3585" priority="3705">
      <formula>LEN(TRIM(U705))&gt;0</formula>
    </cfRule>
  </conditionalFormatting>
  <conditionalFormatting sqref="U705:Y705">
    <cfRule type="notContainsBlanks" dxfId="3584" priority="3704">
      <formula>LEN(TRIM(U705))&gt;0</formula>
    </cfRule>
  </conditionalFormatting>
  <conditionalFormatting sqref="U705:Y705">
    <cfRule type="notContainsBlanks" dxfId="3583" priority="3703">
      <formula>LEN(TRIM(U705))&gt;0</formula>
    </cfRule>
  </conditionalFormatting>
  <conditionalFormatting sqref="U705:Y705">
    <cfRule type="notContainsBlanks" dxfId="3582" priority="3702">
      <formula>LEN(TRIM(U705))&gt;0</formula>
    </cfRule>
  </conditionalFormatting>
  <conditionalFormatting sqref="U718:Y718">
    <cfRule type="notContainsBlanks" dxfId="3581" priority="3701">
      <formula>LEN(TRIM(U718))&gt;0</formula>
    </cfRule>
  </conditionalFormatting>
  <conditionalFormatting sqref="U718:Y718">
    <cfRule type="notContainsBlanks" dxfId="3580" priority="3700">
      <formula>LEN(TRIM(U718))&gt;0</formula>
    </cfRule>
  </conditionalFormatting>
  <conditionalFormatting sqref="U718:Y718">
    <cfRule type="notContainsBlanks" dxfId="3579" priority="3699">
      <formula>LEN(TRIM(U718))&gt;0</formula>
    </cfRule>
  </conditionalFormatting>
  <conditionalFormatting sqref="U718:Y718">
    <cfRule type="notContainsBlanks" dxfId="3578" priority="3698">
      <formula>LEN(TRIM(U718))&gt;0</formula>
    </cfRule>
  </conditionalFormatting>
  <conditionalFormatting sqref="U718:Y718">
    <cfRule type="notContainsBlanks" dxfId="3577" priority="3697">
      <formula>LEN(TRIM(U718))&gt;0</formula>
    </cfRule>
  </conditionalFormatting>
  <conditionalFormatting sqref="U718:Y718">
    <cfRule type="notContainsBlanks" dxfId="3576" priority="3696">
      <formula>LEN(TRIM(U718))&gt;0</formula>
    </cfRule>
  </conditionalFormatting>
  <conditionalFormatting sqref="U718:Y718">
    <cfRule type="notContainsBlanks" dxfId="3575" priority="3695">
      <formula>LEN(TRIM(U718))&gt;0</formula>
    </cfRule>
  </conditionalFormatting>
  <conditionalFormatting sqref="U718:Y718">
    <cfRule type="notContainsBlanks" dxfId="3574" priority="3694">
      <formula>LEN(TRIM(U718))&gt;0</formula>
    </cfRule>
  </conditionalFormatting>
  <conditionalFormatting sqref="U718:Y718">
    <cfRule type="notContainsBlanks" dxfId="3573" priority="3693">
      <formula>LEN(TRIM(U718))&gt;0</formula>
    </cfRule>
  </conditionalFormatting>
  <conditionalFormatting sqref="U718:Y718">
    <cfRule type="notContainsBlanks" dxfId="3572" priority="3691">
      <formula>LEN(TRIM(U718))&gt;0</formula>
    </cfRule>
    <cfRule type="notContainsBlanks" dxfId="3571" priority="3692">
      <formula>LEN(TRIM(U718))&gt;0</formula>
    </cfRule>
  </conditionalFormatting>
  <conditionalFormatting sqref="U718:Y718">
    <cfRule type="notContainsBlanks" dxfId="3570" priority="3690">
      <formula>LEN(TRIM(U718))&gt;0</formula>
    </cfRule>
  </conditionalFormatting>
  <conditionalFormatting sqref="U718:Y718">
    <cfRule type="notContainsBlanks" dxfId="3569" priority="3689">
      <formula>LEN(TRIM(U718))&gt;0</formula>
    </cfRule>
  </conditionalFormatting>
  <conditionalFormatting sqref="U718:Y718">
    <cfRule type="notContainsBlanks" dxfId="3568" priority="3688">
      <formula>LEN(TRIM(U718))&gt;0</formula>
    </cfRule>
  </conditionalFormatting>
  <conditionalFormatting sqref="U718:Y718">
    <cfRule type="notContainsBlanks" dxfId="3567" priority="3687">
      <formula>LEN(TRIM(U718))&gt;0</formula>
    </cfRule>
  </conditionalFormatting>
  <conditionalFormatting sqref="U718:Y718">
    <cfRule type="notContainsBlanks" dxfId="3566" priority="3686">
      <formula>LEN(TRIM(U718))&gt;0</formula>
    </cfRule>
  </conditionalFormatting>
  <conditionalFormatting sqref="U718:Y718">
    <cfRule type="notContainsBlanks" dxfId="3565" priority="3685">
      <formula>LEN(TRIM(U718))&gt;0</formula>
    </cfRule>
  </conditionalFormatting>
  <conditionalFormatting sqref="U718:Y718">
    <cfRule type="notContainsBlanks" dxfId="3564" priority="3684">
      <formula>LEN(TRIM(U718))&gt;0</formula>
    </cfRule>
  </conditionalFormatting>
  <conditionalFormatting sqref="U718:Y718">
    <cfRule type="notContainsBlanks" dxfId="3563" priority="3683">
      <formula>LEN(TRIM(U718))&gt;0</formula>
    </cfRule>
  </conditionalFormatting>
  <conditionalFormatting sqref="U718:Y718">
    <cfRule type="notContainsBlanks" dxfId="3562" priority="3682">
      <formula>LEN(TRIM(U718))&gt;0</formula>
    </cfRule>
  </conditionalFormatting>
  <conditionalFormatting sqref="U718:Y718">
    <cfRule type="notContainsBlanks" priority="3681">
      <formula>LEN(TRIM(U718))&gt;0</formula>
    </cfRule>
  </conditionalFormatting>
  <conditionalFormatting sqref="U718:Y718">
    <cfRule type="notContainsBlanks" dxfId="3561" priority="3680">
      <formula>LEN(TRIM(U718))&gt;0</formula>
    </cfRule>
  </conditionalFormatting>
  <conditionalFormatting sqref="U718:Y718">
    <cfRule type="notContainsBlanks" dxfId="3560" priority="3679">
      <formula>LEN(TRIM(U718))&gt;0</formula>
    </cfRule>
  </conditionalFormatting>
  <conditionalFormatting sqref="U718:Y718">
    <cfRule type="notContainsBlanks" dxfId="3559" priority="3678">
      <formula>LEN(TRIM(U718))&gt;0</formula>
    </cfRule>
  </conditionalFormatting>
  <conditionalFormatting sqref="U718:Y718">
    <cfRule type="notContainsBlanks" dxfId="3558" priority="3677">
      <formula>LEN(TRIM(U718))&gt;0</formula>
    </cfRule>
  </conditionalFormatting>
  <conditionalFormatting sqref="U718:Y718">
    <cfRule type="notContainsBlanks" dxfId="3557" priority="3676">
      <formula>LEN(TRIM(U718))&gt;0</formula>
    </cfRule>
  </conditionalFormatting>
  <conditionalFormatting sqref="U731:Y731">
    <cfRule type="notContainsBlanks" dxfId="3556" priority="3675">
      <formula>LEN(TRIM(U731))&gt;0</formula>
    </cfRule>
  </conditionalFormatting>
  <conditionalFormatting sqref="U731:Y731">
    <cfRule type="notContainsBlanks" dxfId="3555" priority="3674">
      <formula>LEN(TRIM(U731))&gt;0</formula>
    </cfRule>
  </conditionalFormatting>
  <conditionalFormatting sqref="U731:Y731">
    <cfRule type="notContainsBlanks" dxfId="3554" priority="3673">
      <formula>LEN(TRIM(U731))&gt;0</formula>
    </cfRule>
  </conditionalFormatting>
  <conditionalFormatting sqref="U731:Y731">
    <cfRule type="notContainsBlanks" dxfId="3553" priority="3672">
      <formula>LEN(TRIM(U731))&gt;0</formula>
    </cfRule>
  </conditionalFormatting>
  <conditionalFormatting sqref="U731:Y731">
    <cfRule type="notContainsBlanks" dxfId="3552" priority="3671">
      <formula>LEN(TRIM(U731))&gt;0</formula>
    </cfRule>
  </conditionalFormatting>
  <conditionalFormatting sqref="U731:Y731">
    <cfRule type="notContainsBlanks" dxfId="3551" priority="3670">
      <formula>LEN(TRIM(U731))&gt;0</formula>
    </cfRule>
  </conditionalFormatting>
  <conditionalFormatting sqref="U731:Y731">
    <cfRule type="notContainsBlanks" dxfId="3550" priority="3669">
      <formula>LEN(TRIM(U731))&gt;0</formula>
    </cfRule>
  </conditionalFormatting>
  <conditionalFormatting sqref="U731:Y731">
    <cfRule type="notContainsBlanks" dxfId="3549" priority="3668">
      <formula>LEN(TRIM(U731))&gt;0</formula>
    </cfRule>
  </conditionalFormatting>
  <conditionalFormatting sqref="U731:Y731">
    <cfRule type="notContainsBlanks" dxfId="3548" priority="3667">
      <formula>LEN(TRIM(U731))&gt;0</formula>
    </cfRule>
  </conditionalFormatting>
  <conditionalFormatting sqref="U731:Y731">
    <cfRule type="notContainsBlanks" dxfId="3547" priority="3665">
      <formula>LEN(TRIM(U731))&gt;0</formula>
    </cfRule>
    <cfRule type="notContainsBlanks" dxfId="3546" priority="3666">
      <formula>LEN(TRIM(U731))&gt;0</formula>
    </cfRule>
  </conditionalFormatting>
  <conditionalFormatting sqref="U731:Y731">
    <cfRule type="notContainsBlanks" dxfId="3545" priority="3664">
      <formula>LEN(TRIM(U731))&gt;0</formula>
    </cfRule>
  </conditionalFormatting>
  <conditionalFormatting sqref="U731:Y731">
    <cfRule type="notContainsBlanks" dxfId="3544" priority="3663">
      <formula>LEN(TRIM(U731))&gt;0</formula>
    </cfRule>
  </conditionalFormatting>
  <conditionalFormatting sqref="U731:Y731">
    <cfRule type="notContainsBlanks" dxfId="3543" priority="3662">
      <formula>LEN(TRIM(U731))&gt;0</formula>
    </cfRule>
  </conditionalFormatting>
  <conditionalFormatting sqref="U731:Y731">
    <cfRule type="notContainsBlanks" dxfId="3542" priority="3661">
      <formula>LEN(TRIM(U731))&gt;0</formula>
    </cfRule>
  </conditionalFormatting>
  <conditionalFormatting sqref="U731:Y731">
    <cfRule type="notContainsBlanks" dxfId="3541" priority="3660">
      <formula>LEN(TRIM(U731))&gt;0</formula>
    </cfRule>
  </conditionalFormatting>
  <conditionalFormatting sqref="U731:Y731">
    <cfRule type="notContainsBlanks" dxfId="3540" priority="3659">
      <formula>LEN(TRIM(U731))&gt;0</formula>
    </cfRule>
  </conditionalFormatting>
  <conditionalFormatting sqref="U731:Y731">
    <cfRule type="notContainsBlanks" dxfId="3539" priority="3658">
      <formula>LEN(TRIM(U731))&gt;0</formula>
    </cfRule>
  </conditionalFormatting>
  <conditionalFormatting sqref="U731:Y731">
    <cfRule type="notContainsBlanks" dxfId="3538" priority="3657">
      <formula>LEN(TRIM(U731))&gt;0</formula>
    </cfRule>
  </conditionalFormatting>
  <conditionalFormatting sqref="U731:Y731">
    <cfRule type="notContainsBlanks" dxfId="3537" priority="3656">
      <formula>LEN(TRIM(U731))&gt;0</formula>
    </cfRule>
  </conditionalFormatting>
  <conditionalFormatting sqref="U731:Y731">
    <cfRule type="notContainsBlanks" priority="3655">
      <formula>LEN(TRIM(U731))&gt;0</formula>
    </cfRule>
  </conditionalFormatting>
  <conditionalFormatting sqref="U731:Y731">
    <cfRule type="notContainsBlanks" dxfId="3536" priority="3654">
      <formula>LEN(TRIM(U731))&gt;0</formula>
    </cfRule>
  </conditionalFormatting>
  <conditionalFormatting sqref="U731:Y731">
    <cfRule type="notContainsBlanks" dxfId="3535" priority="3653">
      <formula>LEN(TRIM(U731))&gt;0</formula>
    </cfRule>
  </conditionalFormatting>
  <conditionalFormatting sqref="U731:Y731">
    <cfRule type="notContainsBlanks" dxfId="3534" priority="3652">
      <formula>LEN(TRIM(U731))&gt;0</formula>
    </cfRule>
  </conditionalFormatting>
  <conditionalFormatting sqref="U731:Y731">
    <cfRule type="notContainsBlanks" dxfId="3533" priority="3651">
      <formula>LEN(TRIM(U731))&gt;0</formula>
    </cfRule>
  </conditionalFormatting>
  <conditionalFormatting sqref="U731:Y731">
    <cfRule type="notContainsBlanks" dxfId="3532" priority="3650">
      <formula>LEN(TRIM(U731))&gt;0</formula>
    </cfRule>
  </conditionalFormatting>
  <conditionalFormatting sqref="U744:Y744">
    <cfRule type="notContainsBlanks" dxfId="3531" priority="3649">
      <formula>LEN(TRIM(U744))&gt;0</formula>
    </cfRule>
  </conditionalFormatting>
  <conditionalFormatting sqref="U744:Y744">
    <cfRule type="notContainsBlanks" dxfId="3530" priority="3648">
      <formula>LEN(TRIM(U744))&gt;0</formula>
    </cfRule>
  </conditionalFormatting>
  <conditionalFormatting sqref="U744:Y744">
    <cfRule type="notContainsBlanks" dxfId="3529" priority="3647">
      <formula>LEN(TRIM(U744))&gt;0</formula>
    </cfRule>
  </conditionalFormatting>
  <conditionalFormatting sqref="U744:Y744">
    <cfRule type="notContainsBlanks" dxfId="3528" priority="3646">
      <formula>LEN(TRIM(U744))&gt;0</formula>
    </cfRule>
  </conditionalFormatting>
  <conditionalFormatting sqref="U744:Y744">
    <cfRule type="notContainsBlanks" dxfId="3527" priority="3645">
      <formula>LEN(TRIM(U744))&gt;0</formula>
    </cfRule>
  </conditionalFormatting>
  <conditionalFormatting sqref="U744:Y744">
    <cfRule type="notContainsBlanks" dxfId="3526" priority="3644">
      <formula>LEN(TRIM(U744))&gt;0</formula>
    </cfRule>
  </conditionalFormatting>
  <conditionalFormatting sqref="U744:Y744">
    <cfRule type="notContainsBlanks" dxfId="3525" priority="3643">
      <formula>LEN(TRIM(U744))&gt;0</formula>
    </cfRule>
  </conditionalFormatting>
  <conditionalFormatting sqref="U744:Y744">
    <cfRule type="notContainsBlanks" dxfId="3524" priority="3642">
      <formula>LEN(TRIM(U744))&gt;0</formula>
    </cfRule>
  </conditionalFormatting>
  <conditionalFormatting sqref="U744:Y744">
    <cfRule type="notContainsBlanks" dxfId="3523" priority="3641">
      <formula>LEN(TRIM(U744))&gt;0</formula>
    </cfRule>
  </conditionalFormatting>
  <conditionalFormatting sqref="U744:Y744">
    <cfRule type="notContainsBlanks" dxfId="3522" priority="3639">
      <formula>LEN(TRIM(U744))&gt;0</formula>
    </cfRule>
    <cfRule type="notContainsBlanks" dxfId="3521" priority="3640">
      <formula>LEN(TRIM(U744))&gt;0</formula>
    </cfRule>
  </conditionalFormatting>
  <conditionalFormatting sqref="U744:Y744">
    <cfRule type="notContainsBlanks" dxfId="3520" priority="3638">
      <formula>LEN(TRIM(U744))&gt;0</formula>
    </cfRule>
  </conditionalFormatting>
  <conditionalFormatting sqref="U744:Y744">
    <cfRule type="notContainsBlanks" dxfId="3519" priority="3637">
      <formula>LEN(TRIM(U744))&gt;0</formula>
    </cfRule>
  </conditionalFormatting>
  <conditionalFormatting sqref="U744:Y744">
    <cfRule type="notContainsBlanks" dxfId="3518" priority="3636">
      <formula>LEN(TRIM(U744))&gt;0</formula>
    </cfRule>
  </conditionalFormatting>
  <conditionalFormatting sqref="U744:Y744">
    <cfRule type="notContainsBlanks" dxfId="3517" priority="3635">
      <formula>LEN(TRIM(U744))&gt;0</formula>
    </cfRule>
  </conditionalFormatting>
  <conditionalFormatting sqref="U744:Y744">
    <cfRule type="notContainsBlanks" dxfId="3516" priority="3634">
      <formula>LEN(TRIM(U744))&gt;0</formula>
    </cfRule>
  </conditionalFormatting>
  <conditionalFormatting sqref="U744:Y744">
    <cfRule type="notContainsBlanks" dxfId="3515" priority="3633">
      <formula>LEN(TRIM(U744))&gt;0</formula>
    </cfRule>
  </conditionalFormatting>
  <conditionalFormatting sqref="U744:Y744">
    <cfRule type="notContainsBlanks" dxfId="3514" priority="3632">
      <formula>LEN(TRIM(U744))&gt;0</formula>
    </cfRule>
  </conditionalFormatting>
  <conditionalFormatting sqref="U744:Y744">
    <cfRule type="notContainsBlanks" dxfId="3513" priority="3631">
      <formula>LEN(TRIM(U744))&gt;0</formula>
    </cfRule>
  </conditionalFormatting>
  <conditionalFormatting sqref="U744:Y744">
    <cfRule type="notContainsBlanks" dxfId="3512" priority="3630">
      <formula>LEN(TRIM(U744))&gt;0</formula>
    </cfRule>
  </conditionalFormatting>
  <conditionalFormatting sqref="U744:Y744">
    <cfRule type="notContainsBlanks" priority="3629">
      <formula>LEN(TRIM(U744))&gt;0</formula>
    </cfRule>
  </conditionalFormatting>
  <conditionalFormatting sqref="U744:Y744">
    <cfRule type="notContainsBlanks" dxfId="3511" priority="3628">
      <formula>LEN(TRIM(U744))&gt;0</formula>
    </cfRule>
  </conditionalFormatting>
  <conditionalFormatting sqref="U744:Y744">
    <cfRule type="notContainsBlanks" dxfId="3510" priority="3627">
      <formula>LEN(TRIM(U744))&gt;0</formula>
    </cfRule>
  </conditionalFormatting>
  <conditionalFormatting sqref="U744:Y744">
    <cfRule type="notContainsBlanks" dxfId="3509" priority="3626">
      <formula>LEN(TRIM(U744))&gt;0</formula>
    </cfRule>
  </conditionalFormatting>
  <conditionalFormatting sqref="U744:Y744">
    <cfRule type="notContainsBlanks" dxfId="3508" priority="3625">
      <formula>LEN(TRIM(U744))&gt;0</formula>
    </cfRule>
  </conditionalFormatting>
  <conditionalFormatting sqref="U744:Y744">
    <cfRule type="notContainsBlanks" dxfId="3507" priority="3624">
      <formula>LEN(TRIM(U744))&gt;0</formula>
    </cfRule>
  </conditionalFormatting>
  <conditionalFormatting sqref="U757:Y757">
    <cfRule type="notContainsBlanks" dxfId="3506" priority="3623">
      <formula>LEN(TRIM(U757))&gt;0</formula>
    </cfRule>
  </conditionalFormatting>
  <conditionalFormatting sqref="U757:Y757">
    <cfRule type="notContainsBlanks" dxfId="3505" priority="3622">
      <formula>LEN(TRIM(U757))&gt;0</formula>
    </cfRule>
  </conditionalFormatting>
  <conditionalFormatting sqref="U757:Y757">
    <cfRule type="notContainsBlanks" dxfId="3504" priority="3621">
      <formula>LEN(TRIM(U757))&gt;0</formula>
    </cfRule>
  </conditionalFormatting>
  <conditionalFormatting sqref="U757:Y757">
    <cfRule type="notContainsBlanks" dxfId="3503" priority="3620">
      <formula>LEN(TRIM(U757))&gt;0</formula>
    </cfRule>
  </conditionalFormatting>
  <conditionalFormatting sqref="U757:Y757">
    <cfRule type="notContainsBlanks" dxfId="3502" priority="3619">
      <formula>LEN(TRIM(U757))&gt;0</formula>
    </cfRule>
  </conditionalFormatting>
  <conditionalFormatting sqref="U757:Y757">
    <cfRule type="notContainsBlanks" dxfId="3501" priority="3618">
      <formula>LEN(TRIM(U757))&gt;0</formula>
    </cfRule>
  </conditionalFormatting>
  <conditionalFormatting sqref="U757:Y757">
    <cfRule type="notContainsBlanks" dxfId="3500" priority="3617">
      <formula>LEN(TRIM(U757))&gt;0</formula>
    </cfRule>
  </conditionalFormatting>
  <conditionalFormatting sqref="U757:Y757">
    <cfRule type="notContainsBlanks" dxfId="3499" priority="3616">
      <formula>LEN(TRIM(U757))&gt;0</formula>
    </cfRule>
  </conditionalFormatting>
  <conditionalFormatting sqref="U757:Y757">
    <cfRule type="notContainsBlanks" dxfId="3498" priority="3615">
      <formula>LEN(TRIM(U757))&gt;0</formula>
    </cfRule>
  </conditionalFormatting>
  <conditionalFormatting sqref="U757:Y757">
    <cfRule type="notContainsBlanks" dxfId="3497" priority="3613">
      <formula>LEN(TRIM(U757))&gt;0</formula>
    </cfRule>
    <cfRule type="notContainsBlanks" dxfId="3496" priority="3614">
      <formula>LEN(TRIM(U757))&gt;0</formula>
    </cfRule>
  </conditionalFormatting>
  <conditionalFormatting sqref="U757:Y757">
    <cfRule type="notContainsBlanks" dxfId="3495" priority="3612">
      <formula>LEN(TRIM(U757))&gt;0</formula>
    </cfRule>
  </conditionalFormatting>
  <conditionalFormatting sqref="U757:Y757">
    <cfRule type="notContainsBlanks" dxfId="3494" priority="3611">
      <formula>LEN(TRIM(U757))&gt;0</formula>
    </cfRule>
  </conditionalFormatting>
  <conditionalFormatting sqref="U757:Y757">
    <cfRule type="notContainsBlanks" dxfId="3493" priority="3610">
      <formula>LEN(TRIM(U757))&gt;0</formula>
    </cfRule>
  </conditionalFormatting>
  <conditionalFormatting sqref="U757:Y757">
    <cfRule type="notContainsBlanks" dxfId="3492" priority="3609">
      <formula>LEN(TRIM(U757))&gt;0</formula>
    </cfRule>
  </conditionalFormatting>
  <conditionalFormatting sqref="U757:Y757">
    <cfRule type="notContainsBlanks" dxfId="3491" priority="3608">
      <formula>LEN(TRIM(U757))&gt;0</formula>
    </cfRule>
  </conditionalFormatting>
  <conditionalFormatting sqref="U757:Y757">
    <cfRule type="notContainsBlanks" dxfId="3490" priority="3607">
      <formula>LEN(TRIM(U757))&gt;0</formula>
    </cfRule>
  </conditionalFormatting>
  <conditionalFormatting sqref="U757:Y757">
    <cfRule type="notContainsBlanks" dxfId="3489" priority="3606">
      <formula>LEN(TRIM(U757))&gt;0</formula>
    </cfRule>
  </conditionalFormatting>
  <conditionalFormatting sqref="U757:Y757">
    <cfRule type="notContainsBlanks" dxfId="3488" priority="3605">
      <formula>LEN(TRIM(U757))&gt;0</formula>
    </cfRule>
  </conditionalFormatting>
  <conditionalFormatting sqref="U757:Y757">
    <cfRule type="notContainsBlanks" dxfId="3487" priority="3604">
      <formula>LEN(TRIM(U757))&gt;0</formula>
    </cfRule>
  </conditionalFormatting>
  <conditionalFormatting sqref="U757:Y757">
    <cfRule type="notContainsBlanks" priority="3603">
      <formula>LEN(TRIM(U757))&gt;0</formula>
    </cfRule>
  </conditionalFormatting>
  <conditionalFormatting sqref="U757:Y757">
    <cfRule type="notContainsBlanks" dxfId="3486" priority="3602">
      <formula>LEN(TRIM(U757))&gt;0</formula>
    </cfRule>
  </conditionalFormatting>
  <conditionalFormatting sqref="U757:Y757">
    <cfRule type="notContainsBlanks" dxfId="3485" priority="3601">
      <formula>LEN(TRIM(U757))&gt;0</formula>
    </cfRule>
  </conditionalFormatting>
  <conditionalFormatting sqref="U757:Y757">
    <cfRule type="notContainsBlanks" dxfId="3484" priority="3600">
      <formula>LEN(TRIM(U757))&gt;0</formula>
    </cfRule>
  </conditionalFormatting>
  <conditionalFormatting sqref="U757:Y757">
    <cfRule type="notContainsBlanks" dxfId="3483" priority="3599">
      <formula>LEN(TRIM(U757))&gt;0</formula>
    </cfRule>
  </conditionalFormatting>
  <conditionalFormatting sqref="U757:Y757">
    <cfRule type="notContainsBlanks" dxfId="3482" priority="3598">
      <formula>LEN(TRIM(U757))&gt;0</formula>
    </cfRule>
  </conditionalFormatting>
  <conditionalFormatting sqref="U770:Y770">
    <cfRule type="notContainsBlanks" dxfId="3481" priority="3597">
      <formula>LEN(TRIM(U770))&gt;0</formula>
    </cfRule>
  </conditionalFormatting>
  <conditionalFormatting sqref="U770:Y770">
    <cfRule type="notContainsBlanks" dxfId="3480" priority="3596">
      <formula>LEN(TRIM(U770))&gt;0</formula>
    </cfRule>
  </conditionalFormatting>
  <conditionalFormatting sqref="U770:Y770">
    <cfRule type="notContainsBlanks" dxfId="3479" priority="3595">
      <formula>LEN(TRIM(U770))&gt;0</formula>
    </cfRule>
  </conditionalFormatting>
  <conditionalFormatting sqref="U770:Y770">
    <cfRule type="notContainsBlanks" dxfId="3478" priority="3594">
      <formula>LEN(TRIM(U770))&gt;0</formula>
    </cfRule>
  </conditionalFormatting>
  <conditionalFormatting sqref="U770:Y770">
    <cfRule type="notContainsBlanks" dxfId="3477" priority="3593">
      <formula>LEN(TRIM(U770))&gt;0</formula>
    </cfRule>
  </conditionalFormatting>
  <conditionalFormatting sqref="U770:Y770">
    <cfRule type="notContainsBlanks" dxfId="3476" priority="3592">
      <formula>LEN(TRIM(U770))&gt;0</formula>
    </cfRule>
  </conditionalFormatting>
  <conditionalFormatting sqref="U770:Y770">
    <cfRule type="notContainsBlanks" dxfId="3475" priority="3591">
      <formula>LEN(TRIM(U770))&gt;0</formula>
    </cfRule>
  </conditionalFormatting>
  <conditionalFormatting sqref="U770:Y770">
    <cfRule type="notContainsBlanks" dxfId="3474" priority="3590">
      <formula>LEN(TRIM(U770))&gt;0</formula>
    </cfRule>
  </conditionalFormatting>
  <conditionalFormatting sqref="U770:Y770">
    <cfRule type="notContainsBlanks" dxfId="3473" priority="3589">
      <formula>LEN(TRIM(U770))&gt;0</formula>
    </cfRule>
  </conditionalFormatting>
  <conditionalFormatting sqref="U770:Y770">
    <cfRule type="notContainsBlanks" dxfId="3472" priority="3587">
      <formula>LEN(TRIM(U770))&gt;0</formula>
    </cfRule>
    <cfRule type="notContainsBlanks" dxfId="3471" priority="3588">
      <formula>LEN(TRIM(U770))&gt;0</formula>
    </cfRule>
  </conditionalFormatting>
  <conditionalFormatting sqref="U770:Y770">
    <cfRule type="notContainsBlanks" dxfId="3470" priority="3586">
      <formula>LEN(TRIM(U770))&gt;0</formula>
    </cfRule>
  </conditionalFormatting>
  <conditionalFormatting sqref="U770:Y770">
    <cfRule type="notContainsBlanks" dxfId="3469" priority="3585">
      <formula>LEN(TRIM(U770))&gt;0</formula>
    </cfRule>
  </conditionalFormatting>
  <conditionalFormatting sqref="U770:Y770">
    <cfRule type="notContainsBlanks" dxfId="3468" priority="3584">
      <formula>LEN(TRIM(U770))&gt;0</formula>
    </cfRule>
  </conditionalFormatting>
  <conditionalFormatting sqref="U770:Y770">
    <cfRule type="notContainsBlanks" dxfId="3467" priority="3583">
      <formula>LEN(TRIM(U770))&gt;0</formula>
    </cfRule>
  </conditionalFormatting>
  <conditionalFormatting sqref="U770:Y770">
    <cfRule type="notContainsBlanks" dxfId="3466" priority="3582">
      <formula>LEN(TRIM(U770))&gt;0</formula>
    </cfRule>
  </conditionalFormatting>
  <conditionalFormatting sqref="U770:Y770">
    <cfRule type="notContainsBlanks" dxfId="3465" priority="3581">
      <formula>LEN(TRIM(U770))&gt;0</formula>
    </cfRule>
  </conditionalFormatting>
  <conditionalFormatting sqref="U770:Y770">
    <cfRule type="notContainsBlanks" dxfId="3464" priority="3580">
      <formula>LEN(TRIM(U770))&gt;0</formula>
    </cfRule>
  </conditionalFormatting>
  <conditionalFormatting sqref="U770:Y770">
    <cfRule type="notContainsBlanks" dxfId="3463" priority="3579">
      <formula>LEN(TRIM(U770))&gt;0</formula>
    </cfRule>
  </conditionalFormatting>
  <conditionalFormatting sqref="U770:Y770">
    <cfRule type="notContainsBlanks" dxfId="3462" priority="3578">
      <formula>LEN(TRIM(U770))&gt;0</formula>
    </cfRule>
  </conditionalFormatting>
  <conditionalFormatting sqref="U770:Y770">
    <cfRule type="notContainsBlanks" priority="3577">
      <formula>LEN(TRIM(U770))&gt;0</formula>
    </cfRule>
  </conditionalFormatting>
  <conditionalFormatting sqref="U770:Y770">
    <cfRule type="notContainsBlanks" dxfId="3461" priority="3576">
      <formula>LEN(TRIM(U770))&gt;0</formula>
    </cfRule>
  </conditionalFormatting>
  <conditionalFormatting sqref="U770:Y770">
    <cfRule type="notContainsBlanks" dxfId="3460" priority="3575">
      <formula>LEN(TRIM(U770))&gt;0</formula>
    </cfRule>
  </conditionalFormatting>
  <conditionalFormatting sqref="U770:Y770">
    <cfRule type="notContainsBlanks" dxfId="3459" priority="3574">
      <formula>LEN(TRIM(U770))&gt;0</formula>
    </cfRule>
  </conditionalFormatting>
  <conditionalFormatting sqref="U770:Y770">
    <cfRule type="notContainsBlanks" dxfId="3458" priority="3573">
      <formula>LEN(TRIM(U770))&gt;0</formula>
    </cfRule>
  </conditionalFormatting>
  <conditionalFormatting sqref="U770:Y770">
    <cfRule type="notContainsBlanks" dxfId="3457" priority="3572">
      <formula>LEN(TRIM(U770))&gt;0</formula>
    </cfRule>
  </conditionalFormatting>
  <conditionalFormatting sqref="U783:Y783">
    <cfRule type="notContainsBlanks" dxfId="3456" priority="3571">
      <formula>LEN(TRIM(U783))&gt;0</formula>
    </cfRule>
  </conditionalFormatting>
  <conditionalFormatting sqref="U783:Y783">
    <cfRule type="notContainsBlanks" dxfId="3455" priority="3570">
      <formula>LEN(TRIM(U783))&gt;0</formula>
    </cfRule>
  </conditionalFormatting>
  <conditionalFormatting sqref="U783:Y783">
    <cfRule type="notContainsBlanks" dxfId="3454" priority="3569">
      <formula>LEN(TRIM(U783))&gt;0</formula>
    </cfRule>
  </conditionalFormatting>
  <conditionalFormatting sqref="U783:Y783">
    <cfRule type="notContainsBlanks" dxfId="3453" priority="3568">
      <formula>LEN(TRIM(U783))&gt;0</formula>
    </cfRule>
  </conditionalFormatting>
  <conditionalFormatting sqref="U783:Y783">
    <cfRule type="notContainsBlanks" dxfId="3452" priority="3567">
      <formula>LEN(TRIM(U783))&gt;0</formula>
    </cfRule>
  </conditionalFormatting>
  <conditionalFormatting sqref="U783:Y783">
    <cfRule type="notContainsBlanks" dxfId="3451" priority="3566">
      <formula>LEN(TRIM(U783))&gt;0</formula>
    </cfRule>
  </conditionalFormatting>
  <conditionalFormatting sqref="U783:Y783">
    <cfRule type="notContainsBlanks" dxfId="3450" priority="3565">
      <formula>LEN(TRIM(U783))&gt;0</formula>
    </cfRule>
  </conditionalFormatting>
  <conditionalFormatting sqref="U783:Y783">
    <cfRule type="notContainsBlanks" dxfId="3449" priority="3564">
      <formula>LEN(TRIM(U783))&gt;0</formula>
    </cfRule>
  </conditionalFormatting>
  <conditionalFormatting sqref="U783:Y783">
    <cfRule type="notContainsBlanks" dxfId="3448" priority="3563">
      <formula>LEN(TRIM(U783))&gt;0</formula>
    </cfRule>
  </conditionalFormatting>
  <conditionalFormatting sqref="U783:Y783">
    <cfRule type="notContainsBlanks" dxfId="3447" priority="3561">
      <formula>LEN(TRIM(U783))&gt;0</formula>
    </cfRule>
    <cfRule type="notContainsBlanks" dxfId="3446" priority="3562">
      <formula>LEN(TRIM(U783))&gt;0</formula>
    </cfRule>
  </conditionalFormatting>
  <conditionalFormatting sqref="U783:Y783">
    <cfRule type="notContainsBlanks" dxfId="3445" priority="3560">
      <formula>LEN(TRIM(U783))&gt;0</formula>
    </cfRule>
  </conditionalFormatting>
  <conditionalFormatting sqref="U783:Y783">
    <cfRule type="notContainsBlanks" dxfId="3444" priority="3559">
      <formula>LEN(TRIM(U783))&gt;0</formula>
    </cfRule>
  </conditionalFormatting>
  <conditionalFormatting sqref="U783:Y783">
    <cfRule type="notContainsBlanks" dxfId="3443" priority="3558">
      <formula>LEN(TRIM(U783))&gt;0</formula>
    </cfRule>
  </conditionalFormatting>
  <conditionalFormatting sqref="U783:Y783">
    <cfRule type="notContainsBlanks" dxfId="3442" priority="3557">
      <formula>LEN(TRIM(U783))&gt;0</formula>
    </cfRule>
  </conditionalFormatting>
  <conditionalFormatting sqref="U783:Y783">
    <cfRule type="notContainsBlanks" dxfId="3441" priority="3556">
      <formula>LEN(TRIM(U783))&gt;0</formula>
    </cfRule>
  </conditionalFormatting>
  <conditionalFormatting sqref="U783:Y783">
    <cfRule type="notContainsBlanks" dxfId="3440" priority="3555">
      <formula>LEN(TRIM(U783))&gt;0</formula>
    </cfRule>
  </conditionalFormatting>
  <conditionalFormatting sqref="U783:Y783">
    <cfRule type="notContainsBlanks" dxfId="3439" priority="3554">
      <formula>LEN(TRIM(U783))&gt;0</formula>
    </cfRule>
  </conditionalFormatting>
  <conditionalFormatting sqref="U783:Y783">
    <cfRule type="notContainsBlanks" dxfId="3438" priority="3553">
      <formula>LEN(TRIM(U783))&gt;0</formula>
    </cfRule>
  </conditionalFormatting>
  <conditionalFormatting sqref="U783:Y783">
    <cfRule type="notContainsBlanks" dxfId="3437" priority="3552">
      <formula>LEN(TRIM(U783))&gt;0</formula>
    </cfRule>
  </conditionalFormatting>
  <conditionalFormatting sqref="U783:Y783">
    <cfRule type="notContainsBlanks" priority="3551">
      <formula>LEN(TRIM(U783))&gt;0</formula>
    </cfRule>
  </conditionalFormatting>
  <conditionalFormatting sqref="U783:Y783">
    <cfRule type="notContainsBlanks" dxfId="3436" priority="3550">
      <formula>LEN(TRIM(U783))&gt;0</formula>
    </cfRule>
  </conditionalFormatting>
  <conditionalFormatting sqref="U783:Y783">
    <cfRule type="notContainsBlanks" dxfId="3435" priority="3549">
      <formula>LEN(TRIM(U783))&gt;0</formula>
    </cfRule>
  </conditionalFormatting>
  <conditionalFormatting sqref="U783:Y783">
    <cfRule type="notContainsBlanks" dxfId="3434" priority="3548">
      <formula>LEN(TRIM(U783))&gt;0</formula>
    </cfRule>
  </conditionalFormatting>
  <conditionalFormatting sqref="U783:Y783">
    <cfRule type="notContainsBlanks" dxfId="3433" priority="3547">
      <formula>LEN(TRIM(U783))&gt;0</formula>
    </cfRule>
  </conditionalFormatting>
  <conditionalFormatting sqref="U783:Y783">
    <cfRule type="notContainsBlanks" dxfId="3432" priority="3546">
      <formula>LEN(TRIM(U783))&gt;0</formula>
    </cfRule>
  </conditionalFormatting>
  <conditionalFormatting sqref="U796:Y796">
    <cfRule type="notContainsBlanks" dxfId="3431" priority="3545">
      <formula>LEN(TRIM(U796))&gt;0</formula>
    </cfRule>
  </conditionalFormatting>
  <conditionalFormatting sqref="U796:Y796">
    <cfRule type="notContainsBlanks" dxfId="3430" priority="3544">
      <formula>LEN(TRIM(U796))&gt;0</formula>
    </cfRule>
  </conditionalFormatting>
  <conditionalFormatting sqref="U796:Y796">
    <cfRule type="notContainsBlanks" dxfId="3429" priority="3543">
      <formula>LEN(TRIM(U796))&gt;0</formula>
    </cfRule>
  </conditionalFormatting>
  <conditionalFormatting sqref="U796:Y796">
    <cfRule type="notContainsBlanks" dxfId="3428" priority="3542">
      <formula>LEN(TRIM(U796))&gt;0</formula>
    </cfRule>
  </conditionalFormatting>
  <conditionalFormatting sqref="U796:Y796">
    <cfRule type="notContainsBlanks" dxfId="3427" priority="3541">
      <formula>LEN(TRIM(U796))&gt;0</formula>
    </cfRule>
  </conditionalFormatting>
  <conditionalFormatting sqref="U796:Y796">
    <cfRule type="notContainsBlanks" dxfId="3426" priority="3540">
      <formula>LEN(TRIM(U796))&gt;0</formula>
    </cfRule>
  </conditionalFormatting>
  <conditionalFormatting sqref="U796:Y796">
    <cfRule type="notContainsBlanks" dxfId="3425" priority="3539">
      <formula>LEN(TRIM(U796))&gt;0</formula>
    </cfRule>
  </conditionalFormatting>
  <conditionalFormatting sqref="U796:Y796">
    <cfRule type="notContainsBlanks" dxfId="3424" priority="3538">
      <formula>LEN(TRIM(U796))&gt;0</formula>
    </cfRule>
  </conditionalFormatting>
  <conditionalFormatting sqref="U796:Y796">
    <cfRule type="notContainsBlanks" dxfId="3423" priority="3537">
      <formula>LEN(TRIM(U796))&gt;0</formula>
    </cfRule>
  </conditionalFormatting>
  <conditionalFormatting sqref="U796:Y796">
    <cfRule type="notContainsBlanks" dxfId="3422" priority="3535">
      <formula>LEN(TRIM(U796))&gt;0</formula>
    </cfRule>
    <cfRule type="notContainsBlanks" dxfId="3421" priority="3536">
      <formula>LEN(TRIM(U796))&gt;0</formula>
    </cfRule>
  </conditionalFormatting>
  <conditionalFormatting sqref="U796:Y796">
    <cfRule type="notContainsBlanks" dxfId="3420" priority="3534">
      <formula>LEN(TRIM(U796))&gt;0</formula>
    </cfRule>
  </conditionalFormatting>
  <conditionalFormatting sqref="U796:Y796">
    <cfRule type="notContainsBlanks" dxfId="3419" priority="3533">
      <formula>LEN(TRIM(U796))&gt;0</formula>
    </cfRule>
  </conditionalFormatting>
  <conditionalFormatting sqref="U796:Y796">
    <cfRule type="notContainsBlanks" dxfId="3418" priority="3532">
      <formula>LEN(TRIM(U796))&gt;0</formula>
    </cfRule>
  </conditionalFormatting>
  <conditionalFormatting sqref="U796:Y796">
    <cfRule type="notContainsBlanks" dxfId="3417" priority="3531">
      <formula>LEN(TRIM(U796))&gt;0</formula>
    </cfRule>
  </conditionalFormatting>
  <conditionalFormatting sqref="U796:Y796">
    <cfRule type="notContainsBlanks" dxfId="3416" priority="3530">
      <formula>LEN(TRIM(U796))&gt;0</formula>
    </cfRule>
  </conditionalFormatting>
  <conditionalFormatting sqref="U796:Y796">
    <cfRule type="notContainsBlanks" dxfId="3415" priority="3529">
      <formula>LEN(TRIM(U796))&gt;0</formula>
    </cfRule>
  </conditionalFormatting>
  <conditionalFormatting sqref="U796:Y796">
    <cfRule type="notContainsBlanks" dxfId="3414" priority="3528">
      <formula>LEN(TRIM(U796))&gt;0</formula>
    </cfRule>
  </conditionalFormatting>
  <conditionalFormatting sqref="U796:Y796">
    <cfRule type="notContainsBlanks" dxfId="3413" priority="3527">
      <formula>LEN(TRIM(U796))&gt;0</formula>
    </cfRule>
  </conditionalFormatting>
  <conditionalFormatting sqref="U796:Y796">
    <cfRule type="notContainsBlanks" dxfId="3412" priority="3526">
      <formula>LEN(TRIM(U796))&gt;0</formula>
    </cfRule>
  </conditionalFormatting>
  <conditionalFormatting sqref="U796:Y796">
    <cfRule type="notContainsBlanks" priority="3525">
      <formula>LEN(TRIM(U796))&gt;0</formula>
    </cfRule>
  </conditionalFormatting>
  <conditionalFormatting sqref="U796:Y796">
    <cfRule type="notContainsBlanks" dxfId="3411" priority="3524">
      <formula>LEN(TRIM(U796))&gt;0</formula>
    </cfRule>
  </conditionalFormatting>
  <conditionalFormatting sqref="U796:Y796">
    <cfRule type="notContainsBlanks" dxfId="3410" priority="3523">
      <formula>LEN(TRIM(U796))&gt;0</formula>
    </cfRule>
  </conditionalFormatting>
  <conditionalFormatting sqref="U796:Y796">
    <cfRule type="notContainsBlanks" dxfId="3409" priority="3522">
      <formula>LEN(TRIM(U796))&gt;0</formula>
    </cfRule>
  </conditionalFormatting>
  <conditionalFormatting sqref="U796:Y796">
    <cfRule type="notContainsBlanks" dxfId="3408" priority="3521">
      <formula>LEN(TRIM(U796))&gt;0</formula>
    </cfRule>
  </conditionalFormatting>
  <conditionalFormatting sqref="U796:Y796">
    <cfRule type="notContainsBlanks" dxfId="3407" priority="3520">
      <formula>LEN(TRIM(U796))&gt;0</formula>
    </cfRule>
  </conditionalFormatting>
  <conditionalFormatting sqref="U809:Y809">
    <cfRule type="notContainsBlanks" dxfId="3406" priority="3519">
      <formula>LEN(TRIM(U809))&gt;0</formula>
    </cfRule>
  </conditionalFormatting>
  <conditionalFormatting sqref="U809:Y809">
    <cfRule type="notContainsBlanks" dxfId="3405" priority="3518">
      <formula>LEN(TRIM(U809))&gt;0</formula>
    </cfRule>
  </conditionalFormatting>
  <conditionalFormatting sqref="U809:Y809">
    <cfRule type="notContainsBlanks" dxfId="3404" priority="3517">
      <formula>LEN(TRIM(U809))&gt;0</formula>
    </cfRule>
  </conditionalFormatting>
  <conditionalFormatting sqref="U809:Y809">
    <cfRule type="notContainsBlanks" dxfId="3403" priority="3516">
      <formula>LEN(TRIM(U809))&gt;0</formula>
    </cfRule>
  </conditionalFormatting>
  <conditionalFormatting sqref="U809:Y809">
    <cfRule type="notContainsBlanks" dxfId="3402" priority="3515">
      <formula>LEN(TRIM(U809))&gt;0</formula>
    </cfRule>
  </conditionalFormatting>
  <conditionalFormatting sqref="U809:Y809">
    <cfRule type="notContainsBlanks" dxfId="3401" priority="3514">
      <formula>LEN(TRIM(U809))&gt;0</formula>
    </cfRule>
  </conditionalFormatting>
  <conditionalFormatting sqref="U809:Y809">
    <cfRule type="notContainsBlanks" dxfId="3400" priority="3513">
      <formula>LEN(TRIM(U809))&gt;0</formula>
    </cfRule>
  </conditionalFormatting>
  <conditionalFormatting sqref="U809:Y809">
    <cfRule type="notContainsBlanks" dxfId="3399" priority="3512">
      <formula>LEN(TRIM(U809))&gt;0</formula>
    </cfRule>
  </conditionalFormatting>
  <conditionalFormatting sqref="U809:Y809">
    <cfRule type="notContainsBlanks" dxfId="3398" priority="3511">
      <formula>LEN(TRIM(U809))&gt;0</formula>
    </cfRule>
  </conditionalFormatting>
  <conditionalFormatting sqref="U809:Y809">
    <cfRule type="notContainsBlanks" dxfId="3397" priority="3509">
      <formula>LEN(TRIM(U809))&gt;0</formula>
    </cfRule>
    <cfRule type="notContainsBlanks" dxfId="3396" priority="3510">
      <formula>LEN(TRIM(U809))&gt;0</formula>
    </cfRule>
  </conditionalFormatting>
  <conditionalFormatting sqref="U809:Y809">
    <cfRule type="notContainsBlanks" dxfId="3395" priority="3508">
      <formula>LEN(TRIM(U809))&gt;0</formula>
    </cfRule>
  </conditionalFormatting>
  <conditionalFormatting sqref="U809:Y809">
    <cfRule type="notContainsBlanks" dxfId="3394" priority="3507">
      <formula>LEN(TRIM(U809))&gt;0</formula>
    </cfRule>
  </conditionalFormatting>
  <conditionalFormatting sqref="U809:Y809">
    <cfRule type="notContainsBlanks" dxfId="3393" priority="3506">
      <formula>LEN(TRIM(U809))&gt;0</formula>
    </cfRule>
  </conditionalFormatting>
  <conditionalFormatting sqref="U809:Y809">
    <cfRule type="notContainsBlanks" dxfId="3392" priority="3505">
      <formula>LEN(TRIM(U809))&gt;0</formula>
    </cfRule>
  </conditionalFormatting>
  <conditionalFormatting sqref="U809:Y809">
    <cfRule type="notContainsBlanks" dxfId="3391" priority="3504">
      <formula>LEN(TRIM(U809))&gt;0</formula>
    </cfRule>
  </conditionalFormatting>
  <conditionalFormatting sqref="U809:Y809">
    <cfRule type="notContainsBlanks" dxfId="3390" priority="3503">
      <formula>LEN(TRIM(U809))&gt;0</formula>
    </cfRule>
  </conditionalFormatting>
  <conditionalFormatting sqref="U809:Y809">
    <cfRule type="notContainsBlanks" dxfId="3389" priority="3502">
      <formula>LEN(TRIM(U809))&gt;0</formula>
    </cfRule>
  </conditionalFormatting>
  <conditionalFormatting sqref="U809:Y809">
    <cfRule type="notContainsBlanks" dxfId="3388" priority="3501">
      <formula>LEN(TRIM(U809))&gt;0</formula>
    </cfRule>
  </conditionalFormatting>
  <conditionalFormatting sqref="U809:Y809">
    <cfRule type="notContainsBlanks" dxfId="3387" priority="3500">
      <formula>LEN(TRIM(U809))&gt;0</formula>
    </cfRule>
  </conditionalFormatting>
  <conditionalFormatting sqref="U809:Y809">
    <cfRule type="notContainsBlanks" priority="3499">
      <formula>LEN(TRIM(U809))&gt;0</formula>
    </cfRule>
  </conditionalFormatting>
  <conditionalFormatting sqref="U809:Y809">
    <cfRule type="notContainsBlanks" dxfId="3386" priority="3498">
      <formula>LEN(TRIM(U809))&gt;0</formula>
    </cfRule>
  </conditionalFormatting>
  <conditionalFormatting sqref="U809:Y809">
    <cfRule type="notContainsBlanks" dxfId="3385" priority="3497">
      <formula>LEN(TRIM(U809))&gt;0</formula>
    </cfRule>
  </conditionalFormatting>
  <conditionalFormatting sqref="U809:Y809">
    <cfRule type="notContainsBlanks" dxfId="3384" priority="3496">
      <formula>LEN(TRIM(U809))&gt;0</formula>
    </cfRule>
  </conditionalFormatting>
  <conditionalFormatting sqref="U809:Y809">
    <cfRule type="notContainsBlanks" dxfId="3383" priority="3495">
      <formula>LEN(TRIM(U809))&gt;0</formula>
    </cfRule>
  </conditionalFormatting>
  <conditionalFormatting sqref="U809:Y809">
    <cfRule type="notContainsBlanks" dxfId="3382" priority="3494">
      <formula>LEN(TRIM(U809))&gt;0</formula>
    </cfRule>
  </conditionalFormatting>
  <conditionalFormatting sqref="U822:Y822">
    <cfRule type="notContainsBlanks" dxfId="3381" priority="3493">
      <formula>LEN(TRIM(U822))&gt;0</formula>
    </cfRule>
  </conditionalFormatting>
  <conditionalFormatting sqref="U822:Y822">
    <cfRule type="notContainsBlanks" dxfId="3380" priority="3492">
      <formula>LEN(TRIM(U822))&gt;0</formula>
    </cfRule>
  </conditionalFormatting>
  <conditionalFormatting sqref="U822:Y822">
    <cfRule type="notContainsBlanks" dxfId="3379" priority="3491">
      <formula>LEN(TRIM(U822))&gt;0</formula>
    </cfRule>
  </conditionalFormatting>
  <conditionalFormatting sqref="U822:Y822">
    <cfRule type="notContainsBlanks" dxfId="3378" priority="3490">
      <formula>LEN(TRIM(U822))&gt;0</formula>
    </cfRule>
  </conditionalFormatting>
  <conditionalFormatting sqref="U822:Y822">
    <cfRule type="notContainsBlanks" dxfId="3377" priority="3489">
      <formula>LEN(TRIM(U822))&gt;0</formula>
    </cfRule>
  </conditionalFormatting>
  <conditionalFormatting sqref="U822:Y822">
    <cfRule type="notContainsBlanks" dxfId="3376" priority="3488">
      <formula>LEN(TRIM(U822))&gt;0</formula>
    </cfRule>
  </conditionalFormatting>
  <conditionalFormatting sqref="U822:Y822">
    <cfRule type="notContainsBlanks" dxfId="3375" priority="3487">
      <formula>LEN(TRIM(U822))&gt;0</formula>
    </cfRule>
  </conditionalFormatting>
  <conditionalFormatting sqref="U822:Y822">
    <cfRule type="notContainsBlanks" dxfId="3374" priority="3486">
      <formula>LEN(TRIM(U822))&gt;0</formula>
    </cfRule>
  </conditionalFormatting>
  <conditionalFormatting sqref="U822:Y822">
    <cfRule type="notContainsBlanks" dxfId="3373" priority="3485">
      <formula>LEN(TRIM(U822))&gt;0</formula>
    </cfRule>
  </conditionalFormatting>
  <conditionalFormatting sqref="U822:Y822">
    <cfRule type="notContainsBlanks" dxfId="3372" priority="3483">
      <formula>LEN(TRIM(U822))&gt;0</formula>
    </cfRule>
    <cfRule type="notContainsBlanks" dxfId="3371" priority="3484">
      <formula>LEN(TRIM(U822))&gt;0</formula>
    </cfRule>
  </conditionalFormatting>
  <conditionalFormatting sqref="U822:Y822">
    <cfRule type="notContainsBlanks" dxfId="3370" priority="3482">
      <formula>LEN(TRIM(U822))&gt;0</formula>
    </cfRule>
  </conditionalFormatting>
  <conditionalFormatting sqref="U822:Y822">
    <cfRule type="notContainsBlanks" dxfId="3369" priority="3481">
      <formula>LEN(TRIM(U822))&gt;0</formula>
    </cfRule>
  </conditionalFormatting>
  <conditionalFormatting sqref="U822:Y822">
    <cfRule type="notContainsBlanks" dxfId="3368" priority="3480">
      <formula>LEN(TRIM(U822))&gt;0</formula>
    </cfRule>
  </conditionalFormatting>
  <conditionalFormatting sqref="U822:Y822">
    <cfRule type="notContainsBlanks" dxfId="3367" priority="3479">
      <formula>LEN(TRIM(U822))&gt;0</formula>
    </cfRule>
  </conditionalFormatting>
  <conditionalFormatting sqref="U822:Y822">
    <cfRule type="notContainsBlanks" dxfId="3366" priority="3478">
      <formula>LEN(TRIM(U822))&gt;0</formula>
    </cfRule>
  </conditionalFormatting>
  <conditionalFormatting sqref="U822:Y822">
    <cfRule type="notContainsBlanks" dxfId="3365" priority="3477">
      <formula>LEN(TRIM(U822))&gt;0</formula>
    </cfRule>
  </conditionalFormatting>
  <conditionalFormatting sqref="U822:Y822">
    <cfRule type="notContainsBlanks" dxfId="3364" priority="3476">
      <formula>LEN(TRIM(U822))&gt;0</formula>
    </cfRule>
  </conditionalFormatting>
  <conditionalFormatting sqref="U822:Y822">
    <cfRule type="notContainsBlanks" dxfId="3363" priority="3475">
      <formula>LEN(TRIM(U822))&gt;0</formula>
    </cfRule>
  </conditionalFormatting>
  <conditionalFormatting sqref="U822:Y822">
    <cfRule type="notContainsBlanks" dxfId="3362" priority="3474">
      <formula>LEN(TRIM(U822))&gt;0</formula>
    </cfRule>
  </conditionalFormatting>
  <conditionalFormatting sqref="U822:Y822">
    <cfRule type="notContainsBlanks" priority="3473">
      <formula>LEN(TRIM(U822))&gt;0</formula>
    </cfRule>
  </conditionalFormatting>
  <conditionalFormatting sqref="U822:Y822">
    <cfRule type="notContainsBlanks" dxfId="3361" priority="3472">
      <formula>LEN(TRIM(U822))&gt;0</formula>
    </cfRule>
  </conditionalFormatting>
  <conditionalFormatting sqref="U822:Y822">
    <cfRule type="notContainsBlanks" dxfId="3360" priority="3471">
      <formula>LEN(TRIM(U822))&gt;0</formula>
    </cfRule>
  </conditionalFormatting>
  <conditionalFormatting sqref="U822:Y822">
    <cfRule type="notContainsBlanks" dxfId="3359" priority="3470">
      <formula>LEN(TRIM(U822))&gt;0</formula>
    </cfRule>
  </conditionalFormatting>
  <conditionalFormatting sqref="U822:Y822">
    <cfRule type="notContainsBlanks" dxfId="3358" priority="3469">
      <formula>LEN(TRIM(U822))&gt;0</formula>
    </cfRule>
  </conditionalFormatting>
  <conditionalFormatting sqref="U822:Y822">
    <cfRule type="notContainsBlanks" dxfId="3357" priority="3468">
      <formula>LEN(TRIM(U822))&gt;0</formula>
    </cfRule>
  </conditionalFormatting>
  <conditionalFormatting sqref="U835:Y835">
    <cfRule type="notContainsBlanks" dxfId="3356" priority="3467">
      <formula>LEN(TRIM(U835))&gt;0</formula>
    </cfRule>
  </conditionalFormatting>
  <conditionalFormatting sqref="U835:Y835">
    <cfRule type="notContainsBlanks" dxfId="3355" priority="3466">
      <formula>LEN(TRIM(U835))&gt;0</formula>
    </cfRule>
  </conditionalFormatting>
  <conditionalFormatting sqref="U835:Y835">
    <cfRule type="notContainsBlanks" dxfId="3354" priority="3465">
      <formula>LEN(TRIM(U835))&gt;0</formula>
    </cfRule>
  </conditionalFormatting>
  <conditionalFormatting sqref="U835:Y835">
    <cfRule type="notContainsBlanks" dxfId="3353" priority="3464">
      <formula>LEN(TRIM(U835))&gt;0</formula>
    </cfRule>
  </conditionalFormatting>
  <conditionalFormatting sqref="U835:Y835">
    <cfRule type="notContainsBlanks" dxfId="3352" priority="3463">
      <formula>LEN(TRIM(U835))&gt;0</formula>
    </cfRule>
  </conditionalFormatting>
  <conditionalFormatting sqref="U835:Y835">
    <cfRule type="notContainsBlanks" dxfId="3351" priority="3462">
      <formula>LEN(TRIM(U835))&gt;0</formula>
    </cfRule>
  </conditionalFormatting>
  <conditionalFormatting sqref="U835:Y835">
    <cfRule type="notContainsBlanks" dxfId="3350" priority="3461">
      <formula>LEN(TRIM(U835))&gt;0</formula>
    </cfRule>
  </conditionalFormatting>
  <conditionalFormatting sqref="U835:Y835">
    <cfRule type="notContainsBlanks" dxfId="3349" priority="3460">
      <formula>LEN(TRIM(U835))&gt;0</formula>
    </cfRule>
  </conditionalFormatting>
  <conditionalFormatting sqref="U835:Y835">
    <cfRule type="notContainsBlanks" dxfId="3348" priority="3459">
      <formula>LEN(TRIM(U835))&gt;0</formula>
    </cfRule>
  </conditionalFormatting>
  <conditionalFormatting sqref="U835:Y835">
    <cfRule type="notContainsBlanks" dxfId="3347" priority="3457">
      <formula>LEN(TRIM(U835))&gt;0</formula>
    </cfRule>
    <cfRule type="notContainsBlanks" dxfId="3346" priority="3458">
      <formula>LEN(TRIM(U835))&gt;0</formula>
    </cfRule>
  </conditionalFormatting>
  <conditionalFormatting sqref="U835:Y835">
    <cfRule type="notContainsBlanks" dxfId="3345" priority="3456">
      <formula>LEN(TRIM(U835))&gt;0</formula>
    </cfRule>
  </conditionalFormatting>
  <conditionalFormatting sqref="U835:Y835">
    <cfRule type="notContainsBlanks" dxfId="3344" priority="3455">
      <formula>LEN(TRIM(U835))&gt;0</formula>
    </cfRule>
  </conditionalFormatting>
  <conditionalFormatting sqref="U835:Y835">
    <cfRule type="notContainsBlanks" dxfId="3343" priority="3454">
      <formula>LEN(TRIM(U835))&gt;0</formula>
    </cfRule>
  </conditionalFormatting>
  <conditionalFormatting sqref="U835:Y835">
    <cfRule type="notContainsBlanks" dxfId="3342" priority="3453">
      <formula>LEN(TRIM(U835))&gt;0</formula>
    </cfRule>
  </conditionalFormatting>
  <conditionalFormatting sqref="U835:Y835">
    <cfRule type="notContainsBlanks" dxfId="3341" priority="3452">
      <formula>LEN(TRIM(U835))&gt;0</formula>
    </cfRule>
  </conditionalFormatting>
  <conditionalFormatting sqref="U835:Y835">
    <cfRule type="notContainsBlanks" dxfId="3340" priority="3451">
      <formula>LEN(TRIM(U835))&gt;0</formula>
    </cfRule>
  </conditionalFormatting>
  <conditionalFormatting sqref="U835:Y835">
    <cfRule type="notContainsBlanks" dxfId="3339" priority="3450">
      <formula>LEN(TRIM(U835))&gt;0</formula>
    </cfRule>
  </conditionalFormatting>
  <conditionalFormatting sqref="U835:Y835">
    <cfRule type="notContainsBlanks" dxfId="3338" priority="3449">
      <formula>LEN(TRIM(U835))&gt;0</formula>
    </cfRule>
  </conditionalFormatting>
  <conditionalFormatting sqref="U835:Y835">
    <cfRule type="notContainsBlanks" dxfId="3337" priority="3448">
      <formula>LEN(TRIM(U835))&gt;0</formula>
    </cfRule>
  </conditionalFormatting>
  <conditionalFormatting sqref="U835:Y835">
    <cfRule type="notContainsBlanks" priority="3447">
      <formula>LEN(TRIM(U835))&gt;0</formula>
    </cfRule>
  </conditionalFormatting>
  <conditionalFormatting sqref="U835:Y835">
    <cfRule type="notContainsBlanks" dxfId="3336" priority="3446">
      <formula>LEN(TRIM(U835))&gt;0</formula>
    </cfRule>
  </conditionalFormatting>
  <conditionalFormatting sqref="U835:Y835">
    <cfRule type="notContainsBlanks" dxfId="3335" priority="3445">
      <formula>LEN(TRIM(U835))&gt;0</formula>
    </cfRule>
  </conditionalFormatting>
  <conditionalFormatting sqref="U835:Y835">
    <cfRule type="notContainsBlanks" dxfId="3334" priority="3444">
      <formula>LEN(TRIM(U835))&gt;0</formula>
    </cfRule>
  </conditionalFormatting>
  <conditionalFormatting sqref="U835:Y835">
    <cfRule type="notContainsBlanks" dxfId="3333" priority="3443">
      <formula>LEN(TRIM(U835))&gt;0</formula>
    </cfRule>
  </conditionalFormatting>
  <conditionalFormatting sqref="U835:Y835">
    <cfRule type="notContainsBlanks" dxfId="3332" priority="3442">
      <formula>LEN(TRIM(U835))&gt;0</formula>
    </cfRule>
  </conditionalFormatting>
  <conditionalFormatting sqref="U848:Y848">
    <cfRule type="notContainsBlanks" dxfId="3331" priority="3441">
      <formula>LEN(TRIM(U848))&gt;0</formula>
    </cfRule>
  </conditionalFormatting>
  <conditionalFormatting sqref="U848:Y848">
    <cfRule type="notContainsBlanks" dxfId="3330" priority="3440">
      <formula>LEN(TRIM(U848))&gt;0</formula>
    </cfRule>
  </conditionalFormatting>
  <conditionalFormatting sqref="U848:Y848">
    <cfRule type="notContainsBlanks" dxfId="3329" priority="3439">
      <formula>LEN(TRIM(U848))&gt;0</formula>
    </cfRule>
  </conditionalFormatting>
  <conditionalFormatting sqref="U848:Y848">
    <cfRule type="notContainsBlanks" dxfId="3328" priority="3438">
      <formula>LEN(TRIM(U848))&gt;0</formula>
    </cfRule>
  </conditionalFormatting>
  <conditionalFormatting sqref="U848:Y848">
    <cfRule type="notContainsBlanks" dxfId="3327" priority="3437">
      <formula>LEN(TRIM(U848))&gt;0</formula>
    </cfRule>
  </conditionalFormatting>
  <conditionalFormatting sqref="U848:Y848">
    <cfRule type="notContainsBlanks" dxfId="3326" priority="3436">
      <formula>LEN(TRIM(U848))&gt;0</formula>
    </cfRule>
  </conditionalFormatting>
  <conditionalFormatting sqref="U848:Y848">
    <cfRule type="notContainsBlanks" dxfId="3325" priority="3435">
      <formula>LEN(TRIM(U848))&gt;0</formula>
    </cfRule>
  </conditionalFormatting>
  <conditionalFormatting sqref="U848:Y848">
    <cfRule type="notContainsBlanks" dxfId="3324" priority="3434">
      <formula>LEN(TRIM(U848))&gt;0</formula>
    </cfRule>
  </conditionalFormatting>
  <conditionalFormatting sqref="U848:Y848">
    <cfRule type="notContainsBlanks" dxfId="3323" priority="3433">
      <formula>LEN(TRIM(U848))&gt;0</formula>
    </cfRule>
  </conditionalFormatting>
  <conditionalFormatting sqref="U848:Y848">
    <cfRule type="notContainsBlanks" dxfId="3322" priority="3431">
      <formula>LEN(TRIM(U848))&gt;0</formula>
    </cfRule>
    <cfRule type="notContainsBlanks" dxfId="3321" priority="3432">
      <formula>LEN(TRIM(U848))&gt;0</formula>
    </cfRule>
  </conditionalFormatting>
  <conditionalFormatting sqref="U848:Y848">
    <cfRule type="notContainsBlanks" dxfId="3320" priority="3430">
      <formula>LEN(TRIM(U848))&gt;0</formula>
    </cfRule>
  </conditionalFormatting>
  <conditionalFormatting sqref="U848:Y848">
    <cfRule type="notContainsBlanks" dxfId="3319" priority="3429">
      <formula>LEN(TRIM(U848))&gt;0</formula>
    </cfRule>
  </conditionalFormatting>
  <conditionalFormatting sqref="U848:Y848">
    <cfRule type="notContainsBlanks" dxfId="3318" priority="3428">
      <formula>LEN(TRIM(U848))&gt;0</formula>
    </cfRule>
  </conditionalFormatting>
  <conditionalFormatting sqref="U848:Y848">
    <cfRule type="notContainsBlanks" dxfId="3317" priority="3427">
      <formula>LEN(TRIM(U848))&gt;0</formula>
    </cfRule>
  </conditionalFormatting>
  <conditionalFormatting sqref="U848:Y848">
    <cfRule type="notContainsBlanks" dxfId="3316" priority="3426">
      <formula>LEN(TRIM(U848))&gt;0</formula>
    </cfRule>
  </conditionalFormatting>
  <conditionalFormatting sqref="U848:Y848">
    <cfRule type="notContainsBlanks" dxfId="3315" priority="3425">
      <formula>LEN(TRIM(U848))&gt;0</formula>
    </cfRule>
  </conditionalFormatting>
  <conditionalFormatting sqref="U848:Y848">
    <cfRule type="notContainsBlanks" dxfId="3314" priority="3424">
      <formula>LEN(TRIM(U848))&gt;0</formula>
    </cfRule>
  </conditionalFormatting>
  <conditionalFormatting sqref="U848:Y848">
    <cfRule type="notContainsBlanks" dxfId="3313" priority="3423">
      <formula>LEN(TRIM(U848))&gt;0</formula>
    </cfRule>
  </conditionalFormatting>
  <conditionalFormatting sqref="U848:Y848">
    <cfRule type="notContainsBlanks" dxfId="3312" priority="3422">
      <formula>LEN(TRIM(U848))&gt;0</formula>
    </cfRule>
  </conditionalFormatting>
  <conditionalFormatting sqref="U848:Y848">
    <cfRule type="notContainsBlanks" priority="3421">
      <formula>LEN(TRIM(U848))&gt;0</formula>
    </cfRule>
  </conditionalFormatting>
  <conditionalFormatting sqref="U848:Y848">
    <cfRule type="notContainsBlanks" dxfId="3311" priority="3420">
      <formula>LEN(TRIM(U848))&gt;0</formula>
    </cfRule>
  </conditionalFormatting>
  <conditionalFormatting sqref="U848:Y848">
    <cfRule type="notContainsBlanks" dxfId="3310" priority="3419">
      <formula>LEN(TRIM(U848))&gt;0</formula>
    </cfRule>
  </conditionalFormatting>
  <conditionalFormatting sqref="U848:Y848">
    <cfRule type="notContainsBlanks" dxfId="3309" priority="3418">
      <formula>LEN(TRIM(U848))&gt;0</formula>
    </cfRule>
  </conditionalFormatting>
  <conditionalFormatting sqref="U848:Y848">
    <cfRule type="notContainsBlanks" dxfId="3308" priority="3417">
      <formula>LEN(TRIM(U848))&gt;0</formula>
    </cfRule>
  </conditionalFormatting>
  <conditionalFormatting sqref="U848:Y848">
    <cfRule type="notContainsBlanks" dxfId="3307" priority="3416">
      <formula>LEN(TRIM(U848))&gt;0</formula>
    </cfRule>
  </conditionalFormatting>
  <conditionalFormatting sqref="U861:Y861">
    <cfRule type="notContainsBlanks" dxfId="3306" priority="3415">
      <formula>LEN(TRIM(U861))&gt;0</formula>
    </cfRule>
  </conditionalFormatting>
  <conditionalFormatting sqref="U861:Y861">
    <cfRule type="notContainsBlanks" dxfId="3305" priority="3414">
      <formula>LEN(TRIM(U861))&gt;0</formula>
    </cfRule>
  </conditionalFormatting>
  <conditionalFormatting sqref="U861:Y861">
    <cfRule type="notContainsBlanks" dxfId="3304" priority="3413">
      <formula>LEN(TRIM(U861))&gt;0</formula>
    </cfRule>
  </conditionalFormatting>
  <conditionalFormatting sqref="U861:Y861">
    <cfRule type="notContainsBlanks" dxfId="3303" priority="3412">
      <formula>LEN(TRIM(U861))&gt;0</formula>
    </cfRule>
  </conditionalFormatting>
  <conditionalFormatting sqref="U861:Y861">
    <cfRule type="notContainsBlanks" dxfId="3302" priority="3411">
      <formula>LEN(TRIM(U861))&gt;0</formula>
    </cfRule>
  </conditionalFormatting>
  <conditionalFormatting sqref="U861:Y861">
    <cfRule type="notContainsBlanks" dxfId="3301" priority="3410">
      <formula>LEN(TRIM(U861))&gt;0</formula>
    </cfRule>
  </conditionalFormatting>
  <conditionalFormatting sqref="U861:Y861">
    <cfRule type="notContainsBlanks" dxfId="3300" priority="3409">
      <formula>LEN(TRIM(U861))&gt;0</formula>
    </cfRule>
  </conditionalFormatting>
  <conditionalFormatting sqref="U861:Y861">
    <cfRule type="notContainsBlanks" dxfId="3299" priority="3408">
      <formula>LEN(TRIM(U861))&gt;0</formula>
    </cfRule>
  </conditionalFormatting>
  <conditionalFormatting sqref="U861:Y861">
    <cfRule type="notContainsBlanks" dxfId="3298" priority="3407">
      <formula>LEN(TRIM(U861))&gt;0</formula>
    </cfRule>
  </conditionalFormatting>
  <conditionalFormatting sqref="U861:Y861">
    <cfRule type="notContainsBlanks" dxfId="3297" priority="3405">
      <formula>LEN(TRIM(U861))&gt;0</formula>
    </cfRule>
    <cfRule type="notContainsBlanks" dxfId="3296" priority="3406">
      <formula>LEN(TRIM(U861))&gt;0</formula>
    </cfRule>
  </conditionalFormatting>
  <conditionalFormatting sqref="U861:Y861">
    <cfRule type="notContainsBlanks" dxfId="3295" priority="3404">
      <formula>LEN(TRIM(U861))&gt;0</formula>
    </cfRule>
  </conditionalFormatting>
  <conditionalFormatting sqref="U861:Y861">
    <cfRule type="notContainsBlanks" dxfId="3294" priority="3403">
      <formula>LEN(TRIM(U861))&gt;0</formula>
    </cfRule>
  </conditionalFormatting>
  <conditionalFormatting sqref="U861:Y861">
    <cfRule type="notContainsBlanks" dxfId="3293" priority="3402">
      <formula>LEN(TRIM(U861))&gt;0</formula>
    </cfRule>
  </conditionalFormatting>
  <conditionalFormatting sqref="U861:Y861">
    <cfRule type="notContainsBlanks" dxfId="3292" priority="3401">
      <formula>LEN(TRIM(U861))&gt;0</formula>
    </cfRule>
  </conditionalFormatting>
  <conditionalFormatting sqref="U861:Y861">
    <cfRule type="notContainsBlanks" dxfId="3291" priority="3400">
      <formula>LEN(TRIM(U861))&gt;0</formula>
    </cfRule>
  </conditionalFormatting>
  <conditionalFormatting sqref="U861:Y861">
    <cfRule type="notContainsBlanks" dxfId="3290" priority="3399">
      <formula>LEN(TRIM(U861))&gt;0</formula>
    </cfRule>
  </conditionalFormatting>
  <conditionalFormatting sqref="U861:Y861">
    <cfRule type="notContainsBlanks" dxfId="3289" priority="3398">
      <formula>LEN(TRIM(U861))&gt;0</formula>
    </cfRule>
  </conditionalFormatting>
  <conditionalFormatting sqref="U861:Y861">
    <cfRule type="notContainsBlanks" dxfId="3288" priority="3397">
      <formula>LEN(TRIM(U861))&gt;0</formula>
    </cfRule>
  </conditionalFormatting>
  <conditionalFormatting sqref="U861:Y861">
    <cfRule type="notContainsBlanks" dxfId="3287" priority="3396">
      <formula>LEN(TRIM(U861))&gt;0</formula>
    </cfRule>
  </conditionalFormatting>
  <conditionalFormatting sqref="U861:Y861">
    <cfRule type="notContainsBlanks" priority="3395">
      <formula>LEN(TRIM(U861))&gt;0</formula>
    </cfRule>
  </conditionalFormatting>
  <conditionalFormatting sqref="U861:Y861">
    <cfRule type="notContainsBlanks" dxfId="3286" priority="3394">
      <formula>LEN(TRIM(U861))&gt;0</formula>
    </cfRule>
  </conditionalFormatting>
  <conditionalFormatting sqref="U861:Y861">
    <cfRule type="notContainsBlanks" dxfId="3285" priority="3393">
      <formula>LEN(TRIM(U861))&gt;0</formula>
    </cfRule>
  </conditionalFormatting>
  <conditionalFormatting sqref="U861:Y861">
    <cfRule type="notContainsBlanks" dxfId="3284" priority="3392">
      <formula>LEN(TRIM(U861))&gt;0</formula>
    </cfRule>
  </conditionalFormatting>
  <conditionalFormatting sqref="U861:Y861">
    <cfRule type="notContainsBlanks" dxfId="3283" priority="3391">
      <formula>LEN(TRIM(U861))&gt;0</formula>
    </cfRule>
  </conditionalFormatting>
  <conditionalFormatting sqref="U861:Y861">
    <cfRule type="notContainsBlanks" dxfId="3282" priority="3390">
      <formula>LEN(TRIM(U861))&gt;0</formula>
    </cfRule>
  </conditionalFormatting>
  <conditionalFormatting sqref="U874:Y874">
    <cfRule type="notContainsBlanks" dxfId="3281" priority="3389">
      <formula>LEN(TRIM(U874))&gt;0</formula>
    </cfRule>
  </conditionalFormatting>
  <conditionalFormatting sqref="U874:Y874">
    <cfRule type="notContainsBlanks" dxfId="3280" priority="3388">
      <formula>LEN(TRIM(U874))&gt;0</formula>
    </cfRule>
  </conditionalFormatting>
  <conditionalFormatting sqref="U874:Y874">
    <cfRule type="notContainsBlanks" dxfId="3279" priority="3387">
      <formula>LEN(TRIM(U874))&gt;0</formula>
    </cfRule>
  </conditionalFormatting>
  <conditionalFormatting sqref="U874:Y874">
    <cfRule type="notContainsBlanks" dxfId="3278" priority="3386">
      <formula>LEN(TRIM(U874))&gt;0</formula>
    </cfRule>
  </conditionalFormatting>
  <conditionalFormatting sqref="U874:Y874">
    <cfRule type="notContainsBlanks" dxfId="3277" priority="3385">
      <formula>LEN(TRIM(U874))&gt;0</formula>
    </cfRule>
  </conditionalFormatting>
  <conditionalFormatting sqref="U874:Y874">
    <cfRule type="notContainsBlanks" dxfId="3276" priority="3384">
      <formula>LEN(TRIM(U874))&gt;0</formula>
    </cfRule>
  </conditionalFormatting>
  <conditionalFormatting sqref="U874:Y874">
    <cfRule type="notContainsBlanks" dxfId="3275" priority="3383">
      <formula>LEN(TRIM(U874))&gt;0</formula>
    </cfRule>
  </conditionalFormatting>
  <conditionalFormatting sqref="U874:Y874">
    <cfRule type="notContainsBlanks" dxfId="3274" priority="3382">
      <formula>LEN(TRIM(U874))&gt;0</formula>
    </cfRule>
  </conditionalFormatting>
  <conditionalFormatting sqref="U874:Y874">
    <cfRule type="notContainsBlanks" dxfId="3273" priority="3381">
      <formula>LEN(TRIM(U874))&gt;0</formula>
    </cfRule>
  </conditionalFormatting>
  <conditionalFormatting sqref="U874:Y874">
    <cfRule type="notContainsBlanks" dxfId="3272" priority="3379">
      <formula>LEN(TRIM(U874))&gt;0</formula>
    </cfRule>
    <cfRule type="notContainsBlanks" dxfId="3271" priority="3380">
      <formula>LEN(TRIM(U874))&gt;0</formula>
    </cfRule>
  </conditionalFormatting>
  <conditionalFormatting sqref="U874:Y874">
    <cfRule type="notContainsBlanks" dxfId="3270" priority="3378">
      <formula>LEN(TRIM(U874))&gt;0</formula>
    </cfRule>
  </conditionalFormatting>
  <conditionalFormatting sqref="U874:Y874">
    <cfRule type="notContainsBlanks" dxfId="3269" priority="3377">
      <formula>LEN(TRIM(U874))&gt;0</formula>
    </cfRule>
  </conditionalFormatting>
  <conditionalFormatting sqref="U874:Y874">
    <cfRule type="notContainsBlanks" dxfId="3268" priority="3376">
      <formula>LEN(TRIM(U874))&gt;0</formula>
    </cfRule>
  </conditionalFormatting>
  <conditionalFormatting sqref="U874:Y874">
    <cfRule type="notContainsBlanks" dxfId="3267" priority="3375">
      <formula>LEN(TRIM(U874))&gt;0</formula>
    </cfRule>
  </conditionalFormatting>
  <conditionalFormatting sqref="U874:Y874">
    <cfRule type="notContainsBlanks" dxfId="3266" priority="3374">
      <formula>LEN(TRIM(U874))&gt;0</formula>
    </cfRule>
  </conditionalFormatting>
  <conditionalFormatting sqref="U874:Y874">
    <cfRule type="notContainsBlanks" dxfId="3265" priority="3373">
      <formula>LEN(TRIM(U874))&gt;0</formula>
    </cfRule>
  </conditionalFormatting>
  <conditionalFormatting sqref="U874:Y874">
    <cfRule type="notContainsBlanks" dxfId="3264" priority="3372">
      <formula>LEN(TRIM(U874))&gt;0</formula>
    </cfRule>
  </conditionalFormatting>
  <conditionalFormatting sqref="U874:Y874">
    <cfRule type="notContainsBlanks" dxfId="3263" priority="3371">
      <formula>LEN(TRIM(U874))&gt;0</formula>
    </cfRule>
  </conditionalFormatting>
  <conditionalFormatting sqref="U874:Y874">
    <cfRule type="notContainsBlanks" dxfId="3262" priority="3370">
      <formula>LEN(TRIM(U874))&gt;0</formula>
    </cfRule>
  </conditionalFormatting>
  <conditionalFormatting sqref="U874:Y874">
    <cfRule type="notContainsBlanks" priority="3369">
      <formula>LEN(TRIM(U874))&gt;0</formula>
    </cfRule>
  </conditionalFormatting>
  <conditionalFormatting sqref="U874:Y874">
    <cfRule type="notContainsBlanks" dxfId="3261" priority="3368">
      <formula>LEN(TRIM(U874))&gt;0</formula>
    </cfRule>
  </conditionalFormatting>
  <conditionalFormatting sqref="U874:Y874">
    <cfRule type="notContainsBlanks" dxfId="3260" priority="3367">
      <formula>LEN(TRIM(U874))&gt;0</formula>
    </cfRule>
  </conditionalFormatting>
  <conditionalFormatting sqref="U874:Y874">
    <cfRule type="notContainsBlanks" dxfId="3259" priority="3366">
      <formula>LEN(TRIM(U874))&gt;0</formula>
    </cfRule>
  </conditionalFormatting>
  <conditionalFormatting sqref="U874:Y874">
    <cfRule type="notContainsBlanks" dxfId="3258" priority="3365">
      <formula>LEN(TRIM(U874))&gt;0</formula>
    </cfRule>
  </conditionalFormatting>
  <conditionalFormatting sqref="U874:Y874">
    <cfRule type="notContainsBlanks" dxfId="3257" priority="3364">
      <formula>LEN(TRIM(U874))&gt;0</formula>
    </cfRule>
  </conditionalFormatting>
  <conditionalFormatting sqref="U887:Y887">
    <cfRule type="notContainsBlanks" dxfId="3256" priority="3363">
      <formula>LEN(TRIM(U887))&gt;0</formula>
    </cfRule>
  </conditionalFormatting>
  <conditionalFormatting sqref="U887:Y887">
    <cfRule type="notContainsBlanks" dxfId="3255" priority="3362">
      <formula>LEN(TRIM(U887))&gt;0</formula>
    </cfRule>
  </conditionalFormatting>
  <conditionalFormatting sqref="U887:Y887">
    <cfRule type="notContainsBlanks" dxfId="3254" priority="3361">
      <formula>LEN(TRIM(U887))&gt;0</formula>
    </cfRule>
  </conditionalFormatting>
  <conditionalFormatting sqref="U887:Y887">
    <cfRule type="notContainsBlanks" dxfId="3253" priority="3360">
      <formula>LEN(TRIM(U887))&gt;0</formula>
    </cfRule>
  </conditionalFormatting>
  <conditionalFormatting sqref="U887:Y887">
    <cfRule type="notContainsBlanks" dxfId="3252" priority="3359">
      <formula>LEN(TRIM(U887))&gt;0</formula>
    </cfRule>
  </conditionalFormatting>
  <conditionalFormatting sqref="U887:Y887">
    <cfRule type="notContainsBlanks" dxfId="3251" priority="3358">
      <formula>LEN(TRIM(U887))&gt;0</formula>
    </cfRule>
  </conditionalFormatting>
  <conditionalFormatting sqref="U887:Y887">
    <cfRule type="notContainsBlanks" dxfId="3250" priority="3357">
      <formula>LEN(TRIM(U887))&gt;0</formula>
    </cfRule>
  </conditionalFormatting>
  <conditionalFormatting sqref="U887:Y887">
    <cfRule type="notContainsBlanks" dxfId="3249" priority="3356">
      <formula>LEN(TRIM(U887))&gt;0</formula>
    </cfRule>
  </conditionalFormatting>
  <conditionalFormatting sqref="U887:Y887">
    <cfRule type="notContainsBlanks" dxfId="3248" priority="3355">
      <formula>LEN(TRIM(U887))&gt;0</formula>
    </cfRule>
  </conditionalFormatting>
  <conditionalFormatting sqref="U887:Y887">
    <cfRule type="notContainsBlanks" dxfId="3247" priority="3353">
      <formula>LEN(TRIM(U887))&gt;0</formula>
    </cfRule>
    <cfRule type="notContainsBlanks" dxfId="3246" priority="3354">
      <formula>LEN(TRIM(U887))&gt;0</formula>
    </cfRule>
  </conditionalFormatting>
  <conditionalFormatting sqref="U887:Y887">
    <cfRule type="notContainsBlanks" dxfId="3245" priority="3352">
      <formula>LEN(TRIM(U887))&gt;0</formula>
    </cfRule>
  </conditionalFormatting>
  <conditionalFormatting sqref="U887:Y887">
    <cfRule type="notContainsBlanks" dxfId="3244" priority="3351">
      <formula>LEN(TRIM(U887))&gt;0</formula>
    </cfRule>
  </conditionalFormatting>
  <conditionalFormatting sqref="U887:Y887">
    <cfRule type="notContainsBlanks" dxfId="3243" priority="3350">
      <formula>LEN(TRIM(U887))&gt;0</formula>
    </cfRule>
  </conditionalFormatting>
  <conditionalFormatting sqref="U887:Y887">
    <cfRule type="notContainsBlanks" dxfId="3242" priority="3349">
      <formula>LEN(TRIM(U887))&gt;0</formula>
    </cfRule>
  </conditionalFormatting>
  <conditionalFormatting sqref="U887:Y887">
    <cfRule type="notContainsBlanks" dxfId="3241" priority="3348">
      <formula>LEN(TRIM(U887))&gt;0</formula>
    </cfRule>
  </conditionalFormatting>
  <conditionalFormatting sqref="U887:Y887">
    <cfRule type="notContainsBlanks" dxfId="3240" priority="3347">
      <formula>LEN(TRIM(U887))&gt;0</formula>
    </cfRule>
  </conditionalFormatting>
  <conditionalFormatting sqref="U887:Y887">
    <cfRule type="notContainsBlanks" dxfId="3239" priority="3346">
      <formula>LEN(TRIM(U887))&gt;0</formula>
    </cfRule>
  </conditionalFormatting>
  <conditionalFormatting sqref="U887:Y887">
    <cfRule type="notContainsBlanks" dxfId="3238" priority="3345">
      <formula>LEN(TRIM(U887))&gt;0</formula>
    </cfRule>
  </conditionalFormatting>
  <conditionalFormatting sqref="U887:Y887">
    <cfRule type="notContainsBlanks" dxfId="3237" priority="3344">
      <formula>LEN(TRIM(U887))&gt;0</formula>
    </cfRule>
  </conditionalFormatting>
  <conditionalFormatting sqref="U887:Y887">
    <cfRule type="notContainsBlanks" priority="3343">
      <formula>LEN(TRIM(U887))&gt;0</formula>
    </cfRule>
  </conditionalFormatting>
  <conditionalFormatting sqref="U887:Y887">
    <cfRule type="notContainsBlanks" dxfId="3236" priority="3342">
      <formula>LEN(TRIM(U887))&gt;0</formula>
    </cfRule>
  </conditionalFormatting>
  <conditionalFormatting sqref="U887:Y887">
    <cfRule type="notContainsBlanks" dxfId="3235" priority="3341">
      <formula>LEN(TRIM(U887))&gt;0</formula>
    </cfRule>
  </conditionalFormatting>
  <conditionalFormatting sqref="U887:Y887">
    <cfRule type="notContainsBlanks" dxfId="3234" priority="3340">
      <formula>LEN(TRIM(U887))&gt;0</formula>
    </cfRule>
  </conditionalFormatting>
  <conditionalFormatting sqref="U887:Y887">
    <cfRule type="notContainsBlanks" dxfId="3233" priority="3339">
      <formula>LEN(TRIM(U887))&gt;0</formula>
    </cfRule>
  </conditionalFormatting>
  <conditionalFormatting sqref="U887:Y887">
    <cfRule type="notContainsBlanks" dxfId="3232" priority="3338">
      <formula>LEN(TRIM(U887))&gt;0</formula>
    </cfRule>
  </conditionalFormatting>
  <conditionalFormatting sqref="U900:Y900">
    <cfRule type="notContainsBlanks" dxfId="3231" priority="3337">
      <formula>LEN(TRIM(U900))&gt;0</formula>
    </cfRule>
  </conditionalFormatting>
  <conditionalFormatting sqref="U900:Y900">
    <cfRule type="notContainsBlanks" dxfId="3230" priority="3336">
      <formula>LEN(TRIM(U900))&gt;0</formula>
    </cfRule>
  </conditionalFormatting>
  <conditionalFormatting sqref="U900:Y900">
    <cfRule type="notContainsBlanks" dxfId="3229" priority="3335">
      <formula>LEN(TRIM(U900))&gt;0</formula>
    </cfRule>
  </conditionalFormatting>
  <conditionalFormatting sqref="U900:Y900">
    <cfRule type="notContainsBlanks" dxfId="3228" priority="3334">
      <formula>LEN(TRIM(U900))&gt;0</formula>
    </cfRule>
  </conditionalFormatting>
  <conditionalFormatting sqref="U900:Y900">
    <cfRule type="notContainsBlanks" dxfId="3227" priority="3333">
      <formula>LEN(TRIM(U900))&gt;0</formula>
    </cfRule>
  </conditionalFormatting>
  <conditionalFormatting sqref="U900:Y900">
    <cfRule type="notContainsBlanks" dxfId="3226" priority="3332">
      <formula>LEN(TRIM(U900))&gt;0</formula>
    </cfRule>
  </conditionalFormatting>
  <conditionalFormatting sqref="U900:Y900">
    <cfRule type="notContainsBlanks" dxfId="3225" priority="3331">
      <formula>LEN(TRIM(U900))&gt;0</formula>
    </cfRule>
  </conditionalFormatting>
  <conditionalFormatting sqref="U900:Y900">
    <cfRule type="notContainsBlanks" dxfId="3224" priority="3330">
      <formula>LEN(TRIM(U900))&gt;0</formula>
    </cfRule>
  </conditionalFormatting>
  <conditionalFormatting sqref="U900:Y900">
    <cfRule type="notContainsBlanks" dxfId="3223" priority="3329">
      <formula>LEN(TRIM(U900))&gt;0</formula>
    </cfRule>
  </conditionalFormatting>
  <conditionalFormatting sqref="U900:Y900">
    <cfRule type="notContainsBlanks" dxfId="3222" priority="3327">
      <formula>LEN(TRIM(U900))&gt;0</formula>
    </cfRule>
    <cfRule type="notContainsBlanks" dxfId="3221" priority="3328">
      <formula>LEN(TRIM(U900))&gt;0</formula>
    </cfRule>
  </conditionalFormatting>
  <conditionalFormatting sqref="U900:Y900">
    <cfRule type="notContainsBlanks" dxfId="3220" priority="3326">
      <formula>LEN(TRIM(U900))&gt;0</formula>
    </cfRule>
  </conditionalFormatting>
  <conditionalFormatting sqref="U900:Y900">
    <cfRule type="notContainsBlanks" dxfId="3219" priority="3325">
      <formula>LEN(TRIM(U900))&gt;0</formula>
    </cfRule>
  </conditionalFormatting>
  <conditionalFormatting sqref="U900:Y900">
    <cfRule type="notContainsBlanks" dxfId="3218" priority="3324">
      <formula>LEN(TRIM(U900))&gt;0</formula>
    </cfRule>
  </conditionalFormatting>
  <conditionalFormatting sqref="U900:Y900">
    <cfRule type="notContainsBlanks" dxfId="3217" priority="3323">
      <formula>LEN(TRIM(U900))&gt;0</formula>
    </cfRule>
  </conditionalFormatting>
  <conditionalFormatting sqref="U900:Y900">
    <cfRule type="notContainsBlanks" dxfId="3216" priority="3322">
      <formula>LEN(TRIM(U900))&gt;0</formula>
    </cfRule>
  </conditionalFormatting>
  <conditionalFormatting sqref="U900:Y900">
    <cfRule type="notContainsBlanks" dxfId="3215" priority="3321">
      <formula>LEN(TRIM(U900))&gt;0</formula>
    </cfRule>
  </conditionalFormatting>
  <conditionalFormatting sqref="U900:Y900">
    <cfRule type="notContainsBlanks" dxfId="3214" priority="3320">
      <formula>LEN(TRIM(U900))&gt;0</formula>
    </cfRule>
  </conditionalFormatting>
  <conditionalFormatting sqref="U900:Y900">
    <cfRule type="notContainsBlanks" dxfId="3213" priority="3319">
      <formula>LEN(TRIM(U900))&gt;0</formula>
    </cfRule>
  </conditionalFormatting>
  <conditionalFormatting sqref="U900:Y900">
    <cfRule type="notContainsBlanks" dxfId="3212" priority="3318">
      <formula>LEN(TRIM(U900))&gt;0</formula>
    </cfRule>
  </conditionalFormatting>
  <conditionalFormatting sqref="U900:Y900">
    <cfRule type="notContainsBlanks" priority="3317">
      <formula>LEN(TRIM(U900))&gt;0</formula>
    </cfRule>
  </conditionalFormatting>
  <conditionalFormatting sqref="U900:Y900">
    <cfRule type="notContainsBlanks" dxfId="3211" priority="3316">
      <formula>LEN(TRIM(U900))&gt;0</formula>
    </cfRule>
  </conditionalFormatting>
  <conditionalFormatting sqref="U900:Y900">
    <cfRule type="notContainsBlanks" dxfId="3210" priority="3315">
      <formula>LEN(TRIM(U900))&gt;0</formula>
    </cfRule>
  </conditionalFormatting>
  <conditionalFormatting sqref="U900:Y900">
    <cfRule type="notContainsBlanks" dxfId="3209" priority="3314">
      <formula>LEN(TRIM(U900))&gt;0</formula>
    </cfRule>
  </conditionalFormatting>
  <conditionalFormatting sqref="U900:Y900">
    <cfRule type="notContainsBlanks" dxfId="3208" priority="3313">
      <formula>LEN(TRIM(U900))&gt;0</formula>
    </cfRule>
  </conditionalFormatting>
  <conditionalFormatting sqref="U900:Y900">
    <cfRule type="notContainsBlanks" dxfId="3207" priority="3312">
      <formula>LEN(TRIM(U900))&gt;0</formula>
    </cfRule>
  </conditionalFormatting>
  <conditionalFormatting sqref="U913:Y913">
    <cfRule type="notContainsBlanks" dxfId="3206" priority="3311">
      <formula>LEN(TRIM(U913))&gt;0</formula>
    </cfRule>
  </conditionalFormatting>
  <conditionalFormatting sqref="U913:Y913">
    <cfRule type="notContainsBlanks" dxfId="3205" priority="3310">
      <formula>LEN(TRIM(U913))&gt;0</formula>
    </cfRule>
  </conditionalFormatting>
  <conditionalFormatting sqref="U913:Y913">
    <cfRule type="notContainsBlanks" dxfId="3204" priority="3309">
      <formula>LEN(TRIM(U913))&gt;0</formula>
    </cfRule>
  </conditionalFormatting>
  <conditionalFormatting sqref="U913:Y913">
    <cfRule type="notContainsBlanks" dxfId="3203" priority="3308">
      <formula>LEN(TRIM(U913))&gt;0</formula>
    </cfRule>
  </conditionalFormatting>
  <conditionalFormatting sqref="U913:Y913">
    <cfRule type="notContainsBlanks" dxfId="3202" priority="3307">
      <formula>LEN(TRIM(U913))&gt;0</formula>
    </cfRule>
  </conditionalFormatting>
  <conditionalFormatting sqref="U913:Y913">
    <cfRule type="notContainsBlanks" dxfId="3201" priority="3306">
      <formula>LEN(TRIM(U913))&gt;0</formula>
    </cfRule>
  </conditionalFormatting>
  <conditionalFormatting sqref="U913:Y913">
    <cfRule type="notContainsBlanks" dxfId="3200" priority="3305">
      <formula>LEN(TRIM(U913))&gt;0</formula>
    </cfRule>
  </conditionalFormatting>
  <conditionalFormatting sqref="U913:Y913">
    <cfRule type="notContainsBlanks" dxfId="3199" priority="3304">
      <formula>LEN(TRIM(U913))&gt;0</formula>
    </cfRule>
  </conditionalFormatting>
  <conditionalFormatting sqref="U913:Y913">
    <cfRule type="notContainsBlanks" dxfId="3198" priority="3303">
      <formula>LEN(TRIM(U913))&gt;0</formula>
    </cfRule>
  </conditionalFormatting>
  <conditionalFormatting sqref="U913:Y913">
    <cfRule type="notContainsBlanks" dxfId="3197" priority="3301">
      <formula>LEN(TRIM(U913))&gt;0</formula>
    </cfRule>
    <cfRule type="notContainsBlanks" dxfId="3196" priority="3302">
      <formula>LEN(TRIM(U913))&gt;0</formula>
    </cfRule>
  </conditionalFormatting>
  <conditionalFormatting sqref="U913:Y913">
    <cfRule type="notContainsBlanks" dxfId="3195" priority="3300">
      <formula>LEN(TRIM(U913))&gt;0</formula>
    </cfRule>
  </conditionalFormatting>
  <conditionalFormatting sqref="U913:Y913">
    <cfRule type="notContainsBlanks" dxfId="3194" priority="3299">
      <formula>LEN(TRIM(U913))&gt;0</formula>
    </cfRule>
  </conditionalFormatting>
  <conditionalFormatting sqref="U913:Y913">
    <cfRule type="notContainsBlanks" dxfId="3193" priority="3298">
      <formula>LEN(TRIM(U913))&gt;0</formula>
    </cfRule>
  </conditionalFormatting>
  <conditionalFormatting sqref="U913:Y913">
    <cfRule type="notContainsBlanks" dxfId="3192" priority="3297">
      <formula>LEN(TRIM(U913))&gt;0</formula>
    </cfRule>
  </conditionalFormatting>
  <conditionalFormatting sqref="U913:Y913">
    <cfRule type="notContainsBlanks" dxfId="3191" priority="3296">
      <formula>LEN(TRIM(U913))&gt;0</formula>
    </cfRule>
  </conditionalFormatting>
  <conditionalFormatting sqref="U913:Y913">
    <cfRule type="notContainsBlanks" dxfId="3190" priority="3295">
      <formula>LEN(TRIM(U913))&gt;0</formula>
    </cfRule>
  </conditionalFormatting>
  <conditionalFormatting sqref="U913:Y913">
    <cfRule type="notContainsBlanks" dxfId="3189" priority="3294">
      <formula>LEN(TRIM(U913))&gt;0</formula>
    </cfRule>
  </conditionalFormatting>
  <conditionalFormatting sqref="U913:Y913">
    <cfRule type="notContainsBlanks" dxfId="3188" priority="3293">
      <formula>LEN(TRIM(U913))&gt;0</formula>
    </cfRule>
  </conditionalFormatting>
  <conditionalFormatting sqref="U913:Y913">
    <cfRule type="notContainsBlanks" dxfId="3187" priority="3292">
      <formula>LEN(TRIM(U913))&gt;0</formula>
    </cfRule>
  </conditionalFormatting>
  <conditionalFormatting sqref="U913:Y913">
    <cfRule type="notContainsBlanks" priority="3291">
      <formula>LEN(TRIM(U913))&gt;0</formula>
    </cfRule>
  </conditionalFormatting>
  <conditionalFormatting sqref="U913:Y913">
    <cfRule type="notContainsBlanks" dxfId="3186" priority="3290">
      <formula>LEN(TRIM(U913))&gt;0</formula>
    </cfRule>
  </conditionalFormatting>
  <conditionalFormatting sqref="U913:Y913">
    <cfRule type="notContainsBlanks" dxfId="3185" priority="3289">
      <formula>LEN(TRIM(U913))&gt;0</formula>
    </cfRule>
  </conditionalFormatting>
  <conditionalFormatting sqref="U913:Y913">
    <cfRule type="notContainsBlanks" dxfId="3184" priority="3288">
      <formula>LEN(TRIM(U913))&gt;0</formula>
    </cfRule>
  </conditionalFormatting>
  <conditionalFormatting sqref="U913:Y913">
    <cfRule type="notContainsBlanks" dxfId="3183" priority="3287">
      <formula>LEN(TRIM(U913))&gt;0</formula>
    </cfRule>
  </conditionalFormatting>
  <conditionalFormatting sqref="U913:Y913">
    <cfRule type="notContainsBlanks" dxfId="3182" priority="3286">
      <formula>LEN(TRIM(U913))&gt;0</formula>
    </cfRule>
  </conditionalFormatting>
  <conditionalFormatting sqref="U926:Y926">
    <cfRule type="notContainsBlanks" dxfId="3181" priority="3285">
      <formula>LEN(TRIM(U926))&gt;0</formula>
    </cfRule>
  </conditionalFormatting>
  <conditionalFormatting sqref="U926:Y926">
    <cfRule type="notContainsBlanks" dxfId="3180" priority="3284">
      <formula>LEN(TRIM(U926))&gt;0</formula>
    </cfRule>
  </conditionalFormatting>
  <conditionalFormatting sqref="U926:Y926">
    <cfRule type="notContainsBlanks" dxfId="3179" priority="3283">
      <formula>LEN(TRIM(U926))&gt;0</formula>
    </cfRule>
  </conditionalFormatting>
  <conditionalFormatting sqref="U926:Y926">
    <cfRule type="notContainsBlanks" dxfId="3178" priority="3282">
      <formula>LEN(TRIM(U926))&gt;0</formula>
    </cfRule>
  </conditionalFormatting>
  <conditionalFormatting sqref="U926:Y926">
    <cfRule type="notContainsBlanks" dxfId="3177" priority="3281">
      <formula>LEN(TRIM(U926))&gt;0</formula>
    </cfRule>
  </conditionalFormatting>
  <conditionalFormatting sqref="U926:Y926">
    <cfRule type="notContainsBlanks" dxfId="3176" priority="3280">
      <formula>LEN(TRIM(U926))&gt;0</formula>
    </cfRule>
  </conditionalFormatting>
  <conditionalFormatting sqref="U926:Y926">
    <cfRule type="notContainsBlanks" dxfId="3175" priority="3279">
      <formula>LEN(TRIM(U926))&gt;0</formula>
    </cfRule>
  </conditionalFormatting>
  <conditionalFormatting sqref="U926:Y926">
    <cfRule type="notContainsBlanks" dxfId="3174" priority="3278">
      <formula>LEN(TRIM(U926))&gt;0</formula>
    </cfRule>
  </conditionalFormatting>
  <conditionalFormatting sqref="U926:Y926">
    <cfRule type="notContainsBlanks" dxfId="3173" priority="3277">
      <formula>LEN(TRIM(U926))&gt;0</formula>
    </cfRule>
  </conditionalFormatting>
  <conditionalFormatting sqref="U926:Y926">
    <cfRule type="notContainsBlanks" dxfId="3172" priority="3275">
      <formula>LEN(TRIM(U926))&gt;0</formula>
    </cfRule>
    <cfRule type="notContainsBlanks" dxfId="3171" priority="3276">
      <formula>LEN(TRIM(U926))&gt;0</formula>
    </cfRule>
  </conditionalFormatting>
  <conditionalFormatting sqref="U926:Y926">
    <cfRule type="notContainsBlanks" dxfId="3170" priority="3274">
      <formula>LEN(TRIM(U926))&gt;0</formula>
    </cfRule>
  </conditionalFormatting>
  <conditionalFormatting sqref="U926:Y926">
    <cfRule type="notContainsBlanks" dxfId="3169" priority="3273">
      <formula>LEN(TRIM(U926))&gt;0</formula>
    </cfRule>
  </conditionalFormatting>
  <conditionalFormatting sqref="U926:Y926">
    <cfRule type="notContainsBlanks" dxfId="3168" priority="3272">
      <formula>LEN(TRIM(U926))&gt;0</formula>
    </cfRule>
  </conditionalFormatting>
  <conditionalFormatting sqref="U926:Y926">
    <cfRule type="notContainsBlanks" dxfId="3167" priority="3271">
      <formula>LEN(TRIM(U926))&gt;0</formula>
    </cfRule>
  </conditionalFormatting>
  <conditionalFormatting sqref="U926:Y926">
    <cfRule type="notContainsBlanks" dxfId="3166" priority="3270">
      <formula>LEN(TRIM(U926))&gt;0</formula>
    </cfRule>
  </conditionalFormatting>
  <conditionalFormatting sqref="U926:Y926">
    <cfRule type="notContainsBlanks" dxfId="3165" priority="3269">
      <formula>LEN(TRIM(U926))&gt;0</formula>
    </cfRule>
  </conditionalFormatting>
  <conditionalFormatting sqref="U926:Y926">
    <cfRule type="notContainsBlanks" dxfId="3164" priority="3268">
      <formula>LEN(TRIM(U926))&gt;0</formula>
    </cfRule>
  </conditionalFormatting>
  <conditionalFormatting sqref="U926:Y926">
    <cfRule type="notContainsBlanks" dxfId="3163" priority="3267">
      <formula>LEN(TRIM(U926))&gt;0</formula>
    </cfRule>
  </conditionalFormatting>
  <conditionalFormatting sqref="U926:Y926">
    <cfRule type="notContainsBlanks" dxfId="3162" priority="3266">
      <formula>LEN(TRIM(U926))&gt;0</formula>
    </cfRule>
  </conditionalFormatting>
  <conditionalFormatting sqref="U926:Y926">
    <cfRule type="notContainsBlanks" priority="3265">
      <formula>LEN(TRIM(U926))&gt;0</formula>
    </cfRule>
  </conditionalFormatting>
  <conditionalFormatting sqref="U926:Y926">
    <cfRule type="notContainsBlanks" dxfId="3161" priority="3264">
      <formula>LEN(TRIM(U926))&gt;0</formula>
    </cfRule>
  </conditionalFormatting>
  <conditionalFormatting sqref="U926:Y926">
    <cfRule type="notContainsBlanks" dxfId="3160" priority="3263">
      <formula>LEN(TRIM(U926))&gt;0</formula>
    </cfRule>
  </conditionalFormatting>
  <conditionalFormatting sqref="U926:Y926">
    <cfRule type="notContainsBlanks" dxfId="3159" priority="3262">
      <formula>LEN(TRIM(U926))&gt;0</formula>
    </cfRule>
  </conditionalFormatting>
  <conditionalFormatting sqref="U926:Y926">
    <cfRule type="notContainsBlanks" dxfId="3158" priority="3261">
      <formula>LEN(TRIM(U926))&gt;0</formula>
    </cfRule>
  </conditionalFormatting>
  <conditionalFormatting sqref="U926:Y926">
    <cfRule type="notContainsBlanks" dxfId="3157" priority="3260">
      <formula>LEN(TRIM(U926))&gt;0</formula>
    </cfRule>
  </conditionalFormatting>
  <conditionalFormatting sqref="U939:Y939">
    <cfRule type="notContainsBlanks" dxfId="3156" priority="3259">
      <formula>LEN(TRIM(U939))&gt;0</formula>
    </cfRule>
  </conditionalFormatting>
  <conditionalFormatting sqref="U939:Y939">
    <cfRule type="notContainsBlanks" dxfId="3155" priority="3258">
      <formula>LEN(TRIM(U939))&gt;0</formula>
    </cfRule>
  </conditionalFormatting>
  <conditionalFormatting sqref="U939:Y939">
    <cfRule type="notContainsBlanks" dxfId="3154" priority="3257">
      <formula>LEN(TRIM(U939))&gt;0</formula>
    </cfRule>
  </conditionalFormatting>
  <conditionalFormatting sqref="U939:Y939">
    <cfRule type="notContainsBlanks" dxfId="3153" priority="3256">
      <formula>LEN(TRIM(U939))&gt;0</formula>
    </cfRule>
  </conditionalFormatting>
  <conditionalFormatting sqref="U939:Y939">
    <cfRule type="notContainsBlanks" dxfId="3152" priority="3255">
      <formula>LEN(TRIM(U939))&gt;0</formula>
    </cfRule>
  </conditionalFormatting>
  <conditionalFormatting sqref="U939:Y939">
    <cfRule type="notContainsBlanks" dxfId="3151" priority="3254">
      <formula>LEN(TRIM(U939))&gt;0</formula>
    </cfRule>
  </conditionalFormatting>
  <conditionalFormatting sqref="U939:Y939">
    <cfRule type="notContainsBlanks" dxfId="3150" priority="3253">
      <formula>LEN(TRIM(U939))&gt;0</formula>
    </cfRule>
  </conditionalFormatting>
  <conditionalFormatting sqref="U939:Y939">
    <cfRule type="notContainsBlanks" dxfId="3149" priority="3252">
      <formula>LEN(TRIM(U939))&gt;0</formula>
    </cfRule>
  </conditionalFormatting>
  <conditionalFormatting sqref="U939:Y939">
    <cfRule type="notContainsBlanks" dxfId="3148" priority="3251">
      <formula>LEN(TRIM(U939))&gt;0</formula>
    </cfRule>
  </conditionalFormatting>
  <conditionalFormatting sqref="U939:Y939">
    <cfRule type="notContainsBlanks" dxfId="3147" priority="3249">
      <formula>LEN(TRIM(U939))&gt;0</formula>
    </cfRule>
    <cfRule type="notContainsBlanks" dxfId="3146" priority="3250">
      <formula>LEN(TRIM(U939))&gt;0</formula>
    </cfRule>
  </conditionalFormatting>
  <conditionalFormatting sqref="U939:Y939">
    <cfRule type="notContainsBlanks" dxfId="3145" priority="3248">
      <formula>LEN(TRIM(U939))&gt;0</formula>
    </cfRule>
  </conditionalFormatting>
  <conditionalFormatting sqref="U939:Y939">
    <cfRule type="notContainsBlanks" dxfId="3144" priority="3247">
      <formula>LEN(TRIM(U939))&gt;0</formula>
    </cfRule>
  </conditionalFormatting>
  <conditionalFormatting sqref="U939:Y939">
    <cfRule type="notContainsBlanks" dxfId="3143" priority="3246">
      <formula>LEN(TRIM(U939))&gt;0</formula>
    </cfRule>
  </conditionalFormatting>
  <conditionalFormatting sqref="U939:Y939">
    <cfRule type="notContainsBlanks" dxfId="3142" priority="3245">
      <formula>LEN(TRIM(U939))&gt;0</formula>
    </cfRule>
  </conditionalFormatting>
  <conditionalFormatting sqref="U939:Y939">
    <cfRule type="notContainsBlanks" dxfId="3141" priority="3244">
      <formula>LEN(TRIM(U939))&gt;0</formula>
    </cfRule>
  </conditionalFormatting>
  <conditionalFormatting sqref="U939:Y939">
    <cfRule type="notContainsBlanks" dxfId="3140" priority="3243">
      <formula>LEN(TRIM(U939))&gt;0</formula>
    </cfRule>
  </conditionalFormatting>
  <conditionalFormatting sqref="U939:Y939">
    <cfRule type="notContainsBlanks" dxfId="3139" priority="3242">
      <formula>LEN(TRIM(U939))&gt;0</formula>
    </cfRule>
  </conditionalFormatting>
  <conditionalFormatting sqref="U939:Y939">
    <cfRule type="notContainsBlanks" dxfId="3138" priority="3241">
      <formula>LEN(TRIM(U939))&gt;0</formula>
    </cfRule>
  </conditionalFormatting>
  <conditionalFormatting sqref="U939:Y939">
    <cfRule type="notContainsBlanks" dxfId="3137" priority="3240">
      <formula>LEN(TRIM(U939))&gt;0</formula>
    </cfRule>
  </conditionalFormatting>
  <conditionalFormatting sqref="U939:Y939">
    <cfRule type="notContainsBlanks" priority="3239">
      <formula>LEN(TRIM(U939))&gt;0</formula>
    </cfRule>
  </conditionalFormatting>
  <conditionalFormatting sqref="U939:Y939">
    <cfRule type="notContainsBlanks" dxfId="3136" priority="3238">
      <formula>LEN(TRIM(U939))&gt;0</formula>
    </cfRule>
  </conditionalFormatting>
  <conditionalFormatting sqref="U939:Y939">
    <cfRule type="notContainsBlanks" dxfId="3135" priority="3237">
      <formula>LEN(TRIM(U939))&gt;0</formula>
    </cfRule>
  </conditionalFormatting>
  <conditionalFormatting sqref="U939:Y939">
    <cfRule type="notContainsBlanks" dxfId="3134" priority="3236">
      <formula>LEN(TRIM(U939))&gt;0</formula>
    </cfRule>
  </conditionalFormatting>
  <conditionalFormatting sqref="U939:Y939">
    <cfRule type="notContainsBlanks" dxfId="3133" priority="3235">
      <formula>LEN(TRIM(U939))&gt;0</formula>
    </cfRule>
  </conditionalFormatting>
  <conditionalFormatting sqref="U939:Y939">
    <cfRule type="notContainsBlanks" dxfId="3132" priority="3234">
      <formula>LEN(TRIM(U939))&gt;0</formula>
    </cfRule>
  </conditionalFormatting>
  <conditionalFormatting sqref="U952:Y952">
    <cfRule type="notContainsBlanks" dxfId="3131" priority="3233">
      <formula>LEN(TRIM(U952))&gt;0</formula>
    </cfRule>
  </conditionalFormatting>
  <conditionalFormatting sqref="U952:Y952">
    <cfRule type="notContainsBlanks" dxfId="3130" priority="3232">
      <formula>LEN(TRIM(U952))&gt;0</formula>
    </cfRule>
  </conditionalFormatting>
  <conditionalFormatting sqref="U952:Y952">
    <cfRule type="notContainsBlanks" dxfId="3129" priority="3231">
      <formula>LEN(TRIM(U952))&gt;0</formula>
    </cfRule>
  </conditionalFormatting>
  <conditionalFormatting sqref="U952:Y952">
    <cfRule type="notContainsBlanks" dxfId="3128" priority="3230">
      <formula>LEN(TRIM(U952))&gt;0</formula>
    </cfRule>
  </conditionalFormatting>
  <conditionalFormatting sqref="U952:Y952">
    <cfRule type="notContainsBlanks" dxfId="3127" priority="3229">
      <formula>LEN(TRIM(U952))&gt;0</formula>
    </cfRule>
  </conditionalFormatting>
  <conditionalFormatting sqref="U952:Y952">
    <cfRule type="notContainsBlanks" dxfId="3126" priority="3228">
      <formula>LEN(TRIM(U952))&gt;0</formula>
    </cfRule>
  </conditionalFormatting>
  <conditionalFormatting sqref="U952:Y952">
    <cfRule type="notContainsBlanks" dxfId="3125" priority="3227">
      <formula>LEN(TRIM(U952))&gt;0</formula>
    </cfRule>
  </conditionalFormatting>
  <conditionalFormatting sqref="U952:Y952">
    <cfRule type="notContainsBlanks" dxfId="3124" priority="3226">
      <formula>LEN(TRIM(U952))&gt;0</formula>
    </cfRule>
  </conditionalFormatting>
  <conditionalFormatting sqref="U952:Y952">
    <cfRule type="notContainsBlanks" dxfId="3123" priority="3225">
      <formula>LEN(TRIM(U952))&gt;0</formula>
    </cfRule>
  </conditionalFormatting>
  <conditionalFormatting sqref="U952:Y952">
    <cfRule type="notContainsBlanks" dxfId="3122" priority="3223">
      <formula>LEN(TRIM(U952))&gt;0</formula>
    </cfRule>
    <cfRule type="notContainsBlanks" dxfId="3121" priority="3224">
      <formula>LEN(TRIM(U952))&gt;0</formula>
    </cfRule>
  </conditionalFormatting>
  <conditionalFormatting sqref="U952:Y952">
    <cfRule type="notContainsBlanks" dxfId="3120" priority="3222">
      <formula>LEN(TRIM(U952))&gt;0</formula>
    </cfRule>
  </conditionalFormatting>
  <conditionalFormatting sqref="U952:Y952">
    <cfRule type="notContainsBlanks" dxfId="3119" priority="3221">
      <formula>LEN(TRIM(U952))&gt;0</formula>
    </cfRule>
  </conditionalFormatting>
  <conditionalFormatting sqref="U952:Y952">
    <cfRule type="notContainsBlanks" dxfId="3118" priority="3220">
      <formula>LEN(TRIM(U952))&gt;0</formula>
    </cfRule>
  </conditionalFormatting>
  <conditionalFormatting sqref="U952:Y952">
    <cfRule type="notContainsBlanks" dxfId="3117" priority="3219">
      <formula>LEN(TRIM(U952))&gt;0</formula>
    </cfRule>
  </conditionalFormatting>
  <conditionalFormatting sqref="U952:Y952">
    <cfRule type="notContainsBlanks" dxfId="3116" priority="3218">
      <formula>LEN(TRIM(U952))&gt;0</formula>
    </cfRule>
  </conditionalFormatting>
  <conditionalFormatting sqref="U952:Y952">
    <cfRule type="notContainsBlanks" dxfId="3115" priority="3217">
      <formula>LEN(TRIM(U952))&gt;0</formula>
    </cfRule>
  </conditionalFormatting>
  <conditionalFormatting sqref="U952:Y952">
    <cfRule type="notContainsBlanks" dxfId="3114" priority="3216">
      <formula>LEN(TRIM(U952))&gt;0</formula>
    </cfRule>
  </conditionalFormatting>
  <conditionalFormatting sqref="U952:Y952">
    <cfRule type="notContainsBlanks" dxfId="3113" priority="3215">
      <formula>LEN(TRIM(U952))&gt;0</formula>
    </cfRule>
  </conditionalFormatting>
  <conditionalFormatting sqref="U952:Y952">
    <cfRule type="notContainsBlanks" dxfId="3112" priority="3214">
      <formula>LEN(TRIM(U952))&gt;0</formula>
    </cfRule>
  </conditionalFormatting>
  <conditionalFormatting sqref="U952:Y952">
    <cfRule type="notContainsBlanks" priority="3213">
      <formula>LEN(TRIM(U952))&gt;0</formula>
    </cfRule>
  </conditionalFormatting>
  <conditionalFormatting sqref="U952:Y952">
    <cfRule type="notContainsBlanks" dxfId="3111" priority="3212">
      <formula>LEN(TRIM(U952))&gt;0</formula>
    </cfRule>
  </conditionalFormatting>
  <conditionalFormatting sqref="U952:Y952">
    <cfRule type="notContainsBlanks" dxfId="3110" priority="3211">
      <formula>LEN(TRIM(U952))&gt;0</formula>
    </cfRule>
  </conditionalFormatting>
  <conditionalFormatting sqref="U952:Y952">
    <cfRule type="notContainsBlanks" dxfId="3109" priority="3210">
      <formula>LEN(TRIM(U952))&gt;0</formula>
    </cfRule>
  </conditionalFormatting>
  <conditionalFormatting sqref="U952:Y952">
    <cfRule type="notContainsBlanks" dxfId="3108" priority="3209">
      <formula>LEN(TRIM(U952))&gt;0</formula>
    </cfRule>
  </conditionalFormatting>
  <conditionalFormatting sqref="U952:Y952">
    <cfRule type="notContainsBlanks" dxfId="3107" priority="3208">
      <formula>LEN(TRIM(U952))&gt;0</formula>
    </cfRule>
  </conditionalFormatting>
  <conditionalFormatting sqref="U965:Y965">
    <cfRule type="notContainsBlanks" dxfId="3106" priority="3207">
      <formula>LEN(TRIM(U965))&gt;0</formula>
    </cfRule>
  </conditionalFormatting>
  <conditionalFormatting sqref="U965:Y965">
    <cfRule type="notContainsBlanks" dxfId="3105" priority="3206">
      <formula>LEN(TRIM(U965))&gt;0</formula>
    </cfRule>
  </conditionalFormatting>
  <conditionalFormatting sqref="U965:Y965">
    <cfRule type="notContainsBlanks" dxfId="3104" priority="3205">
      <formula>LEN(TRIM(U965))&gt;0</formula>
    </cfRule>
  </conditionalFormatting>
  <conditionalFormatting sqref="U965:Y965">
    <cfRule type="notContainsBlanks" dxfId="3103" priority="3204">
      <formula>LEN(TRIM(U965))&gt;0</formula>
    </cfRule>
  </conditionalFormatting>
  <conditionalFormatting sqref="U965:Y965">
    <cfRule type="notContainsBlanks" dxfId="3102" priority="3203">
      <formula>LEN(TRIM(U965))&gt;0</formula>
    </cfRule>
  </conditionalFormatting>
  <conditionalFormatting sqref="U965:Y965">
    <cfRule type="notContainsBlanks" dxfId="3101" priority="3202">
      <formula>LEN(TRIM(U965))&gt;0</formula>
    </cfRule>
  </conditionalFormatting>
  <conditionalFormatting sqref="U965:Y965">
    <cfRule type="notContainsBlanks" dxfId="3100" priority="3201">
      <formula>LEN(TRIM(U965))&gt;0</formula>
    </cfRule>
  </conditionalFormatting>
  <conditionalFormatting sqref="U965:Y965">
    <cfRule type="notContainsBlanks" dxfId="3099" priority="3200">
      <formula>LEN(TRIM(U965))&gt;0</formula>
    </cfRule>
  </conditionalFormatting>
  <conditionalFormatting sqref="U965:Y965">
    <cfRule type="notContainsBlanks" dxfId="3098" priority="3199">
      <formula>LEN(TRIM(U965))&gt;0</formula>
    </cfRule>
  </conditionalFormatting>
  <conditionalFormatting sqref="U965:Y965">
    <cfRule type="notContainsBlanks" dxfId="3097" priority="3197">
      <formula>LEN(TRIM(U965))&gt;0</formula>
    </cfRule>
    <cfRule type="notContainsBlanks" dxfId="3096" priority="3198">
      <formula>LEN(TRIM(U965))&gt;0</formula>
    </cfRule>
  </conditionalFormatting>
  <conditionalFormatting sqref="U965:Y965">
    <cfRule type="notContainsBlanks" dxfId="3095" priority="3196">
      <formula>LEN(TRIM(U965))&gt;0</formula>
    </cfRule>
  </conditionalFormatting>
  <conditionalFormatting sqref="U965:Y965">
    <cfRule type="notContainsBlanks" dxfId="3094" priority="3195">
      <formula>LEN(TRIM(U965))&gt;0</formula>
    </cfRule>
  </conditionalFormatting>
  <conditionalFormatting sqref="U965:Y965">
    <cfRule type="notContainsBlanks" dxfId="3093" priority="3194">
      <formula>LEN(TRIM(U965))&gt;0</formula>
    </cfRule>
  </conditionalFormatting>
  <conditionalFormatting sqref="U965:Y965">
    <cfRule type="notContainsBlanks" dxfId="3092" priority="3193">
      <formula>LEN(TRIM(U965))&gt;0</formula>
    </cfRule>
  </conditionalFormatting>
  <conditionalFormatting sqref="U965:Y965">
    <cfRule type="notContainsBlanks" dxfId="3091" priority="3192">
      <formula>LEN(TRIM(U965))&gt;0</formula>
    </cfRule>
  </conditionalFormatting>
  <conditionalFormatting sqref="U965:Y965">
    <cfRule type="notContainsBlanks" dxfId="3090" priority="3191">
      <formula>LEN(TRIM(U965))&gt;0</formula>
    </cfRule>
  </conditionalFormatting>
  <conditionalFormatting sqref="U965:Y965">
    <cfRule type="notContainsBlanks" dxfId="3089" priority="3190">
      <formula>LEN(TRIM(U965))&gt;0</formula>
    </cfRule>
  </conditionalFormatting>
  <conditionalFormatting sqref="U965:Y965">
    <cfRule type="notContainsBlanks" dxfId="3088" priority="3189">
      <formula>LEN(TRIM(U965))&gt;0</formula>
    </cfRule>
  </conditionalFormatting>
  <conditionalFormatting sqref="U965:Y965">
    <cfRule type="notContainsBlanks" dxfId="3087" priority="3188">
      <formula>LEN(TRIM(U965))&gt;0</formula>
    </cfRule>
  </conditionalFormatting>
  <conditionalFormatting sqref="U965:Y965">
    <cfRule type="notContainsBlanks" priority="3187">
      <formula>LEN(TRIM(U965))&gt;0</formula>
    </cfRule>
  </conditionalFormatting>
  <conditionalFormatting sqref="U965:Y965">
    <cfRule type="notContainsBlanks" dxfId="3086" priority="3186">
      <formula>LEN(TRIM(U965))&gt;0</formula>
    </cfRule>
  </conditionalFormatting>
  <conditionalFormatting sqref="U965:Y965">
    <cfRule type="notContainsBlanks" dxfId="3085" priority="3185">
      <formula>LEN(TRIM(U965))&gt;0</formula>
    </cfRule>
  </conditionalFormatting>
  <conditionalFormatting sqref="U965:Y965">
    <cfRule type="notContainsBlanks" dxfId="3084" priority="3184">
      <formula>LEN(TRIM(U965))&gt;0</formula>
    </cfRule>
  </conditionalFormatting>
  <conditionalFormatting sqref="U965:Y965">
    <cfRule type="notContainsBlanks" dxfId="3083" priority="3183">
      <formula>LEN(TRIM(U965))&gt;0</formula>
    </cfRule>
  </conditionalFormatting>
  <conditionalFormatting sqref="U965:Y965">
    <cfRule type="notContainsBlanks" dxfId="3082" priority="3182">
      <formula>LEN(TRIM(U965))&gt;0</formula>
    </cfRule>
  </conditionalFormatting>
  <conditionalFormatting sqref="U978:Y978">
    <cfRule type="notContainsBlanks" dxfId="3081" priority="3181">
      <formula>LEN(TRIM(U978))&gt;0</formula>
    </cfRule>
  </conditionalFormatting>
  <conditionalFormatting sqref="U978:Y978">
    <cfRule type="notContainsBlanks" dxfId="3080" priority="3180">
      <formula>LEN(TRIM(U978))&gt;0</formula>
    </cfRule>
  </conditionalFormatting>
  <conditionalFormatting sqref="U978:Y978">
    <cfRule type="notContainsBlanks" dxfId="3079" priority="3179">
      <formula>LEN(TRIM(U978))&gt;0</formula>
    </cfRule>
  </conditionalFormatting>
  <conditionalFormatting sqref="U978:Y978">
    <cfRule type="notContainsBlanks" dxfId="3078" priority="3178">
      <formula>LEN(TRIM(U978))&gt;0</formula>
    </cfRule>
  </conditionalFormatting>
  <conditionalFormatting sqref="U978:Y978">
    <cfRule type="notContainsBlanks" dxfId="3077" priority="3177">
      <formula>LEN(TRIM(U978))&gt;0</formula>
    </cfRule>
  </conditionalFormatting>
  <conditionalFormatting sqref="U978:Y978">
    <cfRule type="notContainsBlanks" dxfId="3076" priority="3176">
      <formula>LEN(TRIM(U978))&gt;0</formula>
    </cfRule>
  </conditionalFormatting>
  <conditionalFormatting sqref="U978:Y978">
    <cfRule type="notContainsBlanks" dxfId="3075" priority="3175">
      <formula>LEN(TRIM(U978))&gt;0</formula>
    </cfRule>
  </conditionalFormatting>
  <conditionalFormatting sqref="U978:Y978">
    <cfRule type="notContainsBlanks" dxfId="3074" priority="3174">
      <formula>LEN(TRIM(U978))&gt;0</formula>
    </cfRule>
  </conditionalFormatting>
  <conditionalFormatting sqref="U978:Y978">
    <cfRule type="notContainsBlanks" dxfId="3073" priority="3173">
      <formula>LEN(TRIM(U978))&gt;0</formula>
    </cfRule>
  </conditionalFormatting>
  <conditionalFormatting sqref="U978:Y978">
    <cfRule type="notContainsBlanks" dxfId="3072" priority="3171">
      <formula>LEN(TRIM(U978))&gt;0</formula>
    </cfRule>
    <cfRule type="notContainsBlanks" dxfId="3071" priority="3172">
      <formula>LEN(TRIM(U978))&gt;0</formula>
    </cfRule>
  </conditionalFormatting>
  <conditionalFormatting sqref="U978:Y978">
    <cfRule type="notContainsBlanks" dxfId="3070" priority="3170">
      <formula>LEN(TRIM(U978))&gt;0</formula>
    </cfRule>
  </conditionalFormatting>
  <conditionalFormatting sqref="U978:Y978">
    <cfRule type="notContainsBlanks" dxfId="3069" priority="3169">
      <formula>LEN(TRIM(U978))&gt;0</formula>
    </cfRule>
  </conditionalFormatting>
  <conditionalFormatting sqref="U978:Y978">
    <cfRule type="notContainsBlanks" dxfId="3068" priority="3168">
      <formula>LEN(TRIM(U978))&gt;0</formula>
    </cfRule>
  </conditionalFormatting>
  <conditionalFormatting sqref="U978:Y978">
    <cfRule type="notContainsBlanks" dxfId="3067" priority="3167">
      <formula>LEN(TRIM(U978))&gt;0</formula>
    </cfRule>
  </conditionalFormatting>
  <conditionalFormatting sqref="U978:Y978">
    <cfRule type="notContainsBlanks" dxfId="3066" priority="3166">
      <formula>LEN(TRIM(U978))&gt;0</formula>
    </cfRule>
  </conditionalFormatting>
  <conditionalFormatting sqref="U978:Y978">
    <cfRule type="notContainsBlanks" dxfId="3065" priority="3165">
      <formula>LEN(TRIM(U978))&gt;0</formula>
    </cfRule>
  </conditionalFormatting>
  <conditionalFormatting sqref="U978:Y978">
    <cfRule type="notContainsBlanks" dxfId="3064" priority="3164">
      <formula>LEN(TRIM(U978))&gt;0</formula>
    </cfRule>
  </conditionalFormatting>
  <conditionalFormatting sqref="U978:Y978">
    <cfRule type="notContainsBlanks" dxfId="3063" priority="3163">
      <formula>LEN(TRIM(U978))&gt;0</formula>
    </cfRule>
  </conditionalFormatting>
  <conditionalFormatting sqref="U978:Y978">
    <cfRule type="notContainsBlanks" dxfId="3062" priority="3162">
      <formula>LEN(TRIM(U978))&gt;0</formula>
    </cfRule>
  </conditionalFormatting>
  <conditionalFormatting sqref="U978:Y978">
    <cfRule type="notContainsBlanks" priority="3161">
      <formula>LEN(TRIM(U978))&gt;0</formula>
    </cfRule>
  </conditionalFormatting>
  <conditionalFormatting sqref="U978:Y978">
    <cfRule type="notContainsBlanks" dxfId="3061" priority="3160">
      <formula>LEN(TRIM(U978))&gt;0</formula>
    </cfRule>
  </conditionalFormatting>
  <conditionalFormatting sqref="U978:Y978">
    <cfRule type="notContainsBlanks" dxfId="3060" priority="3159">
      <formula>LEN(TRIM(U978))&gt;0</formula>
    </cfRule>
  </conditionalFormatting>
  <conditionalFormatting sqref="U978:Y978">
    <cfRule type="notContainsBlanks" dxfId="3059" priority="3158">
      <formula>LEN(TRIM(U978))&gt;0</formula>
    </cfRule>
  </conditionalFormatting>
  <conditionalFormatting sqref="U978:Y978">
    <cfRule type="notContainsBlanks" dxfId="3058" priority="3157">
      <formula>LEN(TRIM(U978))&gt;0</formula>
    </cfRule>
  </conditionalFormatting>
  <conditionalFormatting sqref="U978:Y978">
    <cfRule type="notContainsBlanks" dxfId="3057" priority="3156">
      <formula>LEN(TRIM(U978))&gt;0</formula>
    </cfRule>
  </conditionalFormatting>
  <conditionalFormatting sqref="U991:Y991">
    <cfRule type="notContainsBlanks" dxfId="3056" priority="3155">
      <formula>LEN(TRIM(U991))&gt;0</formula>
    </cfRule>
  </conditionalFormatting>
  <conditionalFormatting sqref="U991:Y991">
    <cfRule type="notContainsBlanks" dxfId="3055" priority="3154">
      <formula>LEN(TRIM(U991))&gt;0</formula>
    </cfRule>
  </conditionalFormatting>
  <conditionalFormatting sqref="U991:Y991">
    <cfRule type="notContainsBlanks" dxfId="3054" priority="3153">
      <formula>LEN(TRIM(U991))&gt;0</formula>
    </cfRule>
  </conditionalFormatting>
  <conditionalFormatting sqref="U991:Y991">
    <cfRule type="notContainsBlanks" dxfId="3053" priority="3152">
      <formula>LEN(TRIM(U991))&gt;0</formula>
    </cfRule>
  </conditionalFormatting>
  <conditionalFormatting sqref="U991:Y991">
    <cfRule type="notContainsBlanks" dxfId="3052" priority="3151">
      <formula>LEN(TRIM(U991))&gt;0</formula>
    </cfRule>
  </conditionalFormatting>
  <conditionalFormatting sqref="U991:Y991">
    <cfRule type="notContainsBlanks" dxfId="3051" priority="3150">
      <formula>LEN(TRIM(U991))&gt;0</formula>
    </cfRule>
  </conditionalFormatting>
  <conditionalFormatting sqref="U991:Y991">
    <cfRule type="notContainsBlanks" dxfId="3050" priority="3149">
      <formula>LEN(TRIM(U991))&gt;0</formula>
    </cfRule>
  </conditionalFormatting>
  <conditionalFormatting sqref="U991:Y991">
    <cfRule type="notContainsBlanks" dxfId="3049" priority="3148">
      <formula>LEN(TRIM(U991))&gt;0</formula>
    </cfRule>
  </conditionalFormatting>
  <conditionalFormatting sqref="U991:Y991">
    <cfRule type="notContainsBlanks" dxfId="3048" priority="3147">
      <formula>LEN(TRIM(U991))&gt;0</formula>
    </cfRule>
  </conditionalFormatting>
  <conditionalFormatting sqref="U991:Y991">
    <cfRule type="notContainsBlanks" dxfId="3047" priority="3145">
      <formula>LEN(TRIM(U991))&gt;0</formula>
    </cfRule>
    <cfRule type="notContainsBlanks" dxfId="3046" priority="3146">
      <formula>LEN(TRIM(U991))&gt;0</formula>
    </cfRule>
  </conditionalFormatting>
  <conditionalFormatting sqref="U991:Y991">
    <cfRule type="notContainsBlanks" dxfId="3045" priority="3144">
      <formula>LEN(TRIM(U991))&gt;0</formula>
    </cfRule>
  </conditionalFormatting>
  <conditionalFormatting sqref="U991:Y991">
    <cfRule type="notContainsBlanks" dxfId="3044" priority="3143">
      <formula>LEN(TRIM(U991))&gt;0</formula>
    </cfRule>
  </conditionalFormatting>
  <conditionalFormatting sqref="U991:Y991">
    <cfRule type="notContainsBlanks" dxfId="3043" priority="3142">
      <formula>LEN(TRIM(U991))&gt;0</formula>
    </cfRule>
  </conditionalFormatting>
  <conditionalFormatting sqref="U991:Y991">
    <cfRule type="notContainsBlanks" dxfId="3042" priority="3141">
      <formula>LEN(TRIM(U991))&gt;0</formula>
    </cfRule>
  </conditionalFormatting>
  <conditionalFormatting sqref="U991:Y991">
    <cfRule type="notContainsBlanks" dxfId="3041" priority="3140">
      <formula>LEN(TRIM(U991))&gt;0</formula>
    </cfRule>
  </conditionalFormatting>
  <conditionalFormatting sqref="U991:Y991">
    <cfRule type="notContainsBlanks" dxfId="3040" priority="3139">
      <formula>LEN(TRIM(U991))&gt;0</formula>
    </cfRule>
  </conditionalFormatting>
  <conditionalFormatting sqref="U991:Y991">
    <cfRule type="notContainsBlanks" dxfId="3039" priority="3138">
      <formula>LEN(TRIM(U991))&gt;0</formula>
    </cfRule>
  </conditionalFormatting>
  <conditionalFormatting sqref="U991:Y991">
    <cfRule type="notContainsBlanks" dxfId="3038" priority="3137">
      <formula>LEN(TRIM(U991))&gt;0</formula>
    </cfRule>
  </conditionalFormatting>
  <conditionalFormatting sqref="U991:Y991">
    <cfRule type="notContainsBlanks" dxfId="3037" priority="3136">
      <formula>LEN(TRIM(U991))&gt;0</formula>
    </cfRule>
  </conditionalFormatting>
  <conditionalFormatting sqref="U991:Y991">
    <cfRule type="notContainsBlanks" priority="3135">
      <formula>LEN(TRIM(U991))&gt;0</formula>
    </cfRule>
  </conditionalFormatting>
  <conditionalFormatting sqref="U991:Y991">
    <cfRule type="notContainsBlanks" dxfId="3036" priority="3134">
      <formula>LEN(TRIM(U991))&gt;0</formula>
    </cfRule>
  </conditionalFormatting>
  <conditionalFormatting sqref="U991:Y991">
    <cfRule type="notContainsBlanks" dxfId="3035" priority="3133">
      <formula>LEN(TRIM(U991))&gt;0</formula>
    </cfRule>
  </conditionalFormatting>
  <conditionalFormatting sqref="U991:Y991">
    <cfRule type="notContainsBlanks" dxfId="3034" priority="3132">
      <formula>LEN(TRIM(U991))&gt;0</formula>
    </cfRule>
  </conditionalFormatting>
  <conditionalFormatting sqref="U991:Y991">
    <cfRule type="notContainsBlanks" dxfId="3033" priority="3131">
      <formula>LEN(TRIM(U991))&gt;0</formula>
    </cfRule>
  </conditionalFormatting>
  <conditionalFormatting sqref="U991:Y991">
    <cfRule type="notContainsBlanks" dxfId="3032" priority="3130">
      <formula>LEN(TRIM(U991))&gt;0</formula>
    </cfRule>
  </conditionalFormatting>
  <conditionalFormatting sqref="U1004:Y1004">
    <cfRule type="notContainsBlanks" dxfId="3031" priority="3129">
      <formula>LEN(TRIM(U1004))&gt;0</formula>
    </cfRule>
  </conditionalFormatting>
  <conditionalFormatting sqref="U1004:Y1004">
    <cfRule type="notContainsBlanks" dxfId="3030" priority="3128">
      <formula>LEN(TRIM(U1004))&gt;0</formula>
    </cfRule>
  </conditionalFormatting>
  <conditionalFormatting sqref="U1004:Y1004">
    <cfRule type="notContainsBlanks" dxfId="3029" priority="3127">
      <formula>LEN(TRIM(U1004))&gt;0</formula>
    </cfRule>
  </conditionalFormatting>
  <conditionalFormatting sqref="U1004:Y1004">
    <cfRule type="notContainsBlanks" dxfId="3028" priority="3126">
      <formula>LEN(TRIM(U1004))&gt;0</formula>
    </cfRule>
  </conditionalFormatting>
  <conditionalFormatting sqref="U1004:Y1004">
    <cfRule type="notContainsBlanks" dxfId="3027" priority="3125">
      <formula>LEN(TRIM(U1004))&gt;0</formula>
    </cfRule>
  </conditionalFormatting>
  <conditionalFormatting sqref="U1004:Y1004">
    <cfRule type="notContainsBlanks" dxfId="3026" priority="3124">
      <formula>LEN(TRIM(U1004))&gt;0</formula>
    </cfRule>
  </conditionalFormatting>
  <conditionalFormatting sqref="U1004:Y1004">
    <cfRule type="notContainsBlanks" dxfId="3025" priority="3123">
      <formula>LEN(TRIM(U1004))&gt;0</formula>
    </cfRule>
  </conditionalFormatting>
  <conditionalFormatting sqref="U1004:Y1004">
    <cfRule type="notContainsBlanks" dxfId="3024" priority="3122">
      <formula>LEN(TRIM(U1004))&gt;0</formula>
    </cfRule>
  </conditionalFormatting>
  <conditionalFormatting sqref="U1004:Y1004">
    <cfRule type="notContainsBlanks" dxfId="3023" priority="3121">
      <formula>LEN(TRIM(U1004))&gt;0</formula>
    </cfRule>
  </conditionalFormatting>
  <conditionalFormatting sqref="U1004:Y1004">
    <cfRule type="notContainsBlanks" dxfId="3022" priority="3119">
      <formula>LEN(TRIM(U1004))&gt;0</formula>
    </cfRule>
    <cfRule type="notContainsBlanks" dxfId="3021" priority="3120">
      <formula>LEN(TRIM(U1004))&gt;0</formula>
    </cfRule>
  </conditionalFormatting>
  <conditionalFormatting sqref="U1004:Y1004">
    <cfRule type="notContainsBlanks" dxfId="3020" priority="3118">
      <formula>LEN(TRIM(U1004))&gt;0</formula>
    </cfRule>
  </conditionalFormatting>
  <conditionalFormatting sqref="U1004:Y1004">
    <cfRule type="notContainsBlanks" dxfId="3019" priority="3117">
      <formula>LEN(TRIM(U1004))&gt;0</formula>
    </cfRule>
  </conditionalFormatting>
  <conditionalFormatting sqref="U1004:Y1004">
    <cfRule type="notContainsBlanks" dxfId="3018" priority="3116">
      <formula>LEN(TRIM(U1004))&gt;0</formula>
    </cfRule>
  </conditionalFormatting>
  <conditionalFormatting sqref="U1004:Y1004">
    <cfRule type="notContainsBlanks" dxfId="3017" priority="3115">
      <formula>LEN(TRIM(U1004))&gt;0</formula>
    </cfRule>
  </conditionalFormatting>
  <conditionalFormatting sqref="U1004:Y1004">
    <cfRule type="notContainsBlanks" dxfId="3016" priority="3114">
      <formula>LEN(TRIM(U1004))&gt;0</formula>
    </cfRule>
  </conditionalFormatting>
  <conditionalFormatting sqref="U1004:Y1004">
    <cfRule type="notContainsBlanks" dxfId="3015" priority="3113">
      <formula>LEN(TRIM(U1004))&gt;0</formula>
    </cfRule>
  </conditionalFormatting>
  <conditionalFormatting sqref="U1004:Y1004">
    <cfRule type="notContainsBlanks" dxfId="3014" priority="3112">
      <formula>LEN(TRIM(U1004))&gt;0</formula>
    </cfRule>
  </conditionalFormatting>
  <conditionalFormatting sqref="U1004:Y1004">
    <cfRule type="notContainsBlanks" dxfId="3013" priority="3111">
      <formula>LEN(TRIM(U1004))&gt;0</formula>
    </cfRule>
  </conditionalFormatting>
  <conditionalFormatting sqref="U1004:Y1004">
    <cfRule type="notContainsBlanks" dxfId="3012" priority="3110">
      <formula>LEN(TRIM(U1004))&gt;0</formula>
    </cfRule>
  </conditionalFormatting>
  <conditionalFormatting sqref="U1004:Y1004">
    <cfRule type="notContainsBlanks" priority="3109">
      <formula>LEN(TRIM(U1004))&gt;0</formula>
    </cfRule>
  </conditionalFormatting>
  <conditionalFormatting sqref="U1004:Y1004">
    <cfRule type="notContainsBlanks" dxfId="3011" priority="3108">
      <formula>LEN(TRIM(U1004))&gt;0</formula>
    </cfRule>
  </conditionalFormatting>
  <conditionalFormatting sqref="U1004:Y1004">
    <cfRule type="notContainsBlanks" dxfId="3010" priority="3107">
      <formula>LEN(TRIM(U1004))&gt;0</formula>
    </cfRule>
  </conditionalFormatting>
  <conditionalFormatting sqref="U1004:Y1004">
    <cfRule type="notContainsBlanks" dxfId="3009" priority="3106">
      <formula>LEN(TRIM(U1004))&gt;0</formula>
    </cfRule>
  </conditionalFormatting>
  <conditionalFormatting sqref="U1004:Y1004">
    <cfRule type="notContainsBlanks" dxfId="3008" priority="3105">
      <formula>LEN(TRIM(U1004))&gt;0</formula>
    </cfRule>
  </conditionalFormatting>
  <conditionalFormatting sqref="U1004:Y1004">
    <cfRule type="notContainsBlanks" dxfId="3007" priority="3104">
      <formula>LEN(TRIM(U1004))&gt;0</formula>
    </cfRule>
  </conditionalFormatting>
  <conditionalFormatting sqref="U1017:Y1017">
    <cfRule type="notContainsBlanks" dxfId="3006" priority="3103">
      <formula>LEN(TRIM(U1017))&gt;0</formula>
    </cfRule>
  </conditionalFormatting>
  <conditionalFormatting sqref="U1017:Y1017">
    <cfRule type="notContainsBlanks" dxfId="3005" priority="3102">
      <formula>LEN(TRIM(U1017))&gt;0</formula>
    </cfRule>
  </conditionalFormatting>
  <conditionalFormatting sqref="U1017:Y1017">
    <cfRule type="notContainsBlanks" dxfId="3004" priority="3101">
      <formula>LEN(TRIM(U1017))&gt;0</formula>
    </cfRule>
  </conditionalFormatting>
  <conditionalFormatting sqref="U1017:Y1017">
    <cfRule type="notContainsBlanks" dxfId="3003" priority="3100">
      <formula>LEN(TRIM(U1017))&gt;0</formula>
    </cfRule>
  </conditionalFormatting>
  <conditionalFormatting sqref="U1017:Y1017">
    <cfRule type="notContainsBlanks" dxfId="3002" priority="3099">
      <formula>LEN(TRIM(U1017))&gt;0</formula>
    </cfRule>
  </conditionalFormatting>
  <conditionalFormatting sqref="U1017:Y1017">
    <cfRule type="notContainsBlanks" dxfId="3001" priority="3098">
      <formula>LEN(TRIM(U1017))&gt;0</formula>
    </cfRule>
  </conditionalFormatting>
  <conditionalFormatting sqref="U1017:Y1017">
    <cfRule type="notContainsBlanks" dxfId="3000" priority="3097">
      <formula>LEN(TRIM(U1017))&gt;0</formula>
    </cfRule>
  </conditionalFormatting>
  <conditionalFormatting sqref="U1017:Y1017">
    <cfRule type="notContainsBlanks" dxfId="2999" priority="3096">
      <formula>LEN(TRIM(U1017))&gt;0</formula>
    </cfRule>
  </conditionalFormatting>
  <conditionalFormatting sqref="U1017:Y1017">
    <cfRule type="notContainsBlanks" dxfId="2998" priority="3095">
      <formula>LEN(TRIM(U1017))&gt;0</formula>
    </cfRule>
  </conditionalFormatting>
  <conditionalFormatting sqref="U1017:Y1017">
    <cfRule type="notContainsBlanks" dxfId="2997" priority="3093">
      <formula>LEN(TRIM(U1017))&gt;0</formula>
    </cfRule>
    <cfRule type="notContainsBlanks" dxfId="2996" priority="3094">
      <formula>LEN(TRIM(U1017))&gt;0</formula>
    </cfRule>
  </conditionalFormatting>
  <conditionalFormatting sqref="U1017:Y1017">
    <cfRule type="notContainsBlanks" dxfId="2995" priority="3092">
      <formula>LEN(TRIM(U1017))&gt;0</formula>
    </cfRule>
  </conditionalFormatting>
  <conditionalFormatting sqref="U1017:Y1017">
    <cfRule type="notContainsBlanks" dxfId="2994" priority="3091">
      <formula>LEN(TRIM(U1017))&gt;0</formula>
    </cfRule>
  </conditionalFormatting>
  <conditionalFormatting sqref="U1017:Y1017">
    <cfRule type="notContainsBlanks" dxfId="2993" priority="3090">
      <formula>LEN(TRIM(U1017))&gt;0</formula>
    </cfRule>
  </conditionalFormatting>
  <conditionalFormatting sqref="U1017:Y1017">
    <cfRule type="notContainsBlanks" dxfId="2992" priority="3089">
      <formula>LEN(TRIM(U1017))&gt;0</formula>
    </cfRule>
  </conditionalFormatting>
  <conditionalFormatting sqref="U1017:Y1017">
    <cfRule type="notContainsBlanks" dxfId="2991" priority="3088">
      <formula>LEN(TRIM(U1017))&gt;0</formula>
    </cfRule>
  </conditionalFormatting>
  <conditionalFormatting sqref="U1017:Y1017">
    <cfRule type="notContainsBlanks" dxfId="2990" priority="3087">
      <formula>LEN(TRIM(U1017))&gt;0</formula>
    </cfRule>
  </conditionalFormatting>
  <conditionalFormatting sqref="U1017:Y1017">
    <cfRule type="notContainsBlanks" dxfId="2989" priority="3086">
      <formula>LEN(TRIM(U1017))&gt;0</formula>
    </cfRule>
  </conditionalFormatting>
  <conditionalFormatting sqref="U1017:Y1017">
    <cfRule type="notContainsBlanks" dxfId="2988" priority="3085">
      <formula>LEN(TRIM(U1017))&gt;0</formula>
    </cfRule>
  </conditionalFormatting>
  <conditionalFormatting sqref="U1017:Y1017">
    <cfRule type="notContainsBlanks" dxfId="2987" priority="3084">
      <formula>LEN(TRIM(U1017))&gt;0</formula>
    </cfRule>
  </conditionalFormatting>
  <conditionalFormatting sqref="U1017:Y1017">
    <cfRule type="notContainsBlanks" priority="3083">
      <formula>LEN(TRIM(U1017))&gt;0</formula>
    </cfRule>
  </conditionalFormatting>
  <conditionalFormatting sqref="U1017:Y1017">
    <cfRule type="notContainsBlanks" dxfId="2986" priority="3082">
      <formula>LEN(TRIM(U1017))&gt;0</formula>
    </cfRule>
  </conditionalFormatting>
  <conditionalFormatting sqref="U1017:Y1017">
    <cfRule type="notContainsBlanks" dxfId="2985" priority="3081">
      <formula>LEN(TRIM(U1017))&gt;0</formula>
    </cfRule>
  </conditionalFormatting>
  <conditionalFormatting sqref="U1017:Y1017">
    <cfRule type="notContainsBlanks" dxfId="2984" priority="3080">
      <formula>LEN(TRIM(U1017))&gt;0</formula>
    </cfRule>
  </conditionalFormatting>
  <conditionalFormatting sqref="U1017:Y1017">
    <cfRule type="notContainsBlanks" dxfId="2983" priority="3079">
      <formula>LEN(TRIM(U1017))&gt;0</formula>
    </cfRule>
  </conditionalFormatting>
  <conditionalFormatting sqref="U1017:Y1017">
    <cfRule type="notContainsBlanks" dxfId="2982" priority="3078">
      <formula>LEN(TRIM(U1017))&gt;0</formula>
    </cfRule>
  </conditionalFormatting>
  <conditionalFormatting sqref="U1043:Y1043">
    <cfRule type="notContainsBlanks" dxfId="2981" priority="3077">
      <formula>LEN(TRIM(U1043))&gt;0</formula>
    </cfRule>
  </conditionalFormatting>
  <conditionalFormatting sqref="U1043:Y1043">
    <cfRule type="notContainsBlanks" dxfId="2980" priority="3076">
      <formula>LEN(TRIM(U1043))&gt;0</formula>
    </cfRule>
  </conditionalFormatting>
  <conditionalFormatting sqref="U1043:Y1043">
    <cfRule type="notContainsBlanks" dxfId="2979" priority="3075">
      <formula>LEN(TRIM(U1043))&gt;0</formula>
    </cfRule>
  </conditionalFormatting>
  <conditionalFormatting sqref="U1043:Y1043">
    <cfRule type="notContainsBlanks" dxfId="2978" priority="3074">
      <formula>LEN(TRIM(U1043))&gt;0</formula>
    </cfRule>
  </conditionalFormatting>
  <conditionalFormatting sqref="U1043:Y1043">
    <cfRule type="notContainsBlanks" dxfId="2977" priority="3073">
      <formula>LEN(TRIM(U1043))&gt;0</formula>
    </cfRule>
  </conditionalFormatting>
  <conditionalFormatting sqref="U1043:Y1043">
    <cfRule type="notContainsBlanks" dxfId="2976" priority="3072">
      <formula>LEN(TRIM(U1043))&gt;0</formula>
    </cfRule>
  </conditionalFormatting>
  <conditionalFormatting sqref="U1043:Y1043">
    <cfRule type="notContainsBlanks" dxfId="2975" priority="3071">
      <formula>LEN(TRIM(U1043))&gt;0</formula>
    </cfRule>
  </conditionalFormatting>
  <conditionalFormatting sqref="U1043:Y1043">
    <cfRule type="notContainsBlanks" dxfId="2974" priority="3070">
      <formula>LEN(TRIM(U1043))&gt;0</formula>
    </cfRule>
  </conditionalFormatting>
  <conditionalFormatting sqref="U1043:Y1043">
    <cfRule type="notContainsBlanks" dxfId="2973" priority="3069">
      <formula>LEN(TRIM(U1043))&gt;0</formula>
    </cfRule>
  </conditionalFormatting>
  <conditionalFormatting sqref="U1043:Y1043">
    <cfRule type="notContainsBlanks" dxfId="2972" priority="3067">
      <formula>LEN(TRIM(U1043))&gt;0</formula>
    </cfRule>
    <cfRule type="notContainsBlanks" dxfId="2971" priority="3068">
      <formula>LEN(TRIM(U1043))&gt;0</formula>
    </cfRule>
  </conditionalFormatting>
  <conditionalFormatting sqref="U1043:Y1043">
    <cfRule type="notContainsBlanks" dxfId="2970" priority="3066">
      <formula>LEN(TRIM(U1043))&gt;0</formula>
    </cfRule>
  </conditionalFormatting>
  <conditionalFormatting sqref="U1043:Y1043">
    <cfRule type="notContainsBlanks" dxfId="2969" priority="3065">
      <formula>LEN(TRIM(U1043))&gt;0</formula>
    </cfRule>
  </conditionalFormatting>
  <conditionalFormatting sqref="U1043:Y1043">
    <cfRule type="notContainsBlanks" dxfId="2968" priority="3064">
      <formula>LEN(TRIM(U1043))&gt;0</formula>
    </cfRule>
  </conditionalFormatting>
  <conditionalFormatting sqref="U1043:Y1043">
    <cfRule type="notContainsBlanks" dxfId="2967" priority="3063">
      <formula>LEN(TRIM(U1043))&gt;0</formula>
    </cfRule>
  </conditionalFormatting>
  <conditionalFormatting sqref="U1043:Y1043">
    <cfRule type="notContainsBlanks" dxfId="2966" priority="3062">
      <formula>LEN(TRIM(U1043))&gt;0</formula>
    </cfRule>
  </conditionalFormatting>
  <conditionalFormatting sqref="U1043:Y1043">
    <cfRule type="notContainsBlanks" dxfId="2965" priority="3061">
      <formula>LEN(TRIM(U1043))&gt;0</formula>
    </cfRule>
  </conditionalFormatting>
  <conditionalFormatting sqref="U1043:Y1043">
    <cfRule type="notContainsBlanks" dxfId="2964" priority="3060">
      <formula>LEN(TRIM(U1043))&gt;0</formula>
    </cfRule>
  </conditionalFormatting>
  <conditionalFormatting sqref="U1043:Y1043">
    <cfRule type="notContainsBlanks" dxfId="2963" priority="3059">
      <formula>LEN(TRIM(U1043))&gt;0</formula>
    </cfRule>
  </conditionalFormatting>
  <conditionalFormatting sqref="U1043:Y1043">
    <cfRule type="notContainsBlanks" dxfId="2962" priority="3058">
      <formula>LEN(TRIM(U1043))&gt;0</formula>
    </cfRule>
  </conditionalFormatting>
  <conditionalFormatting sqref="U1043:Y1043">
    <cfRule type="notContainsBlanks" priority="3057">
      <formula>LEN(TRIM(U1043))&gt;0</formula>
    </cfRule>
  </conditionalFormatting>
  <conditionalFormatting sqref="U1043:Y1043">
    <cfRule type="notContainsBlanks" dxfId="2961" priority="3056">
      <formula>LEN(TRIM(U1043))&gt;0</formula>
    </cfRule>
  </conditionalFormatting>
  <conditionalFormatting sqref="U1043:Y1043">
    <cfRule type="notContainsBlanks" dxfId="2960" priority="3055">
      <formula>LEN(TRIM(U1043))&gt;0</formula>
    </cfRule>
  </conditionalFormatting>
  <conditionalFormatting sqref="U1043:Y1043">
    <cfRule type="notContainsBlanks" dxfId="2959" priority="3054">
      <formula>LEN(TRIM(U1043))&gt;0</formula>
    </cfRule>
  </conditionalFormatting>
  <conditionalFormatting sqref="U1043:Y1043">
    <cfRule type="notContainsBlanks" dxfId="2958" priority="3053">
      <formula>LEN(TRIM(U1043))&gt;0</formula>
    </cfRule>
  </conditionalFormatting>
  <conditionalFormatting sqref="U1043:Y1043">
    <cfRule type="notContainsBlanks" dxfId="2957" priority="3052">
      <formula>LEN(TRIM(U1043))&gt;0</formula>
    </cfRule>
  </conditionalFormatting>
  <conditionalFormatting sqref="U1056:Y1056">
    <cfRule type="notContainsBlanks" dxfId="2956" priority="3051">
      <formula>LEN(TRIM(U1056))&gt;0</formula>
    </cfRule>
  </conditionalFormatting>
  <conditionalFormatting sqref="U1056:Y1056">
    <cfRule type="notContainsBlanks" dxfId="2955" priority="3050">
      <formula>LEN(TRIM(U1056))&gt;0</formula>
    </cfRule>
  </conditionalFormatting>
  <conditionalFormatting sqref="U1056:Y1056">
    <cfRule type="notContainsBlanks" dxfId="2954" priority="3049">
      <formula>LEN(TRIM(U1056))&gt;0</formula>
    </cfRule>
  </conditionalFormatting>
  <conditionalFormatting sqref="U1056:Y1056">
    <cfRule type="notContainsBlanks" dxfId="2953" priority="3048">
      <formula>LEN(TRIM(U1056))&gt;0</formula>
    </cfRule>
  </conditionalFormatting>
  <conditionalFormatting sqref="U1056:Y1056">
    <cfRule type="notContainsBlanks" dxfId="2952" priority="3047">
      <formula>LEN(TRIM(U1056))&gt;0</formula>
    </cfRule>
  </conditionalFormatting>
  <conditionalFormatting sqref="U1056:Y1056">
    <cfRule type="notContainsBlanks" dxfId="2951" priority="3046">
      <formula>LEN(TRIM(U1056))&gt;0</formula>
    </cfRule>
  </conditionalFormatting>
  <conditionalFormatting sqref="U1056:Y1056">
    <cfRule type="notContainsBlanks" dxfId="2950" priority="3045">
      <formula>LEN(TRIM(U1056))&gt;0</formula>
    </cfRule>
  </conditionalFormatting>
  <conditionalFormatting sqref="U1056:Y1056">
    <cfRule type="notContainsBlanks" dxfId="2949" priority="3044">
      <formula>LEN(TRIM(U1056))&gt;0</formula>
    </cfRule>
  </conditionalFormatting>
  <conditionalFormatting sqref="U1056:Y1056">
    <cfRule type="notContainsBlanks" dxfId="2948" priority="3043">
      <formula>LEN(TRIM(U1056))&gt;0</formula>
    </cfRule>
  </conditionalFormatting>
  <conditionalFormatting sqref="U1056:Y1056">
    <cfRule type="notContainsBlanks" dxfId="2947" priority="3041">
      <formula>LEN(TRIM(U1056))&gt;0</formula>
    </cfRule>
    <cfRule type="notContainsBlanks" dxfId="2946" priority="3042">
      <formula>LEN(TRIM(U1056))&gt;0</formula>
    </cfRule>
  </conditionalFormatting>
  <conditionalFormatting sqref="U1056:Y1056">
    <cfRule type="notContainsBlanks" dxfId="2945" priority="3040">
      <formula>LEN(TRIM(U1056))&gt;0</formula>
    </cfRule>
  </conditionalFormatting>
  <conditionalFormatting sqref="U1056:Y1056">
    <cfRule type="notContainsBlanks" dxfId="2944" priority="3039">
      <formula>LEN(TRIM(U1056))&gt;0</formula>
    </cfRule>
  </conditionalFormatting>
  <conditionalFormatting sqref="U1056:Y1056">
    <cfRule type="notContainsBlanks" dxfId="2943" priority="3038">
      <formula>LEN(TRIM(U1056))&gt;0</formula>
    </cfRule>
  </conditionalFormatting>
  <conditionalFormatting sqref="U1056:Y1056">
    <cfRule type="notContainsBlanks" dxfId="2942" priority="3037">
      <formula>LEN(TRIM(U1056))&gt;0</formula>
    </cfRule>
  </conditionalFormatting>
  <conditionalFormatting sqref="U1056:Y1056">
    <cfRule type="notContainsBlanks" dxfId="2941" priority="3036">
      <formula>LEN(TRIM(U1056))&gt;0</formula>
    </cfRule>
  </conditionalFormatting>
  <conditionalFormatting sqref="U1056:Y1056">
    <cfRule type="notContainsBlanks" dxfId="2940" priority="3035">
      <formula>LEN(TRIM(U1056))&gt;0</formula>
    </cfRule>
  </conditionalFormatting>
  <conditionalFormatting sqref="U1056:Y1056">
    <cfRule type="notContainsBlanks" dxfId="2939" priority="3034">
      <formula>LEN(TRIM(U1056))&gt;0</formula>
    </cfRule>
  </conditionalFormatting>
  <conditionalFormatting sqref="U1056:Y1056">
    <cfRule type="notContainsBlanks" dxfId="2938" priority="3033">
      <formula>LEN(TRIM(U1056))&gt;0</formula>
    </cfRule>
  </conditionalFormatting>
  <conditionalFormatting sqref="U1056:Y1056">
    <cfRule type="notContainsBlanks" dxfId="2937" priority="3032">
      <formula>LEN(TRIM(U1056))&gt;0</formula>
    </cfRule>
  </conditionalFormatting>
  <conditionalFormatting sqref="U1056:Y1056">
    <cfRule type="notContainsBlanks" priority="3031">
      <formula>LEN(TRIM(U1056))&gt;0</formula>
    </cfRule>
  </conditionalFormatting>
  <conditionalFormatting sqref="U1056:Y1056">
    <cfRule type="notContainsBlanks" dxfId="2936" priority="3030">
      <formula>LEN(TRIM(U1056))&gt;0</formula>
    </cfRule>
  </conditionalFormatting>
  <conditionalFormatting sqref="U1056:Y1056">
    <cfRule type="notContainsBlanks" dxfId="2935" priority="3029">
      <formula>LEN(TRIM(U1056))&gt;0</formula>
    </cfRule>
  </conditionalFormatting>
  <conditionalFormatting sqref="U1056:Y1056">
    <cfRule type="notContainsBlanks" dxfId="2934" priority="3028">
      <formula>LEN(TRIM(U1056))&gt;0</formula>
    </cfRule>
  </conditionalFormatting>
  <conditionalFormatting sqref="U1056:Y1056">
    <cfRule type="notContainsBlanks" dxfId="2933" priority="3027">
      <formula>LEN(TRIM(U1056))&gt;0</formula>
    </cfRule>
  </conditionalFormatting>
  <conditionalFormatting sqref="U1056:Y1056">
    <cfRule type="notContainsBlanks" dxfId="2932" priority="3026">
      <formula>LEN(TRIM(U1056))&gt;0</formula>
    </cfRule>
  </conditionalFormatting>
  <conditionalFormatting sqref="U1069:Y1069">
    <cfRule type="notContainsBlanks" dxfId="2931" priority="3025">
      <formula>LEN(TRIM(U1069))&gt;0</formula>
    </cfRule>
  </conditionalFormatting>
  <conditionalFormatting sqref="U1069:Y1069">
    <cfRule type="notContainsBlanks" dxfId="2930" priority="3024">
      <formula>LEN(TRIM(U1069))&gt;0</formula>
    </cfRule>
  </conditionalFormatting>
  <conditionalFormatting sqref="U1069:Y1069">
    <cfRule type="notContainsBlanks" dxfId="2929" priority="3023">
      <formula>LEN(TRIM(U1069))&gt;0</formula>
    </cfRule>
  </conditionalFormatting>
  <conditionalFormatting sqref="U1069:Y1069">
    <cfRule type="notContainsBlanks" dxfId="2928" priority="3022">
      <formula>LEN(TRIM(U1069))&gt;0</formula>
    </cfRule>
  </conditionalFormatting>
  <conditionalFormatting sqref="U1069:Y1069">
    <cfRule type="notContainsBlanks" dxfId="2927" priority="3021">
      <formula>LEN(TRIM(U1069))&gt;0</formula>
    </cfRule>
  </conditionalFormatting>
  <conditionalFormatting sqref="U1069:Y1069">
    <cfRule type="notContainsBlanks" dxfId="2926" priority="3020">
      <formula>LEN(TRIM(U1069))&gt;0</formula>
    </cfRule>
  </conditionalFormatting>
  <conditionalFormatting sqref="U1069:Y1069">
    <cfRule type="notContainsBlanks" dxfId="2925" priority="3019">
      <formula>LEN(TRIM(U1069))&gt;0</formula>
    </cfRule>
  </conditionalFormatting>
  <conditionalFormatting sqref="U1069:Y1069">
    <cfRule type="notContainsBlanks" dxfId="2924" priority="3018">
      <formula>LEN(TRIM(U1069))&gt;0</formula>
    </cfRule>
  </conditionalFormatting>
  <conditionalFormatting sqref="U1069:Y1069">
    <cfRule type="notContainsBlanks" dxfId="2923" priority="3017">
      <formula>LEN(TRIM(U1069))&gt;0</formula>
    </cfRule>
  </conditionalFormatting>
  <conditionalFormatting sqref="U1069:Y1069">
    <cfRule type="notContainsBlanks" dxfId="2922" priority="3015">
      <formula>LEN(TRIM(U1069))&gt;0</formula>
    </cfRule>
    <cfRule type="notContainsBlanks" dxfId="2921" priority="3016">
      <formula>LEN(TRIM(U1069))&gt;0</formula>
    </cfRule>
  </conditionalFormatting>
  <conditionalFormatting sqref="U1069:Y1069">
    <cfRule type="notContainsBlanks" dxfId="2920" priority="3014">
      <formula>LEN(TRIM(U1069))&gt;0</formula>
    </cfRule>
  </conditionalFormatting>
  <conditionalFormatting sqref="U1069:Y1069">
    <cfRule type="notContainsBlanks" dxfId="2919" priority="3013">
      <formula>LEN(TRIM(U1069))&gt;0</formula>
    </cfRule>
  </conditionalFormatting>
  <conditionalFormatting sqref="U1069:Y1069">
    <cfRule type="notContainsBlanks" dxfId="2918" priority="3012">
      <formula>LEN(TRIM(U1069))&gt;0</formula>
    </cfRule>
  </conditionalFormatting>
  <conditionalFormatting sqref="U1069:Y1069">
    <cfRule type="notContainsBlanks" dxfId="2917" priority="3011">
      <formula>LEN(TRIM(U1069))&gt;0</formula>
    </cfRule>
  </conditionalFormatting>
  <conditionalFormatting sqref="U1069:Y1069">
    <cfRule type="notContainsBlanks" dxfId="2916" priority="3010">
      <formula>LEN(TRIM(U1069))&gt;0</formula>
    </cfRule>
  </conditionalFormatting>
  <conditionalFormatting sqref="U1069:Y1069">
    <cfRule type="notContainsBlanks" dxfId="2915" priority="3009">
      <formula>LEN(TRIM(U1069))&gt;0</formula>
    </cfRule>
  </conditionalFormatting>
  <conditionalFormatting sqref="U1069:Y1069">
    <cfRule type="notContainsBlanks" dxfId="2914" priority="3008">
      <formula>LEN(TRIM(U1069))&gt;0</formula>
    </cfRule>
  </conditionalFormatting>
  <conditionalFormatting sqref="U1069:Y1069">
    <cfRule type="notContainsBlanks" dxfId="2913" priority="3007">
      <formula>LEN(TRIM(U1069))&gt;0</formula>
    </cfRule>
  </conditionalFormatting>
  <conditionalFormatting sqref="U1069:Y1069">
    <cfRule type="notContainsBlanks" dxfId="2912" priority="3006">
      <formula>LEN(TRIM(U1069))&gt;0</formula>
    </cfRule>
  </conditionalFormatting>
  <conditionalFormatting sqref="U1069:Y1069">
    <cfRule type="notContainsBlanks" priority="3005">
      <formula>LEN(TRIM(U1069))&gt;0</formula>
    </cfRule>
  </conditionalFormatting>
  <conditionalFormatting sqref="U1069:Y1069">
    <cfRule type="notContainsBlanks" dxfId="2911" priority="3004">
      <formula>LEN(TRIM(U1069))&gt;0</formula>
    </cfRule>
  </conditionalFormatting>
  <conditionalFormatting sqref="U1069:Y1069">
    <cfRule type="notContainsBlanks" dxfId="2910" priority="3003">
      <formula>LEN(TRIM(U1069))&gt;0</formula>
    </cfRule>
  </conditionalFormatting>
  <conditionalFormatting sqref="U1069:Y1069">
    <cfRule type="notContainsBlanks" dxfId="2909" priority="3002">
      <formula>LEN(TRIM(U1069))&gt;0</formula>
    </cfRule>
  </conditionalFormatting>
  <conditionalFormatting sqref="U1069:Y1069">
    <cfRule type="notContainsBlanks" dxfId="2908" priority="3001">
      <formula>LEN(TRIM(U1069))&gt;0</formula>
    </cfRule>
  </conditionalFormatting>
  <conditionalFormatting sqref="U1069:Y1069">
    <cfRule type="notContainsBlanks" dxfId="2907" priority="3000">
      <formula>LEN(TRIM(U1069))&gt;0</formula>
    </cfRule>
  </conditionalFormatting>
  <conditionalFormatting sqref="U1082:Y1082">
    <cfRule type="notContainsBlanks" dxfId="2906" priority="2999">
      <formula>LEN(TRIM(U1082))&gt;0</formula>
    </cfRule>
  </conditionalFormatting>
  <conditionalFormatting sqref="U1082:Y1082">
    <cfRule type="notContainsBlanks" dxfId="2905" priority="2998">
      <formula>LEN(TRIM(U1082))&gt;0</formula>
    </cfRule>
  </conditionalFormatting>
  <conditionalFormatting sqref="U1082:Y1082">
    <cfRule type="notContainsBlanks" dxfId="2904" priority="2997">
      <formula>LEN(TRIM(U1082))&gt;0</formula>
    </cfRule>
  </conditionalFormatting>
  <conditionalFormatting sqref="U1082:Y1082">
    <cfRule type="notContainsBlanks" dxfId="2903" priority="2996">
      <formula>LEN(TRIM(U1082))&gt;0</formula>
    </cfRule>
  </conditionalFormatting>
  <conditionalFormatting sqref="U1082:Y1082">
    <cfRule type="notContainsBlanks" dxfId="2902" priority="2995">
      <formula>LEN(TRIM(U1082))&gt;0</formula>
    </cfRule>
  </conditionalFormatting>
  <conditionalFormatting sqref="U1082:Y1082">
    <cfRule type="notContainsBlanks" dxfId="2901" priority="2994">
      <formula>LEN(TRIM(U1082))&gt;0</formula>
    </cfRule>
  </conditionalFormatting>
  <conditionalFormatting sqref="U1082:Y1082">
    <cfRule type="notContainsBlanks" dxfId="2900" priority="2993">
      <formula>LEN(TRIM(U1082))&gt;0</formula>
    </cfRule>
  </conditionalFormatting>
  <conditionalFormatting sqref="U1082:Y1082">
    <cfRule type="notContainsBlanks" dxfId="2899" priority="2992">
      <formula>LEN(TRIM(U1082))&gt;0</formula>
    </cfRule>
  </conditionalFormatting>
  <conditionalFormatting sqref="U1082:Y1082">
    <cfRule type="notContainsBlanks" dxfId="2898" priority="2991">
      <formula>LEN(TRIM(U1082))&gt;0</formula>
    </cfRule>
  </conditionalFormatting>
  <conditionalFormatting sqref="U1082:Y1082">
    <cfRule type="notContainsBlanks" dxfId="2897" priority="2989">
      <formula>LEN(TRIM(U1082))&gt;0</formula>
    </cfRule>
    <cfRule type="notContainsBlanks" dxfId="2896" priority="2990">
      <formula>LEN(TRIM(U1082))&gt;0</formula>
    </cfRule>
  </conditionalFormatting>
  <conditionalFormatting sqref="U1082:Y1082">
    <cfRule type="notContainsBlanks" dxfId="2895" priority="2988">
      <formula>LEN(TRIM(U1082))&gt;0</formula>
    </cfRule>
  </conditionalFormatting>
  <conditionalFormatting sqref="U1082:Y1082">
    <cfRule type="notContainsBlanks" dxfId="2894" priority="2987">
      <formula>LEN(TRIM(U1082))&gt;0</formula>
    </cfRule>
  </conditionalFormatting>
  <conditionalFormatting sqref="U1082:Y1082">
    <cfRule type="notContainsBlanks" dxfId="2893" priority="2986">
      <formula>LEN(TRIM(U1082))&gt;0</formula>
    </cfRule>
  </conditionalFormatting>
  <conditionalFormatting sqref="U1082:Y1082">
    <cfRule type="notContainsBlanks" dxfId="2892" priority="2985">
      <formula>LEN(TRIM(U1082))&gt;0</formula>
    </cfRule>
  </conditionalFormatting>
  <conditionalFormatting sqref="U1082:Y1082">
    <cfRule type="notContainsBlanks" dxfId="2891" priority="2984">
      <formula>LEN(TRIM(U1082))&gt;0</formula>
    </cfRule>
  </conditionalFormatting>
  <conditionalFormatting sqref="U1082:Y1082">
    <cfRule type="notContainsBlanks" dxfId="2890" priority="2983">
      <formula>LEN(TRIM(U1082))&gt;0</formula>
    </cfRule>
  </conditionalFormatting>
  <conditionalFormatting sqref="U1082:Y1082">
    <cfRule type="notContainsBlanks" dxfId="2889" priority="2982">
      <formula>LEN(TRIM(U1082))&gt;0</formula>
    </cfRule>
  </conditionalFormatting>
  <conditionalFormatting sqref="U1082:Y1082">
    <cfRule type="notContainsBlanks" dxfId="2888" priority="2981">
      <formula>LEN(TRIM(U1082))&gt;0</formula>
    </cfRule>
  </conditionalFormatting>
  <conditionalFormatting sqref="U1082:Y1082">
    <cfRule type="notContainsBlanks" dxfId="2887" priority="2980">
      <formula>LEN(TRIM(U1082))&gt;0</formula>
    </cfRule>
  </conditionalFormatting>
  <conditionalFormatting sqref="U1082:Y1082">
    <cfRule type="notContainsBlanks" priority="2979">
      <formula>LEN(TRIM(U1082))&gt;0</formula>
    </cfRule>
  </conditionalFormatting>
  <conditionalFormatting sqref="U1082:Y1082">
    <cfRule type="notContainsBlanks" dxfId="2886" priority="2978">
      <formula>LEN(TRIM(U1082))&gt;0</formula>
    </cfRule>
  </conditionalFormatting>
  <conditionalFormatting sqref="U1082:Y1082">
    <cfRule type="notContainsBlanks" dxfId="2885" priority="2977">
      <formula>LEN(TRIM(U1082))&gt;0</formula>
    </cfRule>
  </conditionalFormatting>
  <conditionalFormatting sqref="U1082:Y1082">
    <cfRule type="notContainsBlanks" dxfId="2884" priority="2976">
      <formula>LEN(TRIM(U1082))&gt;0</formula>
    </cfRule>
  </conditionalFormatting>
  <conditionalFormatting sqref="U1082:Y1082">
    <cfRule type="notContainsBlanks" dxfId="2883" priority="2975">
      <formula>LEN(TRIM(U1082))&gt;0</formula>
    </cfRule>
  </conditionalFormatting>
  <conditionalFormatting sqref="U1082:Y1082">
    <cfRule type="notContainsBlanks" dxfId="2882" priority="2974">
      <formula>LEN(TRIM(U1082))&gt;0</formula>
    </cfRule>
  </conditionalFormatting>
  <conditionalFormatting sqref="U1095:Y1095">
    <cfRule type="notContainsBlanks" dxfId="2881" priority="2973">
      <formula>LEN(TRIM(U1095))&gt;0</formula>
    </cfRule>
  </conditionalFormatting>
  <conditionalFormatting sqref="U1095:Y1095">
    <cfRule type="notContainsBlanks" dxfId="2880" priority="2972">
      <formula>LEN(TRIM(U1095))&gt;0</formula>
    </cfRule>
  </conditionalFormatting>
  <conditionalFormatting sqref="U1095:Y1095">
    <cfRule type="notContainsBlanks" dxfId="2879" priority="2971">
      <formula>LEN(TRIM(U1095))&gt;0</formula>
    </cfRule>
  </conditionalFormatting>
  <conditionalFormatting sqref="U1095:Y1095">
    <cfRule type="notContainsBlanks" dxfId="2878" priority="2970">
      <formula>LEN(TRIM(U1095))&gt;0</formula>
    </cfRule>
  </conditionalFormatting>
  <conditionalFormatting sqref="U1095:Y1095">
    <cfRule type="notContainsBlanks" dxfId="2877" priority="2969">
      <formula>LEN(TRIM(U1095))&gt;0</formula>
    </cfRule>
  </conditionalFormatting>
  <conditionalFormatting sqref="U1095:Y1095">
    <cfRule type="notContainsBlanks" dxfId="2876" priority="2968">
      <formula>LEN(TRIM(U1095))&gt;0</formula>
    </cfRule>
  </conditionalFormatting>
  <conditionalFormatting sqref="U1095:Y1095">
    <cfRule type="notContainsBlanks" dxfId="2875" priority="2967">
      <formula>LEN(TRIM(U1095))&gt;0</formula>
    </cfRule>
  </conditionalFormatting>
  <conditionalFormatting sqref="U1095:Y1095">
    <cfRule type="notContainsBlanks" dxfId="2874" priority="2966">
      <formula>LEN(TRIM(U1095))&gt;0</formula>
    </cfRule>
  </conditionalFormatting>
  <conditionalFormatting sqref="U1095:Y1095">
    <cfRule type="notContainsBlanks" dxfId="2873" priority="2965">
      <formula>LEN(TRIM(U1095))&gt;0</formula>
    </cfRule>
  </conditionalFormatting>
  <conditionalFormatting sqref="U1095:Y1095">
    <cfRule type="notContainsBlanks" dxfId="2872" priority="2963">
      <formula>LEN(TRIM(U1095))&gt;0</formula>
    </cfRule>
    <cfRule type="notContainsBlanks" dxfId="2871" priority="2964">
      <formula>LEN(TRIM(U1095))&gt;0</formula>
    </cfRule>
  </conditionalFormatting>
  <conditionalFormatting sqref="U1095:Y1095">
    <cfRule type="notContainsBlanks" dxfId="2870" priority="2962">
      <formula>LEN(TRIM(U1095))&gt;0</formula>
    </cfRule>
  </conditionalFormatting>
  <conditionalFormatting sqref="U1095:Y1095">
    <cfRule type="notContainsBlanks" dxfId="2869" priority="2961">
      <formula>LEN(TRIM(U1095))&gt;0</formula>
    </cfRule>
  </conditionalFormatting>
  <conditionalFormatting sqref="U1095:Y1095">
    <cfRule type="notContainsBlanks" dxfId="2868" priority="2960">
      <formula>LEN(TRIM(U1095))&gt;0</formula>
    </cfRule>
  </conditionalFormatting>
  <conditionalFormatting sqref="U1095:Y1095">
    <cfRule type="notContainsBlanks" dxfId="2867" priority="2959">
      <formula>LEN(TRIM(U1095))&gt;0</formula>
    </cfRule>
  </conditionalFormatting>
  <conditionalFormatting sqref="U1095:Y1095">
    <cfRule type="notContainsBlanks" dxfId="2866" priority="2958">
      <formula>LEN(TRIM(U1095))&gt;0</formula>
    </cfRule>
  </conditionalFormatting>
  <conditionalFormatting sqref="U1095:Y1095">
    <cfRule type="notContainsBlanks" dxfId="2865" priority="2957">
      <formula>LEN(TRIM(U1095))&gt;0</formula>
    </cfRule>
  </conditionalFormatting>
  <conditionalFormatting sqref="U1095:Y1095">
    <cfRule type="notContainsBlanks" dxfId="2864" priority="2956">
      <formula>LEN(TRIM(U1095))&gt;0</formula>
    </cfRule>
  </conditionalFormatting>
  <conditionalFormatting sqref="U1095:Y1095">
    <cfRule type="notContainsBlanks" dxfId="2863" priority="2955">
      <formula>LEN(TRIM(U1095))&gt;0</formula>
    </cfRule>
  </conditionalFormatting>
  <conditionalFormatting sqref="U1095:Y1095">
    <cfRule type="notContainsBlanks" dxfId="2862" priority="2954">
      <formula>LEN(TRIM(U1095))&gt;0</formula>
    </cfRule>
  </conditionalFormatting>
  <conditionalFormatting sqref="U1095:Y1095">
    <cfRule type="notContainsBlanks" priority="2953">
      <formula>LEN(TRIM(U1095))&gt;0</formula>
    </cfRule>
  </conditionalFormatting>
  <conditionalFormatting sqref="U1095:Y1095">
    <cfRule type="notContainsBlanks" dxfId="2861" priority="2952">
      <formula>LEN(TRIM(U1095))&gt;0</formula>
    </cfRule>
  </conditionalFormatting>
  <conditionalFormatting sqref="U1095:Y1095">
    <cfRule type="notContainsBlanks" dxfId="2860" priority="2951">
      <formula>LEN(TRIM(U1095))&gt;0</formula>
    </cfRule>
  </conditionalFormatting>
  <conditionalFormatting sqref="U1095:Y1095">
    <cfRule type="notContainsBlanks" dxfId="2859" priority="2950">
      <formula>LEN(TRIM(U1095))&gt;0</formula>
    </cfRule>
  </conditionalFormatting>
  <conditionalFormatting sqref="U1095:Y1095">
    <cfRule type="notContainsBlanks" dxfId="2858" priority="2949">
      <formula>LEN(TRIM(U1095))&gt;0</formula>
    </cfRule>
  </conditionalFormatting>
  <conditionalFormatting sqref="U1095:Y1095">
    <cfRule type="notContainsBlanks" dxfId="2857" priority="2948">
      <formula>LEN(TRIM(U1095))&gt;0</formula>
    </cfRule>
  </conditionalFormatting>
  <conditionalFormatting sqref="U1108:Y1108">
    <cfRule type="notContainsBlanks" dxfId="2856" priority="2947">
      <formula>LEN(TRIM(U1108))&gt;0</formula>
    </cfRule>
  </conditionalFormatting>
  <conditionalFormatting sqref="U1108:Y1108">
    <cfRule type="notContainsBlanks" dxfId="2855" priority="2946">
      <formula>LEN(TRIM(U1108))&gt;0</formula>
    </cfRule>
  </conditionalFormatting>
  <conditionalFormatting sqref="U1108:Y1108">
    <cfRule type="notContainsBlanks" dxfId="2854" priority="2945">
      <formula>LEN(TRIM(U1108))&gt;0</formula>
    </cfRule>
  </conditionalFormatting>
  <conditionalFormatting sqref="U1108:Y1108">
    <cfRule type="notContainsBlanks" dxfId="2853" priority="2944">
      <formula>LEN(TRIM(U1108))&gt;0</formula>
    </cfRule>
  </conditionalFormatting>
  <conditionalFormatting sqref="U1108:Y1108">
    <cfRule type="notContainsBlanks" dxfId="2852" priority="2943">
      <formula>LEN(TRIM(U1108))&gt;0</formula>
    </cfRule>
  </conditionalFormatting>
  <conditionalFormatting sqref="U1108:Y1108">
    <cfRule type="notContainsBlanks" dxfId="2851" priority="2942">
      <formula>LEN(TRIM(U1108))&gt;0</formula>
    </cfRule>
  </conditionalFormatting>
  <conditionalFormatting sqref="U1108:Y1108">
    <cfRule type="notContainsBlanks" dxfId="2850" priority="2941">
      <formula>LEN(TRIM(U1108))&gt;0</formula>
    </cfRule>
  </conditionalFormatting>
  <conditionalFormatting sqref="U1108:Y1108">
    <cfRule type="notContainsBlanks" dxfId="2849" priority="2940">
      <formula>LEN(TRIM(U1108))&gt;0</formula>
    </cfRule>
  </conditionalFormatting>
  <conditionalFormatting sqref="U1108:Y1108">
    <cfRule type="notContainsBlanks" dxfId="2848" priority="2939">
      <formula>LEN(TRIM(U1108))&gt;0</formula>
    </cfRule>
  </conditionalFormatting>
  <conditionalFormatting sqref="U1108:Y1108">
    <cfRule type="notContainsBlanks" dxfId="2847" priority="2937">
      <formula>LEN(TRIM(U1108))&gt;0</formula>
    </cfRule>
    <cfRule type="notContainsBlanks" dxfId="2846" priority="2938">
      <formula>LEN(TRIM(U1108))&gt;0</formula>
    </cfRule>
  </conditionalFormatting>
  <conditionalFormatting sqref="U1108:Y1108">
    <cfRule type="notContainsBlanks" dxfId="2845" priority="2936">
      <formula>LEN(TRIM(U1108))&gt;0</formula>
    </cfRule>
  </conditionalFormatting>
  <conditionalFormatting sqref="U1108:Y1108">
    <cfRule type="notContainsBlanks" dxfId="2844" priority="2935">
      <formula>LEN(TRIM(U1108))&gt;0</formula>
    </cfRule>
  </conditionalFormatting>
  <conditionalFormatting sqref="U1108:Y1108">
    <cfRule type="notContainsBlanks" dxfId="2843" priority="2934">
      <formula>LEN(TRIM(U1108))&gt;0</formula>
    </cfRule>
  </conditionalFormatting>
  <conditionalFormatting sqref="U1108:Y1108">
    <cfRule type="notContainsBlanks" dxfId="2842" priority="2933">
      <formula>LEN(TRIM(U1108))&gt;0</formula>
    </cfRule>
  </conditionalFormatting>
  <conditionalFormatting sqref="U1108:Y1108">
    <cfRule type="notContainsBlanks" dxfId="2841" priority="2932">
      <formula>LEN(TRIM(U1108))&gt;0</formula>
    </cfRule>
  </conditionalFormatting>
  <conditionalFormatting sqref="U1108:Y1108">
    <cfRule type="notContainsBlanks" dxfId="2840" priority="2931">
      <formula>LEN(TRIM(U1108))&gt;0</formula>
    </cfRule>
  </conditionalFormatting>
  <conditionalFormatting sqref="U1108:Y1108">
    <cfRule type="notContainsBlanks" dxfId="2839" priority="2930">
      <formula>LEN(TRIM(U1108))&gt;0</formula>
    </cfRule>
  </conditionalFormatting>
  <conditionalFormatting sqref="U1108:Y1108">
    <cfRule type="notContainsBlanks" dxfId="2838" priority="2929">
      <formula>LEN(TRIM(U1108))&gt;0</formula>
    </cfRule>
  </conditionalFormatting>
  <conditionalFormatting sqref="U1108:Y1108">
    <cfRule type="notContainsBlanks" dxfId="2837" priority="2928">
      <formula>LEN(TRIM(U1108))&gt;0</formula>
    </cfRule>
  </conditionalFormatting>
  <conditionalFormatting sqref="U1108:Y1108">
    <cfRule type="notContainsBlanks" priority="2927">
      <formula>LEN(TRIM(U1108))&gt;0</formula>
    </cfRule>
  </conditionalFormatting>
  <conditionalFormatting sqref="U1108:Y1108">
    <cfRule type="notContainsBlanks" dxfId="2836" priority="2926">
      <formula>LEN(TRIM(U1108))&gt;0</formula>
    </cfRule>
  </conditionalFormatting>
  <conditionalFormatting sqref="U1108:Y1108">
    <cfRule type="notContainsBlanks" dxfId="2835" priority="2925">
      <formula>LEN(TRIM(U1108))&gt;0</formula>
    </cfRule>
  </conditionalFormatting>
  <conditionalFormatting sqref="U1108:Y1108">
    <cfRule type="notContainsBlanks" dxfId="2834" priority="2924">
      <formula>LEN(TRIM(U1108))&gt;0</formula>
    </cfRule>
  </conditionalFormatting>
  <conditionalFormatting sqref="U1108:Y1108">
    <cfRule type="notContainsBlanks" dxfId="2833" priority="2923">
      <formula>LEN(TRIM(U1108))&gt;0</formula>
    </cfRule>
  </conditionalFormatting>
  <conditionalFormatting sqref="U1108:Y1108">
    <cfRule type="notContainsBlanks" dxfId="2832" priority="2922">
      <formula>LEN(TRIM(U1108))&gt;0</formula>
    </cfRule>
  </conditionalFormatting>
  <conditionalFormatting sqref="U1121:Y1121">
    <cfRule type="notContainsBlanks" dxfId="2831" priority="2921">
      <formula>LEN(TRIM(U1121))&gt;0</formula>
    </cfRule>
  </conditionalFormatting>
  <conditionalFormatting sqref="U1121:Y1121">
    <cfRule type="notContainsBlanks" dxfId="2830" priority="2920">
      <formula>LEN(TRIM(U1121))&gt;0</formula>
    </cfRule>
  </conditionalFormatting>
  <conditionalFormatting sqref="U1121:Y1121">
    <cfRule type="notContainsBlanks" dxfId="2829" priority="2919">
      <formula>LEN(TRIM(U1121))&gt;0</formula>
    </cfRule>
  </conditionalFormatting>
  <conditionalFormatting sqref="U1121:Y1121">
    <cfRule type="notContainsBlanks" dxfId="2828" priority="2918">
      <formula>LEN(TRIM(U1121))&gt;0</formula>
    </cfRule>
  </conditionalFormatting>
  <conditionalFormatting sqref="U1121:Y1121">
    <cfRule type="notContainsBlanks" dxfId="2827" priority="2917">
      <formula>LEN(TRIM(U1121))&gt;0</formula>
    </cfRule>
  </conditionalFormatting>
  <conditionalFormatting sqref="U1121:Y1121">
    <cfRule type="notContainsBlanks" dxfId="2826" priority="2916">
      <formula>LEN(TRIM(U1121))&gt;0</formula>
    </cfRule>
  </conditionalFormatting>
  <conditionalFormatting sqref="U1121:Y1121">
    <cfRule type="notContainsBlanks" dxfId="2825" priority="2915">
      <formula>LEN(TRIM(U1121))&gt;0</formula>
    </cfRule>
  </conditionalFormatting>
  <conditionalFormatting sqref="U1121:Y1121">
    <cfRule type="notContainsBlanks" dxfId="2824" priority="2914">
      <formula>LEN(TRIM(U1121))&gt;0</formula>
    </cfRule>
  </conditionalFormatting>
  <conditionalFormatting sqref="U1121:Y1121">
    <cfRule type="notContainsBlanks" dxfId="2823" priority="2913">
      <formula>LEN(TRIM(U1121))&gt;0</formula>
    </cfRule>
  </conditionalFormatting>
  <conditionalFormatting sqref="U1121:Y1121">
    <cfRule type="notContainsBlanks" dxfId="2822" priority="2911">
      <formula>LEN(TRIM(U1121))&gt;0</formula>
    </cfRule>
    <cfRule type="notContainsBlanks" dxfId="2821" priority="2912">
      <formula>LEN(TRIM(U1121))&gt;0</formula>
    </cfRule>
  </conditionalFormatting>
  <conditionalFormatting sqref="U1121:Y1121">
    <cfRule type="notContainsBlanks" dxfId="2820" priority="2910">
      <formula>LEN(TRIM(U1121))&gt;0</formula>
    </cfRule>
  </conditionalFormatting>
  <conditionalFormatting sqref="U1121:Y1121">
    <cfRule type="notContainsBlanks" dxfId="2819" priority="2909">
      <formula>LEN(TRIM(U1121))&gt;0</formula>
    </cfRule>
  </conditionalFormatting>
  <conditionalFormatting sqref="U1121:Y1121">
    <cfRule type="notContainsBlanks" dxfId="2818" priority="2908">
      <formula>LEN(TRIM(U1121))&gt;0</formula>
    </cfRule>
  </conditionalFormatting>
  <conditionalFormatting sqref="U1121:Y1121">
    <cfRule type="notContainsBlanks" dxfId="2817" priority="2907">
      <formula>LEN(TRIM(U1121))&gt;0</formula>
    </cfRule>
  </conditionalFormatting>
  <conditionalFormatting sqref="U1121:Y1121">
    <cfRule type="notContainsBlanks" dxfId="2816" priority="2906">
      <formula>LEN(TRIM(U1121))&gt;0</formula>
    </cfRule>
  </conditionalFormatting>
  <conditionalFormatting sqref="U1121:Y1121">
    <cfRule type="notContainsBlanks" dxfId="2815" priority="2905">
      <formula>LEN(TRIM(U1121))&gt;0</formula>
    </cfRule>
  </conditionalFormatting>
  <conditionalFormatting sqref="U1121:Y1121">
    <cfRule type="notContainsBlanks" dxfId="2814" priority="2904">
      <formula>LEN(TRIM(U1121))&gt;0</formula>
    </cfRule>
  </conditionalFormatting>
  <conditionalFormatting sqref="U1121:Y1121">
    <cfRule type="notContainsBlanks" dxfId="2813" priority="2903">
      <formula>LEN(TRIM(U1121))&gt;0</formula>
    </cfRule>
  </conditionalFormatting>
  <conditionalFormatting sqref="U1121:Y1121">
    <cfRule type="notContainsBlanks" dxfId="2812" priority="2902">
      <formula>LEN(TRIM(U1121))&gt;0</formula>
    </cfRule>
  </conditionalFormatting>
  <conditionalFormatting sqref="U1121:Y1121">
    <cfRule type="notContainsBlanks" priority="2901">
      <formula>LEN(TRIM(U1121))&gt;0</formula>
    </cfRule>
  </conditionalFormatting>
  <conditionalFormatting sqref="U1121:Y1121">
    <cfRule type="notContainsBlanks" dxfId="2811" priority="2900">
      <formula>LEN(TRIM(U1121))&gt;0</formula>
    </cfRule>
  </conditionalFormatting>
  <conditionalFormatting sqref="U1121:Y1121">
    <cfRule type="notContainsBlanks" dxfId="2810" priority="2899">
      <formula>LEN(TRIM(U1121))&gt;0</formula>
    </cfRule>
  </conditionalFormatting>
  <conditionalFormatting sqref="U1121:Y1121">
    <cfRule type="notContainsBlanks" dxfId="2809" priority="2898">
      <formula>LEN(TRIM(U1121))&gt;0</formula>
    </cfRule>
  </conditionalFormatting>
  <conditionalFormatting sqref="U1121:Y1121">
    <cfRule type="notContainsBlanks" dxfId="2808" priority="2897">
      <formula>LEN(TRIM(U1121))&gt;0</formula>
    </cfRule>
  </conditionalFormatting>
  <conditionalFormatting sqref="U1121:Y1121">
    <cfRule type="notContainsBlanks" dxfId="2807" priority="2896">
      <formula>LEN(TRIM(U1121))&gt;0</formula>
    </cfRule>
  </conditionalFormatting>
  <conditionalFormatting sqref="U1134:Y1134">
    <cfRule type="notContainsBlanks" dxfId="2806" priority="2895">
      <formula>LEN(TRIM(U1134))&gt;0</formula>
    </cfRule>
  </conditionalFormatting>
  <conditionalFormatting sqref="U1134:Y1134">
    <cfRule type="notContainsBlanks" dxfId="2805" priority="2894">
      <formula>LEN(TRIM(U1134))&gt;0</formula>
    </cfRule>
  </conditionalFormatting>
  <conditionalFormatting sqref="U1134:Y1134">
    <cfRule type="notContainsBlanks" dxfId="2804" priority="2893">
      <formula>LEN(TRIM(U1134))&gt;0</formula>
    </cfRule>
  </conditionalFormatting>
  <conditionalFormatting sqref="U1134:Y1134">
    <cfRule type="notContainsBlanks" dxfId="2803" priority="2892">
      <formula>LEN(TRIM(U1134))&gt;0</formula>
    </cfRule>
  </conditionalFormatting>
  <conditionalFormatting sqref="U1134:Y1134">
    <cfRule type="notContainsBlanks" dxfId="2802" priority="2891">
      <formula>LEN(TRIM(U1134))&gt;0</formula>
    </cfRule>
  </conditionalFormatting>
  <conditionalFormatting sqref="U1134:Y1134">
    <cfRule type="notContainsBlanks" dxfId="2801" priority="2890">
      <formula>LEN(TRIM(U1134))&gt;0</formula>
    </cfRule>
  </conditionalFormatting>
  <conditionalFormatting sqref="U1134:Y1134">
    <cfRule type="notContainsBlanks" dxfId="2800" priority="2889">
      <formula>LEN(TRIM(U1134))&gt;0</formula>
    </cfRule>
  </conditionalFormatting>
  <conditionalFormatting sqref="U1134:Y1134">
    <cfRule type="notContainsBlanks" dxfId="2799" priority="2888">
      <formula>LEN(TRIM(U1134))&gt;0</formula>
    </cfRule>
  </conditionalFormatting>
  <conditionalFormatting sqref="U1134:Y1134">
    <cfRule type="notContainsBlanks" dxfId="2798" priority="2887">
      <formula>LEN(TRIM(U1134))&gt;0</formula>
    </cfRule>
  </conditionalFormatting>
  <conditionalFormatting sqref="U1134:Y1134">
    <cfRule type="notContainsBlanks" dxfId="2797" priority="2885">
      <formula>LEN(TRIM(U1134))&gt;0</formula>
    </cfRule>
    <cfRule type="notContainsBlanks" dxfId="2796" priority="2886">
      <formula>LEN(TRIM(U1134))&gt;0</formula>
    </cfRule>
  </conditionalFormatting>
  <conditionalFormatting sqref="U1134:Y1134">
    <cfRule type="notContainsBlanks" dxfId="2795" priority="2884">
      <formula>LEN(TRIM(U1134))&gt;0</formula>
    </cfRule>
  </conditionalFormatting>
  <conditionalFormatting sqref="U1134:Y1134">
    <cfRule type="notContainsBlanks" dxfId="2794" priority="2883">
      <formula>LEN(TRIM(U1134))&gt;0</formula>
    </cfRule>
  </conditionalFormatting>
  <conditionalFormatting sqref="U1134:Y1134">
    <cfRule type="notContainsBlanks" dxfId="2793" priority="2882">
      <formula>LEN(TRIM(U1134))&gt;0</formula>
    </cfRule>
  </conditionalFormatting>
  <conditionalFormatting sqref="U1134:Y1134">
    <cfRule type="notContainsBlanks" dxfId="2792" priority="2881">
      <formula>LEN(TRIM(U1134))&gt;0</formula>
    </cfRule>
  </conditionalFormatting>
  <conditionalFormatting sqref="U1134:Y1134">
    <cfRule type="notContainsBlanks" dxfId="2791" priority="2880">
      <formula>LEN(TRIM(U1134))&gt;0</formula>
    </cfRule>
  </conditionalFormatting>
  <conditionalFormatting sqref="U1134:Y1134">
    <cfRule type="notContainsBlanks" dxfId="2790" priority="2879">
      <formula>LEN(TRIM(U1134))&gt;0</formula>
    </cfRule>
  </conditionalFormatting>
  <conditionalFormatting sqref="U1134:Y1134">
    <cfRule type="notContainsBlanks" dxfId="2789" priority="2878">
      <formula>LEN(TRIM(U1134))&gt;0</formula>
    </cfRule>
  </conditionalFormatting>
  <conditionalFormatting sqref="U1134:Y1134">
    <cfRule type="notContainsBlanks" dxfId="2788" priority="2877">
      <formula>LEN(TRIM(U1134))&gt;0</formula>
    </cfRule>
  </conditionalFormatting>
  <conditionalFormatting sqref="U1134:Y1134">
    <cfRule type="notContainsBlanks" dxfId="2787" priority="2876">
      <formula>LEN(TRIM(U1134))&gt;0</formula>
    </cfRule>
  </conditionalFormatting>
  <conditionalFormatting sqref="U1134:Y1134">
    <cfRule type="notContainsBlanks" priority="2875">
      <formula>LEN(TRIM(U1134))&gt;0</formula>
    </cfRule>
  </conditionalFormatting>
  <conditionalFormatting sqref="U1134:Y1134">
    <cfRule type="notContainsBlanks" dxfId="2786" priority="2874">
      <formula>LEN(TRIM(U1134))&gt;0</formula>
    </cfRule>
  </conditionalFormatting>
  <conditionalFormatting sqref="U1134:Y1134">
    <cfRule type="notContainsBlanks" dxfId="2785" priority="2873">
      <formula>LEN(TRIM(U1134))&gt;0</formula>
    </cfRule>
  </conditionalFormatting>
  <conditionalFormatting sqref="U1134:Y1134">
    <cfRule type="notContainsBlanks" dxfId="2784" priority="2872">
      <formula>LEN(TRIM(U1134))&gt;0</formula>
    </cfRule>
  </conditionalFormatting>
  <conditionalFormatting sqref="U1134:Y1134">
    <cfRule type="notContainsBlanks" dxfId="2783" priority="2871">
      <formula>LEN(TRIM(U1134))&gt;0</formula>
    </cfRule>
  </conditionalFormatting>
  <conditionalFormatting sqref="U1134:Y1134">
    <cfRule type="notContainsBlanks" dxfId="2782" priority="2870">
      <formula>LEN(TRIM(U1134))&gt;0</formula>
    </cfRule>
  </conditionalFormatting>
  <conditionalFormatting sqref="U1147:Y1147">
    <cfRule type="notContainsBlanks" dxfId="2781" priority="2869">
      <formula>LEN(TRIM(U1147))&gt;0</formula>
    </cfRule>
  </conditionalFormatting>
  <conditionalFormatting sqref="U1147:Y1147">
    <cfRule type="notContainsBlanks" dxfId="2780" priority="2868">
      <formula>LEN(TRIM(U1147))&gt;0</formula>
    </cfRule>
  </conditionalFormatting>
  <conditionalFormatting sqref="U1147:Y1147">
    <cfRule type="notContainsBlanks" dxfId="2779" priority="2867">
      <formula>LEN(TRIM(U1147))&gt;0</formula>
    </cfRule>
  </conditionalFormatting>
  <conditionalFormatting sqref="U1147:Y1147">
    <cfRule type="notContainsBlanks" dxfId="2778" priority="2866">
      <formula>LEN(TRIM(U1147))&gt;0</formula>
    </cfRule>
  </conditionalFormatting>
  <conditionalFormatting sqref="U1147:Y1147">
    <cfRule type="notContainsBlanks" dxfId="2777" priority="2865">
      <formula>LEN(TRIM(U1147))&gt;0</formula>
    </cfRule>
  </conditionalFormatting>
  <conditionalFormatting sqref="U1147:Y1147">
    <cfRule type="notContainsBlanks" dxfId="2776" priority="2864">
      <formula>LEN(TRIM(U1147))&gt;0</formula>
    </cfRule>
  </conditionalFormatting>
  <conditionalFormatting sqref="U1147:Y1147">
    <cfRule type="notContainsBlanks" dxfId="2775" priority="2863">
      <formula>LEN(TRIM(U1147))&gt;0</formula>
    </cfRule>
  </conditionalFormatting>
  <conditionalFormatting sqref="U1147:Y1147">
    <cfRule type="notContainsBlanks" dxfId="2774" priority="2862">
      <formula>LEN(TRIM(U1147))&gt;0</formula>
    </cfRule>
  </conditionalFormatting>
  <conditionalFormatting sqref="U1147:Y1147">
    <cfRule type="notContainsBlanks" dxfId="2773" priority="2861">
      <formula>LEN(TRIM(U1147))&gt;0</formula>
    </cfRule>
  </conditionalFormatting>
  <conditionalFormatting sqref="U1147:Y1147">
    <cfRule type="notContainsBlanks" dxfId="2772" priority="2859">
      <formula>LEN(TRIM(U1147))&gt;0</formula>
    </cfRule>
    <cfRule type="notContainsBlanks" dxfId="2771" priority="2860">
      <formula>LEN(TRIM(U1147))&gt;0</formula>
    </cfRule>
  </conditionalFormatting>
  <conditionalFormatting sqref="U1147:Y1147">
    <cfRule type="notContainsBlanks" dxfId="2770" priority="2858">
      <formula>LEN(TRIM(U1147))&gt;0</formula>
    </cfRule>
  </conditionalFormatting>
  <conditionalFormatting sqref="U1147:Y1147">
    <cfRule type="notContainsBlanks" dxfId="2769" priority="2857">
      <formula>LEN(TRIM(U1147))&gt;0</formula>
    </cfRule>
  </conditionalFormatting>
  <conditionalFormatting sqref="U1147:Y1147">
    <cfRule type="notContainsBlanks" dxfId="2768" priority="2856">
      <formula>LEN(TRIM(U1147))&gt;0</formula>
    </cfRule>
  </conditionalFormatting>
  <conditionalFormatting sqref="U1147:Y1147">
    <cfRule type="notContainsBlanks" dxfId="2767" priority="2855">
      <formula>LEN(TRIM(U1147))&gt;0</formula>
    </cfRule>
  </conditionalFormatting>
  <conditionalFormatting sqref="U1147:Y1147">
    <cfRule type="notContainsBlanks" dxfId="2766" priority="2854">
      <formula>LEN(TRIM(U1147))&gt;0</formula>
    </cfRule>
  </conditionalFormatting>
  <conditionalFormatting sqref="U1147:Y1147">
    <cfRule type="notContainsBlanks" dxfId="2765" priority="2853">
      <formula>LEN(TRIM(U1147))&gt;0</formula>
    </cfRule>
  </conditionalFormatting>
  <conditionalFormatting sqref="U1147:Y1147">
    <cfRule type="notContainsBlanks" dxfId="2764" priority="2852">
      <formula>LEN(TRIM(U1147))&gt;0</formula>
    </cfRule>
  </conditionalFormatting>
  <conditionalFormatting sqref="U1147:Y1147">
    <cfRule type="notContainsBlanks" dxfId="2763" priority="2851">
      <formula>LEN(TRIM(U1147))&gt;0</formula>
    </cfRule>
  </conditionalFormatting>
  <conditionalFormatting sqref="U1147:Y1147">
    <cfRule type="notContainsBlanks" dxfId="2762" priority="2850">
      <formula>LEN(TRIM(U1147))&gt;0</formula>
    </cfRule>
  </conditionalFormatting>
  <conditionalFormatting sqref="U1147:Y1147">
    <cfRule type="notContainsBlanks" priority="2849">
      <formula>LEN(TRIM(U1147))&gt;0</formula>
    </cfRule>
  </conditionalFormatting>
  <conditionalFormatting sqref="U1147:Y1147">
    <cfRule type="notContainsBlanks" dxfId="2761" priority="2848">
      <formula>LEN(TRIM(U1147))&gt;0</formula>
    </cfRule>
  </conditionalFormatting>
  <conditionalFormatting sqref="U1147:Y1147">
    <cfRule type="notContainsBlanks" dxfId="2760" priority="2847">
      <formula>LEN(TRIM(U1147))&gt;0</formula>
    </cfRule>
  </conditionalFormatting>
  <conditionalFormatting sqref="U1147:Y1147">
    <cfRule type="notContainsBlanks" dxfId="2759" priority="2846">
      <formula>LEN(TRIM(U1147))&gt;0</formula>
    </cfRule>
  </conditionalFormatting>
  <conditionalFormatting sqref="U1147:Y1147">
    <cfRule type="notContainsBlanks" dxfId="2758" priority="2845">
      <formula>LEN(TRIM(U1147))&gt;0</formula>
    </cfRule>
  </conditionalFormatting>
  <conditionalFormatting sqref="U1147:Y1147">
    <cfRule type="notContainsBlanks" dxfId="2757" priority="2844">
      <formula>LEN(TRIM(U1147))&gt;0</formula>
    </cfRule>
  </conditionalFormatting>
  <conditionalFormatting sqref="U1160:Y1160">
    <cfRule type="notContainsBlanks" dxfId="2756" priority="2843">
      <formula>LEN(TRIM(U1160))&gt;0</formula>
    </cfRule>
  </conditionalFormatting>
  <conditionalFormatting sqref="U1160:Y1160">
    <cfRule type="notContainsBlanks" dxfId="2755" priority="2842">
      <formula>LEN(TRIM(U1160))&gt;0</formula>
    </cfRule>
  </conditionalFormatting>
  <conditionalFormatting sqref="U1160:Y1160">
    <cfRule type="notContainsBlanks" dxfId="2754" priority="2841">
      <formula>LEN(TRIM(U1160))&gt;0</formula>
    </cfRule>
  </conditionalFormatting>
  <conditionalFormatting sqref="U1160:Y1160">
    <cfRule type="notContainsBlanks" dxfId="2753" priority="2840">
      <formula>LEN(TRIM(U1160))&gt;0</formula>
    </cfRule>
  </conditionalFormatting>
  <conditionalFormatting sqref="U1160:Y1160">
    <cfRule type="notContainsBlanks" dxfId="2752" priority="2839">
      <formula>LEN(TRIM(U1160))&gt;0</formula>
    </cfRule>
  </conditionalFormatting>
  <conditionalFormatting sqref="U1160:Y1160">
    <cfRule type="notContainsBlanks" dxfId="2751" priority="2838">
      <formula>LEN(TRIM(U1160))&gt;0</formula>
    </cfRule>
  </conditionalFormatting>
  <conditionalFormatting sqref="U1160:Y1160">
    <cfRule type="notContainsBlanks" dxfId="2750" priority="2837">
      <formula>LEN(TRIM(U1160))&gt;0</formula>
    </cfRule>
  </conditionalFormatting>
  <conditionalFormatting sqref="U1160:Y1160">
    <cfRule type="notContainsBlanks" dxfId="2749" priority="2836">
      <formula>LEN(TRIM(U1160))&gt;0</formula>
    </cfRule>
  </conditionalFormatting>
  <conditionalFormatting sqref="U1160:Y1160">
    <cfRule type="notContainsBlanks" dxfId="2748" priority="2835">
      <formula>LEN(TRIM(U1160))&gt;0</formula>
    </cfRule>
  </conditionalFormatting>
  <conditionalFormatting sqref="U1160:Y1160">
    <cfRule type="notContainsBlanks" dxfId="2747" priority="2833">
      <formula>LEN(TRIM(U1160))&gt;0</formula>
    </cfRule>
    <cfRule type="notContainsBlanks" dxfId="2746" priority="2834">
      <formula>LEN(TRIM(U1160))&gt;0</formula>
    </cfRule>
  </conditionalFormatting>
  <conditionalFormatting sqref="U1160:Y1160">
    <cfRule type="notContainsBlanks" dxfId="2745" priority="2832">
      <formula>LEN(TRIM(U1160))&gt;0</formula>
    </cfRule>
  </conditionalFormatting>
  <conditionalFormatting sqref="U1160:Y1160">
    <cfRule type="notContainsBlanks" dxfId="2744" priority="2831">
      <formula>LEN(TRIM(U1160))&gt;0</formula>
    </cfRule>
  </conditionalFormatting>
  <conditionalFormatting sqref="U1160:Y1160">
    <cfRule type="notContainsBlanks" dxfId="2743" priority="2830">
      <formula>LEN(TRIM(U1160))&gt;0</formula>
    </cfRule>
  </conditionalFormatting>
  <conditionalFormatting sqref="U1160:Y1160">
    <cfRule type="notContainsBlanks" dxfId="2742" priority="2829">
      <formula>LEN(TRIM(U1160))&gt;0</formula>
    </cfRule>
  </conditionalFormatting>
  <conditionalFormatting sqref="U1160:Y1160">
    <cfRule type="notContainsBlanks" dxfId="2741" priority="2828">
      <formula>LEN(TRIM(U1160))&gt;0</formula>
    </cfRule>
  </conditionalFormatting>
  <conditionalFormatting sqref="U1160:Y1160">
    <cfRule type="notContainsBlanks" dxfId="2740" priority="2827">
      <formula>LEN(TRIM(U1160))&gt;0</formula>
    </cfRule>
  </conditionalFormatting>
  <conditionalFormatting sqref="U1160:Y1160">
    <cfRule type="notContainsBlanks" dxfId="2739" priority="2826">
      <formula>LEN(TRIM(U1160))&gt;0</formula>
    </cfRule>
  </conditionalFormatting>
  <conditionalFormatting sqref="U1160:Y1160">
    <cfRule type="notContainsBlanks" dxfId="2738" priority="2825">
      <formula>LEN(TRIM(U1160))&gt;0</formula>
    </cfRule>
  </conditionalFormatting>
  <conditionalFormatting sqref="U1160:Y1160">
    <cfRule type="notContainsBlanks" dxfId="2737" priority="2824">
      <formula>LEN(TRIM(U1160))&gt;0</formula>
    </cfRule>
  </conditionalFormatting>
  <conditionalFormatting sqref="U1160:Y1160">
    <cfRule type="notContainsBlanks" priority="2823">
      <formula>LEN(TRIM(U1160))&gt;0</formula>
    </cfRule>
  </conditionalFormatting>
  <conditionalFormatting sqref="U1160:Y1160">
    <cfRule type="notContainsBlanks" dxfId="2736" priority="2822">
      <formula>LEN(TRIM(U1160))&gt;0</formula>
    </cfRule>
  </conditionalFormatting>
  <conditionalFormatting sqref="U1160:Y1160">
    <cfRule type="notContainsBlanks" dxfId="2735" priority="2821">
      <formula>LEN(TRIM(U1160))&gt;0</formula>
    </cfRule>
  </conditionalFormatting>
  <conditionalFormatting sqref="U1160:Y1160">
    <cfRule type="notContainsBlanks" dxfId="2734" priority="2820">
      <formula>LEN(TRIM(U1160))&gt;0</formula>
    </cfRule>
  </conditionalFormatting>
  <conditionalFormatting sqref="U1160:Y1160">
    <cfRule type="notContainsBlanks" dxfId="2733" priority="2819">
      <formula>LEN(TRIM(U1160))&gt;0</formula>
    </cfRule>
  </conditionalFormatting>
  <conditionalFormatting sqref="U1160:Y1160">
    <cfRule type="notContainsBlanks" dxfId="2732" priority="2818">
      <formula>LEN(TRIM(U1160))&gt;0</formula>
    </cfRule>
  </conditionalFormatting>
  <conditionalFormatting sqref="U1173:Y1173">
    <cfRule type="notContainsBlanks" dxfId="2731" priority="2817">
      <formula>LEN(TRIM(U1173))&gt;0</formula>
    </cfRule>
  </conditionalFormatting>
  <conditionalFormatting sqref="U1173:Y1173">
    <cfRule type="notContainsBlanks" dxfId="2730" priority="2816">
      <formula>LEN(TRIM(U1173))&gt;0</formula>
    </cfRule>
  </conditionalFormatting>
  <conditionalFormatting sqref="U1173:Y1173">
    <cfRule type="notContainsBlanks" dxfId="2729" priority="2815">
      <formula>LEN(TRIM(U1173))&gt;0</formula>
    </cfRule>
  </conditionalFormatting>
  <conditionalFormatting sqref="U1173:Y1173">
    <cfRule type="notContainsBlanks" dxfId="2728" priority="2814">
      <formula>LEN(TRIM(U1173))&gt;0</formula>
    </cfRule>
  </conditionalFormatting>
  <conditionalFormatting sqref="U1173:Y1173">
    <cfRule type="notContainsBlanks" dxfId="2727" priority="2813">
      <formula>LEN(TRIM(U1173))&gt;0</formula>
    </cfRule>
  </conditionalFormatting>
  <conditionalFormatting sqref="U1173:Y1173">
    <cfRule type="notContainsBlanks" dxfId="2726" priority="2812">
      <formula>LEN(TRIM(U1173))&gt;0</formula>
    </cfRule>
  </conditionalFormatting>
  <conditionalFormatting sqref="U1173:Y1173">
    <cfRule type="notContainsBlanks" dxfId="2725" priority="2811">
      <formula>LEN(TRIM(U1173))&gt;0</formula>
    </cfRule>
  </conditionalFormatting>
  <conditionalFormatting sqref="U1173:Y1173">
    <cfRule type="notContainsBlanks" dxfId="2724" priority="2810">
      <formula>LEN(TRIM(U1173))&gt;0</formula>
    </cfRule>
  </conditionalFormatting>
  <conditionalFormatting sqref="U1173:Y1173">
    <cfRule type="notContainsBlanks" dxfId="2723" priority="2809">
      <formula>LEN(TRIM(U1173))&gt;0</formula>
    </cfRule>
  </conditionalFormatting>
  <conditionalFormatting sqref="U1173:Y1173">
    <cfRule type="notContainsBlanks" dxfId="2722" priority="2807">
      <formula>LEN(TRIM(U1173))&gt;0</formula>
    </cfRule>
    <cfRule type="notContainsBlanks" dxfId="2721" priority="2808">
      <formula>LEN(TRIM(U1173))&gt;0</formula>
    </cfRule>
  </conditionalFormatting>
  <conditionalFormatting sqref="U1173:Y1173">
    <cfRule type="notContainsBlanks" dxfId="2720" priority="2806">
      <formula>LEN(TRIM(U1173))&gt;0</formula>
    </cfRule>
  </conditionalFormatting>
  <conditionalFormatting sqref="U1173:Y1173">
    <cfRule type="notContainsBlanks" dxfId="2719" priority="2805">
      <formula>LEN(TRIM(U1173))&gt;0</formula>
    </cfRule>
  </conditionalFormatting>
  <conditionalFormatting sqref="U1173:Y1173">
    <cfRule type="notContainsBlanks" dxfId="2718" priority="2804">
      <formula>LEN(TRIM(U1173))&gt;0</formula>
    </cfRule>
  </conditionalFormatting>
  <conditionalFormatting sqref="U1173:Y1173">
    <cfRule type="notContainsBlanks" dxfId="2717" priority="2803">
      <formula>LEN(TRIM(U1173))&gt;0</formula>
    </cfRule>
  </conditionalFormatting>
  <conditionalFormatting sqref="U1173:Y1173">
    <cfRule type="notContainsBlanks" dxfId="2716" priority="2802">
      <formula>LEN(TRIM(U1173))&gt;0</formula>
    </cfRule>
  </conditionalFormatting>
  <conditionalFormatting sqref="U1173:Y1173">
    <cfRule type="notContainsBlanks" dxfId="2715" priority="2801">
      <formula>LEN(TRIM(U1173))&gt;0</formula>
    </cfRule>
  </conditionalFormatting>
  <conditionalFormatting sqref="U1173:Y1173">
    <cfRule type="notContainsBlanks" dxfId="2714" priority="2800">
      <formula>LEN(TRIM(U1173))&gt;0</formula>
    </cfRule>
  </conditionalFormatting>
  <conditionalFormatting sqref="U1173:Y1173">
    <cfRule type="notContainsBlanks" dxfId="2713" priority="2799">
      <formula>LEN(TRIM(U1173))&gt;0</formula>
    </cfRule>
  </conditionalFormatting>
  <conditionalFormatting sqref="U1173:Y1173">
    <cfRule type="notContainsBlanks" dxfId="2712" priority="2798">
      <formula>LEN(TRIM(U1173))&gt;0</formula>
    </cfRule>
  </conditionalFormatting>
  <conditionalFormatting sqref="U1173:Y1173">
    <cfRule type="notContainsBlanks" priority="2797">
      <formula>LEN(TRIM(U1173))&gt;0</formula>
    </cfRule>
  </conditionalFormatting>
  <conditionalFormatting sqref="U1173:Y1173">
    <cfRule type="notContainsBlanks" dxfId="2711" priority="2796">
      <formula>LEN(TRIM(U1173))&gt;0</formula>
    </cfRule>
  </conditionalFormatting>
  <conditionalFormatting sqref="U1173:Y1173">
    <cfRule type="notContainsBlanks" dxfId="2710" priority="2795">
      <formula>LEN(TRIM(U1173))&gt;0</formula>
    </cfRule>
  </conditionalFormatting>
  <conditionalFormatting sqref="U1173:Y1173">
    <cfRule type="notContainsBlanks" dxfId="2709" priority="2794">
      <formula>LEN(TRIM(U1173))&gt;0</formula>
    </cfRule>
  </conditionalFormatting>
  <conditionalFormatting sqref="U1173:Y1173">
    <cfRule type="notContainsBlanks" dxfId="2708" priority="2793">
      <formula>LEN(TRIM(U1173))&gt;0</formula>
    </cfRule>
  </conditionalFormatting>
  <conditionalFormatting sqref="U1173:Y1173">
    <cfRule type="notContainsBlanks" dxfId="2707" priority="2792">
      <formula>LEN(TRIM(U1173))&gt;0</formula>
    </cfRule>
  </conditionalFormatting>
  <conditionalFormatting sqref="U1186:Y1186">
    <cfRule type="notContainsBlanks" dxfId="2706" priority="2791">
      <formula>LEN(TRIM(U1186))&gt;0</formula>
    </cfRule>
  </conditionalFormatting>
  <conditionalFormatting sqref="U1186:Y1186">
    <cfRule type="notContainsBlanks" dxfId="2705" priority="2790">
      <formula>LEN(TRIM(U1186))&gt;0</formula>
    </cfRule>
  </conditionalFormatting>
  <conditionalFormatting sqref="U1186:Y1186">
    <cfRule type="notContainsBlanks" dxfId="2704" priority="2789">
      <formula>LEN(TRIM(U1186))&gt;0</formula>
    </cfRule>
  </conditionalFormatting>
  <conditionalFormatting sqref="U1186:Y1186">
    <cfRule type="notContainsBlanks" dxfId="2703" priority="2788">
      <formula>LEN(TRIM(U1186))&gt;0</formula>
    </cfRule>
  </conditionalFormatting>
  <conditionalFormatting sqref="U1186:Y1186">
    <cfRule type="notContainsBlanks" dxfId="2702" priority="2787">
      <formula>LEN(TRIM(U1186))&gt;0</formula>
    </cfRule>
  </conditionalFormatting>
  <conditionalFormatting sqref="U1186:Y1186">
    <cfRule type="notContainsBlanks" dxfId="2701" priority="2786">
      <formula>LEN(TRIM(U1186))&gt;0</formula>
    </cfRule>
  </conditionalFormatting>
  <conditionalFormatting sqref="U1186:Y1186">
    <cfRule type="notContainsBlanks" dxfId="2700" priority="2785">
      <formula>LEN(TRIM(U1186))&gt;0</formula>
    </cfRule>
  </conditionalFormatting>
  <conditionalFormatting sqref="U1186:Y1186">
    <cfRule type="notContainsBlanks" dxfId="2699" priority="2784">
      <formula>LEN(TRIM(U1186))&gt;0</formula>
    </cfRule>
  </conditionalFormatting>
  <conditionalFormatting sqref="U1186:Y1186">
    <cfRule type="notContainsBlanks" dxfId="2698" priority="2783">
      <formula>LEN(TRIM(U1186))&gt;0</formula>
    </cfRule>
  </conditionalFormatting>
  <conditionalFormatting sqref="U1186:Y1186">
    <cfRule type="notContainsBlanks" dxfId="2697" priority="2781">
      <formula>LEN(TRIM(U1186))&gt;0</formula>
    </cfRule>
    <cfRule type="notContainsBlanks" dxfId="2696" priority="2782">
      <formula>LEN(TRIM(U1186))&gt;0</formula>
    </cfRule>
  </conditionalFormatting>
  <conditionalFormatting sqref="U1186:Y1186">
    <cfRule type="notContainsBlanks" dxfId="2695" priority="2780">
      <formula>LEN(TRIM(U1186))&gt;0</formula>
    </cfRule>
  </conditionalFormatting>
  <conditionalFormatting sqref="U1186:Y1186">
    <cfRule type="notContainsBlanks" dxfId="2694" priority="2779">
      <formula>LEN(TRIM(U1186))&gt;0</formula>
    </cfRule>
  </conditionalFormatting>
  <conditionalFormatting sqref="U1186:Y1186">
    <cfRule type="notContainsBlanks" dxfId="2693" priority="2778">
      <formula>LEN(TRIM(U1186))&gt;0</formula>
    </cfRule>
  </conditionalFormatting>
  <conditionalFormatting sqref="U1186:Y1186">
    <cfRule type="notContainsBlanks" dxfId="2692" priority="2777">
      <formula>LEN(TRIM(U1186))&gt;0</formula>
    </cfRule>
  </conditionalFormatting>
  <conditionalFormatting sqref="U1186:Y1186">
    <cfRule type="notContainsBlanks" dxfId="2691" priority="2776">
      <formula>LEN(TRIM(U1186))&gt;0</formula>
    </cfRule>
  </conditionalFormatting>
  <conditionalFormatting sqref="U1186:Y1186">
    <cfRule type="notContainsBlanks" dxfId="2690" priority="2775">
      <formula>LEN(TRIM(U1186))&gt;0</formula>
    </cfRule>
  </conditionalFormatting>
  <conditionalFormatting sqref="U1186:Y1186">
    <cfRule type="notContainsBlanks" dxfId="2689" priority="2774">
      <formula>LEN(TRIM(U1186))&gt;0</formula>
    </cfRule>
  </conditionalFormatting>
  <conditionalFormatting sqref="U1186:Y1186">
    <cfRule type="notContainsBlanks" dxfId="2688" priority="2773">
      <formula>LEN(TRIM(U1186))&gt;0</formula>
    </cfRule>
  </conditionalFormatting>
  <conditionalFormatting sqref="U1186:Y1186">
    <cfRule type="notContainsBlanks" dxfId="2687" priority="2772">
      <formula>LEN(TRIM(U1186))&gt;0</formula>
    </cfRule>
  </conditionalFormatting>
  <conditionalFormatting sqref="U1186:Y1186">
    <cfRule type="notContainsBlanks" priority="2771">
      <formula>LEN(TRIM(U1186))&gt;0</formula>
    </cfRule>
  </conditionalFormatting>
  <conditionalFormatting sqref="U1186:Y1186">
    <cfRule type="notContainsBlanks" dxfId="2686" priority="2770">
      <formula>LEN(TRIM(U1186))&gt;0</formula>
    </cfRule>
  </conditionalFormatting>
  <conditionalFormatting sqref="U1186:Y1186">
    <cfRule type="notContainsBlanks" dxfId="2685" priority="2769">
      <formula>LEN(TRIM(U1186))&gt;0</formula>
    </cfRule>
  </conditionalFormatting>
  <conditionalFormatting sqref="U1186:Y1186">
    <cfRule type="notContainsBlanks" dxfId="2684" priority="2768">
      <formula>LEN(TRIM(U1186))&gt;0</formula>
    </cfRule>
  </conditionalFormatting>
  <conditionalFormatting sqref="U1186:Y1186">
    <cfRule type="notContainsBlanks" dxfId="2683" priority="2767">
      <formula>LEN(TRIM(U1186))&gt;0</formula>
    </cfRule>
  </conditionalFormatting>
  <conditionalFormatting sqref="U1186:Y1186">
    <cfRule type="notContainsBlanks" dxfId="2682" priority="2766">
      <formula>LEN(TRIM(U1186))&gt;0</formula>
    </cfRule>
  </conditionalFormatting>
  <conditionalFormatting sqref="U1199:Y1199">
    <cfRule type="notContainsBlanks" dxfId="2681" priority="2765">
      <formula>LEN(TRIM(U1199))&gt;0</formula>
    </cfRule>
  </conditionalFormatting>
  <conditionalFormatting sqref="U1199:Y1199">
    <cfRule type="notContainsBlanks" dxfId="2680" priority="2764">
      <formula>LEN(TRIM(U1199))&gt;0</formula>
    </cfRule>
  </conditionalFormatting>
  <conditionalFormatting sqref="U1199:Y1199">
    <cfRule type="notContainsBlanks" dxfId="2679" priority="2763">
      <formula>LEN(TRIM(U1199))&gt;0</formula>
    </cfRule>
  </conditionalFormatting>
  <conditionalFormatting sqref="U1199:Y1199">
    <cfRule type="notContainsBlanks" dxfId="2678" priority="2762">
      <formula>LEN(TRIM(U1199))&gt;0</formula>
    </cfRule>
  </conditionalFormatting>
  <conditionalFormatting sqref="U1199:Y1199">
    <cfRule type="notContainsBlanks" dxfId="2677" priority="2761">
      <formula>LEN(TRIM(U1199))&gt;0</formula>
    </cfRule>
  </conditionalFormatting>
  <conditionalFormatting sqref="U1199:Y1199">
    <cfRule type="notContainsBlanks" dxfId="2676" priority="2760">
      <formula>LEN(TRIM(U1199))&gt;0</formula>
    </cfRule>
  </conditionalFormatting>
  <conditionalFormatting sqref="U1199:Y1199">
    <cfRule type="notContainsBlanks" dxfId="2675" priority="2759">
      <formula>LEN(TRIM(U1199))&gt;0</formula>
    </cfRule>
  </conditionalFormatting>
  <conditionalFormatting sqref="U1199:Y1199">
    <cfRule type="notContainsBlanks" dxfId="2674" priority="2758">
      <formula>LEN(TRIM(U1199))&gt;0</formula>
    </cfRule>
  </conditionalFormatting>
  <conditionalFormatting sqref="U1199:Y1199">
    <cfRule type="notContainsBlanks" dxfId="2673" priority="2757">
      <formula>LEN(TRIM(U1199))&gt;0</formula>
    </cfRule>
  </conditionalFormatting>
  <conditionalFormatting sqref="U1199:Y1199">
    <cfRule type="notContainsBlanks" dxfId="2672" priority="2755">
      <formula>LEN(TRIM(U1199))&gt;0</formula>
    </cfRule>
    <cfRule type="notContainsBlanks" dxfId="2671" priority="2756">
      <formula>LEN(TRIM(U1199))&gt;0</formula>
    </cfRule>
  </conditionalFormatting>
  <conditionalFormatting sqref="U1199:Y1199">
    <cfRule type="notContainsBlanks" dxfId="2670" priority="2754">
      <formula>LEN(TRIM(U1199))&gt;0</formula>
    </cfRule>
  </conditionalFormatting>
  <conditionalFormatting sqref="U1199:Y1199">
    <cfRule type="notContainsBlanks" dxfId="2669" priority="2753">
      <formula>LEN(TRIM(U1199))&gt;0</formula>
    </cfRule>
  </conditionalFormatting>
  <conditionalFormatting sqref="U1199:Y1199">
    <cfRule type="notContainsBlanks" dxfId="2668" priority="2752">
      <formula>LEN(TRIM(U1199))&gt;0</formula>
    </cfRule>
  </conditionalFormatting>
  <conditionalFormatting sqref="U1199:Y1199">
    <cfRule type="notContainsBlanks" dxfId="2667" priority="2751">
      <formula>LEN(TRIM(U1199))&gt;0</formula>
    </cfRule>
  </conditionalFormatting>
  <conditionalFormatting sqref="U1199:Y1199">
    <cfRule type="notContainsBlanks" dxfId="2666" priority="2750">
      <formula>LEN(TRIM(U1199))&gt;0</formula>
    </cfRule>
  </conditionalFormatting>
  <conditionalFormatting sqref="U1199:Y1199">
    <cfRule type="notContainsBlanks" dxfId="2665" priority="2749">
      <formula>LEN(TRIM(U1199))&gt;0</formula>
    </cfRule>
  </conditionalFormatting>
  <conditionalFormatting sqref="U1199:Y1199">
    <cfRule type="notContainsBlanks" dxfId="2664" priority="2748">
      <formula>LEN(TRIM(U1199))&gt;0</formula>
    </cfRule>
  </conditionalFormatting>
  <conditionalFormatting sqref="U1199:Y1199">
    <cfRule type="notContainsBlanks" dxfId="2663" priority="2747">
      <formula>LEN(TRIM(U1199))&gt;0</formula>
    </cfRule>
  </conditionalFormatting>
  <conditionalFormatting sqref="U1199:Y1199">
    <cfRule type="notContainsBlanks" dxfId="2662" priority="2746">
      <formula>LEN(TRIM(U1199))&gt;0</formula>
    </cfRule>
  </conditionalFormatting>
  <conditionalFormatting sqref="U1199:Y1199">
    <cfRule type="notContainsBlanks" priority="2745">
      <formula>LEN(TRIM(U1199))&gt;0</formula>
    </cfRule>
  </conditionalFormatting>
  <conditionalFormatting sqref="U1199:Y1199">
    <cfRule type="notContainsBlanks" dxfId="2661" priority="2744">
      <formula>LEN(TRIM(U1199))&gt;0</formula>
    </cfRule>
  </conditionalFormatting>
  <conditionalFormatting sqref="U1199:Y1199">
    <cfRule type="notContainsBlanks" dxfId="2660" priority="2743">
      <formula>LEN(TRIM(U1199))&gt;0</formula>
    </cfRule>
  </conditionalFormatting>
  <conditionalFormatting sqref="U1199:Y1199">
    <cfRule type="notContainsBlanks" dxfId="2659" priority="2742">
      <formula>LEN(TRIM(U1199))&gt;0</formula>
    </cfRule>
  </conditionalFormatting>
  <conditionalFormatting sqref="U1199:Y1199">
    <cfRule type="notContainsBlanks" dxfId="2658" priority="2741">
      <formula>LEN(TRIM(U1199))&gt;0</formula>
    </cfRule>
  </conditionalFormatting>
  <conditionalFormatting sqref="U1199:Y1199">
    <cfRule type="notContainsBlanks" dxfId="2657" priority="2740">
      <formula>LEN(TRIM(U1199))&gt;0</formula>
    </cfRule>
  </conditionalFormatting>
  <conditionalFormatting sqref="U1212:Y1212">
    <cfRule type="notContainsBlanks" dxfId="2656" priority="2739">
      <formula>LEN(TRIM(U1212))&gt;0</formula>
    </cfRule>
  </conditionalFormatting>
  <conditionalFormatting sqref="U1212:Y1212">
    <cfRule type="notContainsBlanks" dxfId="2655" priority="2738">
      <formula>LEN(TRIM(U1212))&gt;0</formula>
    </cfRule>
  </conditionalFormatting>
  <conditionalFormatting sqref="U1212:Y1212">
    <cfRule type="notContainsBlanks" dxfId="2654" priority="2737">
      <formula>LEN(TRIM(U1212))&gt;0</formula>
    </cfRule>
  </conditionalFormatting>
  <conditionalFormatting sqref="U1212:Y1212">
    <cfRule type="notContainsBlanks" dxfId="2653" priority="2736">
      <formula>LEN(TRIM(U1212))&gt;0</formula>
    </cfRule>
  </conditionalFormatting>
  <conditionalFormatting sqref="U1212:Y1212">
    <cfRule type="notContainsBlanks" dxfId="2652" priority="2735">
      <formula>LEN(TRIM(U1212))&gt;0</formula>
    </cfRule>
  </conditionalFormatting>
  <conditionalFormatting sqref="U1212:Y1212">
    <cfRule type="notContainsBlanks" dxfId="2651" priority="2734">
      <formula>LEN(TRIM(U1212))&gt;0</formula>
    </cfRule>
  </conditionalFormatting>
  <conditionalFormatting sqref="U1212:Y1212">
    <cfRule type="notContainsBlanks" dxfId="2650" priority="2733">
      <formula>LEN(TRIM(U1212))&gt;0</formula>
    </cfRule>
  </conditionalFormatting>
  <conditionalFormatting sqref="U1212:Y1212">
    <cfRule type="notContainsBlanks" dxfId="2649" priority="2732">
      <formula>LEN(TRIM(U1212))&gt;0</formula>
    </cfRule>
  </conditionalFormatting>
  <conditionalFormatting sqref="U1212:Y1212">
    <cfRule type="notContainsBlanks" dxfId="2648" priority="2731">
      <formula>LEN(TRIM(U1212))&gt;0</formula>
    </cfRule>
  </conditionalFormatting>
  <conditionalFormatting sqref="U1212:Y1212">
    <cfRule type="notContainsBlanks" dxfId="2647" priority="2729">
      <formula>LEN(TRIM(U1212))&gt;0</formula>
    </cfRule>
    <cfRule type="notContainsBlanks" dxfId="2646" priority="2730">
      <formula>LEN(TRIM(U1212))&gt;0</formula>
    </cfRule>
  </conditionalFormatting>
  <conditionalFormatting sqref="U1212:Y1212">
    <cfRule type="notContainsBlanks" dxfId="2645" priority="2728">
      <formula>LEN(TRIM(U1212))&gt;0</formula>
    </cfRule>
  </conditionalFormatting>
  <conditionalFormatting sqref="U1212:Y1212">
    <cfRule type="notContainsBlanks" dxfId="2644" priority="2727">
      <formula>LEN(TRIM(U1212))&gt;0</formula>
    </cfRule>
  </conditionalFormatting>
  <conditionalFormatting sqref="U1212:Y1212">
    <cfRule type="notContainsBlanks" dxfId="2643" priority="2726">
      <formula>LEN(TRIM(U1212))&gt;0</formula>
    </cfRule>
  </conditionalFormatting>
  <conditionalFormatting sqref="U1212:Y1212">
    <cfRule type="notContainsBlanks" dxfId="2642" priority="2725">
      <formula>LEN(TRIM(U1212))&gt;0</formula>
    </cfRule>
  </conditionalFormatting>
  <conditionalFormatting sqref="U1212:Y1212">
    <cfRule type="notContainsBlanks" dxfId="2641" priority="2724">
      <formula>LEN(TRIM(U1212))&gt;0</formula>
    </cfRule>
  </conditionalFormatting>
  <conditionalFormatting sqref="U1212:Y1212">
    <cfRule type="notContainsBlanks" dxfId="2640" priority="2723">
      <formula>LEN(TRIM(U1212))&gt;0</formula>
    </cfRule>
  </conditionalFormatting>
  <conditionalFormatting sqref="U1212:Y1212">
    <cfRule type="notContainsBlanks" dxfId="2639" priority="2722">
      <formula>LEN(TRIM(U1212))&gt;0</formula>
    </cfRule>
  </conditionalFormatting>
  <conditionalFormatting sqref="U1212:Y1212">
    <cfRule type="notContainsBlanks" dxfId="2638" priority="2721">
      <formula>LEN(TRIM(U1212))&gt;0</formula>
    </cfRule>
  </conditionalFormatting>
  <conditionalFormatting sqref="U1212:Y1212">
    <cfRule type="notContainsBlanks" dxfId="2637" priority="2720">
      <formula>LEN(TRIM(U1212))&gt;0</formula>
    </cfRule>
  </conditionalFormatting>
  <conditionalFormatting sqref="U1212:Y1212">
    <cfRule type="notContainsBlanks" priority="2719">
      <formula>LEN(TRIM(U1212))&gt;0</formula>
    </cfRule>
  </conditionalFormatting>
  <conditionalFormatting sqref="U1212:Y1212">
    <cfRule type="notContainsBlanks" dxfId="2636" priority="2718">
      <formula>LEN(TRIM(U1212))&gt;0</formula>
    </cfRule>
  </conditionalFormatting>
  <conditionalFormatting sqref="U1212:Y1212">
    <cfRule type="notContainsBlanks" dxfId="2635" priority="2717">
      <formula>LEN(TRIM(U1212))&gt;0</formula>
    </cfRule>
  </conditionalFormatting>
  <conditionalFormatting sqref="U1212:Y1212">
    <cfRule type="notContainsBlanks" dxfId="2634" priority="2716">
      <formula>LEN(TRIM(U1212))&gt;0</formula>
    </cfRule>
  </conditionalFormatting>
  <conditionalFormatting sqref="U1212:Y1212">
    <cfRule type="notContainsBlanks" dxfId="2633" priority="2715">
      <formula>LEN(TRIM(U1212))&gt;0</formula>
    </cfRule>
  </conditionalFormatting>
  <conditionalFormatting sqref="U1212:Y1212">
    <cfRule type="notContainsBlanks" dxfId="2632" priority="2714">
      <formula>LEN(TRIM(U1212))&gt;0</formula>
    </cfRule>
  </conditionalFormatting>
  <conditionalFormatting sqref="U1225:Y1225">
    <cfRule type="notContainsBlanks" dxfId="2631" priority="2713">
      <formula>LEN(TRIM(U1225))&gt;0</formula>
    </cfRule>
  </conditionalFormatting>
  <conditionalFormatting sqref="U1225:Y1225">
    <cfRule type="notContainsBlanks" dxfId="2630" priority="2712">
      <formula>LEN(TRIM(U1225))&gt;0</formula>
    </cfRule>
  </conditionalFormatting>
  <conditionalFormatting sqref="U1225:Y1225">
    <cfRule type="notContainsBlanks" dxfId="2629" priority="2711">
      <formula>LEN(TRIM(U1225))&gt;0</formula>
    </cfRule>
  </conditionalFormatting>
  <conditionalFormatting sqref="U1225:Y1225">
    <cfRule type="notContainsBlanks" dxfId="2628" priority="2710">
      <formula>LEN(TRIM(U1225))&gt;0</formula>
    </cfRule>
  </conditionalFormatting>
  <conditionalFormatting sqref="U1225:Y1225">
    <cfRule type="notContainsBlanks" dxfId="2627" priority="2709">
      <formula>LEN(TRIM(U1225))&gt;0</formula>
    </cfRule>
  </conditionalFormatting>
  <conditionalFormatting sqref="U1225:Y1225">
    <cfRule type="notContainsBlanks" dxfId="2626" priority="2708">
      <formula>LEN(TRIM(U1225))&gt;0</formula>
    </cfRule>
  </conditionalFormatting>
  <conditionalFormatting sqref="U1225:Y1225">
    <cfRule type="notContainsBlanks" dxfId="2625" priority="2707">
      <formula>LEN(TRIM(U1225))&gt;0</formula>
    </cfRule>
  </conditionalFormatting>
  <conditionalFormatting sqref="U1225:Y1225">
    <cfRule type="notContainsBlanks" dxfId="2624" priority="2706">
      <formula>LEN(TRIM(U1225))&gt;0</formula>
    </cfRule>
  </conditionalFormatting>
  <conditionalFormatting sqref="U1225:Y1225">
    <cfRule type="notContainsBlanks" dxfId="2623" priority="2705">
      <formula>LEN(TRIM(U1225))&gt;0</formula>
    </cfRule>
  </conditionalFormatting>
  <conditionalFormatting sqref="U1225:Y1225">
    <cfRule type="notContainsBlanks" dxfId="2622" priority="2703">
      <formula>LEN(TRIM(U1225))&gt;0</formula>
    </cfRule>
    <cfRule type="notContainsBlanks" dxfId="2621" priority="2704">
      <formula>LEN(TRIM(U1225))&gt;0</formula>
    </cfRule>
  </conditionalFormatting>
  <conditionalFormatting sqref="U1225:Y1225">
    <cfRule type="notContainsBlanks" dxfId="2620" priority="2702">
      <formula>LEN(TRIM(U1225))&gt;0</formula>
    </cfRule>
  </conditionalFormatting>
  <conditionalFormatting sqref="U1225:Y1225">
    <cfRule type="notContainsBlanks" dxfId="2619" priority="2701">
      <formula>LEN(TRIM(U1225))&gt;0</formula>
    </cfRule>
  </conditionalFormatting>
  <conditionalFormatting sqref="U1225:Y1225">
    <cfRule type="notContainsBlanks" dxfId="2618" priority="2700">
      <formula>LEN(TRIM(U1225))&gt;0</formula>
    </cfRule>
  </conditionalFormatting>
  <conditionalFormatting sqref="U1225:Y1225">
    <cfRule type="notContainsBlanks" dxfId="2617" priority="2699">
      <formula>LEN(TRIM(U1225))&gt;0</formula>
    </cfRule>
  </conditionalFormatting>
  <conditionalFormatting sqref="U1225:Y1225">
    <cfRule type="notContainsBlanks" dxfId="2616" priority="2698">
      <formula>LEN(TRIM(U1225))&gt;0</formula>
    </cfRule>
  </conditionalFormatting>
  <conditionalFormatting sqref="U1225:Y1225">
    <cfRule type="notContainsBlanks" dxfId="2615" priority="2697">
      <formula>LEN(TRIM(U1225))&gt;0</formula>
    </cfRule>
  </conditionalFormatting>
  <conditionalFormatting sqref="U1225:Y1225">
    <cfRule type="notContainsBlanks" dxfId="2614" priority="2696">
      <formula>LEN(TRIM(U1225))&gt;0</formula>
    </cfRule>
  </conditionalFormatting>
  <conditionalFormatting sqref="U1225:Y1225">
    <cfRule type="notContainsBlanks" dxfId="2613" priority="2695">
      <formula>LEN(TRIM(U1225))&gt;0</formula>
    </cfRule>
  </conditionalFormatting>
  <conditionalFormatting sqref="U1225:Y1225">
    <cfRule type="notContainsBlanks" dxfId="2612" priority="2694">
      <formula>LEN(TRIM(U1225))&gt;0</formula>
    </cfRule>
  </conditionalFormatting>
  <conditionalFormatting sqref="U1225:Y1225">
    <cfRule type="notContainsBlanks" priority="2693">
      <formula>LEN(TRIM(U1225))&gt;0</formula>
    </cfRule>
  </conditionalFormatting>
  <conditionalFormatting sqref="U1225:Y1225">
    <cfRule type="notContainsBlanks" dxfId="2611" priority="2692">
      <formula>LEN(TRIM(U1225))&gt;0</formula>
    </cfRule>
  </conditionalFormatting>
  <conditionalFormatting sqref="U1225:Y1225">
    <cfRule type="notContainsBlanks" dxfId="2610" priority="2691">
      <formula>LEN(TRIM(U1225))&gt;0</formula>
    </cfRule>
  </conditionalFormatting>
  <conditionalFormatting sqref="U1225:Y1225">
    <cfRule type="notContainsBlanks" dxfId="2609" priority="2690">
      <formula>LEN(TRIM(U1225))&gt;0</formula>
    </cfRule>
  </conditionalFormatting>
  <conditionalFormatting sqref="U1225:Y1225">
    <cfRule type="notContainsBlanks" dxfId="2608" priority="2689">
      <formula>LEN(TRIM(U1225))&gt;0</formula>
    </cfRule>
  </conditionalFormatting>
  <conditionalFormatting sqref="U1225:Y1225">
    <cfRule type="notContainsBlanks" dxfId="2607" priority="2688">
      <formula>LEN(TRIM(U1225))&gt;0</formula>
    </cfRule>
  </conditionalFormatting>
  <conditionalFormatting sqref="U1251:Y1251">
    <cfRule type="notContainsBlanks" dxfId="2606" priority="2687">
      <formula>LEN(TRIM(U1251))&gt;0</formula>
    </cfRule>
  </conditionalFormatting>
  <conditionalFormatting sqref="U1251:Y1251">
    <cfRule type="notContainsBlanks" dxfId="2605" priority="2686">
      <formula>LEN(TRIM(U1251))&gt;0</formula>
    </cfRule>
  </conditionalFormatting>
  <conditionalFormatting sqref="U1251:Y1251">
    <cfRule type="notContainsBlanks" dxfId="2604" priority="2685">
      <formula>LEN(TRIM(U1251))&gt;0</formula>
    </cfRule>
  </conditionalFormatting>
  <conditionalFormatting sqref="U1251:Y1251">
    <cfRule type="notContainsBlanks" dxfId="2603" priority="2684">
      <formula>LEN(TRIM(U1251))&gt;0</formula>
    </cfRule>
  </conditionalFormatting>
  <conditionalFormatting sqref="U1251:Y1251">
    <cfRule type="notContainsBlanks" dxfId="2602" priority="2683">
      <formula>LEN(TRIM(U1251))&gt;0</formula>
    </cfRule>
  </conditionalFormatting>
  <conditionalFormatting sqref="U1251:Y1251">
    <cfRule type="notContainsBlanks" dxfId="2601" priority="2682">
      <formula>LEN(TRIM(U1251))&gt;0</formula>
    </cfRule>
  </conditionalFormatting>
  <conditionalFormatting sqref="U1251:Y1251">
    <cfRule type="notContainsBlanks" dxfId="2600" priority="2681">
      <formula>LEN(TRIM(U1251))&gt;0</formula>
    </cfRule>
  </conditionalFormatting>
  <conditionalFormatting sqref="U1251:Y1251">
    <cfRule type="notContainsBlanks" dxfId="2599" priority="2680">
      <formula>LEN(TRIM(U1251))&gt;0</formula>
    </cfRule>
  </conditionalFormatting>
  <conditionalFormatting sqref="U1251:Y1251">
    <cfRule type="notContainsBlanks" dxfId="2598" priority="2679">
      <formula>LEN(TRIM(U1251))&gt;0</formula>
    </cfRule>
  </conditionalFormatting>
  <conditionalFormatting sqref="U1251:Y1251">
    <cfRule type="notContainsBlanks" dxfId="2597" priority="2677">
      <formula>LEN(TRIM(U1251))&gt;0</formula>
    </cfRule>
    <cfRule type="notContainsBlanks" dxfId="2596" priority="2678">
      <formula>LEN(TRIM(U1251))&gt;0</formula>
    </cfRule>
  </conditionalFormatting>
  <conditionalFormatting sqref="U1251:Y1251">
    <cfRule type="notContainsBlanks" dxfId="2595" priority="2676">
      <formula>LEN(TRIM(U1251))&gt;0</formula>
    </cfRule>
  </conditionalFormatting>
  <conditionalFormatting sqref="U1251:Y1251">
    <cfRule type="notContainsBlanks" dxfId="2594" priority="2675">
      <formula>LEN(TRIM(U1251))&gt;0</formula>
    </cfRule>
  </conditionalFormatting>
  <conditionalFormatting sqref="U1251:Y1251">
    <cfRule type="notContainsBlanks" dxfId="2593" priority="2674">
      <formula>LEN(TRIM(U1251))&gt;0</formula>
    </cfRule>
  </conditionalFormatting>
  <conditionalFormatting sqref="U1251:Y1251">
    <cfRule type="notContainsBlanks" dxfId="2592" priority="2673">
      <formula>LEN(TRIM(U1251))&gt;0</formula>
    </cfRule>
  </conditionalFormatting>
  <conditionalFormatting sqref="U1251:Y1251">
    <cfRule type="notContainsBlanks" dxfId="2591" priority="2672">
      <formula>LEN(TRIM(U1251))&gt;0</formula>
    </cfRule>
  </conditionalFormatting>
  <conditionalFormatting sqref="U1251:Y1251">
    <cfRule type="notContainsBlanks" dxfId="2590" priority="2671">
      <formula>LEN(TRIM(U1251))&gt;0</formula>
    </cfRule>
  </conditionalFormatting>
  <conditionalFormatting sqref="U1251:Y1251">
    <cfRule type="notContainsBlanks" dxfId="2589" priority="2670">
      <formula>LEN(TRIM(U1251))&gt;0</formula>
    </cfRule>
  </conditionalFormatting>
  <conditionalFormatting sqref="U1251:Y1251">
    <cfRule type="notContainsBlanks" dxfId="2588" priority="2669">
      <formula>LEN(TRIM(U1251))&gt;0</formula>
    </cfRule>
  </conditionalFormatting>
  <conditionalFormatting sqref="U1251:Y1251">
    <cfRule type="notContainsBlanks" dxfId="2587" priority="2668">
      <formula>LEN(TRIM(U1251))&gt;0</formula>
    </cfRule>
  </conditionalFormatting>
  <conditionalFormatting sqref="U1251:Y1251">
    <cfRule type="notContainsBlanks" priority="2667">
      <formula>LEN(TRIM(U1251))&gt;0</formula>
    </cfRule>
  </conditionalFormatting>
  <conditionalFormatting sqref="U1251:Y1251">
    <cfRule type="notContainsBlanks" dxfId="2586" priority="2666">
      <formula>LEN(TRIM(U1251))&gt;0</formula>
    </cfRule>
  </conditionalFormatting>
  <conditionalFormatting sqref="U1251:Y1251">
    <cfRule type="notContainsBlanks" dxfId="2585" priority="2665">
      <formula>LEN(TRIM(U1251))&gt;0</formula>
    </cfRule>
  </conditionalFormatting>
  <conditionalFormatting sqref="U1251:Y1251">
    <cfRule type="notContainsBlanks" dxfId="2584" priority="2664">
      <formula>LEN(TRIM(U1251))&gt;0</formula>
    </cfRule>
  </conditionalFormatting>
  <conditionalFormatting sqref="U1251:Y1251">
    <cfRule type="notContainsBlanks" dxfId="2583" priority="2663">
      <formula>LEN(TRIM(U1251))&gt;0</formula>
    </cfRule>
  </conditionalFormatting>
  <conditionalFormatting sqref="U1251:Y1251">
    <cfRule type="notContainsBlanks" dxfId="2582" priority="2662">
      <formula>LEN(TRIM(U1251))&gt;0</formula>
    </cfRule>
  </conditionalFormatting>
  <conditionalFormatting sqref="U1238:Y1238">
    <cfRule type="notContainsBlanks" dxfId="2581" priority="2661">
      <formula>LEN(TRIM(U1238))&gt;0</formula>
    </cfRule>
  </conditionalFormatting>
  <conditionalFormatting sqref="U1238:Y1238">
    <cfRule type="notContainsBlanks" dxfId="2580" priority="2660">
      <formula>LEN(TRIM(U1238))&gt;0</formula>
    </cfRule>
  </conditionalFormatting>
  <conditionalFormatting sqref="U1238:Y1238">
    <cfRule type="notContainsBlanks" dxfId="2579" priority="2659">
      <formula>LEN(TRIM(U1238))&gt;0</formula>
    </cfRule>
  </conditionalFormatting>
  <conditionalFormatting sqref="U1238:Y1238">
    <cfRule type="notContainsBlanks" dxfId="2578" priority="2658">
      <formula>LEN(TRIM(U1238))&gt;0</formula>
    </cfRule>
  </conditionalFormatting>
  <conditionalFormatting sqref="U1238:Y1238">
    <cfRule type="notContainsBlanks" dxfId="2577" priority="2657">
      <formula>LEN(TRIM(U1238))&gt;0</formula>
    </cfRule>
  </conditionalFormatting>
  <conditionalFormatting sqref="U1238:Y1238">
    <cfRule type="notContainsBlanks" dxfId="2576" priority="2656">
      <formula>LEN(TRIM(U1238))&gt;0</formula>
    </cfRule>
  </conditionalFormatting>
  <conditionalFormatting sqref="U1238:Y1238">
    <cfRule type="notContainsBlanks" dxfId="2575" priority="2655">
      <formula>LEN(TRIM(U1238))&gt;0</formula>
    </cfRule>
  </conditionalFormatting>
  <conditionalFormatting sqref="U1238:Y1238">
    <cfRule type="notContainsBlanks" dxfId="2574" priority="2654">
      <formula>LEN(TRIM(U1238))&gt;0</formula>
    </cfRule>
  </conditionalFormatting>
  <conditionalFormatting sqref="U1238:Y1238">
    <cfRule type="notContainsBlanks" dxfId="2573" priority="2653">
      <formula>LEN(TRIM(U1238))&gt;0</formula>
    </cfRule>
  </conditionalFormatting>
  <conditionalFormatting sqref="U1238:Y1238">
    <cfRule type="notContainsBlanks" dxfId="2572" priority="2651">
      <formula>LEN(TRIM(U1238))&gt;0</formula>
    </cfRule>
    <cfRule type="notContainsBlanks" dxfId="2571" priority="2652">
      <formula>LEN(TRIM(U1238))&gt;0</formula>
    </cfRule>
  </conditionalFormatting>
  <conditionalFormatting sqref="U1238:Y1238">
    <cfRule type="notContainsBlanks" dxfId="2570" priority="2650">
      <formula>LEN(TRIM(U1238))&gt;0</formula>
    </cfRule>
  </conditionalFormatting>
  <conditionalFormatting sqref="U1238:Y1238">
    <cfRule type="notContainsBlanks" dxfId="2569" priority="2649">
      <formula>LEN(TRIM(U1238))&gt;0</formula>
    </cfRule>
  </conditionalFormatting>
  <conditionalFormatting sqref="U1238:Y1238">
    <cfRule type="notContainsBlanks" dxfId="2568" priority="2648">
      <formula>LEN(TRIM(U1238))&gt;0</formula>
    </cfRule>
  </conditionalFormatting>
  <conditionalFormatting sqref="U1238:Y1238">
    <cfRule type="notContainsBlanks" dxfId="2567" priority="2647">
      <formula>LEN(TRIM(U1238))&gt;0</formula>
    </cfRule>
  </conditionalFormatting>
  <conditionalFormatting sqref="U1238:Y1238">
    <cfRule type="notContainsBlanks" dxfId="2566" priority="2646">
      <formula>LEN(TRIM(U1238))&gt;0</formula>
    </cfRule>
  </conditionalFormatting>
  <conditionalFormatting sqref="U1238:Y1238">
    <cfRule type="notContainsBlanks" dxfId="2565" priority="2645">
      <formula>LEN(TRIM(U1238))&gt;0</formula>
    </cfRule>
  </conditionalFormatting>
  <conditionalFormatting sqref="U1238:Y1238">
    <cfRule type="notContainsBlanks" dxfId="2564" priority="2644">
      <formula>LEN(TRIM(U1238))&gt;0</formula>
    </cfRule>
  </conditionalFormatting>
  <conditionalFormatting sqref="U1238:Y1238">
    <cfRule type="notContainsBlanks" dxfId="2563" priority="2643">
      <formula>LEN(TRIM(U1238))&gt;0</formula>
    </cfRule>
  </conditionalFormatting>
  <conditionalFormatting sqref="U1238:Y1238">
    <cfRule type="notContainsBlanks" dxfId="2562" priority="2642">
      <formula>LEN(TRIM(U1238))&gt;0</formula>
    </cfRule>
  </conditionalFormatting>
  <conditionalFormatting sqref="U1238:Y1238">
    <cfRule type="notContainsBlanks" priority="2641">
      <formula>LEN(TRIM(U1238))&gt;0</formula>
    </cfRule>
  </conditionalFormatting>
  <conditionalFormatting sqref="U1238:Y1238">
    <cfRule type="notContainsBlanks" dxfId="2561" priority="2640">
      <formula>LEN(TRIM(U1238))&gt;0</formula>
    </cfRule>
  </conditionalFormatting>
  <conditionalFormatting sqref="U1238:Y1238">
    <cfRule type="notContainsBlanks" dxfId="2560" priority="2639">
      <formula>LEN(TRIM(U1238))&gt;0</formula>
    </cfRule>
  </conditionalFormatting>
  <conditionalFormatting sqref="U1238:Y1238">
    <cfRule type="notContainsBlanks" dxfId="2559" priority="2638">
      <formula>LEN(TRIM(U1238))&gt;0</formula>
    </cfRule>
  </conditionalFormatting>
  <conditionalFormatting sqref="U1238:Y1238">
    <cfRule type="notContainsBlanks" dxfId="2558" priority="2637">
      <formula>LEN(TRIM(U1238))&gt;0</formula>
    </cfRule>
  </conditionalFormatting>
  <conditionalFormatting sqref="U1238:Y1238">
    <cfRule type="notContainsBlanks" dxfId="2557" priority="2636">
      <formula>LEN(TRIM(U1238))&gt;0</formula>
    </cfRule>
  </conditionalFormatting>
  <conditionalFormatting sqref="U1264:Y1264">
    <cfRule type="notContainsBlanks" dxfId="2556" priority="2635">
      <formula>LEN(TRIM(U1264))&gt;0</formula>
    </cfRule>
  </conditionalFormatting>
  <conditionalFormatting sqref="U1264:Y1264">
    <cfRule type="notContainsBlanks" dxfId="2555" priority="2634">
      <formula>LEN(TRIM(U1264))&gt;0</formula>
    </cfRule>
  </conditionalFormatting>
  <conditionalFormatting sqref="U1264:Y1264">
    <cfRule type="notContainsBlanks" dxfId="2554" priority="2633">
      <formula>LEN(TRIM(U1264))&gt;0</formula>
    </cfRule>
  </conditionalFormatting>
  <conditionalFormatting sqref="U1264:Y1264">
    <cfRule type="notContainsBlanks" dxfId="2553" priority="2632">
      <formula>LEN(TRIM(U1264))&gt;0</formula>
    </cfRule>
  </conditionalFormatting>
  <conditionalFormatting sqref="U1264:Y1264">
    <cfRule type="notContainsBlanks" dxfId="2552" priority="2631">
      <formula>LEN(TRIM(U1264))&gt;0</formula>
    </cfRule>
  </conditionalFormatting>
  <conditionalFormatting sqref="U1264:Y1264">
    <cfRule type="notContainsBlanks" dxfId="2551" priority="2630">
      <formula>LEN(TRIM(U1264))&gt;0</formula>
    </cfRule>
  </conditionalFormatting>
  <conditionalFormatting sqref="U1264:Y1264">
    <cfRule type="notContainsBlanks" dxfId="2550" priority="2629">
      <formula>LEN(TRIM(U1264))&gt;0</formula>
    </cfRule>
  </conditionalFormatting>
  <conditionalFormatting sqref="U1264:Y1264">
    <cfRule type="notContainsBlanks" dxfId="2549" priority="2628">
      <formula>LEN(TRIM(U1264))&gt;0</formula>
    </cfRule>
  </conditionalFormatting>
  <conditionalFormatting sqref="U1264:Y1264">
    <cfRule type="notContainsBlanks" dxfId="2548" priority="2627">
      <formula>LEN(TRIM(U1264))&gt;0</formula>
    </cfRule>
  </conditionalFormatting>
  <conditionalFormatting sqref="U1264:Y1264">
    <cfRule type="notContainsBlanks" dxfId="2547" priority="2625">
      <formula>LEN(TRIM(U1264))&gt;0</formula>
    </cfRule>
    <cfRule type="notContainsBlanks" dxfId="2546" priority="2626">
      <formula>LEN(TRIM(U1264))&gt;0</formula>
    </cfRule>
  </conditionalFormatting>
  <conditionalFormatting sqref="U1264:Y1264">
    <cfRule type="notContainsBlanks" dxfId="2545" priority="2624">
      <formula>LEN(TRIM(U1264))&gt;0</formula>
    </cfRule>
  </conditionalFormatting>
  <conditionalFormatting sqref="U1264:Y1264">
    <cfRule type="notContainsBlanks" dxfId="2544" priority="2623">
      <formula>LEN(TRIM(U1264))&gt;0</formula>
    </cfRule>
  </conditionalFormatting>
  <conditionalFormatting sqref="U1264:Y1264">
    <cfRule type="notContainsBlanks" dxfId="2543" priority="2622">
      <formula>LEN(TRIM(U1264))&gt;0</formula>
    </cfRule>
  </conditionalFormatting>
  <conditionalFormatting sqref="U1264:Y1264">
    <cfRule type="notContainsBlanks" dxfId="2542" priority="2621">
      <formula>LEN(TRIM(U1264))&gt;0</formula>
    </cfRule>
  </conditionalFormatting>
  <conditionalFormatting sqref="U1264:Y1264">
    <cfRule type="notContainsBlanks" dxfId="2541" priority="2620">
      <formula>LEN(TRIM(U1264))&gt;0</formula>
    </cfRule>
  </conditionalFormatting>
  <conditionalFormatting sqref="U1264:Y1264">
    <cfRule type="notContainsBlanks" dxfId="2540" priority="2619">
      <formula>LEN(TRIM(U1264))&gt;0</formula>
    </cfRule>
  </conditionalFormatting>
  <conditionalFormatting sqref="U1264:Y1264">
    <cfRule type="notContainsBlanks" dxfId="2539" priority="2618">
      <formula>LEN(TRIM(U1264))&gt;0</formula>
    </cfRule>
  </conditionalFormatting>
  <conditionalFormatting sqref="U1264:Y1264">
    <cfRule type="notContainsBlanks" dxfId="2538" priority="2617">
      <formula>LEN(TRIM(U1264))&gt;0</formula>
    </cfRule>
  </conditionalFormatting>
  <conditionalFormatting sqref="U1264:Y1264">
    <cfRule type="notContainsBlanks" dxfId="2537" priority="2616">
      <formula>LEN(TRIM(U1264))&gt;0</formula>
    </cfRule>
  </conditionalFormatting>
  <conditionalFormatting sqref="U1264:Y1264">
    <cfRule type="notContainsBlanks" priority="2615">
      <formula>LEN(TRIM(U1264))&gt;0</formula>
    </cfRule>
  </conditionalFormatting>
  <conditionalFormatting sqref="U1264:Y1264">
    <cfRule type="notContainsBlanks" dxfId="2536" priority="2614">
      <formula>LEN(TRIM(U1264))&gt;0</formula>
    </cfRule>
  </conditionalFormatting>
  <conditionalFormatting sqref="U1264:Y1264">
    <cfRule type="notContainsBlanks" dxfId="2535" priority="2613">
      <formula>LEN(TRIM(U1264))&gt;0</formula>
    </cfRule>
  </conditionalFormatting>
  <conditionalFormatting sqref="U1264:Y1264">
    <cfRule type="notContainsBlanks" dxfId="2534" priority="2612">
      <formula>LEN(TRIM(U1264))&gt;0</formula>
    </cfRule>
  </conditionalFormatting>
  <conditionalFormatting sqref="U1264:Y1264">
    <cfRule type="notContainsBlanks" dxfId="2533" priority="2611">
      <formula>LEN(TRIM(U1264))&gt;0</formula>
    </cfRule>
  </conditionalFormatting>
  <conditionalFormatting sqref="U1264:Y1264">
    <cfRule type="notContainsBlanks" dxfId="2532" priority="2610">
      <formula>LEN(TRIM(U1264))&gt;0</formula>
    </cfRule>
  </conditionalFormatting>
  <conditionalFormatting sqref="U1277:Y1277">
    <cfRule type="notContainsBlanks" dxfId="2531" priority="2609">
      <formula>LEN(TRIM(U1277))&gt;0</formula>
    </cfRule>
  </conditionalFormatting>
  <conditionalFormatting sqref="U1277:Y1277">
    <cfRule type="notContainsBlanks" dxfId="2530" priority="2608">
      <formula>LEN(TRIM(U1277))&gt;0</formula>
    </cfRule>
  </conditionalFormatting>
  <conditionalFormatting sqref="U1277:Y1277">
    <cfRule type="notContainsBlanks" dxfId="2529" priority="2607">
      <formula>LEN(TRIM(U1277))&gt;0</formula>
    </cfRule>
  </conditionalFormatting>
  <conditionalFormatting sqref="U1277:Y1277">
    <cfRule type="notContainsBlanks" dxfId="2528" priority="2606">
      <formula>LEN(TRIM(U1277))&gt;0</formula>
    </cfRule>
  </conditionalFormatting>
  <conditionalFormatting sqref="U1277:Y1277">
    <cfRule type="notContainsBlanks" dxfId="2527" priority="2605">
      <formula>LEN(TRIM(U1277))&gt;0</formula>
    </cfRule>
  </conditionalFormatting>
  <conditionalFormatting sqref="U1277:Y1277">
    <cfRule type="notContainsBlanks" dxfId="2526" priority="2604">
      <formula>LEN(TRIM(U1277))&gt;0</formula>
    </cfRule>
  </conditionalFormatting>
  <conditionalFormatting sqref="U1277:Y1277">
    <cfRule type="notContainsBlanks" dxfId="2525" priority="2603">
      <formula>LEN(TRIM(U1277))&gt;0</formula>
    </cfRule>
  </conditionalFormatting>
  <conditionalFormatting sqref="U1277:Y1277">
    <cfRule type="notContainsBlanks" dxfId="2524" priority="2602">
      <formula>LEN(TRIM(U1277))&gt;0</formula>
    </cfRule>
  </conditionalFormatting>
  <conditionalFormatting sqref="U1277:Y1277">
    <cfRule type="notContainsBlanks" dxfId="2523" priority="2601">
      <formula>LEN(TRIM(U1277))&gt;0</formula>
    </cfRule>
  </conditionalFormatting>
  <conditionalFormatting sqref="U1277:Y1277">
    <cfRule type="notContainsBlanks" dxfId="2522" priority="2599">
      <formula>LEN(TRIM(U1277))&gt;0</formula>
    </cfRule>
    <cfRule type="notContainsBlanks" dxfId="2521" priority="2600">
      <formula>LEN(TRIM(U1277))&gt;0</formula>
    </cfRule>
  </conditionalFormatting>
  <conditionalFormatting sqref="U1277:Y1277">
    <cfRule type="notContainsBlanks" dxfId="2520" priority="2598">
      <formula>LEN(TRIM(U1277))&gt;0</formula>
    </cfRule>
  </conditionalFormatting>
  <conditionalFormatting sqref="U1277:Y1277">
    <cfRule type="notContainsBlanks" dxfId="2519" priority="2597">
      <formula>LEN(TRIM(U1277))&gt;0</formula>
    </cfRule>
  </conditionalFormatting>
  <conditionalFormatting sqref="U1277:Y1277">
    <cfRule type="notContainsBlanks" dxfId="2518" priority="2596">
      <formula>LEN(TRIM(U1277))&gt;0</formula>
    </cfRule>
  </conditionalFormatting>
  <conditionalFormatting sqref="U1277:Y1277">
    <cfRule type="notContainsBlanks" dxfId="2517" priority="2595">
      <formula>LEN(TRIM(U1277))&gt;0</formula>
    </cfRule>
  </conditionalFormatting>
  <conditionalFormatting sqref="U1277:Y1277">
    <cfRule type="notContainsBlanks" dxfId="2516" priority="2594">
      <formula>LEN(TRIM(U1277))&gt;0</formula>
    </cfRule>
  </conditionalFormatting>
  <conditionalFormatting sqref="U1277:Y1277">
    <cfRule type="notContainsBlanks" dxfId="2515" priority="2593">
      <formula>LEN(TRIM(U1277))&gt;0</formula>
    </cfRule>
  </conditionalFormatting>
  <conditionalFormatting sqref="U1277:Y1277">
    <cfRule type="notContainsBlanks" dxfId="2514" priority="2592">
      <formula>LEN(TRIM(U1277))&gt;0</formula>
    </cfRule>
  </conditionalFormatting>
  <conditionalFormatting sqref="U1277:Y1277">
    <cfRule type="notContainsBlanks" dxfId="2513" priority="2591">
      <formula>LEN(TRIM(U1277))&gt;0</formula>
    </cfRule>
  </conditionalFormatting>
  <conditionalFormatting sqref="U1277:Y1277">
    <cfRule type="notContainsBlanks" dxfId="2512" priority="2590">
      <formula>LEN(TRIM(U1277))&gt;0</formula>
    </cfRule>
  </conditionalFormatting>
  <conditionalFormatting sqref="U1277:Y1277">
    <cfRule type="notContainsBlanks" priority="2589">
      <formula>LEN(TRIM(U1277))&gt;0</formula>
    </cfRule>
  </conditionalFormatting>
  <conditionalFormatting sqref="U1277:Y1277">
    <cfRule type="notContainsBlanks" dxfId="2511" priority="2588">
      <formula>LEN(TRIM(U1277))&gt;0</formula>
    </cfRule>
  </conditionalFormatting>
  <conditionalFormatting sqref="U1277:Y1277">
    <cfRule type="notContainsBlanks" dxfId="2510" priority="2587">
      <formula>LEN(TRIM(U1277))&gt;0</formula>
    </cfRule>
  </conditionalFormatting>
  <conditionalFormatting sqref="U1277:Y1277">
    <cfRule type="notContainsBlanks" dxfId="2509" priority="2586">
      <formula>LEN(TRIM(U1277))&gt;0</formula>
    </cfRule>
  </conditionalFormatting>
  <conditionalFormatting sqref="U1277:Y1277">
    <cfRule type="notContainsBlanks" dxfId="2508" priority="2585">
      <formula>LEN(TRIM(U1277))&gt;0</formula>
    </cfRule>
  </conditionalFormatting>
  <conditionalFormatting sqref="U1277:Y1277">
    <cfRule type="notContainsBlanks" dxfId="2507" priority="2584">
      <formula>LEN(TRIM(U1277))&gt;0</formula>
    </cfRule>
  </conditionalFormatting>
  <conditionalFormatting sqref="U1290:Y1290">
    <cfRule type="notContainsBlanks" dxfId="2506" priority="2583">
      <formula>LEN(TRIM(U1290))&gt;0</formula>
    </cfRule>
  </conditionalFormatting>
  <conditionalFormatting sqref="U1290:Y1290">
    <cfRule type="notContainsBlanks" dxfId="2505" priority="2582">
      <formula>LEN(TRIM(U1290))&gt;0</formula>
    </cfRule>
  </conditionalFormatting>
  <conditionalFormatting sqref="U1290:Y1290">
    <cfRule type="notContainsBlanks" dxfId="2504" priority="2581">
      <formula>LEN(TRIM(U1290))&gt;0</formula>
    </cfRule>
  </conditionalFormatting>
  <conditionalFormatting sqref="U1290:Y1290">
    <cfRule type="notContainsBlanks" dxfId="2503" priority="2580">
      <formula>LEN(TRIM(U1290))&gt;0</formula>
    </cfRule>
  </conditionalFormatting>
  <conditionalFormatting sqref="U1290:Y1290">
    <cfRule type="notContainsBlanks" dxfId="2502" priority="2579">
      <formula>LEN(TRIM(U1290))&gt;0</formula>
    </cfRule>
  </conditionalFormatting>
  <conditionalFormatting sqref="U1290:Y1290">
    <cfRule type="notContainsBlanks" dxfId="2501" priority="2578">
      <formula>LEN(TRIM(U1290))&gt;0</formula>
    </cfRule>
  </conditionalFormatting>
  <conditionalFormatting sqref="U1290:Y1290">
    <cfRule type="notContainsBlanks" dxfId="2500" priority="2577">
      <formula>LEN(TRIM(U1290))&gt;0</formula>
    </cfRule>
  </conditionalFormatting>
  <conditionalFormatting sqref="U1290:Y1290">
    <cfRule type="notContainsBlanks" dxfId="2499" priority="2576">
      <formula>LEN(TRIM(U1290))&gt;0</formula>
    </cfRule>
  </conditionalFormatting>
  <conditionalFormatting sqref="U1290:Y1290">
    <cfRule type="notContainsBlanks" dxfId="2498" priority="2575">
      <formula>LEN(TRIM(U1290))&gt;0</formula>
    </cfRule>
  </conditionalFormatting>
  <conditionalFormatting sqref="U1290:Y1290">
    <cfRule type="notContainsBlanks" dxfId="2497" priority="2573">
      <formula>LEN(TRIM(U1290))&gt;0</formula>
    </cfRule>
    <cfRule type="notContainsBlanks" dxfId="2496" priority="2574">
      <formula>LEN(TRIM(U1290))&gt;0</formula>
    </cfRule>
  </conditionalFormatting>
  <conditionalFormatting sqref="U1290:Y1290">
    <cfRule type="notContainsBlanks" dxfId="2495" priority="2572">
      <formula>LEN(TRIM(U1290))&gt;0</formula>
    </cfRule>
  </conditionalFormatting>
  <conditionalFormatting sqref="U1290:Y1290">
    <cfRule type="notContainsBlanks" dxfId="2494" priority="2571">
      <formula>LEN(TRIM(U1290))&gt;0</formula>
    </cfRule>
  </conditionalFormatting>
  <conditionalFormatting sqref="U1290:Y1290">
    <cfRule type="notContainsBlanks" dxfId="2493" priority="2570">
      <formula>LEN(TRIM(U1290))&gt;0</formula>
    </cfRule>
  </conditionalFormatting>
  <conditionalFormatting sqref="U1290:Y1290">
    <cfRule type="notContainsBlanks" dxfId="2492" priority="2569">
      <formula>LEN(TRIM(U1290))&gt;0</formula>
    </cfRule>
  </conditionalFormatting>
  <conditionalFormatting sqref="U1290:Y1290">
    <cfRule type="notContainsBlanks" dxfId="2491" priority="2568">
      <formula>LEN(TRIM(U1290))&gt;0</formula>
    </cfRule>
  </conditionalFormatting>
  <conditionalFormatting sqref="U1290:Y1290">
    <cfRule type="notContainsBlanks" dxfId="2490" priority="2567">
      <formula>LEN(TRIM(U1290))&gt;0</formula>
    </cfRule>
  </conditionalFormatting>
  <conditionalFormatting sqref="U1290:Y1290">
    <cfRule type="notContainsBlanks" dxfId="2489" priority="2566">
      <formula>LEN(TRIM(U1290))&gt;0</formula>
    </cfRule>
  </conditionalFormatting>
  <conditionalFormatting sqref="U1290:Y1290">
    <cfRule type="notContainsBlanks" dxfId="2488" priority="2565">
      <formula>LEN(TRIM(U1290))&gt;0</formula>
    </cfRule>
  </conditionalFormatting>
  <conditionalFormatting sqref="U1290:Y1290">
    <cfRule type="notContainsBlanks" dxfId="2487" priority="2564">
      <formula>LEN(TRIM(U1290))&gt;0</formula>
    </cfRule>
  </conditionalFormatting>
  <conditionalFormatting sqref="U1290:Y1290">
    <cfRule type="notContainsBlanks" priority="2563">
      <formula>LEN(TRIM(U1290))&gt;0</formula>
    </cfRule>
  </conditionalFormatting>
  <conditionalFormatting sqref="U1290:Y1290">
    <cfRule type="notContainsBlanks" dxfId="2486" priority="2562">
      <formula>LEN(TRIM(U1290))&gt;0</formula>
    </cfRule>
  </conditionalFormatting>
  <conditionalFormatting sqref="U1290:Y1290">
    <cfRule type="notContainsBlanks" dxfId="2485" priority="2561">
      <formula>LEN(TRIM(U1290))&gt;0</formula>
    </cfRule>
  </conditionalFormatting>
  <conditionalFormatting sqref="U1290:Y1290">
    <cfRule type="notContainsBlanks" dxfId="2484" priority="2560">
      <formula>LEN(TRIM(U1290))&gt;0</formula>
    </cfRule>
  </conditionalFormatting>
  <conditionalFormatting sqref="U1290:Y1290">
    <cfRule type="notContainsBlanks" dxfId="2483" priority="2559">
      <formula>LEN(TRIM(U1290))&gt;0</formula>
    </cfRule>
  </conditionalFormatting>
  <conditionalFormatting sqref="U1290:Y1290">
    <cfRule type="notContainsBlanks" dxfId="2482" priority="2558">
      <formula>LEN(TRIM(U1290))&gt;0</formula>
    </cfRule>
  </conditionalFormatting>
  <conditionalFormatting sqref="U1303:Y1303">
    <cfRule type="notContainsBlanks" dxfId="2481" priority="2557">
      <formula>LEN(TRIM(U1303))&gt;0</formula>
    </cfRule>
  </conditionalFormatting>
  <conditionalFormatting sqref="U1303:Y1303">
    <cfRule type="notContainsBlanks" dxfId="2480" priority="2556">
      <formula>LEN(TRIM(U1303))&gt;0</formula>
    </cfRule>
  </conditionalFormatting>
  <conditionalFormatting sqref="U1303:Y1303">
    <cfRule type="notContainsBlanks" dxfId="2479" priority="2555">
      <formula>LEN(TRIM(U1303))&gt;0</formula>
    </cfRule>
  </conditionalFormatting>
  <conditionalFormatting sqref="U1303:Y1303">
    <cfRule type="notContainsBlanks" dxfId="2478" priority="2554">
      <formula>LEN(TRIM(U1303))&gt;0</formula>
    </cfRule>
  </conditionalFormatting>
  <conditionalFormatting sqref="U1303:Y1303">
    <cfRule type="notContainsBlanks" dxfId="2477" priority="2553">
      <formula>LEN(TRIM(U1303))&gt;0</formula>
    </cfRule>
  </conditionalFormatting>
  <conditionalFormatting sqref="U1303:Y1303">
    <cfRule type="notContainsBlanks" dxfId="2476" priority="2552">
      <formula>LEN(TRIM(U1303))&gt;0</formula>
    </cfRule>
  </conditionalFormatting>
  <conditionalFormatting sqref="U1303:Y1303">
    <cfRule type="notContainsBlanks" dxfId="2475" priority="2551">
      <formula>LEN(TRIM(U1303))&gt;0</formula>
    </cfRule>
  </conditionalFormatting>
  <conditionalFormatting sqref="U1303:Y1303">
    <cfRule type="notContainsBlanks" dxfId="2474" priority="2550">
      <formula>LEN(TRIM(U1303))&gt;0</formula>
    </cfRule>
  </conditionalFormatting>
  <conditionalFormatting sqref="U1303:Y1303">
    <cfRule type="notContainsBlanks" dxfId="2473" priority="2549">
      <formula>LEN(TRIM(U1303))&gt;0</formula>
    </cfRule>
  </conditionalFormatting>
  <conditionalFormatting sqref="U1303:Y1303">
    <cfRule type="notContainsBlanks" dxfId="2472" priority="2547">
      <formula>LEN(TRIM(U1303))&gt;0</formula>
    </cfRule>
    <cfRule type="notContainsBlanks" dxfId="2471" priority="2548">
      <formula>LEN(TRIM(U1303))&gt;0</formula>
    </cfRule>
  </conditionalFormatting>
  <conditionalFormatting sqref="U1303:Y1303">
    <cfRule type="notContainsBlanks" dxfId="2470" priority="2546">
      <formula>LEN(TRIM(U1303))&gt;0</formula>
    </cfRule>
  </conditionalFormatting>
  <conditionalFormatting sqref="U1303:Y1303">
    <cfRule type="notContainsBlanks" dxfId="2469" priority="2545">
      <formula>LEN(TRIM(U1303))&gt;0</formula>
    </cfRule>
  </conditionalFormatting>
  <conditionalFormatting sqref="U1303:Y1303">
    <cfRule type="notContainsBlanks" dxfId="2468" priority="2544">
      <formula>LEN(TRIM(U1303))&gt;0</formula>
    </cfRule>
  </conditionalFormatting>
  <conditionalFormatting sqref="U1303:Y1303">
    <cfRule type="notContainsBlanks" dxfId="2467" priority="2543">
      <formula>LEN(TRIM(U1303))&gt;0</formula>
    </cfRule>
  </conditionalFormatting>
  <conditionalFormatting sqref="U1303:Y1303">
    <cfRule type="notContainsBlanks" dxfId="2466" priority="2542">
      <formula>LEN(TRIM(U1303))&gt;0</formula>
    </cfRule>
  </conditionalFormatting>
  <conditionalFormatting sqref="U1303:Y1303">
    <cfRule type="notContainsBlanks" dxfId="2465" priority="2541">
      <formula>LEN(TRIM(U1303))&gt;0</formula>
    </cfRule>
  </conditionalFormatting>
  <conditionalFormatting sqref="U1303:Y1303">
    <cfRule type="notContainsBlanks" dxfId="2464" priority="2540">
      <formula>LEN(TRIM(U1303))&gt;0</formula>
    </cfRule>
  </conditionalFormatting>
  <conditionalFormatting sqref="U1303:Y1303">
    <cfRule type="notContainsBlanks" dxfId="2463" priority="2539">
      <formula>LEN(TRIM(U1303))&gt;0</formula>
    </cfRule>
  </conditionalFormatting>
  <conditionalFormatting sqref="U1303:Y1303">
    <cfRule type="notContainsBlanks" dxfId="2462" priority="2538">
      <formula>LEN(TRIM(U1303))&gt;0</formula>
    </cfRule>
  </conditionalFormatting>
  <conditionalFormatting sqref="U1303:Y1303">
    <cfRule type="notContainsBlanks" priority="2537">
      <formula>LEN(TRIM(U1303))&gt;0</formula>
    </cfRule>
  </conditionalFormatting>
  <conditionalFormatting sqref="U1303:Y1303">
    <cfRule type="notContainsBlanks" dxfId="2461" priority="2536">
      <formula>LEN(TRIM(U1303))&gt;0</formula>
    </cfRule>
  </conditionalFormatting>
  <conditionalFormatting sqref="U1303:Y1303">
    <cfRule type="notContainsBlanks" dxfId="2460" priority="2535">
      <formula>LEN(TRIM(U1303))&gt;0</formula>
    </cfRule>
  </conditionalFormatting>
  <conditionalFormatting sqref="U1303:Y1303">
    <cfRule type="notContainsBlanks" dxfId="2459" priority="2534">
      <formula>LEN(TRIM(U1303))&gt;0</formula>
    </cfRule>
  </conditionalFormatting>
  <conditionalFormatting sqref="U1303:Y1303">
    <cfRule type="notContainsBlanks" dxfId="2458" priority="2533">
      <formula>LEN(TRIM(U1303))&gt;0</formula>
    </cfRule>
  </conditionalFormatting>
  <conditionalFormatting sqref="U1303:Y1303">
    <cfRule type="notContainsBlanks" dxfId="2457" priority="2532">
      <formula>LEN(TRIM(U1303))&gt;0</formula>
    </cfRule>
  </conditionalFormatting>
  <conditionalFormatting sqref="U1316:Y1316">
    <cfRule type="notContainsBlanks" dxfId="2456" priority="2531">
      <formula>LEN(TRIM(U1316))&gt;0</formula>
    </cfRule>
  </conditionalFormatting>
  <conditionalFormatting sqref="U1316:Y1316">
    <cfRule type="notContainsBlanks" dxfId="2455" priority="2530">
      <formula>LEN(TRIM(U1316))&gt;0</formula>
    </cfRule>
  </conditionalFormatting>
  <conditionalFormatting sqref="U1316:Y1316">
    <cfRule type="notContainsBlanks" dxfId="2454" priority="2529">
      <formula>LEN(TRIM(U1316))&gt;0</formula>
    </cfRule>
  </conditionalFormatting>
  <conditionalFormatting sqref="U1316:Y1316">
    <cfRule type="notContainsBlanks" dxfId="2453" priority="2528">
      <formula>LEN(TRIM(U1316))&gt;0</formula>
    </cfRule>
  </conditionalFormatting>
  <conditionalFormatting sqref="U1316:Y1316">
    <cfRule type="notContainsBlanks" dxfId="2452" priority="2527">
      <formula>LEN(TRIM(U1316))&gt;0</formula>
    </cfRule>
  </conditionalFormatting>
  <conditionalFormatting sqref="U1316:Y1316">
    <cfRule type="notContainsBlanks" dxfId="2451" priority="2526">
      <formula>LEN(TRIM(U1316))&gt;0</formula>
    </cfRule>
  </conditionalFormatting>
  <conditionalFormatting sqref="U1316:Y1316">
    <cfRule type="notContainsBlanks" dxfId="2450" priority="2525">
      <formula>LEN(TRIM(U1316))&gt;0</formula>
    </cfRule>
  </conditionalFormatting>
  <conditionalFormatting sqref="U1316:Y1316">
    <cfRule type="notContainsBlanks" dxfId="2449" priority="2524">
      <formula>LEN(TRIM(U1316))&gt;0</formula>
    </cfRule>
  </conditionalFormatting>
  <conditionalFormatting sqref="U1316:Y1316">
    <cfRule type="notContainsBlanks" dxfId="2448" priority="2523">
      <formula>LEN(TRIM(U1316))&gt;0</formula>
    </cfRule>
  </conditionalFormatting>
  <conditionalFormatting sqref="U1316:Y1316">
    <cfRule type="notContainsBlanks" dxfId="2447" priority="2521">
      <formula>LEN(TRIM(U1316))&gt;0</formula>
    </cfRule>
    <cfRule type="notContainsBlanks" dxfId="2446" priority="2522">
      <formula>LEN(TRIM(U1316))&gt;0</formula>
    </cfRule>
  </conditionalFormatting>
  <conditionalFormatting sqref="U1316:Y1316">
    <cfRule type="notContainsBlanks" dxfId="2445" priority="2520">
      <formula>LEN(TRIM(U1316))&gt;0</formula>
    </cfRule>
  </conditionalFormatting>
  <conditionalFormatting sqref="U1316:Y1316">
    <cfRule type="notContainsBlanks" dxfId="2444" priority="2519">
      <formula>LEN(TRIM(U1316))&gt;0</formula>
    </cfRule>
  </conditionalFormatting>
  <conditionalFormatting sqref="U1316:Y1316">
    <cfRule type="notContainsBlanks" dxfId="2443" priority="2518">
      <formula>LEN(TRIM(U1316))&gt;0</formula>
    </cfRule>
  </conditionalFormatting>
  <conditionalFormatting sqref="U1316:Y1316">
    <cfRule type="notContainsBlanks" dxfId="2442" priority="2517">
      <formula>LEN(TRIM(U1316))&gt;0</formula>
    </cfRule>
  </conditionalFormatting>
  <conditionalFormatting sqref="U1316:Y1316">
    <cfRule type="notContainsBlanks" dxfId="2441" priority="2516">
      <formula>LEN(TRIM(U1316))&gt;0</formula>
    </cfRule>
  </conditionalFormatting>
  <conditionalFormatting sqref="U1316:Y1316">
    <cfRule type="notContainsBlanks" dxfId="2440" priority="2515">
      <formula>LEN(TRIM(U1316))&gt;0</formula>
    </cfRule>
  </conditionalFormatting>
  <conditionalFormatting sqref="U1316:Y1316">
    <cfRule type="notContainsBlanks" dxfId="2439" priority="2514">
      <formula>LEN(TRIM(U1316))&gt;0</formula>
    </cfRule>
  </conditionalFormatting>
  <conditionalFormatting sqref="U1316:Y1316">
    <cfRule type="notContainsBlanks" dxfId="2438" priority="2513">
      <formula>LEN(TRIM(U1316))&gt;0</formula>
    </cfRule>
  </conditionalFormatting>
  <conditionalFormatting sqref="U1316:Y1316">
    <cfRule type="notContainsBlanks" dxfId="2437" priority="2512">
      <formula>LEN(TRIM(U1316))&gt;0</formula>
    </cfRule>
  </conditionalFormatting>
  <conditionalFormatting sqref="U1316:Y1316">
    <cfRule type="notContainsBlanks" priority="2511">
      <formula>LEN(TRIM(U1316))&gt;0</formula>
    </cfRule>
  </conditionalFormatting>
  <conditionalFormatting sqref="U1316:Y1316">
    <cfRule type="notContainsBlanks" dxfId="2436" priority="2510">
      <formula>LEN(TRIM(U1316))&gt;0</formula>
    </cfRule>
  </conditionalFormatting>
  <conditionalFormatting sqref="U1316:Y1316">
    <cfRule type="notContainsBlanks" dxfId="2435" priority="2509">
      <formula>LEN(TRIM(U1316))&gt;0</formula>
    </cfRule>
  </conditionalFormatting>
  <conditionalFormatting sqref="U1316:Y1316">
    <cfRule type="notContainsBlanks" dxfId="2434" priority="2508">
      <formula>LEN(TRIM(U1316))&gt;0</formula>
    </cfRule>
  </conditionalFormatting>
  <conditionalFormatting sqref="U1316:Y1316">
    <cfRule type="notContainsBlanks" dxfId="2433" priority="2507">
      <formula>LEN(TRIM(U1316))&gt;0</formula>
    </cfRule>
  </conditionalFormatting>
  <conditionalFormatting sqref="U1316:Y1316">
    <cfRule type="notContainsBlanks" dxfId="2432" priority="2506">
      <formula>LEN(TRIM(U1316))&gt;0</formula>
    </cfRule>
  </conditionalFormatting>
  <conditionalFormatting sqref="U1329:Y1329">
    <cfRule type="notContainsBlanks" dxfId="2431" priority="2505">
      <formula>LEN(TRIM(U1329))&gt;0</formula>
    </cfRule>
  </conditionalFormatting>
  <conditionalFormatting sqref="U1329:Y1329">
    <cfRule type="notContainsBlanks" dxfId="2430" priority="2504">
      <formula>LEN(TRIM(U1329))&gt;0</formula>
    </cfRule>
  </conditionalFormatting>
  <conditionalFormatting sqref="U1329:Y1329">
    <cfRule type="notContainsBlanks" dxfId="2429" priority="2503">
      <formula>LEN(TRIM(U1329))&gt;0</formula>
    </cfRule>
  </conditionalFormatting>
  <conditionalFormatting sqref="U1329:Y1329">
    <cfRule type="notContainsBlanks" dxfId="2428" priority="2502">
      <formula>LEN(TRIM(U1329))&gt;0</formula>
    </cfRule>
  </conditionalFormatting>
  <conditionalFormatting sqref="U1329:Y1329">
    <cfRule type="notContainsBlanks" dxfId="2427" priority="2501">
      <formula>LEN(TRIM(U1329))&gt;0</formula>
    </cfRule>
  </conditionalFormatting>
  <conditionalFormatting sqref="U1329:Y1329">
    <cfRule type="notContainsBlanks" dxfId="2426" priority="2500">
      <formula>LEN(TRIM(U1329))&gt;0</formula>
    </cfRule>
  </conditionalFormatting>
  <conditionalFormatting sqref="U1329:Y1329">
    <cfRule type="notContainsBlanks" dxfId="2425" priority="2499">
      <formula>LEN(TRIM(U1329))&gt;0</formula>
    </cfRule>
  </conditionalFormatting>
  <conditionalFormatting sqref="U1329:Y1329">
    <cfRule type="notContainsBlanks" dxfId="2424" priority="2498">
      <formula>LEN(TRIM(U1329))&gt;0</formula>
    </cfRule>
  </conditionalFormatting>
  <conditionalFormatting sqref="U1329:Y1329">
    <cfRule type="notContainsBlanks" dxfId="2423" priority="2497">
      <formula>LEN(TRIM(U1329))&gt;0</formula>
    </cfRule>
  </conditionalFormatting>
  <conditionalFormatting sqref="U1329:Y1329">
    <cfRule type="notContainsBlanks" dxfId="2422" priority="2495">
      <formula>LEN(TRIM(U1329))&gt;0</formula>
    </cfRule>
    <cfRule type="notContainsBlanks" dxfId="2421" priority="2496">
      <formula>LEN(TRIM(U1329))&gt;0</formula>
    </cfRule>
  </conditionalFormatting>
  <conditionalFormatting sqref="U1329:Y1329">
    <cfRule type="notContainsBlanks" dxfId="2420" priority="2494">
      <formula>LEN(TRIM(U1329))&gt;0</formula>
    </cfRule>
  </conditionalFormatting>
  <conditionalFormatting sqref="U1329:Y1329">
    <cfRule type="notContainsBlanks" dxfId="2419" priority="2493">
      <formula>LEN(TRIM(U1329))&gt;0</formula>
    </cfRule>
  </conditionalFormatting>
  <conditionalFormatting sqref="U1329:Y1329">
    <cfRule type="notContainsBlanks" dxfId="2418" priority="2492">
      <formula>LEN(TRIM(U1329))&gt;0</formula>
    </cfRule>
  </conditionalFormatting>
  <conditionalFormatting sqref="U1329:Y1329">
    <cfRule type="notContainsBlanks" dxfId="2417" priority="2491">
      <formula>LEN(TRIM(U1329))&gt;0</formula>
    </cfRule>
  </conditionalFormatting>
  <conditionalFormatting sqref="U1329:Y1329">
    <cfRule type="notContainsBlanks" dxfId="2416" priority="2490">
      <formula>LEN(TRIM(U1329))&gt;0</formula>
    </cfRule>
  </conditionalFormatting>
  <conditionalFormatting sqref="U1329:Y1329">
    <cfRule type="notContainsBlanks" dxfId="2415" priority="2489">
      <formula>LEN(TRIM(U1329))&gt;0</formula>
    </cfRule>
  </conditionalFormatting>
  <conditionalFormatting sqref="U1329:Y1329">
    <cfRule type="notContainsBlanks" dxfId="2414" priority="2488">
      <formula>LEN(TRIM(U1329))&gt;0</formula>
    </cfRule>
  </conditionalFormatting>
  <conditionalFormatting sqref="U1329:Y1329">
    <cfRule type="notContainsBlanks" dxfId="2413" priority="2487">
      <formula>LEN(TRIM(U1329))&gt;0</formula>
    </cfRule>
  </conditionalFormatting>
  <conditionalFormatting sqref="U1329:Y1329">
    <cfRule type="notContainsBlanks" dxfId="2412" priority="2486">
      <formula>LEN(TRIM(U1329))&gt;0</formula>
    </cfRule>
  </conditionalFormatting>
  <conditionalFormatting sqref="U1329:Y1329">
    <cfRule type="notContainsBlanks" priority="2485">
      <formula>LEN(TRIM(U1329))&gt;0</formula>
    </cfRule>
  </conditionalFormatting>
  <conditionalFormatting sqref="U1329:Y1329">
    <cfRule type="notContainsBlanks" dxfId="2411" priority="2484">
      <formula>LEN(TRIM(U1329))&gt;0</formula>
    </cfRule>
  </conditionalFormatting>
  <conditionalFormatting sqref="U1329:Y1329">
    <cfRule type="notContainsBlanks" dxfId="2410" priority="2483">
      <formula>LEN(TRIM(U1329))&gt;0</formula>
    </cfRule>
  </conditionalFormatting>
  <conditionalFormatting sqref="U1329:Y1329">
    <cfRule type="notContainsBlanks" dxfId="2409" priority="2482">
      <formula>LEN(TRIM(U1329))&gt;0</formula>
    </cfRule>
  </conditionalFormatting>
  <conditionalFormatting sqref="U1329:Y1329">
    <cfRule type="notContainsBlanks" dxfId="2408" priority="2481">
      <formula>LEN(TRIM(U1329))&gt;0</formula>
    </cfRule>
  </conditionalFormatting>
  <conditionalFormatting sqref="U1329:Y1329">
    <cfRule type="notContainsBlanks" dxfId="2407" priority="2480">
      <formula>LEN(TRIM(U1329))&gt;0</formula>
    </cfRule>
  </conditionalFormatting>
  <conditionalFormatting sqref="U430:Z432 U434:Z445 Z433 U447:Z458 Z446 U460:Z471 Z459 U473:Z484 Z472 U486:Z497 Z485 U499:Z510 Z498 U512:Z523 Z511 U525:Z536 Z524 U538:Z549 Z537 U551:Z562 Z550 U564:Z575 Z563 U577:Z588 Z576 U590:Z601 Z589 U603:Z614 Z602 U616:Z627 Z615 U629:Z640 Z628 U642:Z653 Z641 U655:Z666 Z654 U668:Z679 Z667 U681:Z692 Z680 U694:Z705 Z693 U707:Z718 Z706 U720:Z731 Z719 U733:Z744 Z732 U746:Z757 Z745 U759:Z770 Z758 U772:Z783 Z771 U785:Z796 Z784 U798:Z809 Z797 U811:Z822 Z810 U824:Z835 Z823 U837:Z848 Z836 U850:Z861 Z849 U863:Z874 Z862 U876:Z887 Z875 U889:Z900 Z888 U902:Z913 Z901 U915:Z926 Z914 U928:Z939 Z927 U941:Z952 Z940 U954:Z965 Z953 U967:Z978 Z966 U980:Z991 Z979 U993:Z1004 Z992 U1006:Z1017 Z1005 U1019:Z1030 Z1018 U1032:Z1043 Z1031 U1045:Z1056 Z1044 U1058:Z1069 Z1057 U1071:Z1082 Z1070 U1084:Z1095 Z1083 U1097:Z1108 Z1096 U1110:Z1121 Z1109 U1123:Z1134 Z1122 U1136:Z1147 Z1135 U1149:Z1160 Z1148 U1162:Z1173 Z1161 U1175:Z1186 Z1174 U1188:Z1199 Z1187 U1201:Z1212 Z1200 U1214:Z1225 Z1213 U1227:Z1238 Z1226 U1240:Z1251 Z1239 U1253:Z1264 Z1252 U1266:Z1277 Z1265 U1279:Z1290 Z1278 U1292:Z1303 Z1291 U1305:Z1316 Z1304 U1318:Z1329 Z1317 U1331:Z1338 Z1330">
    <cfRule type="notContainsBlanks" dxfId="2406" priority="2479">
      <formula>LEN(TRIM(U430))&gt;0</formula>
    </cfRule>
  </conditionalFormatting>
  <conditionalFormatting sqref="AB432:AF432">
    <cfRule type="notContainsBlanks" dxfId="2405" priority="2478">
      <formula>LEN(TRIM(AB432))&gt;0</formula>
    </cfRule>
  </conditionalFormatting>
  <conditionalFormatting sqref="AB432:AF432">
    <cfRule type="notContainsBlanks" dxfId="2404" priority="2477">
      <formula>LEN(TRIM(AB432))&gt;0</formula>
    </cfRule>
  </conditionalFormatting>
  <conditionalFormatting sqref="AB432:AF432">
    <cfRule type="notContainsBlanks" dxfId="2403" priority="2476">
      <formula>LEN(TRIM(AB432))&gt;0</formula>
    </cfRule>
  </conditionalFormatting>
  <conditionalFormatting sqref="AB432:AF432">
    <cfRule type="notContainsBlanks" dxfId="2402" priority="2475">
      <formula>LEN(TRIM(AB432))&gt;0</formula>
    </cfRule>
  </conditionalFormatting>
  <conditionalFormatting sqref="AB432:AF432">
    <cfRule type="notContainsBlanks" dxfId="2401" priority="2474">
      <formula>LEN(TRIM(AB432))&gt;0</formula>
    </cfRule>
  </conditionalFormatting>
  <conditionalFormatting sqref="AB432:AF432">
    <cfRule type="notContainsBlanks" dxfId="2400" priority="2473">
      <formula>LEN(TRIM(AB432))&gt;0</formula>
    </cfRule>
  </conditionalFormatting>
  <conditionalFormatting sqref="AB432:AF432">
    <cfRule type="notContainsBlanks" dxfId="2399" priority="2472">
      <formula>LEN(TRIM(AB432))&gt;0</formula>
    </cfRule>
  </conditionalFormatting>
  <conditionalFormatting sqref="AB432:AF432">
    <cfRule type="notContainsBlanks" dxfId="2398" priority="2471">
      <formula>LEN(TRIM(AB432))&gt;0</formula>
    </cfRule>
  </conditionalFormatting>
  <conditionalFormatting sqref="AB432:AF432">
    <cfRule type="notContainsBlanks" dxfId="2397" priority="2470">
      <formula>LEN(TRIM(AB432))&gt;0</formula>
    </cfRule>
  </conditionalFormatting>
  <conditionalFormatting sqref="AB432:AF432">
    <cfRule type="notContainsBlanks" dxfId="2396" priority="2468">
      <formula>LEN(TRIM(AB432))&gt;0</formula>
    </cfRule>
    <cfRule type="notContainsBlanks" dxfId="2395" priority="2469">
      <formula>LEN(TRIM(AB432))&gt;0</formula>
    </cfRule>
  </conditionalFormatting>
  <conditionalFormatting sqref="AB432:AF432">
    <cfRule type="notContainsBlanks" dxfId="2394" priority="2467">
      <formula>LEN(TRIM(AB432))&gt;0</formula>
    </cfRule>
  </conditionalFormatting>
  <conditionalFormatting sqref="AB432:AF432">
    <cfRule type="notContainsBlanks" dxfId="2393" priority="2466">
      <formula>LEN(TRIM(AB432))&gt;0</formula>
    </cfRule>
  </conditionalFormatting>
  <conditionalFormatting sqref="AB432:AF432">
    <cfRule type="notContainsBlanks" dxfId="2392" priority="2465">
      <formula>LEN(TRIM(AB432))&gt;0</formula>
    </cfRule>
  </conditionalFormatting>
  <conditionalFormatting sqref="AB432:AF432">
    <cfRule type="notContainsBlanks" dxfId="2391" priority="2464">
      <formula>LEN(TRIM(AB432))&gt;0</formula>
    </cfRule>
  </conditionalFormatting>
  <conditionalFormatting sqref="AB432:AF432">
    <cfRule type="notContainsBlanks" dxfId="2390" priority="2463">
      <formula>LEN(TRIM(AB432))&gt;0</formula>
    </cfRule>
  </conditionalFormatting>
  <conditionalFormatting sqref="AB432:AF432">
    <cfRule type="notContainsBlanks" dxfId="2389" priority="2462">
      <formula>LEN(TRIM(AB432))&gt;0</formula>
    </cfRule>
  </conditionalFormatting>
  <conditionalFormatting sqref="AB432:AF432">
    <cfRule type="notContainsBlanks" dxfId="2388" priority="2461">
      <formula>LEN(TRIM(AB432))&gt;0</formula>
    </cfRule>
  </conditionalFormatting>
  <conditionalFormatting sqref="AB432:AF432">
    <cfRule type="notContainsBlanks" dxfId="2387" priority="2460">
      <formula>LEN(TRIM(AB432))&gt;0</formula>
    </cfRule>
  </conditionalFormatting>
  <conditionalFormatting sqref="AB432:AF432">
    <cfRule type="notContainsBlanks" dxfId="2386" priority="2459">
      <formula>LEN(TRIM(AB432))&gt;0</formula>
    </cfRule>
  </conditionalFormatting>
  <conditionalFormatting sqref="AB432:AF432">
    <cfRule type="notContainsBlanks" priority="2458">
      <formula>LEN(TRIM(AB432))&gt;0</formula>
    </cfRule>
  </conditionalFormatting>
  <conditionalFormatting sqref="AB432:AF432">
    <cfRule type="notContainsBlanks" dxfId="2385" priority="2457">
      <formula>LEN(TRIM(AB432))&gt;0</formula>
    </cfRule>
  </conditionalFormatting>
  <conditionalFormatting sqref="AB432:AF432">
    <cfRule type="notContainsBlanks" dxfId="2384" priority="2456">
      <formula>LEN(TRIM(AB432))&gt;0</formula>
    </cfRule>
  </conditionalFormatting>
  <conditionalFormatting sqref="AB432:AF432">
    <cfRule type="notContainsBlanks" dxfId="2383" priority="2455">
      <formula>LEN(TRIM(AB432))&gt;0</formula>
    </cfRule>
  </conditionalFormatting>
  <conditionalFormatting sqref="AB432:AF432">
    <cfRule type="notContainsBlanks" dxfId="2382" priority="2454">
      <formula>LEN(TRIM(AB432))&gt;0</formula>
    </cfRule>
  </conditionalFormatting>
  <conditionalFormatting sqref="AB432:AF432">
    <cfRule type="notContainsBlanks" dxfId="2381" priority="2453">
      <formula>LEN(TRIM(AB432))&gt;0</formula>
    </cfRule>
  </conditionalFormatting>
  <conditionalFormatting sqref="AB445:AF445">
    <cfRule type="notContainsBlanks" dxfId="2380" priority="2452">
      <formula>LEN(TRIM(AB445))&gt;0</formula>
    </cfRule>
  </conditionalFormatting>
  <conditionalFormatting sqref="AB445:AF445">
    <cfRule type="notContainsBlanks" dxfId="2379" priority="2451">
      <formula>LEN(TRIM(AB445))&gt;0</formula>
    </cfRule>
  </conditionalFormatting>
  <conditionalFormatting sqref="AB445:AF445">
    <cfRule type="notContainsBlanks" dxfId="2378" priority="2450">
      <formula>LEN(TRIM(AB445))&gt;0</formula>
    </cfRule>
  </conditionalFormatting>
  <conditionalFormatting sqref="AB445:AF445">
    <cfRule type="notContainsBlanks" dxfId="2377" priority="2449">
      <formula>LEN(TRIM(AB445))&gt;0</formula>
    </cfRule>
  </conditionalFormatting>
  <conditionalFormatting sqref="AB445:AF445">
    <cfRule type="notContainsBlanks" dxfId="2376" priority="2448">
      <formula>LEN(TRIM(AB445))&gt;0</formula>
    </cfRule>
  </conditionalFormatting>
  <conditionalFormatting sqref="AB445:AF445">
    <cfRule type="notContainsBlanks" dxfId="2375" priority="2447">
      <formula>LEN(TRIM(AB445))&gt;0</formula>
    </cfRule>
  </conditionalFormatting>
  <conditionalFormatting sqref="AB445:AF445">
    <cfRule type="notContainsBlanks" dxfId="2374" priority="2446">
      <formula>LEN(TRIM(AB445))&gt;0</formula>
    </cfRule>
  </conditionalFormatting>
  <conditionalFormatting sqref="AB445:AF445">
    <cfRule type="notContainsBlanks" dxfId="2373" priority="2445">
      <formula>LEN(TRIM(AB445))&gt;0</formula>
    </cfRule>
  </conditionalFormatting>
  <conditionalFormatting sqref="AB445:AF445">
    <cfRule type="notContainsBlanks" dxfId="2372" priority="2444">
      <formula>LEN(TRIM(AB445))&gt;0</formula>
    </cfRule>
  </conditionalFormatting>
  <conditionalFormatting sqref="AB445:AF445">
    <cfRule type="notContainsBlanks" dxfId="2371" priority="2442">
      <formula>LEN(TRIM(AB445))&gt;0</formula>
    </cfRule>
    <cfRule type="notContainsBlanks" dxfId="2370" priority="2443">
      <formula>LEN(TRIM(AB445))&gt;0</formula>
    </cfRule>
  </conditionalFormatting>
  <conditionalFormatting sqref="AB445:AF445">
    <cfRule type="notContainsBlanks" dxfId="2369" priority="2441">
      <formula>LEN(TRIM(AB445))&gt;0</formula>
    </cfRule>
  </conditionalFormatting>
  <conditionalFormatting sqref="AB445:AF445">
    <cfRule type="notContainsBlanks" dxfId="2368" priority="2440">
      <formula>LEN(TRIM(AB445))&gt;0</formula>
    </cfRule>
  </conditionalFormatting>
  <conditionalFormatting sqref="AB445:AF445">
    <cfRule type="notContainsBlanks" dxfId="2367" priority="2439">
      <formula>LEN(TRIM(AB445))&gt;0</formula>
    </cfRule>
  </conditionalFormatting>
  <conditionalFormatting sqref="AB445:AF445">
    <cfRule type="notContainsBlanks" dxfId="2366" priority="2438">
      <formula>LEN(TRIM(AB445))&gt;0</formula>
    </cfRule>
  </conditionalFormatting>
  <conditionalFormatting sqref="AB445:AF445">
    <cfRule type="notContainsBlanks" dxfId="2365" priority="2437">
      <formula>LEN(TRIM(AB445))&gt;0</formula>
    </cfRule>
  </conditionalFormatting>
  <conditionalFormatting sqref="AB445:AF445">
    <cfRule type="notContainsBlanks" dxfId="2364" priority="2436">
      <formula>LEN(TRIM(AB445))&gt;0</formula>
    </cfRule>
  </conditionalFormatting>
  <conditionalFormatting sqref="AB445:AF445">
    <cfRule type="notContainsBlanks" dxfId="2363" priority="2435">
      <formula>LEN(TRIM(AB445))&gt;0</formula>
    </cfRule>
  </conditionalFormatting>
  <conditionalFormatting sqref="AB445:AF445">
    <cfRule type="notContainsBlanks" dxfId="2362" priority="2434">
      <formula>LEN(TRIM(AB445))&gt;0</formula>
    </cfRule>
  </conditionalFormatting>
  <conditionalFormatting sqref="AB445:AF445">
    <cfRule type="notContainsBlanks" dxfId="2361" priority="2433">
      <formula>LEN(TRIM(AB445))&gt;0</formula>
    </cfRule>
  </conditionalFormatting>
  <conditionalFormatting sqref="AB445:AF445">
    <cfRule type="notContainsBlanks" priority="2432">
      <formula>LEN(TRIM(AB445))&gt;0</formula>
    </cfRule>
  </conditionalFormatting>
  <conditionalFormatting sqref="AB445:AF445">
    <cfRule type="notContainsBlanks" dxfId="2360" priority="2431">
      <formula>LEN(TRIM(AB445))&gt;0</formula>
    </cfRule>
  </conditionalFormatting>
  <conditionalFormatting sqref="AB445:AF445">
    <cfRule type="notContainsBlanks" dxfId="2359" priority="2430">
      <formula>LEN(TRIM(AB445))&gt;0</formula>
    </cfRule>
  </conditionalFormatting>
  <conditionalFormatting sqref="AB445:AF445">
    <cfRule type="notContainsBlanks" dxfId="2358" priority="2429">
      <formula>LEN(TRIM(AB445))&gt;0</formula>
    </cfRule>
  </conditionalFormatting>
  <conditionalFormatting sqref="AB445:AF445">
    <cfRule type="notContainsBlanks" dxfId="2357" priority="2428">
      <formula>LEN(TRIM(AB445))&gt;0</formula>
    </cfRule>
  </conditionalFormatting>
  <conditionalFormatting sqref="AB445:AF445">
    <cfRule type="notContainsBlanks" dxfId="2356" priority="2427">
      <formula>LEN(TRIM(AB445))&gt;0</formula>
    </cfRule>
  </conditionalFormatting>
  <conditionalFormatting sqref="AB458:AF458">
    <cfRule type="notContainsBlanks" dxfId="2355" priority="2426">
      <formula>LEN(TRIM(AB458))&gt;0</formula>
    </cfRule>
  </conditionalFormatting>
  <conditionalFormatting sqref="AB458:AF458">
    <cfRule type="notContainsBlanks" dxfId="2354" priority="2425">
      <formula>LEN(TRIM(AB458))&gt;0</formula>
    </cfRule>
  </conditionalFormatting>
  <conditionalFormatting sqref="AB458:AF458">
    <cfRule type="notContainsBlanks" dxfId="2353" priority="2424">
      <formula>LEN(TRIM(AB458))&gt;0</formula>
    </cfRule>
  </conditionalFormatting>
  <conditionalFormatting sqref="AB458:AF458">
    <cfRule type="notContainsBlanks" dxfId="2352" priority="2423">
      <formula>LEN(TRIM(AB458))&gt;0</formula>
    </cfRule>
  </conditionalFormatting>
  <conditionalFormatting sqref="AB458:AF458">
    <cfRule type="notContainsBlanks" dxfId="2351" priority="2422">
      <formula>LEN(TRIM(AB458))&gt;0</formula>
    </cfRule>
  </conditionalFormatting>
  <conditionalFormatting sqref="AB458:AF458">
    <cfRule type="notContainsBlanks" dxfId="2350" priority="2421">
      <formula>LEN(TRIM(AB458))&gt;0</formula>
    </cfRule>
  </conditionalFormatting>
  <conditionalFormatting sqref="AB458:AF458">
    <cfRule type="notContainsBlanks" dxfId="2349" priority="2420">
      <formula>LEN(TRIM(AB458))&gt;0</formula>
    </cfRule>
  </conditionalFormatting>
  <conditionalFormatting sqref="AB458:AF458">
    <cfRule type="notContainsBlanks" dxfId="2348" priority="2419">
      <formula>LEN(TRIM(AB458))&gt;0</formula>
    </cfRule>
  </conditionalFormatting>
  <conditionalFormatting sqref="AB458:AF458">
    <cfRule type="notContainsBlanks" dxfId="2347" priority="2418">
      <formula>LEN(TRIM(AB458))&gt;0</formula>
    </cfRule>
  </conditionalFormatting>
  <conditionalFormatting sqref="AB458:AF458">
    <cfRule type="notContainsBlanks" dxfId="2346" priority="2416">
      <formula>LEN(TRIM(AB458))&gt;0</formula>
    </cfRule>
    <cfRule type="notContainsBlanks" dxfId="2345" priority="2417">
      <formula>LEN(TRIM(AB458))&gt;0</formula>
    </cfRule>
  </conditionalFormatting>
  <conditionalFormatting sqref="AB458:AF458">
    <cfRule type="notContainsBlanks" dxfId="2344" priority="2415">
      <formula>LEN(TRIM(AB458))&gt;0</formula>
    </cfRule>
  </conditionalFormatting>
  <conditionalFormatting sqref="AB458:AF458">
    <cfRule type="notContainsBlanks" dxfId="2343" priority="2414">
      <formula>LEN(TRIM(AB458))&gt;0</formula>
    </cfRule>
  </conditionalFormatting>
  <conditionalFormatting sqref="AB458:AF458">
    <cfRule type="notContainsBlanks" dxfId="2342" priority="2413">
      <formula>LEN(TRIM(AB458))&gt;0</formula>
    </cfRule>
  </conditionalFormatting>
  <conditionalFormatting sqref="AB458:AF458">
    <cfRule type="notContainsBlanks" dxfId="2341" priority="2412">
      <formula>LEN(TRIM(AB458))&gt;0</formula>
    </cfRule>
  </conditionalFormatting>
  <conditionalFormatting sqref="AB458:AF458">
    <cfRule type="notContainsBlanks" dxfId="2340" priority="2411">
      <formula>LEN(TRIM(AB458))&gt;0</formula>
    </cfRule>
  </conditionalFormatting>
  <conditionalFormatting sqref="AB458:AF458">
    <cfRule type="notContainsBlanks" dxfId="2339" priority="2410">
      <formula>LEN(TRIM(AB458))&gt;0</formula>
    </cfRule>
  </conditionalFormatting>
  <conditionalFormatting sqref="AB458:AF458">
    <cfRule type="notContainsBlanks" dxfId="2338" priority="2409">
      <formula>LEN(TRIM(AB458))&gt;0</formula>
    </cfRule>
  </conditionalFormatting>
  <conditionalFormatting sqref="AB458:AF458">
    <cfRule type="notContainsBlanks" dxfId="2337" priority="2408">
      <formula>LEN(TRIM(AB458))&gt;0</formula>
    </cfRule>
  </conditionalFormatting>
  <conditionalFormatting sqref="AB458:AF458">
    <cfRule type="notContainsBlanks" dxfId="2336" priority="2407">
      <formula>LEN(TRIM(AB458))&gt;0</formula>
    </cfRule>
  </conditionalFormatting>
  <conditionalFormatting sqref="AB458:AF458">
    <cfRule type="notContainsBlanks" priority="2406">
      <formula>LEN(TRIM(AB458))&gt;0</formula>
    </cfRule>
  </conditionalFormatting>
  <conditionalFormatting sqref="AB458:AF458">
    <cfRule type="notContainsBlanks" dxfId="2335" priority="2405">
      <formula>LEN(TRIM(AB458))&gt;0</formula>
    </cfRule>
  </conditionalFormatting>
  <conditionalFormatting sqref="AB458:AF458">
    <cfRule type="notContainsBlanks" dxfId="2334" priority="2404">
      <formula>LEN(TRIM(AB458))&gt;0</formula>
    </cfRule>
  </conditionalFormatting>
  <conditionalFormatting sqref="AB458:AF458">
    <cfRule type="notContainsBlanks" dxfId="2333" priority="2403">
      <formula>LEN(TRIM(AB458))&gt;0</formula>
    </cfRule>
  </conditionalFormatting>
  <conditionalFormatting sqref="AB458:AF458">
    <cfRule type="notContainsBlanks" dxfId="2332" priority="2402">
      <formula>LEN(TRIM(AB458))&gt;0</formula>
    </cfRule>
  </conditionalFormatting>
  <conditionalFormatting sqref="AB458:AF458">
    <cfRule type="notContainsBlanks" dxfId="2331" priority="2401">
      <formula>LEN(TRIM(AB458))&gt;0</formula>
    </cfRule>
  </conditionalFormatting>
  <conditionalFormatting sqref="AB471:AF471">
    <cfRule type="notContainsBlanks" dxfId="2330" priority="2400">
      <formula>LEN(TRIM(AB471))&gt;0</formula>
    </cfRule>
  </conditionalFormatting>
  <conditionalFormatting sqref="AB471:AF471">
    <cfRule type="notContainsBlanks" dxfId="2329" priority="2399">
      <formula>LEN(TRIM(AB471))&gt;0</formula>
    </cfRule>
  </conditionalFormatting>
  <conditionalFormatting sqref="AB471:AF471">
    <cfRule type="notContainsBlanks" dxfId="2328" priority="2398">
      <formula>LEN(TRIM(AB471))&gt;0</formula>
    </cfRule>
  </conditionalFormatting>
  <conditionalFormatting sqref="AB471:AF471">
    <cfRule type="notContainsBlanks" dxfId="2327" priority="2397">
      <formula>LEN(TRIM(AB471))&gt;0</formula>
    </cfRule>
  </conditionalFormatting>
  <conditionalFormatting sqref="AB471:AF471">
    <cfRule type="notContainsBlanks" dxfId="2326" priority="2396">
      <formula>LEN(TRIM(AB471))&gt;0</formula>
    </cfRule>
  </conditionalFormatting>
  <conditionalFormatting sqref="AB471:AF471">
    <cfRule type="notContainsBlanks" dxfId="2325" priority="2395">
      <formula>LEN(TRIM(AB471))&gt;0</formula>
    </cfRule>
  </conditionalFormatting>
  <conditionalFormatting sqref="AB471:AF471">
    <cfRule type="notContainsBlanks" dxfId="2324" priority="2394">
      <formula>LEN(TRIM(AB471))&gt;0</formula>
    </cfRule>
  </conditionalFormatting>
  <conditionalFormatting sqref="AB471:AF471">
    <cfRule type="notContainsBlanks" dxfId="2323" priority="2393">
      <formula>LEN(TRIM(AB471))&gt;0</formula>
    </cfRule>
  </conditionalFormatting>
  <conditionalFormatting sqref="AB471:AF471">
    <cfRule type="notContainsBlanks" dxfId="2322" priority="2392">
      <formula>LEN(TRIM(AB471))&gt;0</formula>
    </cfRule>
  </conditionalFormatting>
  <conditionalFormatting sqref="AB471:AF471">
    <cfRule type="notContainsBlanks" dxfId="2321" priority="2390">
      <formula>LEN(TRIM(AB471))&gt;0</formula>
    </cfRule>
    <cfRule type="notContainsBlanks" dxfId="2320" priority="2391">
      <formula>LEN(TRIM(AB471))&gt;0</formula>
    </cfRule>
  </conditionalFormatting>
  <conditionalFormatting sqref="AB471:AF471">
    <cfRule type="notContainsBlanks" dxfId="2319" priority="2389">
      <formula>LEN(TRIM(AB471))&gt;0</formula>
    </cfRule>
  </conditionalFormatting>
  <conditionalFormatting sqref="AB471:AF471">
    <cfRule type="notContainsBlanks" dxfId="2318" priority="2388">
      <formula>LEN(TRIM(AB471))&gt;0</formula>
    </cfRule>
  </conditionalFormatting>
  <conditionalFormatting sqref="AB471:AF471">
    <cfRule type="notContainsBlanks" dxfId="2317" priority="2387">
      <formula>LEN(TRIM(AB471))&gt;0</formula>
    </cfRule>
  </conditionalFormatting>
  <conditionalFormatting sqref="AB471:AF471">
    <cfRule type="notContainsBlanks" dxfId="2316" priority="2386">
      <formula>LEN(TRIM(AB471))&gt;0</formula>
    </cfRule>
  </conditionalFormatting>
  <conditionalFormatting sqref="AB471:AF471">
    <cfRule type="notContainsBlanks" dxfId="2315" priority="2385">
      <formula>LEN(TRIM(AB471))&gt;0</formula>
    </cfRule>
  </conditionalFormatting>
  <conditionalFormatting sqref="AB471:AF471">
    <cfRule type="notContainsBlanks" dxfId="2314" priority="2384">
      <formula>LEN(TRIM(AB471))&gt;0</formula>
    </cfRule>
  </conditionalFormatting>
  <conditionalFormatting sqref="AB471:AF471">
    <cfRule type="notContainsBlanks" dxfId="2313" priority="2383">
      <formula>LEN(TRIM(AB471))&gt;0</formula>
    </cfRule>
  </conditionalFormatting>
  <conditionalFormatting sqref="AB471:AF471">
    <cfRule type="notContainsBlanks" dxfId="2312" priority="2382">
      <formula>LEN(TRIM(AB471))&gt;0</formula>
    </cfRule>
  </conditionalFormatting>
  <conditionalFormatting sqref="AB471:AF471">
    <cfRule type="notContainsBlanks" dxfId="2311" priority="2381">
      <formula>LEN(TRIM(AB471))&gt;0</formula>
    </cfRule>
  </conditionalFormatting>
  <conditionalFormatting sqref="AB471:AF471">
    <cfRule type="notContainsBlanks" priority="2380">
      <formula>LEN(TRIM(AB471))&gt;0</formula>
    </cfRule>
  </conditionalFormatting>
  <conditionalFormatting sqref="AB471:AF471">
    <cfRule type="notContainsBlanks" dxfId="2310" priority="2379">
      <formula>LEN(TRIM(AB471))&gt;0</formula>
    </cfRule>
  </conditionalFormatting>
  <conditionalFormatting sqref="AB471:AF471">
    <cfRule type="notContainsBlanks" dxfId="2309" priority="2378">
      <formula>LEN(TRIM(AB471))&gt;0</formula>
    </cfRule>
  </conditionalFormatting>
  <conditionalFormatting sqref="AB471:AF471">
    <cfRule type="notContainsBlanks" dxfId="2308" priority="2377">
      <formula>LEN(TRIM(AB471))&gt;0</formula>
    </cfRule>
  </conditionalFormatting>
  <conditionalFormatting sqref="AB471:AF471">
    <cfRule type="notContainsBlanks" dxfId="2307" priority="2376">
      <formula>LEN(TRIM(AB471))&gt;0</formula>
    </cfRule>
  </conditionalFormatting>
  <conditionalFormatting sqref="AB471:AF471">
    <cfRule type="notContainsBlanks" dxfId="2306" priority="2375">
      <formula>LEN(TRIM(AB471))&gt;0</formula>
    </cfRule>
  </conditionalFormatting>
  <conditionalFormatting sqref="AB484:AF484">
    <cfRule type="notContainsBlanks" dxfId="2305" priority="2374">
      <formula>LEN(TRIM(AB484))&gt;0</formula>
    </cfRule>
  </conditionalFormatting>
  <conditionalFormatting sqref="AB484:AF484">
    <cfRule type="notContainsBlanks" dxfId="2304" priority="2373">
      <formula>LEN(TRIM(AB484))&gt;0</formula>
    </cfRule>
  </conditionalFormatting>
  <conditionalFormatting sqref="AB484:AF484">
    <cfRule type="notContainsBlanks" dxfId="2303" priority="2372">
      <formula>LEN(TRIM(AB484))&gt;0</formula>
    </cfRule>
  </conditionalFormatting>
  <conditionalFormatting sqref="AB484:AF484">
    <cfRule type="notContainsBlanks" dxfId="2302" priority="2371">
      <formula>LEN(TRIM(AB484))&gt;0</formula>
    </cfRule>
  </conditionalFormatting>
  <conditionalFormatting sqref="AB484:AF484">
    <cfRule type="notContainsBlanks" dxfId="2301" priority="2370">
      <formula>LEN(TRIM(AB484))&gt;0</formula>
    </cfRule>
  </conditionalFormatting>
  <conditionalFormatting sqref="AB484:AF484">
    <cfRule type="notContainsBlanks" dxfId="2300" priority="2369">
      <formula>LEN(TRIM(AB484))&gt;0</formula>
    </cfRule>
  </conditionalFormatting>
  <conditionalFormatting sqref="AB484:AF484">
    <cfRule type="notContainsBlanks" dxfId="2299" priority="2368">
      <formula>LEN(TRIM(AB484))&gt;0</formula>
    </cfRule>
  </conditionalFormatting>
  <conditionalFormatting sqref="AB484:AF484">
    <cfRule type="notContainsBlanks" dxfId="2298" priority="2367">
      <formula>LEN(TRIM(AB484))&gt;0</formula>
    </cfRule>
  </conditionalFormatting>
  <conditionalFormatting sqref="AB484:AF484">
    <cfRule type="notContainsBlanks" dxfId="2297" priority="2366">
      <formula>LEN(TRIM(AB484))&gt;0</formula>
    </cfRule>
  </conditionalFormatting>
  <conditionalFormatting sqref="AB484:AF484">
    <cfRule type="notContainsBlanks" dxfId="2296" priority="2364">
      <formula>LEN(TRIM(AB484))&gt;0</formula>
    </cfRule>
    <cfRule type="notContainsBlanks" dxfId="2295" priority="2365">
      <formula>LEN(TRIM(AB484))&gt;0</formula>
    </cfRule>
  </conditionalFormatting>
  <conditionalFormatting sqref="AB484:AF484">
    <cfRule type="notContainsBlanks" dxfId="2294" priority="2363">
      <formula>LEN(TRIM(AB484))&gt;0</formula>
    </cfRule>
  </conditionalFormatting>
  <conditionalFormatting sqref="AB484:AF484">
    <cfRule type="notContainsBlanks" dxfId="2293" priority="2362">
      <formula>LEN(TRIM(AB484))&gt;0</formula>
    </cfRule>
  </conditionalFormatting>
  <conditionalFormatting sqref="AB484:AF484">
    <cfRule type="notContainsBlanks" dxfId="2292" priority="2361">
      <formula>LEN(TRIM(AB484))&gt;0</formula>
    </cfRule>
  </conditionalFormatting>
  <conditionalFormatting sqref="AB484:AF484">
    <cfRule type="notContainsBlanks" dxfId="2291" priority="2360">
      <formula>LEN(TRIM(AB484))&gt;0</formula>
    </cfRule>
  </conditionalFormatting>
  <conditionalFormatting sqref="AB484:AF484">
    <cfRule type="notContainsBlanks" dxfId="2290" priority="2359">
      <formula>LEN(TRIM(AB484))&gt;0</formula>
    </cfRule>
  </conditionalFormatting>
  <conditionalFormatting sqref="AB484:AF484">
    <cfRule type="notContainsBlanks" dxfId="2289" priority="2358">
      <formula>LEN(TRIM(AB484))&gt;0</formula>
    </cfRule>
  </conditionalFormatting>
  <conditionalFormatting sqref="AB484:AF484">
    <cfRule type="notContainsBlanks" dxfId="2288" priority="2357">
      <formula>LEN(TRIM(AB484))&gt;0</formula>
    </cfRule>
  </conditionalFormatting>
  <conditionalFormatting sqref="AB484:AF484">
    <cfRule type="notContainsBlanks" dxfId="2287" priority="2356">
      <formula>LEN(TRIM(AB484))&gt;0</formula>
    </cfRule>
  </conditionalFormatting>
  <conditionalFormatting sqref="AB484:AF484">
    <cfRule type="notContainsBlanks" dxfId="2286" priority="2355">
      <formula>LEN(TRIM(AB484))&gt;0</formula>
    </cfRule>
  </conditionalFormatting>
  <conditionalFormatting sqref="AB484:AF484">
    <cfRule type="notContainsBlanks" priority="2354">
      <formula>LEN(TRIM(AB484))&gt;0</formula>
    </cfRule>
  </conditionalFormatting>
  <conditionalFormatting sqref="AB484:AF484">
    <cfRule type="notContainsBlanks" dxfId="2285" priority="2353">
      <formula>LEN(TRIM(AB484))&gt;0</formula>
    </cfRule>
  </conditionalFormatting>
  <conditionalFormatting sqref="AB484:AF484">
    <cfRule type="notContainsBlanks" dxfId="2284" priority="2352">
      <formula>LEN(TRIM(AB484))&gt;0</formula>
    </cfRule>
  </conditionalFormatting>
  <conditionalFormatting sqref="AB484:AF484">
    <cfRule type="notContainsBlanks" dxfId="2283" priority="2351">
      <formula>LEN(TRIM(AB484))&gt;0</formula>
    </cfRule>
  </conditionalFormatting>
  <conditionalFormatting sqref="AB484:AF484">
    <cfRule type="notContainsBlanks" dxfId="2282" priority="2350">
      <formula>LEN(TRIM(AB484))&gt;0</formula>
    </cfRule>
  </conditionalFormatting>
  <conditionalFormatting sqref="AB484:AF484">
    <cfRule type="notContainsBlanks" dxfId="2281" priority="2349">
      <formula>LEN(TRIM(AB484))&gt;0</formula>
    </cfRule>
  </conditionalFormatting>
  <conditionalFormatting sqref="AB497:AF497">
    <cfRule type="notContainsBlanks" dxfId="2280" priority="2348">
      <formula>LEN(TRIM(AB497))&gt;0</formula>
    </cfRule>
  </conditionalFormatting>
  <conditionalFormatting sqref="AB497:AF497">
    <cfRule type="notContainsBlanks" dxfId="2279" priority="2347">
      <formula>LEN(TRIM(AB497))&gt;0</formula>
    </cfRule>
  </conditionalFormatting>
  <conditionalFormatting sqref="AB497:AF497">
    <cfRule type="notContainsBlanks" dxfId="2278" priority="2346">
      <formula>LEN(TRIM(AB497))&gt;0</formula>
    </cfRule>
  </conditionalFormatting>
  <conditionalFormatting sqref="AB497:AF497">
    <cfRule type="notContainsBlanks" dxfId="2277" priority="2345">
      <formula>LEN(TRIM(AB497))&gt;0</formula>
    </cfRule>
  </conditionalFormatting>
  <conditionalFormatting sqref="AB497:AF497">
    <cfRule type="notContainsBlanks" dxfId="2276" priority="2344">
      <formula>LEN(TRIM(AB497))&gt;0</formula>
    </cfRule>
  </conditionalFormatting>
  <conditionalFormatting sqref="AB497:AF497">
    <cfRule type="notContainsBlanks" dxfId="2275" priority="2343">
      <formula>LEN(TRIM(AB497))&gt;0</formula>
    </cfRule>
  </conditionalFormatting>
  <conditionalFormatting sqref="AB497:AF497">
    <cfRule type="notContainsBlanks" dxfId="2274" priority="2342">
      <formula>LEN(TRIM(AB497))&gt;0</formula>
    </cfRule>
  </conditionalFormatting>
  <conditionalFormatting sqref="AB497:AF497">
    <cfRule type="notContainsBlanks" dxfId="2273" priority="2341">
      <formula>LEN(TRIM(AB497))&gt;0</formula>
    </cfRule>
  </conditionalFormatting>
  <conditionalFormatting sqref="AB497:AF497">
    <cfRule type="notContainsBlanks" dxfId="2272" priority="2340">
      <formula>LEN(TRIM(AB497))&gt;0</formula>
    </cfRule>
  </conditionalFormatting>
  <conditionalFormatting sqref="AB497:AF497">
    <cfRule type="notContainsBlanks" dxfId="2271" priority="2338">
      <formula>LEN(TRIM(AB497))&gt;0</formula>
    </cfRule>
    <cfRule type="notContainsBlanks" dxfId="2270" priority="2339">
      <formula>LEN(TRIM(AB497))&gt;0</formula>
    </cfRule>
  </conditionalFormatting>
  <conditionalFormatting sqref="AB497:AF497">
    <cfRule type="notContainsBlanks" dxfId="2269" priority="2337">
      <formula>LEN(TRIM(AB497))&gt;0</formula>
    </cfRule>
  </conditionalFormatting>
  <conditionalFormatting sqref="AB497:AF497">
    <cfRule type="notContainsBlanks" dxfId="2268" priority="2336">
      <formula>LEN(TRIM(AB497))&gt;0</formula>
    </cfRule>
  </conditionalFormatting>
  <conditionalFormatting sqref="AB497:AF497">
    <cfRule type="notContainsBlanks" dxfId="2267" priority="2335">
      <formula>LEN(TRIM(AB497))&gt;0</formula>
    </cfRule>
  </conditionalFormatting>
  <conditionalFormatting sqref="AB497:AF497">
    <cfRule type="notContainsBlanks" dxfId="2266" priority="2334">
      <formula>LEN(TRIM(AB497))&gt;0</formula>
    </cfRule>
  </conditionalFormatting>
  <conditionalFormatting sqref="AB497:AF497">
    <cfRule type="notContainsBlanks" dxfId="2265" priority="2333">
      <formula>LEN(TRIM(AB497))&gt;0</formula>
    </cfRule>
  </conditionalFormatting>
  <conditionalFormatting sqref="AB497:AF497">
    <cfRule type="notContainsBlanks" dxfId="2264" priority="2332">
      <formula>LEN(TRIM(AB497))&gt;0</formula>
    </cfRule>
  </conditionalFormatting>
  <conditionalFormatting sqref="AB497:AF497">
    <cfRule type="notContainsBlanks" dxfId="2263" priority="2331">
      <formula>LEN(TRIM(AB497))&gt;0</formula>
    </cfRule>
  </conditionalFormatting>
  <conditionalFormatting sqref="AB497:AF497">
    <cfRule type="notContainsBlanks" dxfId="2262" priority="2330">
      <formula>LEN(TRIM(AB497))&gt;0</formula>
    </cfRule>
  </conditionalFormatting>
  <conditionalFormatting sqref="AB497:AF497">
    <cfRule type="notContainsBlanks" dxfId="2261" priority="2329">
      <formula>LEN(TRIM(AB497))&gt;0</formula>
    </cfRule>
  </conditionalFormatting>
  <conditionalFormatting sqref="AB497:AF497">
    <cfRule type="notContainsBlanks" priority="2328">
      <formula>LEN(TRIM(AB497))&gt;0</formula>
    </cfRule>
  </conditionalFormatting>
  <conditionalFormatting sqref="AB497:AF497">
    <cfRule type="notContainsBlanks" dxfId="2260" priority="2327">
      <formula>LEN(TRIM(AB497))&gt;0</formula>
    </cfRule>
  </conditionalFormatting>
  <conditionalFormatting sqref="AB497:AF497">
    <cfRule type="notContainsBlanks" dxfId="2259" priority="2326">
      <formula>LEN(TRIM(AB497))&gt;0</formula>
    </cfRule>
  </conditionalFormatting>
  <conditionalFormatting sqref="AB497:AF497">
    <cfRule type="notContainsBlanks" dxfId="2258" priority="2325">
      <formula>LEN(TRIM(AB497))&gt;0</formula>
    </cfRule>
  </conditionalFormatting>
  <conditionalFormatting sqref="AB497:AF497">
    <cfRule type="notContainsBlanks" dxfId="2257" priority="2324">
      <formula>LEN(TRIM(AB497))&gt;0</formula>
    </cfRule>
  </conditionalFormatting>
  <conditionalFormatting sqref="AB497:AF497">
    <cfRule type="notContainsBlanks" dxfId="2256" priority="2323">
      <formula>LEN(TRIM(AB497))&gt;0</formula>
    </cfRule>
  </conditionalFormatting>
  <conditionalFormatting sqref="AB510:AF510">
    <cfRule type="notContainsBlanks" dxfId="2255" priority="2322">
      <formula>LEN(TRIM(AB510))&gt;0</formula>
    </cfRule>
  </conditionalFormatting>
  <conditionalFormatting sqref="AB510:AF510">
    <cfRule type="notContainsBlanks" dxfId="2254" priority="2321">
      <formula>LEN(TRIM(AB510))&gt;0</formula>
    </cfRule>
  </conditionalFormatting>
  <conditionalFormatting sqref="AB510:AF510">
    <cfRule type="notContainsBlanks" dxfId="2253" priority="2320">
      <formula>LEN(TRIM(AB510))&gt;0</formula>
    </cfRule>
  </conditionalFormatting>
  <conditionalFormatting sqref="AB510:AF510">
    <cfRule type="notContainsBlanks" dxfId="2252" priority="2319">
      <formula>LEN(TRIM(AB510))&gt;0</formula>
    </cfRule>
  </conditionalFormatting>
  <conditionalFormatting sqref="AB510:AF510">
    <cfRule type="notContainsBlanks" dxfId="2251" priority="2318">
      <formula>LEN(TRIM(AB510))&gt;0</formula>
    </cfRule>
  </conditionalFormatting>
  <conditionalFormatting sqref="AB510:AF510">
    <cfRule type="notContainsBlanks" dxfId="2250" priority="2317">
      <formula>LEN(TRIM(AB510))&gt;0</formula>
    </cfRule>
  </conditionalFormatting>
  <conditionalFormatting sqref="AB510:AF510">
    <cfRule type="notContainsBlanks" dxfId="2249" priority="2316">
      <formula>LEN(TRIM(AB510))&gt;0</formula>
    </cfRule>
  </conditionalFormatting>
  <conditionalFormatting sqref="AB510:AF510">
    <cfRule type="notContainsBlanks" dxfId="2248" priority="2315">
      <formula>LEN(TRIM(AB510))&gt;0</formula>
    </cfRule>
  </conditionalFormatting>
  <conditionalFormatting sqref="AB510:AF510">
    <cfRule type="notContainsBlanks" dxfId="2247" priority="2314">
      <formula>LEN(TRIM(AB510))&gt;0</formula>
    </cfRule>
  </conditionalFormatting>
  <conditionalFormatting sqref="AB510:AF510">
    <cfRule type="notContainsBlanks" dxfId="2246" priority="2312">
      <formula>LEN(TRIM(AB510))&gt;0</formula>
    </cfRule>
    <cfRule type="notContainsBlanks" dxfId="2245" priority="2313">
      <formula>LEN(TRIM(AB510))&gt;0</formula>
    </cfRule>
  </conditionalFormatting>
  <conditionalFormatting sqref="AB510:AF510">
    <cfRule type="notContainsBlanks" dxfId="2244" priority="2311">
      <formula>LEN(TRIM(AB510))&gt;0</formula>
    </cfRule>
  </conditionalFormatting>
  <conditionalFormatting sqref="AB510:AF510">
    <cfRule type="notContainsBlanks" dxfId="2243" priority="2310">
      <formula>LEN(TRIM(AB510))&gt;0</formula>
    </cfRule>
  </conditionalFormatting>
  <conditionalFormatting sqref="AB510:AF510">
    <cfRule type="notContainsBlanks" dxfId="2242" priority="2309">
      <formula>LEN(TRIM(AB510))&gt;0</formula>
    </cfRule>
  </conditionalFormatting>
  <conditionalFormatting sqref="AB510:AF510">
    <cfRule type="notContainsBlanks" dxfId="2241" priority="2308">
      <formula>LEN(TRIM(AB510))&gt;0</formula>
    </cfRule>
  </conditionalFormatting>
  <conditionalFormatting sqref="AB510:AF510">
    <cfRule type="notContainsBlanks" dxfId="2240" priority="2307">
      <formula>LEN(TRIM(AB510))&gt;0</formula>
    </cfRule>
  </conditionalFormatting>
  <conditionalFormatting sqref="AB510:AF510">
    <cfRule type="notContainsBlanks" dxfId="2239" priority="2306">
      <formula>LEN(TRIM(AB510))&gt;0</formula>
    </cfRule>
  </conditionalFormatting>
  <conditionalFormatting sqref="AB510:AF510">
    <cfRule type="notContainsBlanks" dxfId="2238" priority="2305">
      <formula>LEN(TRIM(AB510))&gt;0</formula>
    </cfRule>
  </conditionalFormatting>
  <conditionalFormatting sqref="AB510:AF510">
    <cfRule type="notContainsBlanks" dxfId="2237" priority="2304">
      <formula>LEN(TRIM(AB510))&gt;0</formula>
    </cfRule>
  </conditionalFormatting>
  <conditionalFormatting sqref="AB510:AF510">
    <cfRule type="notContainsBlanks" dxfId="2236" priority="2303">
      <formula>LEN(TRIM(AB510))&gt;0</formula>
    </cfRule>
  </conditionalFormatting>
  <conditionalFormatting sqref="AB510:AF510">
    <cfRule type="notContainsBlanks" priority="2302">
      <formula>LEN(TRIM(AB510))&gt;0</formula>
    </cfRule>
  </conditionalFormatting>
  <conditionalFormatting sqref="AB510:AF510">
    <cfRule type="notContainsBlanks" dxfId="2235" priority="2301">
      <formula>LEN(TRIM(AB510))&gt;0</formula>
    </cfRule>
  </conditionalFormatting>
  <conditionalFormatting sqref="AB510:AF510">
    <cfRule type="notContainsBlanks" dxfId="2234" priority="2300">
      <formula>LEN(TRIM(AB510))&gt;0</formula>
    </cfRule>
  </conditionalFormatting>
  <conditionalFormatting sqref="AB510:AF510">
    <cfRule type="notContainsBlanks" dxfId="2233" priority="2299">
      <formula>LEN(TRIM(AB510))&gt;0</formula>
    </cfRule>
  </conditionalFormatting>
  <conditionalFormatting sqref="AB510:AF510">
    <cfRule type="notContainsBlanks" dxfId="2232" priority="2298">
      <formula>LEN(TRIM(AB510))&gt;0</formula>
    </cfRule>
  </conditionalFormatting>
  <conditionalFormatting sqref="AB510:AF510">
    <cfRule type="notContainsBlanks" dxfId="2231" priority="2297">
      <formula>LEN(TRIM(AB510))&gt;0</formula>
    </cfRule>
  </conditionalFormatting>
  <conditionalFormatting sqref="AB523:AF523">
    <cfRule type="notContainsBlanks" dxfId="2230" priority="2296">
      <formula>LEN(TRIM(AB523))&gt;0</formula>
    </cfRule>
  </conditionalFormatting>
  <conditionalFormatting sqref="AB523:AF523">
    <cfRule type="notContainsBlanks" dxfId="2229" priority="2295">
      <formula>LEN(TRIM(AB523))&gt;0</formula>
    </cfRule>
  </conditionalFormatting>
  <conditionalFormatting sqref="AB523:AF523">
    <cfRule type="notContainsBlanks" dxfId="2228" priority="2294">
      <formula>LEN(TRIM(AB523))&gt;0</formula>
    </cfRule>
  </conditionalFormatting>
  <conditionalFormatting sqref="AB523:AF523">
    <cfRule type="notContainsBlanks" dxfId="2227" priority="2293">
      <formula>LEN(TRIM(AB523))&gt;0</formula>
    </cfRule>
  </conditionalFormatting>
  <conditionalFormatting sqref="AB523:AF523">
    <cfRule type="notContainsBlanks" dxfId="2226" priority="2292">
      <formula>LEN(TRIM(AB523))&gt;0</formula>
    </cfRule>
  </conditionalFormatting>
  <conditionalFormatting sqref="AB523:AF523">
    <cfRule type="notContainsBlanks" dxfId="2225" priority="2291">
      <formula>LEN(TRIM(AB523))&gt;0</formula>
    </cfRule>
  </conditionalFormatting>
  <conditionalFormatting sqref="AB523:AF523">
    <cfRule type="notContainsBlanks" dxfId="2224" priority="2290">
      <formula>LEN(TRIM(AB523))&gt;0</formula>
    </cfRule>
  </conditionalFormatting>
  <conditionalFormatting sqref="AB523:AF523">
    <cfRule type="notContainsBlanks" dxfId="2223" priority="2289">
      <formula>LEN(TRIM(AB523))&gt;0</formula>
    </cfRule>
  </conditionalFormatting>
  <conditionalFormatting sqref="AB523:AF523">
    <cfRule type="notContainsBlanks" dxfId="2222" priority="2288">
      <formula>LEN(TRIM(AB523))&gt;0</formula>
    </cfRule>
  </conditionalFormatting>
  <conditionalFormatting sqref="AB523:AF523">
    <cfRule type="notContainsBlanks" dxfId="2221" priority="2286">
      <formula>LEN(TRIM(AB523))&gt;0</formula>
    </cfRule>
    <cfRule type="notContainsBlanks" dxfId="2220" priority="2287">
      <formula>LEN(TRIM(AB523))&gt;0</formula>
    </cfRule>
  </conditionalFormatting>
  <conditionalFormatting sqref="AB523:AF523">
    <cfRule type="notContainsBlanks" dxfId="2219" priority="2285">
      <formula>LEN(TRIM(AB523))&gt;0</formula>
    </cfRule>
  </conditionalFormatting>
  <conditionalFormatting sqref="AB523:AF523">
    <cfRule type="notContainsBlanks" dxfId="2218" priority="2284">
      <formula>LEN(TRIM(AB523))&gt;0</formula>
    </cfRule>
  </conditionalFormatting>
  <conditionalFormatting sqref="AB523:AF523">
    <cfRule type="notContainsBlanks" dxfId="2217" priority="2283">
      <formula>LEN(TRIM(AB523))&gt;0</formula>
    </cfRule>
  </conditionalFormatting>
  <conditionalFormatting sqref="AB523:AF523">
    <cfRule type="notContainsBlanks" dxfId="2216" priority="2282">
      <formula>LEN(TRIM(AB523))&gt;0</formula>
    </cfRule>
  </conditionalFormatting>
  <conditionalFormatting sqref="AB523:AF523">
    <cfRule type="notContainsBlanks" dxfId="2215" priority="2281">
      <formula>LEN(TRIM(AB523))&gt;0</formula>
    </cfRule>
  </conditionalFormatting>
  <conditionalFormatting sqref="AB523:AF523">
    <cfRule type="notContainsBlanks" dxfId="2214" priority="2280">
      <formula>LEN(TRIM(AB523))&gt;0</formula>
    </cfRule>
  </conditionalFormatting>
  <conditionalFormatting sqref="AB523:AF523">
    <cfRule type="notContainsBlanks" dxfId="2213" priority="2279">
      <formula>LEN(TRIM(AB523))&gt;0</formula>
    </cfRule>
  </conditionalFormatting>
  <conditionalFormatting sqref="AB523:AF523">
    <cfRule type="notContainsBlanks" dxfId="2212" priority="2278">
      <formula>LEN(TRIM(AB523))&gt;0</formula>
    </cfRule>
  </conditionalFormatting>
  <conditionalFormatting sqref="AB523:AF523">
    <cfRule type="notContainsBlanks" dxfId="2211" priority="2277">
      <formula>LEN(TRIM(AB523))&gt;0</formula>
    </cfRule>
  </conditionalFormatting>
  <conditionalFormatting sqref="AB523:AF523">
    <cfRule type="notContainsBlanks" priority="2276">
      <formula>LEN(TRIM(AB523))&gt;0</formula>
    </cfRule>
  </conditionalFormatting>
  <conditionalFormatting sqref="AB523:AF523">
    <cfRule type="notContainsBlanks" dxfId="2210" priority="2275">
      <formula>LEN(TRIM(AB523))&gt;0</formula>
    </cfRule>
  </conditionalFormatting>
  <conditionalFormatting sqref="AB523:AF523">
    <cfRule type="notContainsBlanks" dxfId="2209" priority="2274">
      <formula>LEN(TRIM(AB523))&gt;0</formula>
    </cfRule>
  </conditionalFormatting>
  <conditionalFormatting sqref="AB523:AF523">
    <cfRule type="notContainsBlanks" dxfId="2208" priority="2273">
      <formula>LEN(TRIM(AB523))&gt;0</formula>
    </cfRule>
  </conditionalFormatting>
  <conditionalFormatting sqref="AB523:AF523">
    <cfRule type="notContainsBlanks" dxfId="2207" priority="2272">
      <formula>LEN(TRIM(AB523))&gt;0</formula>
    </cfRule>
  </conditionalFormatting>
  <conditionalFormatting sqref="AB523:AF523">
    <cfRule type="notContainsBlanks" dxfId="2206" priority="2271">
      <formula>LEN(TRIM(AB523))&gt;0</formula>
    </cfRule>
  </conditionalFormatting>
  <conditionalFormatting sqref="AB536:AF536">
    <cfRule type="notContainsBlanks" dxfId="2205" priority="2270">
      <formula>LEN(TRIM(AB536))&gt;0</formula>
    </cfRule>
  </conditionalFormatting>
  <conditionalFormatting sqref="AB536:AF536">
    <cfRule type="notContainsBlanks" dxfId="2204" priority="2269">
      <formula>LEN(TRIM(AB536))&gt;0</formula>
    </cfRule>
  </conditionalFormatting>
  <conditionalFormatting sqref="AB536:AF536">
    <cfRule type="notContainsBlanks" dxfId="2203" priority="2268">
      <formula>LEN(TRIM(AB536))&gt;0</formula>
    </cfRule>
  </conditionalFormatting>
  <conditionalFormatting sqref="AB536:AF536">
    <cfRule type="notContainsBlanks" dxfId="2202" priority="2267">
      <formula>LEN(TRIM(AB536))&gt;0</formula>
    </cfRule>
  </conditionalFormatting>
  <conditionalFormatting sqref="AB536:AF536">
    <cfRule type="notContainsBlanks" dxfId="2201" priority="2266">
      <formula>LEN(TRIM(AB536))&gt;0</formula>
    </cfRule>
  </conditionalFormatting>
  <conditionalFormatting sqref="AB536:AF536">
    <cfRule type="notContainsBlanks" dxfId="2200" priority="2265">
      <formula>LEN(TRIM(AB536))&gt;0</formula>
    </cfRule>
  </conditionalFormatting>
  <conditionalFormatting sqref="AB536:AF536">
    <cfRule type="notContainsBlanks" dxfId="2199" priority="2264">
      <formula>LEN(TRIM(AB536))&gt;0</formula>
    </cfRule>
  </conditionalFormatting>
  <conditionalFormatting sqref="AB536:AF536">
    <cfRule type="notContainsBlanks" dxfId="2198" priority="2263">
      <formula>LEN(TRIM(AB536))&gt;0</formula>
    </cfRule>
  </conditionalFormatting>
  <conditionalFormatting sqref="AB536:AF536">
    <cfRule type="notContainsBlanks" dxfId="2197" priority="2262">
      <formula>LEN(TRIM(AB536))&gt;0</formula>
    </cfRule>
  </conditionalFormatting>
  <conditionalFormatting sqref="AB536:AF536">
    <cfRule type="notContainsBlanks" dxfId="2196" priority="2260">
      <formula>LEN(TRIM(AB536))&gt;0</formula>
    </cfRule>
    <cfRule type="notContainsBlanks" dxfId="2195" priority="2261">
      <formula>LEN(TRIM(AB536))&gt;0</formula>
    </cfRule>
  </conditionalFormatting>
  <conditionalFormatting sqref="AB536:AF536">
    <cfRule type="notContainsBlanks" dxfId="2194" priority="2259">
      <formula>LEN(TRIM(AB536))&gt;0</formula>
    </cfRule>
  </conditionalFormatting>
  <conditionalFormatting sqref="AB536:AF536">
    <cfRule type="notContainsBlanks" dxfId="2193" priority="2258">
      <formula>LEN(TRIM(AB536))&gt;0</formula>
    </cfRule>
  </conditionalFormatting>
  <conditionalFormatting sqref="AB536:AF536">
    <cfRule type="notContainsBlanks" dxfId="2192" priority="2257">
      <formula>LEN(TRIM(AB536))&gt;0</formula>
    </cfRule>
  </conditionalFormatting>
  <conditionalFormatting sqref="AB536:AF536">
    <cfRule type="notContainsBlanks" dxfId="2191" priority="2256">
      <formula>LEN(TRIM(AB536))&gt;0</formula>
    </cfRule>
  </conditionalFormatting>
  <conditionalFormatting sqref="AB536:AF536">
    <cfRule type="notContainsBlanks" dxfId="2190" priority="2255">
      <formula>LEN(TRIM(AB536))&gt;0</formula>
    </cfRule>
  </conditionalFormatting>
  <conditionalFormatting sqref="AB536:AF536">
    <cfRule type="notContainsBlanks" dxfId="2189" priority="2254">
      <formula>LEN(TRIM(AB536))&gt;0</formula>
    </cfRule>
  </conditionalFormatting>
  <conditionalFormatting sqref="AB536:AF536">
    <cfRule type="notContainsBlanks" dxfId="2188" priority="2253">
      <formula>LEN(TRIM(AB536))&gt;0</formula>
    </cfRule>
  </conditionalFormatting>
  <conditionalFormatting sqref="AB536:AF536">
    <cfRule type="notContainsBlanks" dxfId="2187" priority="2252">
      <formula>LEN(TRIM(AB536))&gt;0</formula>
    </cfRule>
  </conditionalFormatting>
  <conditionalFormatting sqref="AB536:AF536">
    <cfRule type="notContainsBlanks" dxfId="2186" priority="2251">
      <formula>LEN(TRIM(AB536))&gt;0</formula>
    </cfRule>
  </conditionalFormatting>
  <conditionalFormatting sqref="AB536:AF536">
    <cfRule type="notContainsBlanks" priority="2250">
      <formula>LEN(TRIM(AB536))&gt;0</formula>
    </cfRule>
  </conditionalFormatting>
  <conditionalFormatting sqref="AB536:AF536">
    <cfRule type="notContainsBlanks" dxfId="2185" priority="2249">
      <formula>LEN(TRIM(AB536))&gt;0</formula>
    </cfRule>
  </conditionalFormatting>
  <conditionalFormatting sqref="AB536:AF536">
    <cfRule type="notContainsBlanks" dxfId="2184" priority="2248">
      <formula>LEN(TRIM(AB536))&gt;0</formula>
    </cfRule>
  </conditionalFormatting>
  <conditionalFormatting sqref="AB536:AF536">
    <cfRule type="notContainsBlanks" dxfId="2183" priority="2247">
      <formula>LEN(TRIM(AB536))&gt;0</formula>
    </cfRule>
  </conditionalFormatting>
  <conditionalFormatting sqref="AB536:AF536">
    <cfRule type="notContainsBlanks" dxfId="2182" priority="2246">
      <formula>LEN(TRIM(AB536))&gt;0</formula>
    </cfRule>
  </conditionalFormatting>
  <conditionalFormatting sqref="AB536:AF536">
    <cfRule type="notContainsBlanks" dxfId="2181" priority="2245">
      <formula>LEN(TRIM(AB536))&gt;0</formula>
    </cfRule>
  </conditionalFormatting>
  <conditionalFormatting sqref="AB549:AF549">
    <cfRule type="notContainsBlanks" dxfId="2180" priority="2244">
      <formula>LEN(TRIM(AB549))&gt;0</formula>
    </cfRule>
  </conditionalFormatting>
  <conditionalFormatting sqref="AB549:AF549">
    <cfRule type="notContainsBlanks" dxfId="2179" priority="2243">
      <formula>LEN(TRIM(AB549))&gt;0</formula>
    </cfRule>
  </conditionalFormatting>
  <conditionalFormatting sqref="AB549:AF549">
    <cfRule type="notContainsBlanks" dxfId="2178" priority="2242">
      <formula>LEN(TRIM(AB549))&gt;0</formula>
    </cfRule>
  </conditionalFormatting>
  <conditionalFormatting sqref="AB549:AF549">
    <cfRule type="notContainsBlanks" dxfId="2177" priority="2241">
      <formula>LEN(TRIM(AB549))&gt;0</formula>
    </cfRule>
  </conditionalFormatting>
  <conditionalFormatting sqref="AB549:AF549">
    <cfRule type="notContainsBlanks" dxfId="2176" priority="2240">
      <formula>LEN(TRIM(AB549))&gt;0</formula>
    </cfRule>
  </conditionalFormatting>
  <conditionalFormatting sqref="AB549:AF549">
    <cfRule type="notContainsBlanks" dxfId="2175" priority="2239">
      <formula>LEN(TRIM(AB549))&gt;0</formula>
    </cfRule>
  </conditionalFormatting>
  <conditionalFormatting sqref="AB549:AF549">
    <cfRule type="notContainsBlanks" dxfId="2174" priority="2238">
      <formula>LEN(TRIM(AB549))&gt;0</formula>
    </cfRule>
  </conditionalFormatting>
  <conditionalFormatting sqref="AB549:AF549">
    <cfRule type="notContainsBlanks" dxfId="2173" priority="2237">
      <formula>LEN(TRIM(AB549))&gt;0</formula>
    </cfRule>
  </conditionalFormatting>
  <conditionalFormatting sqref="AB549:AF549">
    <cfRule type="notContainsBlanks" dxfId="2172" priority="2236">
      <formula>LEN(TRIM(AB549))&gt;0</formula>
    </cfRule>
  </conditionalFormatting>
  <conditionalFormatting sqref="AB549:AF549">
    <cfRule type="notContainsBlanks" dxfId="2171" priority="2234">
      <formula>LEN(TRIM(AB549))&gt;0</formula>
    </cfRule>
    <cfRule type="notContainsBlanks" dxfId="2170" priority="2235">
      <formula>LEN(TRIM(AB549))&gt;0</formula>
    </cfRule>
  </conditionalFormatting>
  <conditionalFormatting sqref="AB549:AF549">
    <cfRule type="notContainsBlanks" dxfId="2169" priority="2233">
      <formula>LEN(TRIM(AB549))&gt;0</formula>
    </cfRule>
  </conditionalFormatting>
  <conditionalFormatting sqref="AB549:AF549">
    <cfRule type="notContainsBlanks" dxfId="2168" priority="2232">
      <formula>LEN(TRIM(AB549))&gt;0</formula>
    </cfRule>
  </conditionalFormatting>
  <conditionalFormatting sqref="AB549:AF549">
    <cfRule type="notContainsBlanks" dxfId="2167" priority="2231">
      <formula>LEN(TRIM(AB549))&gt;0</formula>
    </cfRule>
  </conditionalFormatting>
  <conditionalFormatting sqref="AB549:AF549">
    <cfRule type="notContainsBlanks" dxfId="2166" priority="2230">
      <formula>LEN(TRIM(AB549))&gt;0</formula>
    </cfRule>
  </conditionalFormatting>
  <conditionalFormatting sqref="AB549:AF549">
    <cfRule type="notContainsBlanks" dxfId="2165" priority="2229">
      <formula>LEN(TRIM(AB549))&gt;0</formula>
    </cfRule>
  </conditionalFormatting>
  <conditionalFormatting sqref="AB549:AF549">
    <cfRule type="notContainsBlanks" dxfId="2164" priority="2228">
      <formula>LEN(TRIM(AB549))&gt;0</formula>
    </cfRule>
  </conditionalFormatting>
  <conditionalFormatting sqref="AB549:AF549">
    <cfRule type="notContainsBlanks" dxfId="2163" priority="2227">
      <formula>LEN(TRIM(AB549))&gt;0</formula>
    </cfRule>
  </conditionalFormatting>
  <conditionalFormatting sqref="AB549:AF549">
    <cfRule type="notContainsBlanks" dxfId="2162" priority="2226">
      <formula>LEN(TRIM(AB549))&gt;0</formula>
    </cfRule>
  </conditionalFormatting>
  <conditionalFormatting sqref="AB549:AF549">
    <cfRule type="notContainsBlanks" dxfId="2161" priority="2225">
      <formula>LEN(TRIM(AB549))&gt;0</formula>
    </cfRule>
  </conditionalFormatting>
  <conditionalFormatting sqref="AB549:AF549">
    <cfRule type="notContainsBlanks" priority="2224">
      <formula>LEN(TRIM(AB549))&gt;0</formula>
    </cfRule>
  </conditionalFormatting>
  <conditionalFormatting sqref="AB549:AF549">
    <cfRule type="notContainsBlanks" dxfId="2160" priority="2223">
      <formula>LEN(TRIM(AB549))&gt;0</formula>
    </cfRule>
  </conditionalFormatting>
  <conditionalFormatting sqref="AB549:AF549">
    <cfRule type="notContainsBlanks" dxfId="2159" priority="2222">
      <formula>LEN(TRIM(AB549))&gt;0</formula>
    </cfRule>
  </conditionalFormatting>
  <conditionalFormatting sqref="AB549:AF549">
    <cfRule type="notContainsBlanks" dxfId="2158" priority="2221">
      <formula>LEN(TRIM(AB549))&gt;0</formula>
    </cfRule>
  </conditionalFormatting>
  <conditionalFormatting sqref="AB549:AF549">
    <cfRule type="notContainsBlanks" dxfId="2157" priority="2220">
      <formula>LEN(TRIM(AB549))&gt;0</formula>
    </cfRule>
  </conditionalFormatting>
  <conditionalFormatting sqref="AB549:AF549">
    <cfRule type="notContainsBlanks" dxfId="2156" priority="2219">
      <formula>LEN(TRIM(AB549))&gt;0</formula>
    </cfRule>
  </conditionalFormatting>
  <conditionalFormatting sqref="AB562:AF562">
    <cfRule type="notContainsBlanks" dxfId="2155" priority="2218">
      <formula>LEN(TRIM(AB562))&gt;0</formula>
    </cfRule>
  </conditionalFormatting>
  <conditionalFormatting sqref="AB562:AF562">
    <cfRule type="notContainsBlanks" dxfId="2154" priority="2217">
      <formula>LEN(TRIM(AB562))&gt;0</formula>
    </cfRule>
  </conditionalFormatting>
  <conditionalFormatting sqref="AB562:AF562">
    <cfRule type="notContainsBlanks" dxfId="2153" priority="2216">
      <formula>LEN(TRIM(AB562))&gt;0</formula>
    </cfRule>
  </conditionalFormatting>
  <conditionalFormatting sqref="AB562:AF562">
    <cfRule type="notContainsBlanks" dxfId="2152" priority="2215">
      <formula>LEN(TRIM(AB562))&gt;0</formula>
    </cfRule>
  </conditionalFormatting>
  <conditionalFormatting sqref="AB562:AF562">
    <cfRule type="notContainsBlanks" dxfId="2151" priority="2214">
      <formula>LEN(TRIM(AB562))&gt;0</formula>
    </cfRule>
  </conditionalFormatting>
  <conditionalFormatting sqref="AB562:AF562">
    <cfRule type="notContainsBlanks" dxfId="2150" priority="2213">
      <formula>LEN(TRIM(AB562))&gt;0</formula>
    </cfRule>
  </conditionalFormatting>
  <conditionalFormatting sqref="AB562:AF562">
    <cfRule type="notContainsBlanks" dxfId="2149" priority="2212">
      <formula>LEN(TRIM(AB562))&gt;0</formula>
    </cfRule>
  </conditionalFormatting>
  <conditionalFormatting sqref="AB562:AF562">
    <cfRule type="notContainsBlanks" dxfId="2148" priority="2211">
      <formula>LEN(TRIM(AB562))&gt;0</formula>
    </cfRule>
  </conditionalFormatting>
  <conditionalFormatting sqref="AB562:AF562">
    <cfRule type="notContainsBlanks" dxfId="2147" priority="2210">
      <formula>LEN(TRIM(AB562))&gt;0</formula>
    </cfRule>
  </conditionalFormatting>
  <conditionalFormatting sqref="AB562:AF562">
    <cfRule type="notContainsBlanks" dxfId="2146" priority="2208">
      <formula>LEN(TRIM(AB562))&gt;0</formula>
    </cfRule>
    <cfRule type="notContainsBlanks" dxfId="2145" priority="2209">
      <formula>LEN(TRIM(AB562))&gt;0</formula>
    </cfRule>
  </conditionalFormatting>
  <conditionalFormatting sqref="AB562:AF562">
    <cfRule type="notContainsBlanks" dxfId="2144" priority="2207">
      <formula>LEN(TRIM(AB562))&gt;0</formula>
    </cfRule>
  </conditionalFormatting>
  <conditionalFormatting sqref="AB562:AF562">
    <cfRule type="notContainsBlanks" dxfId="2143" priority="2206">
      <formula>LEN(TRIM(AB562))&gt;0</formula>
    </cfRule>
  </conditionalFormatting>
  <conditionalFormatting sqref="AB562:AF562">
    <cfRule type="notContainsBlanks" dxfId="2142" priority="2205">
      <formula>LEN(TRIM(AB562))&gt;0</formula>
    </cfRule>
  </conditionalFormatting>
  <conditionalFormatting sqref="AB562:AF562">
    <cfRule type="notContainsBlanks" dxfId="2141" priority="2204">
      <formula>LEN(TRIM(AB562))&gt;0</formula>
    </cfRule>
  </conditionalFormatting>
  <conditionalFormatting sqref="AB562:AF562">
    <cfRule type="notContainsBlanks" dxfId="2140" priority="2203">
      <formula>LEN(TRIM(AB562))&gt;0</formula>
    </cfRule>
  </conditionalFormatting>
  <conditionalFormatting sqref="AB562:AF562">
    <cfRule type="notContainsBlanks" dxfId="2139" priority="2202">
      <formula>LEN(TRIM(AB562))&gt;0</formula>
    </cfRule>
  </conditionalFormatting>
  <conditionalFormatting sqref="AB562:AF562">
    <cfRule type="notContainsBlanks" dxfId="2138" priority="2201">
      <formula>LEN(TRIM(AB562))&gt;0</formula>
    </cfRule>
  </conditionalFormatting>
  <conditionalFormatting sqref="AB562:AF562">
    <cfRule type="notContainsBlanks" dxfId="2137" priority="2200">
      <formula>LEN(TRIM(AB562))&gt;0</formula>
    </cfRule>
  </conditionalFormatting>
  <conditionalFormatting sqref="AB562:AF562">
    <cfRule type="notContainsBlanks" dxfId="2136" priority="2199">
      <formula>LEN(TRIM(AB562))&gt;0</formula>
    </cfRule>
  </conditionalFormatting>
  <conditionalFormatting sqref="AB562:AF562">
    <cfRule type="notContainsBlanks" priority="2198">
      <formula>LEN(TRIM(AB562))&gt;0</formula>
    </cfRule>
  </conditionalFormatting>
  <conditionalFormatting sqref="AB562:AF562">
    <cfRule type="notContainsBlanks" dxfId="2135" priority="2197">
      <formula>LEN(TRIM(AB562))&gt;0</formula>
    </cfRule>
  </conditionalFormatting>
  <conditionalFormatting sqref="AB562:AF562">
    <cfRule type="notContainsBlanks" dxfId="2134" priority="2196">
      <formula>LEN(TRIM(AB562))&gt;0</formula>
    </cfRule>
  </conditionalFormatting>
  <conditionalFormatting sqref="AB562:AF562">
    <cfRule type="notContainsBlanks" dxfId="2133" priority="2195">
      <formula>LEN(TRIM(AB562))&gt;0</formula>
    </cfRule>
  </conditionalFormatting>
  <conditionalFormatting sqref="AB562:AF562">
    <cfRule type="notContainsBlanks" dxfId="2132" priority="2194">
      <formula>LEN(TRIM(AB562))&gt;0</formula>
    </cfRule>
  </conditionalFormatting>
  <conditionalFormatting sqref="AB562:AF562">
    <cfRule type="notContainsBlanks" dxfId="2131" priority="2193">
      <formula>LEN(TRIM(AB562))&gt;0</formula>
    </cfRule>
  </conditionalFormatting>
  <conditionalFormatting sqref="AB575:AF575">
    <cfRule type="notContainsBlanks" dxfId="2130" priority="2192">
      <formula>LEN(TRIM(AB575))&gt;0</formula>
    </cfRule>
  </conditionalFormatting>
  <conditionalFormatting sqref="AB575:AF575">
    <cfRule type="notContainsBlanks" dxfId="2129" priority="2191">
      <formula>LEN(TRIM(AB575))&gt;0</formula>
    </cfRule>
  </conditionalFormatting>
  <conditionalFormatting sqref="AB575:AF575">
    <cfRule type="notContainsBlanks" dxfId="2128" priority="2190">
      <formula>LEN(TRIM(AB575))&gt;0</formula>
    </cfRule>
  </conditionalFormatting>
  <conditionalFormatting sqref="AB575:AF575">
    <cfRule type="notContainsBlanks" dxfId="2127" priority="2189">
      <formula>LEN(TRIM(AB575))&gt;0</formula>
    </cfRule>
  </conditionalFormatting>
  <conditionalFormatting sqref="AB575:AF575">
    <cfRule type="notContainsBlanks" dxfId="2126" priority="2188">
      <formula>LEN(TRIM(AB575))&gt;0</formula>
    </cfRule>
  </conditionalFormatting>
  <conditionalFormatting sqref="AB575:AF575">
    <cfRule type="notContainsBlanks" dxfId="2125" priority="2187">
      <formula>LEN(TRIM(AB575))&gt;0</formula>
    </cfRule>
  </conditionalFormatting>
  <conditionalFormatting sqref="AB575:AF575">
    <cfRule type="notContainsBlanks" dxfId="2124" priority="2186">
      <formula>LEN(TRIM(AB575))&gt;0</formula>
    </cfRule>
  </conditionalFormatting>
  <conditionalFormatting sqref="AB575:AF575">
    <cfRule type="notContainsBlanks" dxfId="2123" priority="2185">
      <formula>LEN(TRIM(AB575))&gt;0</formula>
    </cfRule>
  </conditionalFormatting>
  <conditionalFormatting sqref="AB575:AF575">
    <cfRule type="notContainsBlanks" dxfId="2122" priority="2184">
      <formula>LEN(TRIM(AB575))&gt;0</formula>
    </cfRule>
  </conditionalFormatting>
  <conditionalFormatting sqref="AB575:AF575">
    <cfRule type="notContainsBlanks" dxfId="2121" priority="2182">
      <formula>LEN(TRIM(AB575))&gt;0</formula>
    </cfRule>
    <cfRule type="notContainsBlanks" dxfId="2120" priority="2183">
      <formula>LEN(TRIM(AB575))&gt;0</formula>
    </cfRule>
  </conditionalFormatting>
  <conditionalFormatting sqref="AB575:AF575">
    <cfRule type="notContainsBlanks" dxfId="2119" priority="2181">
      <formula>LEN(TRIM(AB575))&gt;0</formula>
    </cfRule>
  </conditionalFormatting>
  <conditionalFormatting sqref="AB575:AF575">
    <cfRule type="notContainsBlanks" dxfId="2118" priority="2180">
      <formula>LEN(TRIM(AB575))&gt;0</formula>
    </cfRule>
  </conditionalFormatting>
  <conditionalFormatting sqref="AB575:AF575">
    <cfRule type="notContainsBlanks" dxfId="2117" priority="2179">
      <formula>LEN(TRIM(AB575))&gt;0</formula>
    </cfRule>
  </conditionalFormatting>
  <conditionalFormatting sqref="AB575:AF575">
    <cfRule type="notContainsBlanks" dxfId="2116" priority="2178">
      <formula>LEN(TRIM(AB575))&gt;0</formula>
    </cfRule>
  </conditionalFormatting>
  <conditionalFormatting sqref="AB575:AF575">
    <cfRule type="notContainsBlanks" dxfId="2115" priority="2177">
      <formula>LEN(TRIM(AB575))&gt;0</formula>
    </cfRule>
  </conditionalFormatting>
  <conditionalFormatting sqref="AB575:AF575">
    <cfRule type="notContainsBlanks" dxfId="2114" priority="2176">
      <formula>LEN(TRIM(AB575))&gt;0</formula>
    </cfRule>
  </conditionalFormatting>
  <conditionalFormatting sqref="AB575:AF575">
    <cfRule type="notContainsBlanks" dxfId="2113" priority="2175">
      <formula>LEN(TRIM(AB575))&gt;0</formula>
    </cfRule>
  </conditionalFormatting>
  <conditionalFormatting sqref="AB575:AF575">
    <cfRule type="notContainsBlanks" dxfId="2112" priority="2174">
      <formula>LEN(TRIM(AB575))&gt;0</formula>
    </cfRule>
  </conditionalFormatting>
  <conditionalFormatting sqref="AB575:AF575">
    <cfRule type="notContainsBlanks" dxfId="2111" priority="2173">
      <formula>LEN(TRIM(AB575))&gt;0</formula>
    </cfRule>
  </conditionalFormatting>
  <conditionalFormatting sqref="AB575:AF575">
    <cfRule type="notContainsBlanks" priority="2172">
      <formula>LEN(TRIM(AB575))&gt;0</formula>
    </cfRule>
  </conditionalFormatting>
  <conditionalFormatting sqref="AB575:AF575">
    <cfRule type="notContainsBlanks" dxfId="2110" priority="2171">
      <formula>LEN(TRIM(AB575))&gt;0</formula>
    </cfRule>
  </conditionalFormatting>
  <conditionalFormatting sqref="AB575:AF575">
    <cfRule type="notContainsBlanks" dxfId="2109" priority="2170">
      <formula>LEN(TRIM(AB575))&gt;0</formula>
    </cfRule>
  </conditionalFormatting>
  <conditionalFormatting sqref="AB575:AF575">
    <cfRule type="notContainsBlanks" dxfId="2108" priority="2169">
      <formula>LEN(TRIM(AB575))&gt;0</formula>
    </cfRule>
  </conditionalFormatting>
  <conditionalFormatting sqref="AB575:AF575">
    <cfRule type="notContainsBlanks" dxfId="2107" priority="2168">
      <formula>LEN(TRIM(AB575))&gt;0</formula>
    </cfRule>
  </conditionalFormatting>
  <conditionalFormatting sqref="AB575:AF575">
    <cfRule type="notContainsBlanks" dxfId="2106" priority="2167">
      <formula>LEN(TRIM(AB575))&gt;0</formula>
    </cfRule>
  </conditionalFormatting>
  <conditionalFormatting sqref="AB588:AF588">
    <cfRule type="notContainsBlanks" dxfId="2105" priority="2166">
      <formula>LEN(TRIM(AB588))&gt;0</formula>
    </cfRule>
  </conditionalFormatting>
  <conditionalFormatting sqref="AB588:AF588">
    <cfRule type="notContainsBlanks" dxfId="2104" priority="2165">
      <formula>LEN(TRIM(AB588))&gt;0</formula>
    </cfRule>
  </conditionalFormatting>
  <conditionalFormatting sqref="AB588:AF588">
    <cfRule type="notContainsBlanks" dxfId="2103" priority="2164">
      <formula>LEN(TRIM(AB588))&gt;0</formula>
    </cfRule>
  </conditionalFormatting>
  <conditionalFormatting sqref="AB588:AF588">
    <cfRule type="notContainsBlanks" dxfId="2102" priority="2163">
      <formula>LEN(TRIM(AB588))&gt;0</formula>
    </cfRule>
  </conditionalFormatting>
  <conditionalFormatting sqref="AB588:AF588">
    <cfRule type="notContainsBlanks" dxfId="2101" priority="2162">
      <formula>LEN(TRIM(AB588))&gt;0</formula>
    </cfRule>
  </conditionalFormatting>
  <conditionalFormatting sqref="AB588:AF588">
    <cfRule type="notContainsBlanks" dxfId="2100" priority="2161">
      <formula>LEN(TRIM(AB588))&gt;0</formula>
    </cfRule>
  </conditionalFormatting>
  <conditionalFormatting sqref="AB588:AF588">
    <cfRule type="notContainsBlanks" dxfId="2099" priority="2160">
      <formula>LEN(TRIM(AB588))&gt;0</formula>
    </cfRule>
  </conditionalFormatting>
  <conditionalFormatting sqref="AB588:AF588">
    <cfRule type="notContainsBlanks" dxfId="2098" priority="2159">
      <formula>LEN(TRIM(AB588))&gt;0</formula>
    </cfRule>
  </conditionalFormatting>
  <conditionalFormatting sqref="AB588:AF588">
    <cfRule type="notContainsBlanks" dxfId="2097" priority="2158">
      <formula>LEN(TRIM(AB588))&gt;0</formula>
    </cfRule>
  </conditionalFormatting>
  <conditionalFormatting sqref="AB588:AF588">
    <cfRule type="notContainsBlanks" dxfId="2096" priority="2156">
      <formula>LEN(TRIM(AB588))&gt;0</formula>
    </cfRule>
    <cfRule type="notContainsBlanks" dxfId="2095" priority="2157">
      <formula>LEN(TRIM(AB588))&gt;0</formula>
    </cfRule>
  </conditionalFormatting>
  <conditionalFormatting sqref="AB588:AF588">
    <cfRule type="notContainsBlanks" dxfId="2094" priority="2155">
      <formula>LEN(TRIM(AB588))&gt;0</formula>
    </cfRule>
  </conditionalFormatting>
  <conditionalFormatting sqref="AB588:AF588">
    <cfRule type="notContainsBlanks" dxfId="2093" priority="2154">
      <formula>LEN(TRIM(AB588))&gt;0</formula>
    </cfRule>
  </conditionalFormatting>
  <conditionalFormatting sqref="AB588:AF588">
    <cfRule type="notContainsBlanks" dxfId="2092" priority="2153">
      <formula>LEN(TRIM(AB588))&gt;0</formula>
    </cfRule>
  </conditionalFormatting>
  <conditionalFormatting sqref="AB588:AF588">
    <cfRule type="notContainsBlanks" dxfId="2091" priority="2152">
      <formula>LEN(TRIM(AB588))&gt;0</formula>
    </cfRule>
  </conditionalFormatting>
  <conditionalFormatting sqref="AB588:AF588">
    <cfRule type="notContainsBlanks" dxfId="2090" priority="2151">
      <formula>LEN(TRIM(AB588))&gt;0</formula>
    </cfRule>
  </conditionalFormatting>
  <conditionalFormatting sqref="AB588:AF588">
    <cfRule type="notContainsBlanks" dxfId="2089" priority="2150">
      <formula>LEN(TRIM(AB588))&gt;0</formula>
    </cfRule>
  </conditionalFormatting>
  <conditionalFormatting sqref="AB588:AF588">
    <cfRule type="notContainsBlanks" dxfId="2088" priority="2149">
      <formula>LEN(TRIM(AB588))&gt;0</formula>
    </cfRule>
  </conditionalFormatting>
  <conditionalFormatting sqref="AB588:AF588">
    <cfRule type="notContainsBlanks" dxfId="2087" priority="2148">
      <formula>LEN(TRIM(AB588))&gt;0</formula>
    </cfRule>
  </conditionalFormatting>
  <conditionalFormatting sqref="AB588:AF588">
    <cfRule type="notContainsBlanks" dxfId="2086" priority="2147">
      <formula>LEN(TRIM(AB588))&gt;0</formula>
    </cfRule>
  </conditionalFormatting>
  <conditionalFormatting sqref="AB588:AF588">
    <cfRule type="notContainsBlanks" priority="2146">
      <formula>LEN(TRIM(AB588))&gt;0</formula>
    </cfRule>
  </conditionalFormatting>
  <conditionalFormatting sqref="AB588:AF588">
    <cfRule type="notContainsBlanks" dxfId="2085" priority="2145">
      <formula>LEN(TRIM(AB588))&gt;0</formula>
    </cfRule>
  </conditionalFormatting>
  <conditionalFormatting sqref="AB588:AF588">
    <cfRule type="notContainsBlanks" dxfId="2084" priority="2144">
      <formula>LEN(TRIM(AB588))&gt;0</formula>
    </cfRule>
  </conditionalFormatting>
  <conditionalFormatting sqref="AB588:AF588">
    <cfRule type="notContainsBlanks" dxfId="2083" priority="2143">
      <formula>LEN(TRIM(AB588))&gt;0</formula>
    </cfRule>
  </conditionalFormatting>
  <conditionalFormatting sqref="AB588:AF588">
    <cfRule type="notContainsBlanks" dxfId="2082" priority="2142">
      <formula>LEN(TRIM(AB588))&gt;0</formula>
    </cfRule>
  </conditionalFormatting>
  <conditionalFormatting sqref="AB588:AF588">
    <cfRule type="notContainsBlanks" dxfId="2081" priority="2141">
      <formula>LEN(TRIM(AB588))&gt;0</formula>
    </cfRule>
  </conditionalFormatting>
  <conditionalFormatting sqref="AB601:AF601">
    <cfRule type="notContainsBlanks" dxfId="2080" priority="2140">
      <formula>LEN(TRIM(AB601))&gt;0</formula>
    </cfRule>
  </conditionalFormatting>
  <conditionalFormatting sqref="AB601:AF601">
    <cfRule type="notContainsBlanks" dxfId="2079" priority="2139">
      <formula>LEN(TRIM(AB601))&gt;0</formula>
    </cfRule>
  </conditionalFormatting>
  <conditionalFormatting sqref="AB601:AF601">
    <cfRule type="notContainsBlanks" dxfId="2078" priority="2138">
      <formula>LEN(TRIM(AB601))&gt;0</formula>
    </cfRule>
  </conditionalFormatting>
  <conditionalFormatting sqref="AB601:AF601">
    <cfRule type="notContainsBlanks" dxfId="2077" priority="2137">
      <formula>LEN(TRIM(AB601))&gt;0</formula>
    </cfRule>
  </conditionalFormatting>
  <conditionalFormatting sqref="AB601:AF601">
    <cfRule type="notContainsBlanks" dxfId="2076" priority="2136">
      <formula>LEN(TRIM(AB601))&gt;0</formula>
    </cfRule>
  </conditionalFormatting>
  <conditionalFormatting sqref="AB601:AF601">
    <cfRule type="notContainsBlanks" dxfId="2075" priority="2135">
      <formula>LEN(TRIM(AB601))&gt;0</formula>
    </cfRule>
  </conditionalFormatting>
  <conditionalFormatting sqref="AB601:AF601">
    <cfRule type="notContainsBlanks" dxfId="2074" priority="2134">
      <formula>LEN(TRIM(AB601))&gt;0</formula>
    </cfRule>
  </conditionalFormatting>
  <conditionalFormatting sqref="AB601:AF601">
    <cfRule type="notContainsBlanks" dxfId="2073" priority="2133">
      <formula>LEN(TRIM(AB601))&gt;0</formula>
    </cfRule>
  </conditionalFormatting>
  <conditionalFormatting sqref="AB601:AF601">
    <cfRule type="notContainsBlanks" dxfId="2072" priority="2132">
      <formula>LEN(TRIM(AB601))&gt;0</formula>
    </cfRule>
  </conditionalFormatting>
  <conditionalFormatting sqref="AB601:AF601">
    <cfRule type="notContainsBlanks" dxfId="2071" priority="2130">
      <formula>LEN(TRIM(AB601))&gt;0</formula>
    </cfRule>
    <cfRule type="notContainsBlanks" dxfId="2070" priority="2131">
      <formula>LEN(TRIM(AB601))&gt;0</formula>
    </cfRule>
  </conditionalFormatting>
  <conditionalFormatting sqref="AB601:AF601">
    <cfRule type="notContainsBlanks" dxfId="2069" priority="2129">
      <formula>LEN(TRIM(AB601))&gt;0</formula>
    </cfRule>
  </conditionalFormatting>
  <conditionalFormatting sqref="AB601:AF601">
    <cfRule type="notContainsBlanks" dxfId="2068" priority="2128">
      <formula>LEN(TRIM(AB601))&gt;0</formula>
    </cfRule>
  </conditionalFormatting>
  <conditionalFormatting sqref="AB601:AF601">
    <cfRule type="notContainsBlanks" dxfId="2067" priority="2127">
      <formula>LEN(TRIM(AB601))&gt;0</formula>
    </cfRule>
  </conditionalFormatting>
  <conditionalFormatting sqref="AB601:AF601">
    <cfRule type="notContainsBlanks" dxfId="2066" priority="2126">
      <formula>LEN(TRIM(AB601))&gt;0</formula>
    </cfRule>
  </conditionalFormatting>
  <conditionalFormatting sqref="AB601:AF601">
    <cfRule type="notContainsBlanks" dxfId="2065" priority="2125">
      <formula>LEN(TRIM(AB601))&gt;0</formula>
    </cfRule>
  </conditionalFormatting>
  <conditionalFormatting sqref="AB601:AF601">
    <cfRule type="notContainsBlanks" dxfId="2064" priority="2124">
      <formula>LEN(TRIM(AB601))&gt;0</formula>
    </cfRule>
  </conditionalFormatting>
  <conditionalFormatting sqref="AB601:AF601">
    <cfRule type="notContainsBlanks" dxfId="2063" priority="2123">
      <formula>LEN(TRIM(AB601))&gt;0</formula>
    </cfRule>
  </conditionalFormatting>
  <conditionalFormatting sqref="AB601:AF601">
    <cfRule type="notContainsBlanks" dxfId="2062" priority="2122">
      <formula>LEN(TRIM(AB601))&gt;0</formula>
    </cfRule>
  </conditionalFormatting>
  <conditionalFormatting sqref="AB601:AF601">
    <cfRule type="notContainsBlanks" dxfId="2061" priority="2121">
      <formula>LEN(TRIM(AB601))&gt;0</formula>
    </cfRule>
  </conditionalFormatting>
  <conditionalFormatting sqref="AB601:AF601">
    <cfRule type="notContainsBlanks" priority="2120">
      <formula>LEN(TRIM(AB601))&gt;0</formula>
    </cfRule>
  </conditionalFormatting>
  <conditionalFormatting sqref="AB601:AF601">
    <cfRule type="notContainsBlanks" dxfId="2060" priority="2119">
      <formula>LEN(TRIM(AB601))&gt;0</formula>
    </cfRule>
  </conditionalFormatting>
  <conditionalFormatting sqref="AB601:AF601">
    <cfRule type="notContainsBlanks" dxfId="2059" priority="2118">
      <formula>LEN(TRIM(AB601))&gt;0</formula>
    </cfRule>
  </conditionalFormatting>
  <conditionalFormatting sqref="AB601:AF601">
    <cfRule type="notContainsBlanks" dxfId="2058" priority="2117">
      <formula>LEN(TRIM(AB601))&gt;0</formula>
    </cfRule>
  </conditionalFormatting>
  <conditionalFormatting sqref="AB601:AF601">
    <cfRule type="notContainsBlanks" dxfId="2057" priority="2116">
      <formula>LEN(TRIM(AB601))&gt;0</formula>
    </cfRule>
  </conditionalFormatting>
  <conditionalFormatting sqref="AB601:AF601">
    <cfRule type="notContainsBlanks" dxfId="2056" priority="2115">
      <formula>LEN(TRIM(AB601))&gt;0</formula>
    </cfRule>
  </conditionalFormatting>
  <conditionalFormatting sqref="AB614:AF614">
    <cfRule type="notContainsBlanks" dxfId="2055" priority="2114">
      <formula>LEN(TRIM(AB614))&gt;0</formula>
    </cfRule>
  </conditionalFormatting>
  <conditionalFormatting sqref="AB614:AF614">
    <cfRule type="notContainsBlanks" dxfId="2054" priority="2113">
      <formula>LEN(TRIM(AB614))&gt;0</formula>
    </cfRule>
  </conditionalFormatting>
  <conditionalFormatting sqref="AB614:AF614">
    <cfRule type="notContainsBlanks" dxfId="2053" priority="2112">
      <formula>LEN(TRIM(AB614))&gt;0</formula>
    </cfRule>
  </conditionalFormatting>
  <conditionalFormatting sqref="AB614:AF614">
    <cfRule type="notContainsBlanks" dxfId="2052" priority="2111">
      <formula>LEN(TRIM(AB614))&gt;0</formula>
    </cfRule>
  </conditionalFormatting>
  <conditionalFormatting sqref="AB614:AF614">
    <cfRule type="notContainsBlanks" dxfId="2051" priority="2110">
      <formula>LEN(TRIM(AB614))&gt;0</formula>
    </cfRule>
  </conditionalFormatting>
  <conditionalFormatting sqref="AB614:AF614">
    <cfRule type="notContainsBlanks" dxfId="2050" priority="2109">
      <formula>LEN(TRIM(AB614))&gt;0</formula>
    </cfRule>
  </conditionalFormatting>
  <conditionalFormatting sqref="AB614:AF614">
    <cfRule type="notContainsBlanks" dxfId="2049" priority="2108">
      <formula>LEN(TRIM(AB614))&gt;0</formula>
    </cfRule>
  </conditionalFormatting>
  <conditionalFormatting sqref="AB614:AF614">
    <cfRule type="notContainsBlanks" dxfId="2048" priority="2107">
      <formula>LEN(TRIM(AB614))&gt;0</formula>
    </cfRule>
  </conditionalFormatting>
  <conditionalFormatting sqref="AB614:AF614">
    <cfRule type="notContainsBlanks" dxfId="2047" priority="2106">
      <formula>LEN(TRIM(AB614))&gt;0</formula>
    </cfRule>
  </conditionalFormatting>
  <conditionalFormatting sqref="AB614:AF614">
    <cfRule type="notContainsBlanks" dxfId="2046" priority="2104">
      <formula>LEN(TRIM(AB614))&gt;0</formula>
    </cfRule>
    <cfRule type="notContainsBlanks" dxfId="2045" priority="2105">
      <formula>LEN(TRIM(AB614))&gt;0</formula>
    </cfRule>
  </conditionalFormatting>
  <conditionalFormatting sqref="AB614:AF614">
    <cfRule type="notContainsBlanks" dxfId="2044" priority="2103">
      <formula>LEN(TRIM(AB614))&gt;0</formula>
    </cfRule>
  </conditionalFormatting>
  <conditionalFormatting sqref="AB614:AF614">
    <cfRule type="notContainsBlanks" dxfId="2043" priority="2102">
      <formula>LEN(TRIM(AB614))&gt;0</formula>
    </cfRule>
  </conditionalFormatting>
  <conditionalFormatting sqref="AB614:AF614">
    <cfRule type="notContainsBlanks" dxfId="2042" priority="2101">
      <formula>LEN(TRIM(AB614))&gt;0</formula>
    </cfRule>
  </conditionalFormatting>
  <conditionalFormatting sqref="AB614:AF614">
    <cfRule type="notContainsBlanks" dxfId="2041" priority="2100">
      <formula>LEN(TRIM(AB614))&gt;0</formula>
    </cfRule>
  </conditionalFormatting>
  <conditionalFormatting sqref="AB614:AF614">
    <cfRule type="notContainsBlanks" dxfId="2040" priority="2099">
      <formula>LEN(TRIM(AB614))&gt;0</formula>
    </cfRule>
  </conditionalFormatting>
  <conditionalFormatting sqref="AB614:AF614">
    <cfRule type="notContainsBlanks" dxfId="2039" priority="2098">
      <formula>LEN(TRIM(AB614))&gt;0</formula>
    </cfRule>
  </conditionalFormatting>
  <conditionalFormatting sqref="AB614:AF614">
    <cfRule type="notContainsBlanks" dxfId="2038" priority="2097">
      <formula>LEN(TRIM(AB614))&gt;0</formula>
    </cfRule>
  </conditionalFormatting>
  <conditionalFormatting sqref="AB614:AF614">
    <cfRule type="notContainsBlanks" dxfId="2037" priority="2096">
      <formula>LEN(TRIM(AB614))&gt;0</formula>
    </cfRule>
  </conditionalFormatting>
  <conditionalFormatting sqref="AB614:AF614">
    <cfRule type="notContainsBlanks" dxfId="2036" priority="2095">
      <formula>LEN(TRIM(AB614))&gt;0</formula>
    </cfRule>
  </conditionalFormatting>
  <conditionalFormatting sqref="AB614:AF614">
    <cfRule type="notContainsBlanks" priority="2094">
      <formula>LEN(TRIM(AB614))&gt;0</formula>
    </cfRule>
  </conditionalFormatting>
  <conditionalFormatting sqref="AB614:AF614">
    <cfRule type="notContainsBlanks" dxfId="2035" priority="2093">
      <formula>LEN(TRIM(AB614))&gt;0</formula>
    </cfRule>
  </conditionalFormatting>
  <conditionalFormatting sqref="AB614:AF614">
    <cfRule type="notContainsBlanks" dxfId="2034" priority="2092">
      <formula>LEN(TRIM(AB614))&gt;0</formula>
    </cfRule>
  </conditionalFormatting>
  <conditionalFormatting sqref="AB614:AF614">
    <cfRule type="notContainsBlanks" dxfId="2033" priority="2091">
      <formula>LEN(TRIM(AB614))&gt;0</formula>
    </cfRule>
  </conditionalFormatting>
  <conditionalFormatting sqref="AB614:AF614">
    <cfRule type="notContainsBlanks" dxfId="2032" priority="2090">
      <formula>LEN(TRIM(AB614))&gt;0</formula>
    </cfRule>
  </conditionalFormatting>
  <conditionalFormatting sqref="AB614:AF614">
    <cfRule type="notContainsBlanks" dxfId="2031" priority="2089">
      <formula>LEN(TRIM(AB614))&gt;0</formula>
    </cfRule>
  </conditionalFormatting>
  <conditionalFormatting sqref="AB627:AF627">
    <cfRule type="notContainsBlanks" dxfId="2030" priority="2088">
      <formula>LEN(TRIM(AB627))&gt;0</formula>
    </cfRule>
  </conditionalFormatting>
  <conditionalFormatting sqref="AB627:AF627">
    <cfRule type="notContainsBlanks" dxfId="2029" priority="2087">
      <formula>LEN(TRIM(AB627))&gt;0</formula>
    </cfRule>
  </conditionalFormatting>
  <conditionalFormatting sqref="AB627:AF627">
    <cfRule type="notContainsBlanks" dxfId="2028" priority="2086">
      <formula>LEN(TRIM(AB627))&gt;0</formula>
    </cfRule>
  </conditionalFormatting>
  <conditionalFormatting sqref="AB627:AF627">
    <cfRule type="notContainsBlanks" dxfId="2027" priority="2085">
      <formula>LEN(TRIM(AB627))&gt;0</formula>
    </cfRule>
  </conditionalFormatting>
  <conditionalFormatting sqref="AB627:AF627">
    <cfRule type="notContainsBlanks" dxfId="2026" priority="2084">
      <formula>LEN(TRIM(AB627))&gt;0</formula>
    </cfRule>
  </conditionalFormatting>
  <conditionalFormatting sqref="AB627:AF627">
    <cfRule type="notContainsBlanks" dxfId="2025" priority="2083">
      <formula>LEN(TRIM(AB627))&gt;0</formula>
    </cfRule>
  </conditionalFormatting>
  <conditionalFormatting sqref="AB627:AF627">
    <cfRule type="notContainsBlanks" dxfId="2024" priority="2082">
      <formula>LEN(TRIM(AB627))&gt;0</formula>
    </cfRule>
  </conditionalFormatting>
  <conditionalFormatting sqref="AB627:AF627">
    <cfRule type="notContainsBlanks" dxfId="2023" priority="2081">
      <formula>LEN(TRIM(AB627))&gt;0</formula>
    </cfRule>
  </conditionalFormatting>
  <conditionalFormatting sqref="AB627:AF627">
    <cfRule type="notContainsBlanks" dxfId="2022" priority="2080">
      <formula>LEN(TRIM(AB627))&gt;0</formula>
    </cfRule>
  </conditionalFormatting>
  <conditionalFormatting sqref="AB627:AF627">
    <cfRule type="notContainsBlanks" dxfId="2021" priority="2078">
      <formula>LEN(TRIM(AB627))&gt;0</formula>
    </cfRule>
    <cfRule type="notContainsBlanks" dxfId="2020" priority="2079">
      <formula>LEN(TRIM(AB627))&gt;0</formula>
    </cfRule>
  </conditionalFormatting>
  <conditionalFormatting sqref="AB627:AF627">
    <cfRule type="notContainsBlanks" dxfId="2019" priority="2077">
      <formula>LEN(TRIM(AB627))&gt;0</formula>
    </cfRule>
  </conditionalFormatting>
  <conditionalFormatting sqref="AB627:AF627">
    <cfRule type="notContainsBlanks" dxfId="2018" priority="2076">
      <formula>LEN(TRIM(AB627))&gt;0</formula>
    </cfRule>
  </conditionalFormatting>
  <conditionalFormatting sqref="AB627:AF627">
    <cfRule type="notContainsBlanks" dxfId="2017" priority="2075">
      <formula>LEN(TRIM(AB627))&gt;0</formula>
    </cfRule>
  </conditionalFormatting>
  <conditionalFormatting sqref="AB627:AF627">
    <cfRule type="notContainsBlanks" dxfId="2016" priority="2074">
      <formula>LEN(TRIM(AB627))&gt;0</formula>
    </cfRule>
  </conditionalFormatting>
  <conditionalFormatting sqref="AB627:AF627">
    <cfRule type="notContainsBlanks" dxfId="2015" priority="2073">
      <formula>LEN(TRIM(AB627))&gt;0</formula>
    </cfRule>
  </conditionalFormatting>
  <conditionalFormatting sqref="AB627:AF627">
    <cfRule type="notContainsBlanks" dxfId="2014" priority="2072">
      <formula>LEN(TRIM(AB627))&gt;0</formula>
    </cfRule>
  </conditionalFormatting>
  <conditionalFormatting sqref="AB627:AF627">
    <cfRule type="notContainsBlanks" dxfId="2013" priority="2071">
      <formula>LEN(TRIM(AB627))&gt;0</formula>
    </cfRule>
  </conditionalFormatting>
  <conditionalFormatting sqref="AB627:AF627">
    <cfRule type="notContainsBlanks" dxfId="2012" priority="2070">
      <formula>LEN(TRIM(AB627))&gt;0</formula>
    </cfRule>
  </conditionalFormatting>
  <conditionalFormatting sqref="AB627:AF627">
    <cfRule type="notContainsBlanks" dxfId="2011" priority="2069">
      <formula>LEN(TRIM(AB627))&gt;0</formula>
    </cfRule>
  </conditionalFormatting>
  <conditionalFormatting sqref="AB627:AF627">
    <cfRule type="notContainsBlanks" priority="2068">
      <formula>LEN(TRIM(AB627))&gt;0</formula>
    </cfRule>
  </conditionalFormatting>
  <conditionalFormatting sqref="AB627:AF627">
    <cfRule type="notContainsBlanks" dxfId="2010" priority="2067">
      <formula>LEN(TRIM(AB627))&gt;0</formula>
    </cfRule>
  </conditionalFormatting>
  <conditionalFormatting sqref="AB627:AF627">
    <cfRule type="notContainsBlanks" dxfId="2009" priority="2066">
      <formula>LEN(TRIM(AB627))&gt;0</formula>
    </cfRule>
  </conditionalFormatting>
  <conditionalFormatting sqref="AB627:AF627">
    <cfRule type="notContainsBlanks" dxfId="2008" priority="2065">
      <formula>LEN(TRIM(AB627))&gt;0</formula>
    </cfRule>
  </conditionalFormatting>
  <conditionalFormatting sqref="AB627:AF627">
    <cfRule type="notContainsBlanks" dxfId="2007" priority="2064">
      <formula>LEN(TRIM(AB627))&gt;0</formula>
    </cfRule>
  </conditionalFormatting>
  <conditionalFormatting sqref="AB627:AF627">
    <cfRule type="notContainsBlanks" dxfId="2006" priority="2063">
      <formula>LEN(TRIM(AB627))&gt;0</formula>
    </cfRule>
  </conditionalFormatting>
  <conditionalFormatting sqref="AB640:AF640">
    <cfRule type="notContainsBlanks" dxfId="2005" priority="2062">
      <formula>LEN(TRIM(AB640))&gt;0</formula>
    </cfRule>
  </conditionalFormatting>
  <conditionalFormatting sqref="AB640:AF640">
    <cfRule type="notContainsBlanks" dxfId="2004" priority="2061">
      <formula>LEN(TRIM(AB640))&gt;0</formula>
    </cfRule>
  </conditionalFormatting>
  <conditionalFormatting sqref="AB640:AF640">
    <cfRule type="notContainsBlanks" dxfId="2003" priority="2060">
      <formula>LEN(TRIM(AB640))&gt;0</formula>
    </cfRule>
  </conditionalFormatting>
  <conditionalFormatting sqref="AB640:AF640">
    <cfRule type="notContainsBlanks" dxfId="2002" priority="2059">
      <formula>LEN(TRIM(AB640))&gt;0</formula>
    </cfRule>
  </conditionalFormatting>
  <conditionalFormatting sqref="AB640:AF640">
    <cfRule type="notContainsBlanks" dxfId="2001" priority="2058">
      <formula>LEN(TRIM(AB640))&gt;0</formula>
    </cfRule>
  </conditionalFormatting>
  <conditionalFormatting sqref="AB640:AF640">
    <cfRule type="notContainsBlanks" dxfId="2000" priority="2057">
      <formula>LEN(TRIM(AB640))&gt;0</formula>
    </cfRule>
  </conditionalFormatting>
  <conditionalFormatting sqref="AB640:AF640">
    <cfRule type="notContainsBlanks" dxfId="1999" priority="2056">
      <formula>LEN(TRIM(AB640))&gt;0</formula>
    </cfRule>
  </conditionalFormatting>
  <conditionalFormatting sqref="AB640:AF640">
    <cfRule type="notContainsBlanks" dxfId="1998" priority="2055">
      <formula>LEN(TRIM(AB640))&gt;0</formula>
    </cfRule>
  </conditionalFormatting>
  <conditionalFormatting sqref="AB640:AF640">
    <cfRule type="notContainsBlanks" dxfId="1997" priority="2054">
      <formula>LEN(TRIM(AB640))&gt;0</formula>
    </cfRule>
  </conditionalFormatting>
  <conditionalFormatting sqref="AB640:AF640">
    <cfRule type="notContainsBlanks" dxfId="1996" priority="2052">
      <formula>LEN(TRIM(AB640))&gt;0</formula>
    </cfRule>
    <cfRule type="notContainsBlanks" dxfId="1995" priority="2053">
      <formula>LEN(TRIM(AB640))&gt;0</formula>
    </cfRule>
  </conditionalFormatting>
  <conditionalFormatting sqref="AB640:AF640">
    <cfRule type="notContainsBlanks" dxfId="1994" priority="2051">
      <formula>LEN(TRIM(AB640))&gt;0</formula>
    </cfRule>
  </conditionalFormatting>
  <conditionalFormatting sqref="AB640:AF640">
    <cfRule type="notContainsBlanks" dxfId="1993" priority="2050">
      <formula>LEN(TRIM(AB640))&gt;0</formula>
    </cfRule>
  </conditionalFormatting>
  <conditionalFormatting sqref="AB640:AF640">
    <cfRule type="notContainsBlanks" dxfId="1992" priority="2049">
      <formula>LEN(TRIM(AB640))&gt;0</formula>
    </cfRule>
  </conditionalFormatting>
  <conditionalFormatting sqref="AB640:AF640">
    <cfRule type="notContainsBlanks" dxfId="1991" priority="2048">
      <formula>LEN(TRIM(AB640))&gt;0</formula>
    </cfRule>
  </conditionalFormatting>
  <conditionalFormatting sqref="AB640:AF640">
    <cfRule type="notContainsBlanks" dxfId="1990" priority="2047">
      <formula>LEN(TRIM(AB640))&gt;0</formula>
    </cfRule>
  </conditionalFormatting>
  <conditionalFormatting sqref="AB640:AF640">
    <cfRule type="notContainsBlanks" dxfId="1989" priority="2046">
      <formula>LEN(TRIM(AB640))&gt;0</formula>
    </cfRule>
  </conditionalFormatting>
  <conditionalFormatting sqref="AB640:AF640">
    <cfRule type="notContainsBlanks" dxfId="1988" priority="2045">
      <formula>LEN(TRIM(AB640))&gt;0</formula>
    </cfRule>
  </conditionalFormatting>
  <conditionalFormatting sqref="AB640:AF640">
    <cfRule type="notContainsBlanks" dxfId="1987" priority="2044">
      <formula>LEN(TRIM(AB640))&gt;0</formula>
    </cfRule>
  </conditionalFormatting>
  <conditionalFormatting sqref="AB640:AF640">
    <cfRule type="notContainsBlanks" dxfId="1986" priority="2043">
      <formula>LEN(TRIM(AB640))&gt;0</formula>
    </cfRule>
  </conditionalFormatting>
  <conditionalFormatting sqref="AB640:AF640">
    <cfRule type="notContainsBlanks" priority="2042">
      <formula>LEN(TRIM(AB640))&gt;0</formula>
    </cfRule>
  </conditionalFormatting>
  <conditionalFormatting sqref="AB640:AF640">
    <cfRule type="notContainsBlanks" dxfId="1985" priority="2041">
      <formula>LEN(TRIM(AB640))&gt;0</formula>
    </cfRule>
  </conditionalFormatting>
  <conditionalFormatting sqref="AB640:AF640">
    <cfRule type="notContainsBlanks" dxfId="1984" priority="2040">
      <formula>LEN(TRIM(AB640))&gt;0</formula>
    </cfRule>
  </conditionalFormatting>
  <conditionalFormatting sqref="AB640:AF640">
    <cfRule type="notContainsBlanks" dxfId="1983" priority="2039">
      <formula>LEN(TRIM(AB640))&gt;0</formula>
    </cfRule>
  </conditionalFormatting>
  <conditionalFormatting sqref="AB640:AF640">
    <cfRule type="notContainsBlanks" dxfId="1982" priority="2038">
      <formula>LEN(TRIM(AB640))&gt;0</formula>
    </cfRule>
  </conditionalFormatting>
  <conditionalFormatting sqref="AB640:AF640">
    <cfRule type="notContainsBlanks" dxfId="1981" priority="2037">
      <formula>LEN(TRIM(AB640))&gt;0</formula>
    </cfRule>
  </conditionalFormatting>
  <conditionalFormatting sqref="AB653:AF653">
    <cfRule type="notContainsBlanks" dxfId="1980" priority="2036">
      <formula>LEN(TRIM(AB653))&gt;0</formula>
    </cfRule>
  </conditionalFormatting>
  <conditionalFormatting sqref="AB653:AF653">
    <cfRule type="notContainsBlanks" dxfId="1979" priority="2035">
      <formula>LEN(TRIM(AB653))&gt;0</formula>
    </cfRule>
  </conditionalFormatting>
  <conditionalFormatting sqref="AB653:AF653">
    <cfRule type="notContainsBlanks" dxfId="1978" priority="2034">
      <formula>LEN(TRIM(AB653))&gt;0</formula>
    </cfRule>
  </conditionalFormatting>
  <conditionalFormatting sqref="AB653:AF653">
    <cfRule type="notContainsBlanks" dxfId="1977" priority="2033">
      <formula>LEN(TRIM(AB653))&gt;0</formula>
    </cfRule>
  </conditionalFormatting>
  <conditionalFormatting sqref="AB653:AF653">
    <cfRule type="notContainsBlanks" dxfId="1976" priority="2032">
      <formula>LEN(TRIM(AB653))&gt;0</formula>
    </cfRule>
  </conditionalFormatting>
  <conditionalFormatting sqref="AB653:AF653">
    <cfRule type="notContainsBlanks" dxfId="1975" priority="2031">
      <formula>LEN(TRIM(AB653))&gt;0</formula>
    </cfRule>
  </conditionalFormatting>
  <conditionalFormatting sqref="AB653:AF653">
    <cfRule type="notContainsBlanks" dxfId="1974" priority="2030">
      <formula>LEN(TRIM(AB653))&gt;0</formula>
    </cfRule>
  </conditionalFormatting>
  <conditionalFormatting sqref="AB653:AF653">
    <cfRule type="notContainsBlanks" dxfId="1973" priority="2029">
      <formula>LEN(TRIM(AB653))&gt;0</formula>
    </cfRule>
  </conditionalFormatting>
  <conditionalFormatting sqref="AB653:AF653">
    <cfRule type="notContainsBlanks" dxfId="1972" priority="2028">
      <formula>LEN(TRIM(AB653))&gt;0</formula>
    </cfRule>
  </conditionalFormatting>
  <conditionalFormatting sqref="AB653:AF653">
    <cfRule type="notContainsBlanks" dxfId="1971" priority="2026">
      <formula>LEN(TRIM(AB653))&gt;0</formula>
    </cfRule>
    <cfRule type="notContainsBlanks" dxfId="1970" priority="2027">
      <formula>LEN(TRIM(AB653))&gt;0</formula>
    </cfRule>
  </conditionalFormatting>
  <conditionalFormatting sqref="AB653:AF653">
    <cfRule type="notContainsBlanks" dxfId="1969" priority="2025">
      <formula>LEN(TRIM(AB653))&gt;0</formula>
    </cfRule>
  </conditionalFormatting>
  <conditionalFormatting sqref="AB653:AF653">
    <cfRule type="notContainsBlanks" dxfId="1968" priority="2024">
      <formula>LEN(TRIM(AB653))&gt;0</formula>
    </cfRule>
  </conditionalFormatting>
  <conditionalFormatting sqref="AB653:AF653">
    <cfRule type="notContainsBlanks" dxfId="1967" priority="2023">
      <formula>LEN(TRIM(AB653))&gt;0</formula>
    </cfRule>
  </conditionalFormatting>
  <conditionalFormatting sqref="AB653:AF653">
    <cfRule type="notContainsBlanks" dxfId="1966" priority="2022">
      <formula>LEN(TRIM(AB653))&gt;0</formula>
    </cfRule>
  </conditionalFormatting>
  <conditionalFormatting sqref="AB653:AF653">
    <cfRule type="notContainsBlanks" dxfId="1965" priority="2021">
      <formula>LEN(TRIM(AB653))&gt;0</formula>
    </cfRule>
  </conditionalFormatting>
  <conditionalFormatting sqref="AB653:AF653">
    <cfRule type="notContainsBlanks" dxfId="1964" priority="2020">
      <formula>LEN(TRIM(AB653))&gt;0</formula>
    </cfRule>
  </conditionalFormatting>
  <conditionalFormatting sqref="AB653:AF653">
    <cfRule type="notContainsBlanks" dxfId="1963" priority="2019">
      <formula>LEN(TRIM(AB653))&gt;0</formula>
    </cfRule>
  </conditionalFormatting>
  <conditionalFormatting sqref="AB653:AF653">
    <cfRule type="notContainsBlanks" dxfId="1962" priority="2018">
      <formula>LEN(TRIM(AB653))&gt;0</formula>
    </cfRule>
  </conditionalFormatting>
  <conditionalFormatting sqref="AB653:AF653">
    <cfRule type="notContainsBlanks" dxfId="1961" priority="2017">
      <formula>LEN(TRIM(AB653))&gt;0</formula>
    </cfRule>
  </conditionalFormatting>
  <conditionalFormatting sqref="AB653:AF653">
    <cfRule type="notContainsBlanks" priority="2016">
      <formula>LEN(TRIM(AB653))&gt;0</formula>
    </cfRule>
  </conditionalFormatting>
  <conditionalFormatting sqref="AB653:AF653">
    <cfRule type="notContainsBlanks" dxfId="1960" priority="2015">
      <formula>LEN(TRIM(AB653))&gt;0</formula>
    </cfRule>
  </conditionalFormatting>
  <conditionalFormatting sqref="AB653:AF653">
    <cfRule type="notContainsBlanks" dxfId="1959" priority="2014">
      <formula>LEN(TRIM(AB653))&gt;0</formula>
    </cfRule>
  </conditionalFormatting>
  <conditionalFormatting sqref="AB653:AF653">
    <cfRule type="notContainsBlanks" dxfId="1958" priority="2013">
      <formula>LEN(TRIM(AB653))&gt;0</formula>
    </cfRule>
  </conditionalFormatting>
  <conditionalFormatting sqref="AB653:AF653">
    <cfRule type="notContainsBlanks" dxfId="1957" priority="2012">
      <formula>LEN(TRIM(AB653))&gt;0</formula>
    </cfRule>
  </conditionalFormatting>
  <conditionalFormatting sqref="AB653:AF653">
    <cfRule type="notContainsBlanks" dxfId="1956" priority="2011">
      <formula>LEN(TRIM(AB653))&gt;0</formula>
    </cfRule>
  </conditionalFormatting>
  <conditionalFormatting sqref="AB666:AF666">
    <cfRule type="notContainsBlanks" dxfId="1955" priority="2010">
      <formula>LEN(TRIM(AB666))&gt;0</formula>
    </cfRule>
  </conditionalFormatting>
  <conditionalFormatting sqref="AB666:AF666">
    <cfRule type="notContainsBlanks" dxfId="1954" priority="2009">
      <formula>LEN(TRIM(AB666))&gt;0</formula>
    </cfRule>
  </conditionalFormatting>
  <conditionalFormatting sqref="AB666:AF666">
    <cfRule type="notContainsBlanks" dxfId="1953" priority="2008">
      <formula>LEN(TRIM(AB666))&gt;0</formula>
    </cfRule>
  </conditionalFormatting>
  <conditionalFormatting sqref="AB666:AF666">
    <cfRule type="notContainsBlanks" dxfId="1952" priority="2007">
      <formula>LEN(TRIM(AB666))&gt;0</formula>
    </cfRule>
  </conditionalFormatting>
  <conditionalFormatting sqref="AB666:AF666">
    <cfRule type="notContainsBlanks" dxfId="1951" priority="2006">
      <formula>LEN(TRIM(AB666))&gt;0</formula>
    </cfRule>
  </conditionalFormatting>
  <conditionalFormatting sqref="AB666:AF666">
    <cfRule type="notContainsBlanks" dxfId="1950" priority="2005">
      <formula>LEN(TRIM(AB666))&gt;0</formula>
    </cfRule>
  </conditionalFormatting>
  <conditionalFormatting sqref="AB666:AF666">
    <cfRule type="notContainsBlanks" dxfId="1949" priority="2004">
      <formula>LEN(TRIM(AB666))&gt;0</formula>
    </cfRule>
  </conditionalFormatting>
  <conditionalFormatting sqref="AB666:AF666">
    <cfRule type="notContainsBlanks" dxfId="1948" priority="2003">
      <formula>LEN(TRIM(AB666))&gt;0</formula>
    </cfRule>
  </conditionalFormatting>
  <conditionalFormatting sqref="AB666:AF666">
    <cfRule type="notContainsBlanks" dxfId="1947" priority="2002">
      <formula>LEN(TRIM(AB666))&gt;0</formula>
    </cfRule>
  </conditionalFormatting>
  <conditionalFormatting sqref="AB666:AF666">
    <cfRule type="notContainsBlanks" dxfId="1946" priority="2000">
      <formula>LEN(TRIM(AB666))&gt;0</formula>
    </cfRule>
    <cfRule type="notContainsBlanks" dxfId="1945" priority="2001">
      <formula>LEN(TRIM(AB666))&gt;0</formula>
    </cfRule>
  </conditionalFormatting>
  <conditionalFormatting sqref="AB666:AF666">
    <cfRule type="notContainsBlanks" dxfId="1944" priority="1999">
      <formula>LEN(TRIM(AB666))&gt;0</formula>
    </cfRule>
  </conditionalFormatting>
  <conditionalFormatting sqref="AB666:AF666">
    <cfRule type="notContainsBlanks" dxfId="1943" priority="1998">
      <formula>LEN(TRIM(AB666))&gt;0</formula>
    </cfRule>
  </conditionalFormatting>
  <conditionalFormatting sqref="AB666:AF666">
    <cfRule type="notContainsBlanks" dxfId="1942" priority="1997">
      <formula>LEN(TRIM(AB666))&gt;0</formula>
    </cfRule>
  </conditionalFormatting>
  <conditionalFormatting sqref="AB666:AF666">
    <cfRule type="notContainsBlanks" dxfId="1941" priority="1996">
      <formula>LEN(TRIM(AB666))&gt;0</formula>
    </cfRule>
  </conditionalFormatting>
  <conditionalFormatting sqref="AB666:AF666">
    <cfRule type="notContainsBlanks" dxfId="1940" priority="1995">
      <formula>LEN(TRIM(AB666))&gt;0</formula>
    </cfRule>
  </conditionalFormatting>
  <conditionalFormatting sqref="AB666:AF666">
    <cfRule type="notContainsBlanks" dxfId="1939" priority="1994">
      <formula>LEN(TRIM(AB666))&gt;0</formula>
    </cfRule>
  </conditionalFormatting>
  <conditionalFormatting sqref="AB666:AF666">
    <cfRule type="notContainsBlanks" dxfId="1938" priority="1993">
      <formula>LEN(TRIM(AB666))&gt;0</formula>
    </cfRule>
  </conditionalFormatting>
  <conditionalFormatting sqref="AB666:AF666">
    <cfRule type="notContainsBlanks" dxfId="1937" priority="1992">
      <formula>LEN(TRIM(AB666))&gt;0</formula>
    </cfRule>
  </conditionalFormatting>
  <conditionalFormatting sqref="AB666:AF666">
    <cfRule type="notContainsBlanks" dxfId="1936" priority="1991">
      <formula>LEN(TRIM(AB666))&gt;0</formula>
    </cfRule>
  </conditionalFormatting>
  <conditionalFormatting sqref="AB666:AF666">
    <cfRule type="notContainsBlanks" priority="1990">
      <formula>LEN(TRIM(AB666))&gt;0</formula>
    </cfRule>
  </conditionalFormatting>
  <conditionalFormatting sqref="AB666:AF666">
    <cfRule type="notContainsBlanks" dxfId="1935" priority="1989">
      <formula>LEN(TRIM(AB666))&gt;0</formula>
    </cfRule>
  </conditionalFormatting>
  <conditionalFormatting sqref="AB666:AF666">
    <cfRule type="notContainsBlanks" dxfId="1934" priority="1988">
      <formula>LEN(TRIM(AB666))&gt;0</formula>
    </cfRule>
  </conditionalFormatting>
  <conditionalFormatting sqref="AB666:AF666">
    <cfRule type="notContainsBlanks" dxfId="1933" priority="1987">
      <formula>LEN(TRIM(AB666))&gt;0</formula>
    </cfRule>
  </conditionalFormatting>
  <conditionalFormatting sqref="AB666:AF666">
    <cfRule type="notContainsBlanks" dxfId="1932" priority="1986">
      <formula>LEN(TRIM(AB666))&gt;0</formula>
    </cfRule>
  </conditionalFormatting>
  <conditionalFormatting sqref="AB666:AF666">
    <cfRule type="notContainsBlanks" dxfId="1931" priority="1985">
      <formula>LEN(TRIM(AB666))&gt;0</formula>
    </cfRule>
  </conditionalFormatting>
  <conditionalFormatting sqref="AB679:AF679">
    <cfRule type="notContainsBlanks" dxfId="1930" priority="1984">
      <formula>LEN(TRIM(AB679))&gt;0</formula>
    </cfRule>
  </conditionalFormatting>
  <conditionalFormatting sqref="AB679:AF679">
    <cfRule type="notContainsBlanks" dxfId="1929" priority="1983">
      <formula>LEN(TRIM(AB679))&gt;0</formula>
    </cfRule>
  </conditionalFormatting>
  <conditionalFormatting sqref="AB679:AF679">
    <cfRule type="notContainsBlanks" dxfId="1928" priority="1982">
      <formula>LEN(TRIM(AB679))&gt;0</formula>
    </cfRule>
  </conditionalFormatting>
  <conditionalFormatting sqref="AB679:AF679">
    <cfRule type="notContainsBlanks" dxfId="1927" priority="1981">
      <formula>LEN(TRIM(AB679))&gt;0</formula>
    </cfRule>
  </conditionalFormatting>
  <conditionalFormatting sqref="AB679:AF679">
    <cfRule type="notContainsBlanks" dxfId="1926" priority="1980">
      <formula>LEN(TRIM(AB679))&gt;0</formula>
    </cfRule>
  </conditionalFormatting>
  <conditionalFormatting sqref="AB679:AF679">
    <cfRule type="notContainsBlanks" dxfId="1925" priority="1979">
      <formula>LEN(TRIM(AB679))&gt;0</formula>
    </cfRule>
  </conditionalFormatting>
  <conditionalFormatting sqref="AB679:AF679">
    <cfRule type="notContainsBlanks" dxfId="1924" priority="1978">
      <formula>LEN(TRIM(AB679))&gt;0</formula>
    </cfRule>
  </conditionalFormatting>
  <conditionalFormatting sqref="AB679:AF679">
    <cfRule type="notContainsBlanks" dxfId="1923" priority="1977">
      <formula>LEN(TRIM(AB679))&gt;0</formula>
    </cfRule>
  </conditionalFormatting>
  <conditionalFormatting sqref="AB679:AF679">
    <cfRule type="notContainsBlanks" dxfId="1922" priority="1976">
      <formula>LEN(TRIM(AB679))&gt;0</formula>
    </cfRule>
  </conditionalFormatting>
  <conditionalFormatting sqref="AB679:AF679">
    <cfRule type="notContainsBlanks" dxfId="1921" priority="1974">
      <formula>LEN(TRIM(AB679))&gt;0</formula>
    </cfRule>
    <cfRule type="notContainsBlanks" dxfId="1920" priority="1975">
      <formula>LEN(TRIM(AB679))&gt;0</formula>
    </cfRule>
  </conditionalFormatting>
  <conditionalFormatting sqref="AB679:AF679">
    <cfRule type="notContainsBlanks" dxfId="1919" priority="1973">
      <formula>LEN(TRIM(AB679))&gt;0</formula>
    </cfRule>
  </conditionalFormatting>
  <conditionalFormatting sqref="AB679:AF679">
    <cfRule type="notContainsBlanks" dxfId="1918" priority="1972">
      <formula>LEN(TRIM(AB679))&gt;0</formula>
    </cfRule>
  </conditionalFormatting>
  <conditionalFormatting sqref="AB679:AF679">
    <cfRule type="notContainsBlanks" dxfId="1917" priority="1971">
      <formula>LEN(TRIM(AB679))&gt;0</formula>
    </cfRule>
  </conditionalFormatting>
  <conditionalFormatting sqref="AB679:AF679">
    <cfRule type="notContainsBlanks" dxfId="1916" priority="1970">
      <formula>LEN(TRIM(AB679))&gt;0</formula>
    </cfRule>
  </conditionalFormatting>
  <conditionalFormatting sqref="AB679:AF679">
    <cfRule type="notContainsBlanks" dxfId="1915" priority="1969">
      <formula>LEN(TRIM(AB679))&gt;0</formula>
    </cfRule>
  </conditionalFormatting>
  <conditionalFormatting sqref="AB679:AF679">
    <cfRule type="notContainsBlanks" dxfId="1914" priority="1968">
      <formula>LEN(TRIM(AB679))&gt;0</formula>
    </cfRule>
  </conditionalFormatting>
  <conditionalFormatting sqref="AB679:AF679">
    <cfRule type="notContainsBlanks" dxfId="1913" priority="1967">
      <formula>LEN(TRIM(AB679))&gt;0</formula>
    </cfRule>
  </conditionalFormatting>
  <conditionalFormatting sqref="AB679:AF679">
    <cfRule type="notContainsBlanks" dxfId="1912" priority="1966">
      <formula>LEN(TRIM(AB679))&gt;0</formula>
    </cfRule>
  </conditionalFormatting>
  <conditionalFormatting sqref="AB679:AF679">
    <cfRule type="notContainsBlanks" dxfId="1911" priority="1965">
      <formula>LEN(TRIM(AB679))&gt;0</formula>
    </cfRule>
  </conditionalFormatting>
  <conditionalFormatting sqref="AB679:AF679">
    <cfRule type="notContainsBlanks" priority="1964">
      <formula>LEN(TRIM(AB679))&gt;0</formula>
    </cfRule>
  </conditionalFormatting>
  <conditionalFormatting sqref="AB679:AF679">
    <cfRule type="notContainsBlanks" dxfId="1910" priority="1963">
      <formula>LEN(TRIM(AB679))&gt;0</formula>
    </cfRule>
  </conditionalFormatting>
  <conditionalFormatting sqref="AB679:AF679">
    <cfRule type="notContainsBlanks" dxfId="1909" priority="1962">
      <formula>LEN(TRIM(AB679))&gt;0</formula>
    </cfRule>
  </conditionalFormatting>
  <conditionalFormatting sqref="AB679:AF679">
    <cfRule type="notContainsBlanks" dxfId="1908" priority="1961">
      <formula>LEN(TRIM(AB679))&gt;0</formula>
    </cfRule>
  </conditionalFormatting>
  <conditionalFormatting sqref="AB679:AF679">
    <cfRule type="notContainsBlanks" dxfId="1907" priority="1960">
      <formula>LEN(TRIM(AB679))&gt;0</formula>
    </cfRule>
  </conditionalFormatting>
  <conditionalFormatting sqref="AB679:AF679">
    <cfRule type="notContainsBlanks" dxfId="1906" priority="1959">
      <formula>LEN(TRIM(AB679))&gt;0</formula>
    </cfRule>
  </conditionalFormatting>
  <conditionalFormatting sqref="AB705:AF705">
    <cfRule type="notContainsBlanks" dxfId="1905" priority="1958">
      <formula>LEN(TRIM(AB705))&gt;0</formula>
    </cfRule>
  </conditionalFormatting>
  <conditionalFormatting sqref="AB705:AF705">
    <cfRule type="notContainsBlanks" dxfId="1904" priority="1957">
      <formula>LEN(TRIM(AB705))&gt;0</formula>
    </cfRule>
  </conditionalFormatting>
  <conditionalFormatting sqref="AB705:AF705">
    <cfRule type="notContainsBlanks" dxfId="1903" priority="1956">
      <formula>LEN(TRIM(AB705))&gt;0</formula>
    </cfRule>
  </conditionalFormatting>
  <conditionalFormatting sqref="AB705:AF705">
    <cfRule type="notContainsBlanks" dxfId="1902" priority="1955">
      <formula>LEN(TRIM(AB705))&gt;0</formula>
    </cfRule>
  </conditionalFormatting>
  <conditionalFormatting sqref="AB705:AF705">
    <cfRule type="notContainsBlanks" dxfId="1901" priority="1954">
      <formula>LEN(TRIM(AB705))&gt;0</formula>
    </cfRule>
  </conditionalFormatting>
  <conditionalFormatting sqref="AB705:AF705">
    <cfRule type="notContainsBlanks" dxfId="1900" priority="1953">
      <formula>LEN(TRIM(AB705))&gt;0</formula>
    </cfRule>
  </conditionalFormatting>
  <conditionalFormatting sqref="AB705:AF705">
    <cfRule type="notContainsBlanks" dxfId="1899" priority="1952">
      <formula>LEN(TRIM(AB705))&gt;0</formula>
    </cfRule>
  </conditionalFormatting>
  <conditionalFormatting sqref="AB705:AF705">
    <cfRule type="notContainsBlanks" dxfId="1898" priority="1951">
      <formula>LEN(TRIM(AB705))&gt;0</formula>
    </cfRule>
  </conditionalFormatting>
  <conditionalFormatting sqref="AB705:AF705">
    <cfRule type="notContainsBlanks" dxfId="1897" priority="1950">
      <formula>LEN(TRIM(AB705))&gt;0</formula>
    </cfRule>
  </conditionalFormatting>
  <conditionalFormatting sqref="AB705:AF705">
    <cfRule type="notContainsBlanks" dxfId="1896" priority="1948">
      <formula>LEN(TRIM(AB705))&gt;0</formula>
    </cfRule>
    <cfRule type="notContainsBlanks" dxfId="1895" priority="1949">
      <formula>LEN(TRIM(AB705))&gt;0</formula>
    </cfRule>
  </conditionalFormatting>
  <conditionalFormatting sqref="AB705:AF705">
    <cfRule type="notContainsBlanks" dxfId="1894" priority="1947">
      <formula>LEN(TRIM(AB705))&gt;0</formula>
    </cfRule>
  </conditionalFormatting>
  <conditionalFormatting sqref="AB705:AF705">
    <cfRule type="notContainsBlanks" dxfId="1893" priority="1946">
      <formula>LEN(TRIM(AB705))&gt;0</formula>
    </cfRule>
  </conditionalFormatting>
  <conditionalFormatting sqref="AB705:AF705">
    <cfRule type="notContainsBlanks" dxfId="1892" priority="1945">
      <formula>LEN(TRIM(AB705))&gt;0</formula>
    </cfRule>
  </conditionalFormatting>
  <conditionalFormatting sqref="AB705:AF705">
    <cfRule type="notContainsBlanks" dxfId="1891" priority="1944">
      <formula>LEN(TRIM(AB705))&gt;0</formula>
    </cfRule>
  </conditionalFormatting>
  <conditionalFormatting sqref="AB705:AF705">
    <cfRule type="notContainsBlanks" dxfId="1890" priority="1943">
      <formula>LEN(TRIM(AB705))&gt;0</formula>
    </cfRule>
  </conditionalFormatting>
  <conditionalFormatting sqref="AB705:AF705">
    <cfRule type="notContainsBlanks" dxfId="1889" priority="1942">
      <formula>LEN(TRIM(AB705))&gt;0</formula>
    </cfRule>
  </conditionalFormatting>
  <conditionalFormatting sqref="AB705:AF705">
    <cfRule type="notContainsBlanks" dxfId="1888" priority="1941">
      <formula>LEN(TRIM(AB705))&gt;0</formula>
    </cfRule>
  </conditionalFormatting>
  <conditionalFormatting sqref="AB705:AF705">
    <cfRule type="notContainsBlanks" dxfId="1887" priority="1940">
      <formula>LEN(TRIM(AB705))&gt;0</formula>
    </cfRule>
  </conditionalFormatting>
  <conditionalFormatting sqref="AB705:AF705">
    <cfRule type="notContainsBlanks" dxfId="1886" priority="1939">
      <formula>LEN(TRIM(AB705))&gt;0</formula>
    </cfRule>
  </conditionalFormatting>
  <conditionalFormatting sqref="AB705:AF705">
    <cfRule type="notContainsBlanks" priority="1938">
      <formula>LEN(TRIM(AB705))&gt;0</formula>
    </cfRule>
  </conditionalFormatting>
  <conditionalFormatting sqref="AB705:AF705">
    <cfRule type="notContainsBlanks" dxfId="1885" priority="1937">
      <formula>LEN(TRIM(AB705))&gt;0</formula>
    </cfRule>
  </conditionalFormatting>
  <conditionalFormatting sqref="AB705:AF705">
    <cfRule type="notContainsBlanks" dxfId="1884" priority="1936">
      <formula>LEN(TRIM(AB705))&gt;0</formula>
    </cfRule>
  </conditionalFormatting>
  <conditionalFormatting sqref="AB705:AF705">
    <cfRule type="notContainsBlanks" dxfId="1883" priority="1935">
      <formula>LEN(TRIM(AB705))&gt;0</formula>
    </cfRule>
  </conditionalFormatting>
  <conditionalFormatting sqref="AB705:AF705">
    <cfRule type="notContainsBlanks" dxfId="1882" priority="1934">
      <formula>LEN(TRIM(AB705))&gt;0</formula>
    </cfRule>
  </conditionalFormatting>
  <conditionalFormatting sqref="AB705:AF705">
    <cfRule type="notContainsBlanks" dxfId="1881" priority="1933">
      <formula>LEN(TRIM(AB705))&gt;0</formula>
    </cfRule>
  </conditionalFormatting>
  <conditionalFormatting sqref="AB718:AF718">
    <cfRule type="notContainsBlanks" dxfId="1880" priority="1932">
      <formula>LEN(TRIM(AB718))&gt;0</formula>
    </cfRule>
  </conditionalFormatting>
  <conditionalFormatting sqref="AB718:AF718">
    <cfRule type="notContainsBlanks" dxfId="1879" priority="1931">
      <formula>LEN(TRIM(AB718))&gt;0</formula>
    </cfRule>
  </conditionalFormatting>
  <conditionalFormatting sqref="AB718:AF718">
    <cfRule type="notContainsBlanks" dxfId="1878" priority="1930">
      <formula>LEN(TRIM(AB718))&gt;0</formula>
    </cfRule>
  </conditionalFormatting>
  <conditionalFormatting sqref="AB718:AF718">
    <cfRule type="notContainsBlanks" dxfId="1877" priority="1929">
      <formula>LEN(TRIM(AB718))&gt;0</formula>
    </cfRule>
  </conditionalFormatting>
  <conditionalFormatting sqref="AB718:AF718">
    <cfRule type="notContainsBlanks" dxfId="1876" priority="1928">
      <formula>LEN(TRIM(AB718))&gt;0</formula>
    </cfRule>
  </conditionalFormatting>
  <conditionalFormatting sqref="AB718:AF718">
    <cfRule type="notContainsBlanks" dxfId="1875" priority="1927">
      <formula>LEN(TRIM(AB718))&gt;0</formula>
    </cfRule>
  </conditionalFormatting>
  <conditionalFormatting sqref="AB718:AF718">
    <cfRule type="notContainsBlanks" dxfId="1874" priority="1926">
      <formula>LEN(TRIM(AB718))&gt;0</formula>
    </cfRule>
  </conditionalFormatting>
  <conditionalFormatting sqref="AB718:AF718">
    <cfRule type="notContainsBlanks" dxfId="1873" priority="1925">
      <formula>LEN(TRIM(AB718))&gt;0</formula>
    </cfRule>
  </conditionalFormatting>
  <conditionalFormatting sqref="AB718:AF718">
    <cfRule type="notContainsBlanks" dxfId="1872" priority="1924">
      <formula>LEN(TRIM(AB718))&gt;0</formula>
    </cfRule>
  </conditionalFormatting>
  <conditionalFormatting sqref="AB718:AF718">
    <cfRule type="notContainsBlanks" dxfId="1871" priority="1922">
      <formula>LEN(TRIM(AB718))&gt;0</formula>
    </cfRule>
    <cfRule type="notContainsBlanks" dxfId="1870" priority="1923">
      <formula>LEN(TRIM(AB718))&gt;0</formula>
    </cfRule>
  </conditionalFormatting>
  <conditionalFormatting sqref="AB718:AF718">
    <cfRule type="notContainsBlanks" dxfId="1869" priority="1921">
      <formula>LEN(TRIM(AB718))&gt;0</formula>
    </cfRule>
  </conditionalFormatting>
  <conditionalFormatting sqref="AB718:AF718">
    <cfRule type="notContainsBlanks" dxfId="1868" priority="1920">
      <formula>LEN(TRIM(AB718))&gt;0</formula>
    </cfRule>
  </conditionalFormatting>
  <conditionalFormatting sqref="AB718:AF718">
    <cfRule type="notContainsBlanks" dxfId="1867" priority="1919">
      <formula>LEN(TRIM(AB718))&gt;0</formula>
    </cfRule>
  </conditionalFormatting>
  <conditionalFormatting sqref="AB718:AF718">
    <cfRule type="notContainsBlanks" dxfId="1866" priority="1918">
      <formula>LEN(TRIM(AB718))&gt;0</formula>
    </cfRule>
  </conditionalFormatting>
  <conditionalFormatting sqref="AB718:AF718">
    <cfRule type="notContainsBlanks" dxfId="1865" priority="1917">
      <formula>LEN(TRIM(AB718))&gt;0</formula>
    </cfRule>
  </conditionalFormatting>
  <conditionalFormatting sqref="AB718:AF718">
    <cfRule type="notContainsBlanks" dxfId="1864" priority="1916">
      <formula>LEN(TRIM(AB718))&gt;0</formula>
    </cfRule>
  </conditionalFormatting>
  <conditionalFormatting sqref="AB718:AF718">
    <cfRule type="notContainsBlanks" dxfId="1863" priority="1915">
      <formula>LEN(TRIM(AB718))&gt;0</formula>
    </cfRule>
  </conditionalFormatting>
  <conditionalFormatting sqref="AB718:AF718">
    <cfRule type="notContainsBlanks" dxfId="1862" priority="1914">
      <formula>LEN(TRIM(AB718))&gt;0</formula>
    </cfRule>
  </conditionalFormatting>
  <conditionalFormatting sqref="AB718:AF718">
    <cfRule type="notContainsBlanks" dxfId="1861" priority="1913">
      <formula>LEN(TRIM(AB718))&gt;0</formula>
    </cfRule>
  </conditionalFormatting>
  <conditionalFormatting sqref="AB718:AF718">
    <cfRule type="notContainsBlanks" priority="1912">
      <formula>LEN(TRIM(AB718))&gt;0</formula>
    </cfRule>
  </conditionalFormatting>
  <conditionalFormatting sqref="AB718:AF718">
    <cfRule type="notContainsBlanks" dxfId="1860" priority="1911">
      <formula>LEN(TRIM(AB718))&gt;0</formula>
    </cfRule>
  </conditionalFormatting>
  <conditionalFormatting sqref="AB718:AF718">
    <cfRule type="notContainsBlanks" dxfId="1859" priority="1910">
      <formula>LEN(TRIM(AB718))&gt;0</formula>
    </cfRule>
  </conditionalFormatting>
  <conditionalFormatting sqref="AB718:AF718">
    <cfRule type="notContainsBlanks" dxfId="1858" priority="1909">
      <formula>LEN(TRIM(AB718))&gt;0</formula>
    </cfRule>
  </conditionalFormatting>
  <conditionalFormatting sqref="AB718:AF718">
    <cfRule type="notContainsBlanks" dxfId="1857" priority="1908">
      <formula>LEN(TRIM(AB718))&gt;0</formula>
    </cfRule>
  </conditionalFormatting>
  <conditionalFormatting sqref="AB718:AF718">
    <cfRule type="notContainsBlanks" dxfId="1856" priority="1907">
      <formula>LEN(TRIM(AB718))&gt;0</formula>
    </cfRule>
  </conditionalFormatting>
  <conditionalFormatting sqref="AB731:AF731">
    <cfRule type="notContainsBlanks" dxfId="1855" priority="1906">
      <formula>LEN(TRIM(AB731))&gt;0</formula>
    </cfRule>
  </conditionalFormatting>
  <conditionalFormatting sqref="AB731:AF731">
    <cfRule type="notContainsBlanks" dxfId="1854" priority="1905">
      <formula>LEN(TRIM(AB731))&gt;0</formula>
    </cfRule>
  </conditionalFormatting>
  <conditionalFormatting sqref="AB731:AF731">
    <cfRule type="notContainsBlanks" dxfId="1853" priority="1904">
      <formula>LEN(TRIM(AB731))&gt;0</formula>
    </cfRule>
  </conditionalFormatting>
  <conditionalFormatting sqref="AB731:AF731">
    <cfRule type="notContainsBlanks" dxfId="1852" priority="1903">
      <formula>LEN(TRIM(AB731))&gt;0</formula>
    </cfRule>
  </conditionalFormatting>
  <conditionalFormatting sqref="AB731:AF731">
    <cfRule type="notContainsBlanks" dxfId="1851" priority="1902">
      <formula>LEN(TRIM(AB731))&gt;0</formula>
    </cfRule>
  </conditionalFormatting>
  <conditionalFormatting sqref="AB731:AF731">
    <cfRule type="notContainsBlanks" dxfId="1850" priority="1901">
      <formula>LEN(TRIM(AB731))&gt;0</formula>
    </cfRule>
  </conditionalFormatting>
  <conditionalFormatting sqref="AB731:AF731">
    <cfRule type="notContainsBlanks" dxfId="1849" priority="1900">
      <formula>LEN(TRIM(AB731))&gt;0</formula>
    </cfRule>
  </conditionalFormatting>
  <conditionalFormatting sqref="AB731:AF731">
    <cfRule type="notContainsBlanks" dxfId="1848" priority="1899">
      <formula>LEN(TRIM(AB731))&gt;0</formula>
    </cfRule>
  </conditionalFormatting>
  <conditionalFormatting sqref="AB731:AF731">
    <cfRule type="notContainsBlanks" dxfId="1847" priority="1898">
      <formula>LEN(TRIM(AB731))&gt;0</formula>
    </cfRule>
  </conditionalFormatting>
  <conditionalFormatting sqref="AB731:AF731">
    <cfRule type="notContainsBlanks" dxfId="1846" priority="1896">
      <formula>LEN(TRIM(AB731))&gt;0</formula>
    </cfRule>
    <cfRule type="notContainsBlanks" dxfId="1845" priority="1897">
      <formula>LEN(TRIM(AB731))&gt;0</formula>
    </cfRule>
  </conditionalFormatting>
  <conditionalFormatting sqref="AB731:AF731">
    <cfRule type="notContainsBlanks" dxfId="1844" priority="1895">
      <formula>LEN(TRIM(AB731))&gt;0</formula>
    </cfRule>
  </conditionalFormatting>
  <conditionalFormatting sqref="AB731:AF731">
    <cfRule type="notContainsBlanks" dxfId="1843" priority="1894">
      <formula>LEN(TRIM(AB731))&gt;0</formula>
    </cfRule>
  </conditionalFormatting>
  <conditionalFormatting sqref="AB731:AF731">
    <cfRule type="notContainsBlanks" dxfId="1842" priority="1893">
      <formula>LEN(TRIM(AB731))&gt;0</formula>
    </cfRule>
  </conditionalFormatting>
  <conditionalFormatting sqref="AB731:AF731">
    <cfRule type="notContainsBlanks" dxfId="1841" priority="1892">
      <formula>LEN(TRIM(AB731))&gt;0</formula>
    </cfRule>
  </conditionalFormatting>
  <conditionalFormatting sqref="AB731:AF731">
    <cfRule type="notContainsBlanks" dxfId="1840" priority="1891">
      <formula>LEN(TRIM(AB731))&gt;0</formula>
    </cfRule>
  </conditionalFormatting>
  <conditionalFormatting sqref="AB731:AF731">
    <cfRule type="notContainsBlanks" dxfId="1839" priority="1890">
      <formula>LEN(TRIM(AB731))&gt;0</formula>
    </cfRule>
  </conditionalFormatting>
  <conditionalFormatting sqref="AB731:AF731">
    <cfRule type="notContainsBlanks" dxfId="1838" priority="1889">
      <formula>LEN(TRIM(AB731))&gt;0</formula>
    </cfRule>
  </conditionalFormatting>
  <conditionalFormatting sqref="AB731:AF731">
    <cfRule type="notContainsBlanks" dxfId="1837" priority="1888">
      <formula>LEN(TRIM(AB731))&gt;0</formula>
    </cfRule>
  </conditionalFormatting>
  <conditionalFormatting sqref="AB731:AF731">
    <cfRule type="notContainsBlanks" dxfId="1836" priority="1887">
      <formula>LEN(TRIM(AB731))&gt;0</formula>
    </cfRule>
  </conditionalFormatting>
  <conditionalFormatting sqref="AB731:AF731">
    <cfRule type="notContainsBlanks" priority="1886">
      <formula>LEN(TRIM(AB731))&gt;0</formula>
    </cfRule>
  </conditionalFormatting>
  <conditionalFormatting sqref="AB731:AF731">
    <cfRule type="notContainsBlanks" dxfId="1835" priority="1885">
      <formula>LEN(TRIM(AB731))&gt;0</formula>
    </cfRule>
  </conditionalFormatting>
  <conditionalFormatting sqref="AB731:AF731">
    <cfRule type="notContainsBlanks" dxfId="1834" priority="1884">
      <formula>LEN(TRIM(AB731))&gt;0</formula>
    </cfRule>
  </conditionalFormatting>
  <conditionalFormatting sqref="AB731:AF731">
    <cfRule type="notContainsBlanks" dxfId="1833" priority="1883">
      <formula>LEN(TRIM(AB731))&gt;0</formula>
    </cfRule>
  </conditionalFormatting>
  <conditionalFormatting sqref="AB731:AF731">
    <cfRule type="notContainsBlanks" dxfId="1832" priority="1882">
      <formula>LEN(TRIM(AB731))&gt;0</formula>
    </cfRule>
  </conditionalFormatting>
  <conditionalFormatting sqref="AB731:AF731">
    <cfRule type="notContainsBlanks" dxfId="1831" priority="1881">
      <formula>LEN(TRIM(AB731))&gt;0</formula>
    </cfRule>
  </conditionalFormatting>
  <conditionalFormatting sqref="AB744:AF744">
    <cfRule type="notContainsBlanks" dxfId="1830" priority="1880">
      <formula>LEN(TRIM(AB744))&gt;0</formula>
    </cfRule>
  </conditionalFormatting>
  <conditionalFormatting sqref="AB744:AF744">
    <cfRule type="notContainsBlanks" dxfId="1829" priority="1879">
      <formula>LEN(TRIM(AB744))&gt;0</formula>
    </cfRule>
  </conditionalFormatting>
  <conditionalFormatting sqref="AB744:AF744">
    <cfRule type="notContainsBlanks" dxfId="1828" priority="1878">
      <formula>LEN(TRIM(AB744))&gt;0</formula>
    </cfRule>
  </conditionalFormatting>
  <conditionalFormatting sqref="AB744:AF744">
    <cfRule type="notContainsBlanks" dxfId="1827" priority="1877">
      <formula>LEN(TRIM(AB744))&gt;0</formula>
    </cfRule>
  </conditionalFormatting>
  <conditionalFormatting sqref="AB744:AF744">
    <cfRule type="notContainsBlanks" dxfId="1826" priority="1876">
      <formula>LEN(TRIM(AB744))&gt;0</formula>
    </cfRule>
  </conditionalFormatting>
  <conditionalFormatting sqref="AB744:AF744">
    <cfRule type="notContainsBlanks" dxfId="1825" priority="1875">
      <formula>LEN(TRIM(AB744))&gt;0</formula>
    </cfRule>
  </conditionalFormatting>
  <conditionalFormatting sqref="AB744:AF744">
    <cfRule type="notContainsBlanks" dxfId="1824" priority="1874">
      <formula>LEN(TRIM(AB744))&gt;0</formula>
    </cfRule>
  </conditionalFormatting>
  <conditionalFormatting sqref="AB744:AF744">
    <cfRule type="notContainsBlanks" dxfId="1823" priority="1873">
      <formula>LEN(TRIM(AB744))&gt;0</formula>
    </cfRule>
  </conditionalFormatting>
  <conditionalFormatting sqref="AB744:AF744">
    <cfRule type="notContainsBlanks" dxfId="1822" priority="1872">
      <formula>LEN(TRIM(AB744))&gt;0</formula>
    </cfRule>
  </conditionalFormatting>
  <conditionalFormatting sqref="AB744:AF744">
    <cfRule type="notContainsBlanks" dxfId="1821" priority="1870">
      <formula>LEN(TRIM(AB744))&gt;0</formula>
    </cfRule>
    <cfRule type="notContainsBlanks" dxfId="1820" priority="1871">
      <formula>LEN(TRIM(AB744))&gt;0</formula>
    </cfRule>
  </conditionalFormatting>
  <conditionalFormatting sqref="AB744:AF744">
    <cfRule type="notContainsBlanks" dxfId="1819" priority="1869">
      <formula>LEN(TRIM(AB744))&gt;0</formula>
    </cfRule>
  </conditionalFormatting>
  <conditionalFormatting sqref="AB744:AF744">
    <cfRule type="notContainsBlanks" dxfId="1818" priority="1868">
      <formula>LEN(TRIM(AB744))&gt;0</formula>
    </cfRule>
  </conditionalFormatting>
  <conditionalFormatting sqref="AB744:AF744">
    <cfRule type="notContainsBlanks" dxfId="1817" priority="1867">
      <formula>LEN(TRIM(AB744))&gt;0</formula>
    </cfRule>
  </conditionalFormatting>
  <conditionalFormatting sqref="AB744:AF744">
    <cfRule type="notContainsBlanks" dxfId="1816" priority="1866">
      <formula>LEN(TRIM(AB744))&gt;0</formula>
    </cfRule>
  </conditionalFormatting>
  <conditionalFormatting sqref="AB744:AF744">
    <cfRule type="notContainsBlanks" dxfId="1815" priority="1865">
      <formula>LEN(TRIM(AB744))&gt;0</formula>
    </cfRule>
  </conditionalFormatting>
  <conditionalFormatting sqref="AB744:AF744">
    <cfRule type="notContainsBlanks" dxfId="1814" priority="1864">
      <formula>LEN(TRIM(AB744))&gt;0</formula>
    </cfRule>
  </conditionalFormatting>
  <conditionalFormatting sqref="AB744:AF744">
    <cfRule type="notContainsBlanks" dxfId="1813" priority="1863">
      <formula>LEN(TRIM(AB744))&gt;0</formula>
    </cfRule>
  </conditionalFormatting>
  <conditionalFormatting sqref="AB744:AF744">
    <cfRule type="notContainsBlanks" dxfId="1812" priority="1862">
      <formula>LEN(TRIM(AB744))&gt;0</formula>
    </cfRule>
  </conditionalFormatting>
  <conditionalFormatting sqref="AB744:AF744">
    <cfRule type="notContainsBlanks" dxfId="1811" priority="1861">
      <formula>LEN(TRIM(AB744))&gt;0</formula>
    </cfRule>
  </conditionalFormatting>
  <conditionalFormatting sqref="AB744:AF744">
    <cfRule type="notContainsBlanks" priority="1860">
      <formula>LEN(TRIM(AB744))&gt;0</formula>
    </cfRule>
  </conditionalFormatting>
  <conditionalFormatting sqref="AB744:AF744">
    <cfRule type="notContainsBlanks" dxfId="1810" priority="1859">
      <formula>LEN(TRIM(AB744))&gt;0</formula>
    </cfRule>
  </conditionalFormatting>
  <conditionalFormatting sqref="AB744:AF744">
    <cfRule type="notContainsBlanks" dxfId="1809" priority="1858">
      <formula>LEN(TRIM(AB744))&gt;0</formula>
    </cfRule>
  </conditionalFormatting>
  <conditionalFormatting sqref="AB744:AF744">
    <cfRule type="notContainsBlanks" dxfId="1808" priority="1857">
      <formula>LEN(TRIM(AB744))&gt;0</formula>
    </cfRule>
  </conditionalFormatting>
  <conditionalFormatting sqref="AB744:AF744">
    <cfRule type="notContainsBlanks" dxfId="1807" priority="1856">
      <formula>LEN(TRIM(AB744))&gt;0</formula>
    </cfRule>
  </conditionalFormatting>
  <conditionalFormatting sqref="AB744:AF744">
    <cfRule type="notContainsBlanks" dxfId="1806" priority="1855">
      <formula>LEN(TRIM(AB744))&gt;0</formula>
    </cfRule>
  </conditionalFormatting>
  <conditionalFormatting sqref="AB757:AF757">
    <cfRule type="notContainsBlanks" dxfId="1805" priority="1854">
      <formula>LEN(TRIM(AB757))&gt;0</formula>
    </cfRule>
  </conditionalFormatting>
  <conditionalFormatting sqref="AB757:AF757">
    <cfRule type="notContainsBlanks" dxfId="1804" priority="1853">
      <formula>LEN(TRIM(AB757))&gt;0</formula>
    </cfRule>
  </conditionalFormatting>
  <conditionalFormatting sqref="AB757:AF757">
    <cfRule type="notContainsBlanks" dxfId="1803" priority="1852">
      <formula>LEN(TRIM(AB757))&gt;0</formula>
    </cfRule>
  </conditionalFormatting>
  <conditionalFormatting sqref="AB757:AF757">
    <cfRule type="notContainsBlanks" dxfId="1802" priority="1851">
      <formula>LEN(TRIM(AB757))&gt;0</formula>
    </cfRule>
  </conditionalFormatting>
  <conditionalFormatting sqref="AB757:AF757">
    <cfRule type="notContainsBlanks" dxfId="1801" priority="1850">
      <formula>LEN(TRIM(AB757))&gt;0</formula>
    </cfRule>
  </conditionalFormatting>
  <conditionalFormatting sqref="AB757:AF757">
    <cfRule type="notContainsBlanks" dxfId="1800" priority="1849">
      <formula>LEN(TRIM(AB757))&gt;0</formula>
    </cfRule>
  </conditionalFormatting>
  <conditionalFormatting sqref="AB757:AF757">
    <cfRule type="notContainsBlanks" dxfId="1799" priority="1848">
      <formula>LEN(TRIM(AB757))&gt;0</formula>
    </cfRule>
  </conditionalFormatting>
  <conditionalFormatting sqref="AB757:AF757">
    <cfRule type="notContainsBlanks" dxfId="1798" priority="1847">
      <formula>LEN(TRIM(AB757))&gt;0</formula>
    </cfRule>
  </conditionalFormatting>
  <conditionalFormatting sqref="AB757:AF757">
    <cfRule type="notContainsBlanks" dxfId="1797" priority="1846">
      <formula>LEN(TRIM(AB757))&gt;0</formula>
    </cfRule>
  </conditionalFormatting>
  <conditionalFormatting sqref="AB757:AF757">
    <cfRule type="notContainsBlanks" dxfId="1796" priority="1844">
      <formula>LEN(TRIM(AB757))&gt;0</formula>
    </cfRule>
    <cfRule type="notContainsBlanks" dxfId="1795" priority="1845">
      <formula>LEN(TRIM(AB757))&gt;0</formula>
    </cfRule>
  </conditionalFormatting>
  <conditionalFormatting sqref="AB757:AF757">
    <cfRule type="notContainsBlanks" dxfId="1794" priority="1843">
      <formula>LEN(TRIM(AB757))&gt;0</formula>
    </cfRule>
  </conditionalFormatting>
  <conditionalFormatting sqref="AB757:AF757">
    <cfRule type="notContainsBlanks" dxfId="1793" priority="1842">
      <formula>LEN(TRIM(AB757))&gt;0</formula>
    </cfRule>
  </conditionalFormatting>
  <conditionalFormatting sqref="AB757:AF757">
    <cfRule type="notContainsBlanks" dxfId="1792" priority="1841">
      <formula>LEN(TRIM(AB757))&gt;0</formula>
    </cfRule>
  </conditionalFormatting>
  <conditionalFormatting sqref="AB757:AF757">
    <cfRule type="notContainsBlanks" dxfId="1791" priority="1840">
      <formula>LEN(TRIM(AB757))&gt;0</formula>
    </cfRule>
  </conditionalFormatting>
  <conditionalFormatting sqref="AB757:AF757">
    <cfRule type="notContainsBlanks" dxfId="1790" priority="1839">
      <formula>LEN(TRIM(AB757))&gt;0</formula>
    </cfRule>
  </conditionalFormatting>
  <conditionalFormatting sqref="AB757:AF757">
    <cfRule type="notContainsBlanks" dxfId="1789" priority="1838">
      <formula>LEN(TRIM(AB757))&gt;0</formula>
    </cfRule>
  </conditionalFormatting>
  <conditionalFormatting sqref="AB757:AF757">
    <cfRule type="notContainsBlanks" dxfId="1788" priority="1837">
      <formula>LEN(TRIM(AB757))&gt;0</formula>
    </cfRule>
  </conditionalFormatting>
  <conditionalFormatting sqref="AB757:AF757">
    <cfRule type="notContainsBlanks" dxfId="1787" priority="1836">
      <formula>LEN(TRIM(AB757))&gt;0</formula>
    </cfRule>
  </conditionalFormatting>
  <conditionalFormatting sqref="AB757:AF757">
    <cfRule type="notContainsBlanks" dxfId="1786" priority="1835">
      <formula>LEN(TRIM(AB757))&gt;0</formula>
    </cfRule>
  </conditionalFormatting>
  <conditionalFormatting sqref="AB757:AF757">
    <cfRule type="notContainsBlanks" priority="1834">
      <formula>LEN(TRIM(AB757))&gt;0</formula>
    </cfRule>
  </conditionalFormatting>
  <conditionalFormatting sqref="AB757:AF757">
    <cfRule type="notContainsBlanks" dxfId="1785" priority="1833">
      <formula>LEN(TRIM(AB757))&gt;0</formula>
    </cfRule>
  </conditionalFormatting>
  <conditionalFormatting sqref="AB757:AF757">
    <cfRule type="notContainsBlanks" dxfId="1784" priority="1832">
      <formula>LEN(TRIM(AB757))&gt;0</formula>
    </cfRule>
  </conditionalFormatting>
  <conditionalFormatting sqref="AB757:AF757">
    <cfRule type="notContainsBlanks" dxfId="1783" priority="1831">
      <formula>LEN(TRIM(AB757))&gt;0</formula>
    </cfRule>
  </conditionalFormatting>
  <conditionalFormatting sqref="AB757:AF757">
    <cfRule type="notContainsBlanks" dxfId="1782" priority="1830">
      <formula>LEN(TRIM(AB757))&gt;0</formula>
    </cfRule>
  </conditionalFormatting>
  <conditionalFormatting sqref="AB757:AF757">
    <cfRule type="notContainsBlanks" dxfId="1781" priority="1829">
      <formula>LEN(TRIM(AB757))&gt;0</formula>
    </cfRule>
  </conditionalFormatting>
  <conditionalFormatting sqref="AB770:AF770">
    <cfRule type="notContainsBlanks" dxfId="1780" priority="1828">
      <formula>LEN(TRIM(AB770))&gt;0</formula>
    </cfRule>
  </conditionalFormatting>
  <conditionalFormatting sqref="AB770:AF770">
    <cfRule type="notContainsBlanks" dxfId="1779" priority="1827">
      <formula>LEN(TRIM(AB770))&gt;0</formula>
    </cfRule>
  </conditionalFormatting>
  <conditionalFormatting sqref="AB770:AF770">
    <cfRule type="notContainsBlanks" dxfId="1778" priority="1826">
      <formula>LEN(TRIM(AB770))&gt;0</formula>
    </cfRule>
  </conditionalFormatting>
  <conditionalFormatting sqref="AB770:AF770">
    <cfRule type="notContainsBlanks" dxfId="1777" priority="1825">
      <formula>LEN(TRIM(AB770))&gt;0</formula>
    </cfRule>
  </conditionalFormatting>
  <conditionalFormatting sqref="AB770:AF770">
    <cfRule type="notContainsBlanks" dxfId="1776" priority="1824">
      <formula>LEN(TRIM(AB770))&gt;0</formula>
    </cfRule>
  </conditionalFormatting>
  <conditionalFormatting sqref="AB770:AF770">
    <cfRule type="notContainsBlanks" dxfId="1775" priority="1823">
      <formula>LEN(TRIM(AB770))&gt;0</formula>
    </cfRule>
  </conditionalFormatting>
  <conditionalFormatting sqref="AB770:AF770">
    <cfRule type="notContainsBlanks" dxfId="1774" priority="1822">
      <formula>LEN(TRIM(AB770))&gt;0</formula>
    </cfRule>
  </conditionalFormatting>
  <conditionalFormatting sqref="AB770:AF770">
    <cfRule type="notContainsBlanks" dxfId="1773" priority="1821">
      <formula>LEN(TRIM(AB770))&gt;0</formula>
    </cfRule>
  </conditionalFormatting>
  <conditionalFormatting sqref="AB770:AF770">
    <cfRule type="notContainsBlanks" dxfId="1772" priority="1820">
      <formula>LEN(TRIM(AB770))&gt;0</formula>
    </cfRule>
  </conditionalFormatting>
  <conditionalFormatting sqref="AB770:AF770">
    <cfRule type="notContainsBlanks" dxfId="1771" priority="1818">
      <formula>LEN(TRIM(AB770))&gt;0</formula>
    </cfRule>
    <cfRule type="notContainsBlanks" dxfId="1770" priority="1819">
      <formula>LEN(TRIM(AB770))&gt;0</formula>
    </cfRule>
  </conditionalFormatting>
  <conditionalFormatting sqref="AB770:AF770">
    <cfRule type="notContainsBlanks" dxfId="1769" priority="1817">
      <formula>LEN(TRIM(AB770))&gt;0</formula>
    </cfRule>
  </conditionalFormatting>
  <conditionalFormatting sqref="AB770:AF770">
    <cfRule type="notContainsBlanks" dxfId="1768" priority="1816">
      <formula>LEN(TRIM(AB770))&gt;0</formula>
    </cfRule>
  </conditionalFormatting>
  <conditionalFormatting sqref="AB770:AF770">
    <cfRule type="notContainsBlanks" dxfId="1767" priority="1815">
      <formula>LEN(TRIM(AB770))&gt;0</formula>
    </cfRule>
  </conditionalFormatting>
  <conditionalFormatting sqref="AB770:AF770">
    <cfRule type="notContainsBlanks" dxfId="1766" priority="1814">
      <formula>LEN(TRIM(AB770))&gt;0</formula>
    </cfRule>
  </conditionalFormatting>
  <conditionalFormatting sqref="AB770:AF770">
    <cfRule type="notContainsBlanks" dxfId="1765" priority="1813">
      <formula>LEN(TRIM(AB770))&gt;0</formula>
    </cfRule>
  </conditionalFormatting>
  <conditionalFormatting sqref="AB770:AF770">
    <cfRule type="notContainsBlanks" dxfId="1764" priority="1812">
      <formula>LEN(TRIM(AB770))&gt;0</formula>
    </cfRule>
  </conditionalFormatting>
  <conditionalFormatting sqref="AB770:AF770">
    <cfRule type="notContainsBlanks" dxfId="1763" priority="1811">
      <formula>LEN(TRIM(AB770))&gt;0</formula>
    </cfRule>
  </conditionalFormatting>
  <conditionalFormatting sqref="AB770:AF770">
    <cfRule type="notContainsBlanks" dxfId="1762" priority="1810">
      <formula>LEN(TRIM(AB770))&gt;0</formula>
    </cfRule>
  </conditionalFormatting>
  <conditionalFormatting sqref="AB770:AF770">
    <cfRule type="notContainsBlanks" dxfId="1761" priority="1809">
      <formula>LEN(TRIM(AB770))&gt;0</formula>
    </cfRule>
  </conditionalFormatting>
  <conditionalFormatting sqref="AB770:AF770">
    <cfRule type="notContainsBlanks" priority="1808">
      <formula>LEN(TRIM(AB770))&gt;0</formula>
    </cfRule>
  </conditionalFormatting>
  <conditionalFormatting sqref="AB770:AF770">
    <cfRule type="notContainsBlanks" dxfId="1760" priority="1807">
      <formula>LEN(TRIM(AB770))&gt;0</formula>
    </cfRule>
  </conditionalFormatting>
  <conditionalFormatting sqref="AB770:AF770">
    <cfRule type="notContainsBlanks" dxfId="1759" priority="1806">
      <formula>LEN(TRIM(AB770))&gt;0</formula>
    </cfRule>
  </conditionalFormatting>
  <conditionalFormatting sqref="AB770:AF770">
    <cfRule type="notContainsBlanks" dxfId="1758" priority="1805">
      <formula>LEN(TRIM(AB770))&gt;0</formula>
    </cfRule>
  </conditionalFormatting>
  <conditionalFormatting sqref="AB770:AF770">
    <cfRule type="notContainsBlanks" dxfId="1757" priority="1804">
      <formula>LEN(TRIM(AB770))&gt;0</formula>
    </cfRule>
  </conditionalFormatting>
  <conditionalFormatting sqref="AB770:AF770">
    <cfRule type="notContainsBlanks" dxfId="1756" priority="1803">
      <formula>LEN(TRIM(AB770))&gt;0</formula>
    </cfRule>
  </conditionalFormatting>
  <conditionalFormatting sqref="AB783:AF783">
    <cfRule type="notContainsBlanks" dxfId="1755" priority="1802">
      <formula>LEN(TRIM(AB783))&gt;0</formula>
    </cfRule>
  </conditionalFormatting>
  <conditionalFormatting sqref="AB783:AF783">
    <cfRule type="notContainsBlanks" dxfId="1754" priority="1801">
      <formula>LEN(TRIM(AB783))&gt;0</formula>
    </cfRule>
  </conditionalFormatting>
  <conditionalFormatting sqref="AB783:AF783">
    <cfRule type="notContainsBlanks" dxfId="1753" priority="1800">
      <formula>LEN(TRIM(AB783))&gt;0</formula>
    </cfRule>
  </conditionalFormatting>
  <conditionalFormatting sqref="AB783:AF783">
    <cfRule type="notContainsBlanks" dxfId="1752" priority="1799">
      <formula>LEN(TRIM(AB783))&gt;0</formula>
    </cfRule>
  </conditionalFormatting>
  <conditionalFormatting sqref="AB783:AF783">
    <cfRule type="notContainsBlanks" dxfId="1751" priority="1798">
      <formula>LEN(TRIM(AB783))&gt;0</formula>
    </cfRule>
  </conditionalFormatting>
  <conditionalFormatting sqref="AB783:AF783">
    <cfRule type="notContainsBlanks" dxfId="1750" priority="1797">
      <formula>LEN(TRIM(AB783))&gt;0</formula>
    </cfRule>
  </conditionalFormatting>
  <conditionalFormatting sqref="AB783:AF783">
    <cfRule type="notContainsBlanks" dxfId="1749" priority="1796">
      <formula>LEN(TRIM(AB783))&gt;0</formula>
    </cfRule>
  </conditionalFormatting>
  <conditionalFormatting sqref="AB783:AF783">
    <cfRule type="notContainsBlanks" dxfId="1748" priority="1795">
      <formula>LEN(TRIM(AB783))&gt;0</formula>
    </cfRule>
  </conditionalFormatting>
  <conditionalFormatting sqref="AB783:AF783">
    <cfRule type="notContainsBlanks" dxfId="1747" priority="1794">
      <formula>LEN(TRIM(AB783))&gt;0</formula>
    </cfRule>
  </conditionalFormatting>
  <conditionalFormatting sqref="AB783:AF783">
    <cfRule type="notContainsBlanks" dxfId="1746" priority="1792">
      <formula>LEN(TRIM(AB783))&gt;0</formula>
    </cfRule>
    <cfRule type="notContainsBlanks" dxfId="1745" priority="1793">
      <formula>LEN(TRIM(AB783))&gt;0</formula>
    </cfRule>
  </conditionalFormatting>
  <conditionalFormatting sqref="AB783:AF783">
    <cfRule type="notContainsBlanks" dxfId="1744" priority="1791">
      <formula>LEN(TRIM(AB783))&gt;0</formula>
    </cfRule>
  </conditionalFormatting>
  <conditionalFormatting sqref="AB783:AF783">
    <cfRule type="notContainsBlanks" dxfId="1743" priority="1790">
      <formula>LEN(TRIM(AB783))&gt;0</formula>
    </cfRule>
  </conditionalFormatting>
  <conditionalFormatting sqref="AB783:AF783">
    <cfRule type="notContainsBlanks" dxfId="1742" priority="1789">
      <formula>LEN(TRIM(AB783))&gt;0</formula>
    </cfRule>
  </conditionalFormatting>
  <conditionalFormatting sqref="AB783:AF783">
    <cfRule type="notContainsBlanks" dxfId="1741" priority="1788">
      <formula>LEN(TRIM(AB783))&gt;0</formula>
    </cfRule>
  </conditionalFormatting>
  <conditionalFormatting sqref="AB783:AF783">
    <cfRule type="notContainsBlanks" dxfId="1740" priority="1787">
      <formula>LEN(TRIM(AB783))&gt;0</formula>
    </cfRule>
  </conditionalFormatting>
  <conditionalFormatting sqref="AB783:AF783">
    <cfRule type="notContainsBlanks" dxfId="1739" priority="1786">
      <formula>LEN(TRIM(AB783))&gt;0</formula>
    </cfRule>
  </conditionalFormatting>
  <conditionalFormatting sqref="AB783:AF783">
    <cfRule type="notContainsBlanks" dxfId="1738" priority="1785">
      <formula>LEN(TRIM(AB783))&gt;0</formula>
    </cfRule>
  </conditionalFormatting>
  <conditionalFormatting sqref="AB783:AF783">
    <cfRule type="notContainsBlanks" dxfId="1737" priority="1784">
      <formula>LEN(TRIM(AB783))&gt;0</formula>
    </cfRule>
  </conditionalFormatting>
  <conditionalFormatting sqref="AB783:AF783">
    <cfRule type="notContainsBlanks" dxfId="1736" priority="1783">
      <formula>LEN(TRIM(AB783))&gt;0</formula>
    </cfRule>
  </conditionalFormatting>
  <conditionalFormatting sqref="AB783:AF783">
    <cfRule type="notContainsBlanks" priority="1782">
      <formula>LEN(TRIM(AB783))&gt;0</formula>
    </cfRule>
  </conditionalFormatting>
  <conditionalFormatting sqref="AB783:AF783">
    <cfRule type="notContainsBlanks" dxfId="1735" priority="1781">
      <formula>LEN(TRIM(AB783))&gt;0</formula>
    </cfRule>
  </conditionalFormatting>
  <conditionalFormatting sqref="AB783:AF783">
    <cfRule type="notContainsBlanks" dxfId="1734" priority="1780">
      <formula>LEN(TRIM(AB783))&gt;0</formula>
    </cfRule>
  </conditionalFormatting>
  <conditionalFormatting sqref="AB783:AF783">
    <cfRule type="notContainsBlanks" dxfId="1733" priority="1779">
      <formula>LEN(TRIM(AB783))&gt;0</formula>
    </cfRule>
  </conditionalFormatting>
  <conditionalFormatting sqref="AB783:AF783">
    <cfRule type="notContainsBlanks" dxfId="1732" priority="1778">
      <formula>LEN(TRIM(AB783))&gt;0</formula>
    </cfRule>
  </conditionalFormatting>
  <conditionalFormatting sqref="AB783:AF783">
    <cfRule type="notContainsBlanks" dxfId="1731" priority="1777">
      <formula>LEN(TRIM(AB783))&gt;0</formula>
    </cfRule>
  </conditionalFormatting>
  <conditionalFormatting sqref="AB796:AF796">
    <cfRule type="notContainsBlanks" dxfId="1730" priority="1776">
      <formula>LEN(TRIM(AB796))&gt;0</formula>
    </cfRule>
  </conditionalFormatting>
  <conditionalFormatting sqref="AB796:AF796">
    <cfRule type="notContainsBlanks" dxfId="1729" priority="1775">
      <formula>LEN(TRIM(AB796))&gt;0</formula>
    </cfRule>
  </conditionalFormatting>
  <conditionalFormatting sqref="AB796:AF796">
    <cfRule type="notContainsBlanks" dxfId="1728" priority="1774">
      <formula>LEN(TRIM(AB796))&gt;0</formula>
    </cfRule>
  </conditionalFormatting>
  <conditionalFormatting sqref="AB796:AF796">
    <cfRule type="notContainsBlanks" dxfId="1727" priority="1773">
      <formula>LEN(TRIM(AB796))&gt;0</formula>
    </cfRule>
  </conditionalFormatting>
  <conditionalFormatting sqref="AB796:AF796">
    <cfRule type="notContainsBlanks" dxfId="1726" priority="1772">
      <formula>LEN(TRIM(AB796))&gt;0</formula>
    </cfRule>
  </conditionalFormatting>
  <conditionalFormatting sqref="AB796:AF796">
    <cfRule type="notContainsBlanks" dxfId="1725" priority="1771">
      <formula>LEN(TRIM(AB796))&gt;0</formula>
    </cfRule>
  </conditionalFormatting>
  <conditionalFormatting sqref="AB796:AF796">
    <cfRule type="notContainsBlanks" dxfId="1724" priority="1770">
      <formula>LEN(TRIM(AB796))&gt;0</formula>
    </cfRule>
  </conditionalFormatting>
  <conditionalFormatting sqref="AB796:AF796">
    <cfRule type="notContainsBlanks" dxfId="1723" priority="1769">
      <formula>LEN(TRIM(AB796))&gt;0</formula>
    </cfRule>
  </conditionalFormatting>
  <conditionalFormatting sqref="AB796:AF796">
    <cfRule type="notContainsBlanks" dxfId="1722" priority="1768">
      <formula>LEN(TRIM(AB796))&gt;0</formula>
    </cfRule>
  </conditionalFormatting>
  <conditionalFormatting sqref="AB796:AF796">
    <cfRule type="notContainsBlanks" dxfId="1721" priority="1766">
      <formula>LEN(TRIM(AB796))&gt;0</formula>
    </cfRule>
    <cfRule type="notContainsBlanks" dxfId="1720" priority="1767">
      <formula>LEN(TRIM(AB796))&gt;0</formula>
    </cfRule>
  </conditionalFormatting>
  <conditionalFormatting sqref="AB796:AF796">
    <cfRule type="notContainsBlanks" dxfId="1719" priority="1765">
      <formula>LEN(TRIM(AB796))&gt;0</formula>
    </cfRule>
  </conditionalFormatting>
  <conditionalFormatting sqref="AB796:AF796">
    <cfRule type="notContainsBlanks" dxfId="1718" priority="1764">
      <formula>LEN(TRIM(AB796))&gt;0</formula>
    </cfRule>
  </conditionalFormatting>
  <conditionalFormatting sqref="AB796:AF796">
    <cfRule type="notContainsBlanks" dxfId="1717" priority="1763">
      <formula>LEN(TRIM(AB796))&gt;0</formula>
    </cfRule>
  </conditionalFormatting>
  <conditionalFormatting sqref="AB796:AF796">
    <cfRule type="notContainsBlanks" dxfId="1716" priority="1762">
      <formula>LEN(TRIM(AB796))&gt;0</formula>
    </cfRule>
  </conditionalFormatting>
  <conditionalFormatting sqref="AB796:AF796">
    <cfRule type="notContainsBlanks" dxfId="1715" priority="1761">
      <formula>LEN(TRIM(AB796))&gt;0</formula>
    </cfRule>
  </conditionalFormatting>
  <conditionalFormatting sqref="AB796:AF796">
    <cfRule type="notContainsBlanks" dxfId="1714" priority="1760">
      <formula>LEN(TRIM(AB796))&gt;0</formula>
    </cfRule>
  </conditionalFormatting>
  <conditionalFormatting sqref="AB796:AF796">
    <cfRule type="notContainsBlanks" dxfId="1713" priority="1759">
      <formula>LEN(TRIM(AB796))&gt;0</formula>
    </cfRule>
  </conditionalFormatting>
  <conditionalFormatting sqref="AB796:AF796">
    <cfRule type="notContainsBlanks" dxfId="1712" priority="1758">
      <formula>LEN(TRIM(AB796))&gt;0</formula>
    </cfRule>
  </conditionalFormatting>
  <conditionalFormatting sqref="AB796:AF796">
    <cfRule type="notContainsBlanks" dxfId="1711" priority="1757">
      <formula>LEN(TRIM(AB796))&gt;0</formula>
    </cfRule>
  </conditionalFormatting>
  <conditionalFormatting sqref="AB796:AF796">
    <cfRule type="notContainsBlanks" priority="1756">
      <formula>LEN(TRIM(AB796))&gt;0</formula>
    </cfRule>
  </conditionalFormatting>
  <conditionalFormatting sqref="AB796:AF796">
    <cfRule type="notContainsBlanks" dxfId="1710" priority="1755">
      <formula>LEN(TRIM(AB796))&gt;0</formula>
    </cfRule>
  </conditionalFormatting>
  <conditionalFormatting sqref="AB796:AF796">
    <cfRule type="notContainsBlanks" dxfId="1709" priority="1754">
      <formula>LEN(TRIM(AB796))&gt;0</formula>
    </cfRule>
  </conditionalFormatting>
  <conditionalFormatting sqref="AB796:AF796">
    <cfRule type="notContainsBlanks" dxfId="1708" priority="1753">
      <formula>LEN(TRIM(AB796))&gt;0</formula>
    </cfRule>
  </conditionalFormatting>
  <conditionalFormatting sqref="AB796:AF796">
    <cfRule type="notContainsBlanks" dxfId="1707" priority="1752">
      <formula>LEN(TRIM(AB796))&gt;0</formula>
    </cfRule>
  </conditionalFormatting>
  <conditionalFormatting sqref="AB796:AF796">
    <cfRule type="notContainsBlanks" dxfId="1706" priority="1751">
      <formula>LEN(TRIM(AB796))&gt;0</formula>
    </cfRule>
  </conditionalFormatting>
  <conditionalFormatting sqref="AB809:AF809">
    <cfRule type="notContainsBlanks" dxfId="1705" priority="1750">
      <formula>LEN(TRIM(AB809))&gt;0</formula>
    </cfRule>
  </conditionalFormatting>
  <conditionalFormatting sqref="AB809:AF809">
    <cfRule type="notContainsBlanks" dxfId="1704" priority="1749">
      <formula>LEN(TRIM(AB809))&gt;0</formula>
    </cfRule>
  </conditionalFormatting>
  <conditionalFormatting sqref="AB809:AF809">
    <cfRule type="notContainsBlanks" dxfId="1703" priority="1748">
      <formula>LEN(TRIM(AB809))&gt;0</formula>
    </cfRule>
  </conditionalFormatting>
  <conditionalFormatting sqref="AB809:AF809">
    <cfRule type="notContainsBlanks" dxfId="1702" priority="1747">
      <formula>LEN(TRIM(AB809))&gt;0</formula>
    </cfRule>
  </conditionalFormatting>
  <conditionalFormatting sqref="AB809:AF809">
    <cfRule type="notContainsBlanks" dxfId="1701" priority="1746">
      <formula>LEN(TRIM(AB809))&gt;0</formula>
    </cfRule>
  </conditionalFormatting>
  <conditionalFormatting sqref="AB809:AF809">
    <cfRule type="notContainsBlanks" dxfId="1700" priority="1745">
      <formula>LEN(TRIM(AB809))&gt;0</formula>
    </cfRule>
  </conditionalFormatting>
  <conditionalFormatting sqref="AB809:AF809">
    <cfRule type="notContainsBlanks" dxfId="1699" priority="1744">
      <formula>LEN(TRIM(AB809))&gt;0</formula>
    </cfRule>
  </conditionalFormatting>
  <conditionalFormatting sqref="AB809:AF809">
    <cfRule type="notContainsBlanks" dxfId="1698" priority="1743">
      <formula>LEN(TRIM(AB809))&gt;0</formula>
    </cfRule>
  </conditionalFormatting>
  <conditionalFormatting sqref="AB809:AF809">
    <cfRule type="notContainsBlanks" dxfId="1697" priority="1742">
      <formula>LEN(TRIM(AB809))&gt;0</formula>
    </cfRule>
  </conditionalFormatting>
  <conditionalFormatting sqref="AB809:AF809">
    <cfRule type="notContainsBlanks" dxfId="1696" priority="1740">
      <formula>LEN(TRIM(AB809))&gt;0</formula>
    </cfRule>
    <cfRule type="notContainsBlanks" dxfId="1695" priority="1741">
      <formula>LEN(TRIM(AB809))&gt;0</formula>
    </cfRule>
  </conditionalFormatting>
  <conditionalFormatting sqref="AB809:AF809">
    <cfRule type="notContainsBlanks" dxfId="1694" priority="1739">
      <formula>LEN(TRIM(AB809))&gt;0</formula>
    </cfRule>
  </conditionalFormatting>
  <conditionalFormatting sqref="AB809:AF809">
    <cfRule type="notContainsBlanks" dxfId="1693" priority="1738">
      <formula>LEN(TRIM(AB809))&gt;0</formula>
    </cfRule>
  </conditionalFormatting>
  <conditionalFormatting sqref="AB809:AF809">
    <cfRule type="notContainsBlanks" dxfId="1692" priority="1737">
      <formula>LEN(TRIM(AB809))&gt;0</formula>
    </cfRule>
  </conditionalFormatting>
  <conditionalFormatting sqref="AB809:AF809">
    <cfRule type="notContainsBlanks" dxfId="1691" priority="1736">
      <formula>LEN(TRIM(AB809))&gt;0</formula>
    </cfRule>
  </conditionalFormatting>
  <conditionalFormatting sqref="AB809:AF809">
    <cfRule type="notContainsBlanks" dxfId="1690" priority="1735">
      <formula>LEN(TRIM(AB809))&gt;0</formula>
    </cfRule>
  </conditionalFormatting>
  <conditionalFormatting sqref="AB809:AF809">
    <cfRule type="notContainsBlanks" dxfId="1689" priority="1734">
      <formula>LEN(TRIM(AB809))&gt;0</formula>
    </cfRule>
  </conditionalFormatting>
  <conditionalFormatting sqref="AB809:AF809">
    <cfRule type="notContainsBlanks" dxfId="1688" priority="1733">
      <formula>LEN(TRIM(AB809))&gt;0</formula>
    </cfRule>
  </conditionalFormatting>
  <conditionalFormatting sqref="AB809:AF809">
    <cfRule type="notContainsBlanks" dxfId="1687" priority="1732">
      <formula>LEN(TRIM(AB809))&gt;0</formula>
    </cfRule>
  </conditionalFormatting>
  <conditionalFormatting sqref="AB809:AF809">
    <cfRule type="notContainsBlanks" dxfId="1686" priority="1731">
      <formula>LEN(TRIM(AB809))&gt;0</formula>
    </cfRule>
  </conditionalFormatting>
  <conditionalFormatting sqref="AB809:AF809">
    <cfRule type="notContainsBlanks" priority="1730">
      <formula>LEN(TRIM(AB809))&gt;0</formula>
    </cfRule>
  </conditionalFormatting>
  <conditionalFormatting sqref="AB809:AF809">
    <cfRule type="notContainsBlanks" dxfId="1685" priority="1729">
      <formula>LEN(TRIM(AB809))&gt;0</formula>
    </cfRule>
  </conditionalFormatting>
  <conditionalFormatting sqref="AB809:AF809">
    <cfRule type="notContainsBlanks" dxfId="1684" priority="1728">
      <formula>LEN(TRIM(AB809))&gt;0</formula>
    </cfRule>
  </conditionalFormatting>
  <conditionalFormatting sqref="AB809:AF809">
    <cfRule type="notContainsBlanks" dxfId="1683" priority="1727">
      <formula>LEN(TRIM(AB809))&gt;0</formula>
    </cfRule>
  </conditionalFormatting>
  <conditionalFormatting sqref="AB809:AF809">
    <cfRule type="notContainsBlanks" dxfId="1682" priority="1726">
      <formula>LEN(TRIM(AB809))&gt;0</formula>
    </cfRule>
  </conditionalFormatting>
  <conditionalFormatting sqref="AB809:AF809">
    <cfRule type="notContainsBlanks" dxfId="1681" priority="1725">
      <formula>LEN(TRIM(AB809))&gt;0</formula>
    </cfRule>
  </conditionalFormatting>
  <conditionalFormatting sqref="AB822:AF822">
    <cfRule type="notContainsBlanks" dxfId="1680" priority="1724">
      <formula>LEN(TRIM(AB822))&gt;0</formula>
    </cfRule>
  </conditionalFormatting>
  <conditionalFormatting sqref="AB822:AF822">
    <cfRule type="notContainsBlanks" dxfId="1679" priority="1723">
      <formula>LEN(TRIM(AB822))&gt;0</formula>
    </cfRule>
  </conditionalFormatting>
  <conditionalFormatting sqref="AB822:AF822">
    <cfRule type="notContainsBlanks" dxfId="1678" priority="1722">
      <formula>LEN(TRIM(AB822))&gt;0</formula>
    </cfRule>
  </conditionalFormatting>
  <conditionalFormatting sqref="AB822:AF822">
    <cfRule type="notContainsBlanks" dxfId="1677" priority="1721">
      <formula>LEN(TRIM(AB822))&gt;0</formula>
    </cfRule>
  </conditionalFormatting>
  <conditionalFormatting sqref="AB822:AF822">
    <cfRule type="notContainsBlanks" dxfId="1676" priority="1720">
      <formula>LEN(TRIM(AB822))&gt;0</formula>
    </cfRule>
  </conditionalFormatting>
  <conditionalFormatting sqref="AB822:AF822">
    <cfRule type="notContainsBlanks" dxfId="1675" priority="1719">
      <formula>LEN(TRIM(AB822))&gt;0</formula>
    </cfRule>
  </conditionalFormatting>
  <conditionalFormatting sqref="AB822:AF822">
    <cfRule type="notContainsBlanks" dxfId="1674" priority="1718">
      <formula>LEN(TRIM(AB822))&gt;0</formula>
    </cfRule>
  </conditionalFormatting>
  <conditionalFormatting sqref="AB822:AF822">
    <cfRule type="notContainsBlanks" dxfId="1673" priority="1717">
      <formula>LEN(TRIM(AB822))&gt;0</formula>
    </cfRule>
  </conditionalFormatting>
  <conditionalFormatting sqref="AB822:AF822">
    <cfRule type="notContainsBlanks" dxfId="1672" priority="1716">
      <formula>LEN(TRIM(AB822))&gt;0</formula>
    </cfRule>
  </conditionalFormatting>
  <conditionalFormatting sqref="AB822:AF822">
    <cfRule type="notContainsBlanks" dxfId="1671" priority="1714">
      <formula>LEN(TRIM(AB822))&gt;0</formula>
    </cfRule>
    <cfRule type="notContainsBlanks" dxfId="1670" priority="1715">
      <formula>LEN(TRIM(AB822))&gt;0</formula>
    </cfRule>
  </conditionalFormatting>
  <conditionalFormatting sqref="AB822:AF822">
    <cfRule type="notContainsBlanks" dxfId="1669" priority="1713">
      <formula>LEN(TRIM(AB822))&gt;0</formula>
    </cfRule>
  </conditionalFormatting>
  <conditionalFormatting sqref="AB822:AF822">
    <cfRule type="notContainsBlanks" dxfId="1668" priority="1712">
      <formula>LEN(TRIM(AB822))&gt;0</formula>
    </cfRule>
  </conditionalFormatting>
  <conditionalFormatting sqref="AB822:AF822">
    <cfRule type="notContainsBlanks" dxfId="1667" priority="1711">
      <formula>LEN(TRIM(AB822))&gt;0</formula>
    </cfRule>
  </conditionalFormatting>
  <conditionalFormatting sqref="AB822:AF822">
    <cfRule type="notContainsBlanks" dxfId="1666" priority="1710">
      <formula>LEN(TRIM(AB822))&gt;0</formula>
    </cfRule>
  </conditionalFormatting>
  <conditionalFormatting sqref="AB822:AF822">
    <cfRule type="notContainsBlanks" dxfId="1665" priority="1709">
      <formula>LEN(TRIM(AB822))&gt;0</formula>
    </cfRule>
  </conditionalFormatting>
  <conditionalFormatting sqref="AB822:AF822">
    <cfRule type="notContainsBlanks" dxfId="1664" priority="1708">
      <formula>LEN(TRIM(AB822))&gt;0</formula>
    </cfRule>
  </conditionalFormatting>
  <conditionalFormatting sqref="AB822:AF822">
    <cfRule type="notContainsBlanks" dxfId="1663" priority="1707">
      <formula>LEN(TRIM(AB822))&gt;0</formula>
    </cfRule>
  </conditionalFormatting>
  <conditionalFormatting sqref="AB822:AF822">
    <cfRule type="notContainsBlanks" dxfId="1662" priority="1706">
      <formula>LEN(TRIM(AB822))&gt;0</formula>
    </cfRule>
  </conditionalFormatting>
  <conditionalFormatting sqref="AB822:AF822">
    <cfRule type="notContainsBlanks" dxfId="1661" priority="1705">
      <formula>LEN(TRIM(AB822))&gt;0</formula>
    </cfRule>
  </conditionalFormatting>
  <conditionalFormatting sqref="AB822:AF822">
    <cfRule type="notContainsBlanks" priority="1704">
      <formula>LEN(TRIM(AB822))&gt;0</formula>
    </cfRule>
  </conditionalFormatting>
  <conditionalFormatting sqref="AB822:AF822">
    <cfRule type="notContainsBlanks" dxfId="1660" priority="1703">
      <formula>LEN(TRIM(AB822))&gt;0</formula>
    </cfRule>
  </conditionalFormatting>
  <conditionalFormatting sqref="AB822:AF822">
    <cfRule type="notContainsBlanks" dxfId="1659" priority="1702">
      <formula>LEN(TRIM(AB822))&gt;0</formula>
    </cfRule>
  </conditionalFormatting>
  <conditionalFormatting sqref="AB822:AF822">
    <cfRule type="notContainsBlanks" dxfId="1658" priority="1701">
      <formula>LEN(TRIM(AB822))&gt;0</formula>
    </cfRule>
  </conditionalFormatting>
  <conditionalFormatting sqref="AB822:AF822">
    <cfRule type="notContainsBlanks" dxfId="1657" priority="1700">
      <formula>LEN(TRIM(AB822))&gt;0</formula>
    </cfRule>
  </conditionalFormatting>
  <conditionalFormatting sqref="AB822:AF822">
    <cfRule type="notContainsBlanks" dxfId="1656" priority="1699">
      <formula>LEN(TRIM(AB822))&gt;0</formula>
    </cfRule>
  </conditionalFormatting>
  <conditionalFormatting sqref="AB835:AF835">
    <cfRule type="notContainsBlanks" dxfId="1655" priority="1698">
      <formula>LEN(TRIM(AB835))&gt;0</formula>
    </cfRule>
  </conditionalFormatting>
  <conditionalFormatting sqref="AB835:AF835">
    <cfRule type="notContainsBlanks" dxfId="1654" priority="1697">
      <formula>LEN(TRIM(AB835))&gt;0</formula>
    </cfRule>
  </conditionalFormatting>
  <conditionalFormatting sqref="AB835:AF835">
    <cfRule type="notContainsBlanks" dxfId="1653" priority="1696">
      <formula>LEN(TRIM(AB835))&gt;0</formula>
    </cfRule>
  </conditionalFormatting>
  <conditionalFormatting sqref="AB835:AF835">
    <cfRule type="notContainsBlanks" dxfId="1652" priority="1695">
      <formula>LEN(TRIM(AB835))&gt;0</formula>
    </cfRule>
  </conditionalFormatting>
  <conditionalFormatting sqref="AB835:AF835">
    <cfRule type="notContainsBlanks" dxfId="1651" priority="1694">
      <formula>LEN(TRIM(AB835))&gt;0</formula>
    </cfRule>
  </conditionalFormatting>
  <conditionalFormatting sqref="AB835:AF835">
    <cfRule type="notContainsBlanks" dxfId="1650" priority="1693">
      <formula>LEN(TRIM(AB835))&gt;0</formula>
    </cfRule>
  </conditionalFormatting>
  <conditionalFormatting sqref="AB835:AF835">
    <cfRule type="notContainsBlanks" dxfId="1649" priority="1692">
      <formula>LEN(TRIM(AB835))&gt;0</formula>
    </cfRule>
  </conditionalFormatting>
  <conditionalFormatting sqref="AB835:AF835">
    <cfRule type="notContainsBlanks" dxfId="1648" priority="1691">
      <formula>LEN(TRIM(AB835))&gt;0</formula>
    </cfRule>
  </conditionalFormatting>
  <conditionalFormatting sqref="AB835:AF835">
    <cfRule type="notContainsBlanks" dxfId="1647" priority="1690">
      <formula>LEN(TRIM(AB835))&gt;0</formula>
    </cfRule>
  </conditionalFormatting>
  <conditionalFormatting sqref="AB835:AF835">
    <cfRule type="notContainsBlanks" dxfId="1646" priority="1688">
      <formula>LEN(TRIM(AB835))&gt;0</formula>
    </cfRule>
    <cfRule type="notContainsBlanks" dxfId="1645" priority="1689">
      <formula>LEN(TRIM(AB835))&gt;0</formula>
    </cfRule>
  </conditionalFormatting>
  <conditionalFormatting sqref="AB835:AF835">
    <cfRule type="notContainsBlanks" dxfId="1644" priority="1687">
      <formula>LEN(TRIM(AB835))&gt;0</formula>
    </cfRule>
  </conditionalFormatting>
  <conditionalFormatting sqref="AB835:AF835">
    <cfRule type="notContainsBlanks" dxfId="1643" priority="1686">
      <formula>LEN(TRIM(AB835))&gt;0</formula>
    </cfRule>
  </conditionalFormatting>
  <conditionalFormatting sqref="AB835:AF835">
    <cfRule type="notContainsBlanks" dxfId="1642" priority="1685">
      <formula>LEN(TRIM(AB835))&gt;0</formula>
    </cfRule>
  </conditionalFormatting>
  <conditionalFormatting sqref="AB835:AF835">
    <cfRule type="notContainsBlanks" dxfId="1641" priority="1684">
      <formula>LEN(TRIM(AB835))&gt;0</formula>
    </cfRule>
  </conditionalFormatting>
  <conditionalFormatting sqref="AB835:AF835">
    <cfRule type="notContainsBlanks" dxfId="1640" priority="1683">
      <formula>LEN(TRIM(AB835))&gt;0</formula>
    </cfRule>
  </conditionalFormatting>
  <conditionalFormatting sqref="AB835:AF835">
    <cfRule type="notContainsBlanks" dxfId="1639" priority="1682">
      <formula>LEN(TRIM(AB835))&gt;0</formula>
    </cfRule>
  </conditionalFormatting>
  <conditionalFormatting sqref="AB835:AF835">
    <cfRule type="notContainsBlanks" dxfId="1638" priority="1681">
      <formula>LEN(TRIM(AB835))&gt;0</formula>
    </cfRule>
  </conditionalFormatting>
  <conditionalFormatting sqref="AB835:AF835">
    <cfRule type="notContainsBlanks" dxfId="1637" priority="1680">
      <formula>LEN(TRIM(AB835))&gt;0</formula>
    </cfRule>
  </conditionalFormatting>
  <conditionalFormatting sqref="AB835:AF835">
    <cfRule type="notContainsBlanks" dxfId="1636" priority="1679">
      <formula>LEN(TRIM(AB835))&gt;0</formula>
    </cfRule>
  </conditionalFormatting>
  <conditionalFormatting sqref="AB835:AF835">
    <cfRule type="notContainsBlanks" priority="1678">
      <formula>LEN(TRIM(AB835))&gt;0</formula>
    </cfRule>
  </conditionalFormatting>
  <conditionalFormatting sqref="AB835:AF835">
    <cfRule type="notContainsBlanks" dxfId="1635" priority="1677">
      <formula>LEN(TRIM(AB835))&gt;0</formula>
    </cfRule>
  </conditionalFormatting>
  <conditionalFormatting sqref="AB835:AF835">
    <cfRule type="notContainsBlanks" dxfId="1634" priority="1676">
      <formula>LEN(TRIM(AB835))&gt;0</formula>
    </cfRule>
  </conditionalFormatting>
  <conditionalFormatting sqref="AB835:AF835">
    <cfRule type="notContainsBlanks" dxfId="1633" priority="1675">
      <formula>LEN(TRIM(AB835))&gt;0</formula>
    </cfRule>
  </conditionalFormatting>
  <conditionalFormatting sqref="AB835:AF835">
    <cfRule type="notContainsBlanks" dxfId="1632" priority="1674">
      <formula>LEN(TRIM(AB835))&gt;0</formula>
    </cfRule>
  </conditionalFormatting>
  <conditionalFormatting sqref="AB835:AF835">
    <cfRule type="notContainsBlanks" dxfId="1631" priority="1673">
      <formula>LEN(TRIM(AB835))&gt;0</formula>
    </cfRule>
  </conditionalFormatting>
  <conditionalFormatting sqref="AB848:AF848">
    <cfRule type="notContainsBlanks" dxfId="1630" priority="1672">
      <formula>LEN(TRIM(AB848))&gt;0</formula>
    </cfRule>
  </conditionalFormatting>
  <conditionalFormatting sqref="AB848:AF848">
    <cfRule type="notContainsBlanks" dxfId="1629" priority="1671">
      <formula>LEN(TRIM(AB848))&gt;0</formula>
    </cfRule>
  </conditionalFormatting>
  <conditionalFormatting sqref="AB848:AF848">
    <cfRule type="notContainsBlanks" dxfId="1628" priority="1670">
      <formula>LEN(TRIM(AB848))&gt;0</formula>
    </cfRule>
  </conditionalFormatting>
  <conditionalFormatting sqref="AB848:AF848">
    <cfRule type="notContainsBlanks" dxfId="1627" priority="1669">
      <formula>LEN(TRIM(AB848))&gt;0</formula>
    </cfRule>
  </conditionalFormatting>
  <conditionalFormatting sqref="AB848:AF848">
    <cfRule type="notContainsBlanks" dxfId="1626" priority="1668">
      <formula>LEN(TRIM(AB848))&gt;0</formula>
    </cfRule>
  </conditionalFormatting>
  <conditionalFormatting sqref="AB848:AF848">
    <cfRule type="notContainsBlanks" dxfId="1625" priority="1667">
      <formula>LEN(TRIM(AB848))&gt;0</formula>
    </cfRule>
  </conditionalFormatting>
  <conditionalFormatting sqref="AB848:AF848">
    <cfRule type="notContainsBlanks" dxfId="1624" priority="1666">
      <formula>LEN(TRIM(AB848))&gt;0</formula>
    </cfRule>
  </conditionalFormatting>
  <conditionalFormatting sqref="AB848:AF848">
    <cfRule type="notContainsBlanks" dxfId="1623" priority="1665">
      <formula>LEN(TRIM(AB848))&gt;0</formula>
    </cfRule>
  </conditionalFormatting>
  <conditionalFormatting sqref="AB848:AF848">
    <cfRule type="notContainsBlanks" dxfId="1622" priority="1664">
      <formula>LEN(TRIM(AB848))&gt;0</formula>
    </cfRule>
  </conditionalFormatting>
  <conditionalFormatting sqref="AB848:AF848">
    <cfRule type="notContainsBlanks" dxfId="1621" priority="1662">
      <formula>LEN(TRIM(AB848))&gt;0</formula>
    </cfRule>
    <cfRule type="notContainsBlanks" dxfId="1620" priority="1663">
      <formula>LEN(TRIM(AB848))&gt;0</formula>
    </cfRule>
  </conditionalFormatting>
  <conditionalFormatting sqref="AB848:AF848">
    <cfRule type="notContainsBlanks" dxfId="1619" priority="1661">
      <formula>LEN(TRIM(AB848))&gt;0</formula>
    </cfRule>
  </conditionalFormatting>
  <conditionalFormatting sqref="AB848:AF848">
    <cfRule type="notContainsBlanks" dxfId="1618" priority="1660">
      <formula>LEN(TRIM(AB848))&gt;0</formula>
    </cfRule>
  </conditionalFormatting>
  <conditionalFormatting sqref="AB848:AF848">
    <cfRule type="notContainsBlanks" dxfId="1617" priority="1659">
      <formula>LEN(TRIM(AB848))&gt;0</formula>
    </cfRule>
  </conditionalFormatting>
  <conditionalFormatting sqref="AB848:AF848">
    <cfRule type="notContainsBlanks" dxfId="1616" priority="1658">
      <formula>LEN(TRIM(AB848))&gt;0</formula>
    </cfRule>
  </conditionalFormatting>
  <conditionalFormatting sqref="AB848:AF848">
    <cfRule type="notContainsBlanks" dxfId="1615" priority="1657">
      <formula>LEN(TRIM(AB848))&gt;0</formula>
    </cfRule>
  </conditionalFormatting>
  <conditionalFormatting sqref="AB848:AF848">
    <cfRule type="notContainsBlanks" dxfId="1614" priority="1656">
      <formula>LEN(TRIM(AB848))&gt;0</formula>
    </cfRule>
  </conditionalFormatting>
  <conditionalFormatting sqref="AB848:AF848">
    <cfRule type="notContainsBlanks" dxfId="1613" priority="1655">
      <formula>LEN(TRIM(AB848))&gt;0</formula>
    </cfRule>
  </conditionalFormatting>
  <conditionalFormatting sqref="AB848:AF848">
    <cfRule type="notContainsBlanks" dxfId="1612" priority="1654">
      <formula>LEN(TRIM(AB848))&gt;0</formula>
    </cfRule>
  </conditionalFormatting>
  <conditionalFormatting sqref="AB848:AF848">
    <cfRule type="notContainsBlanks" dxfId="1611" priority="1653">
      <formula>LEN(TRIM(AB848))&gt;0</formula>
    </cfRule>
  </conditionalFormatting>
  <conditionalFormatting sqref="AB848:AF848">
    <cfRule type="notContainsBlanks" priority="1652">
      <formula>LEN(TRIM(AB848))&gt;0</formula>
    </cfRule>
  </conditionalFormatting>
  <conditionalFormatting sqref="AB848:AF848">
    <cfRule type="notContainsBlanks" dxfId="1610" priority="1651">
      <formula>LEN(TRIM(AB848))&gt;0</formula>
    </cfRule>
  </conditionalFormatting>
  <conditionalFormatting sqref="AB848:AF848">
    <cfRule type="notContainsBlanks" dxfId="1609" priority="1650">
      <formula>LEN(TRIM(AB848))&gt;0</formula>
    </cfRule>
  </conditionalFormatting>
  <conditionalFormatting sqref="AB848:AF848">
    <cfRule type="notContainsBlanks" dxfId="1608" priority="1649">
      <formula>LEN(TRIM(AB848))&gt;0</formula>
    </cfRule>
  </conditionalFormatting>
  <conditionalFormatting sqref="AB848:AF848">
    <cfRule type="notContainsBlanks" dxfId="1607" priority="1648">
      <formula>LEN(TRIM(AB848))&gt;0</formula>
    </cfRule>
  </conditionalFormatting>
  <conditionalFormatting sqref="AB848:AF848">
    <cfRule type="notContainsBlanks" dxfId="1606" priority="1647">
      <formula>LEN(TRIM(AB848))&gt;0</formula>
    </cfRule>
  </conditionalFormatting>
  <conditionalFormatting sqref="AB861:AF861">
    <cfRule type="notContainsBlanks" dxfId="1605" priority="1646">
      <formula>LEN(TRIM(AB861))&gt;0</formula>
    </cfRule>
  </conditionalFormatting>
  <conditionalFormatting sqref="AB861:AF861">
    <cfRule type="notContainsBlanks" dxfId="1604" priority="1645">
      <formula>LEN(TRIM(AB861))&gt;0</formula>
    </cfRule>
  </conditionalFormatting>
  <conditionalFormatting sqref="AB861:AF861">
    <cfRule type="notContainsBlanks" dxfId="1603" priority="1644">
      <formula>LEN(TRIM(AB861))&gt;0</formula>
    </cfRule>
  </conditionalFormatting>
  <conditionalFormatting sqref="AB861:AF861">
    <cfRule type="notContainsBlanks" dxfId="1602" priority="1643">
      <formula>LEN(TRIM(AB861))&gt;0</formula>
    </cfRule>
  </conditionalFormatting>
  <conditionalFormatting sqref="AB861:AF861">
    <cfRule type="notContainsBlanks" dxfId="1601" priority="1642">
      <formula>LEN(TRIM(AB861))&gt;0</formula>
    </cfRule>
  </conditionalFormatting>
  <conditionalFormatting sqref="AB861:AF861">
    <cfRule type="notContainsBlanks" dxfId="1600" priority="1641">
      <formula>LEN(TRIM(AB861))&gt;0</formula>
    </cfRule>
  </conditionalFormatting>
  <conditionalFormatting sqref="AB861:AF861">
    <cfRule type="notContainsBlanks" dxfId="1599" priority="1640">
      <formula>LEN(TRIM(AB861))&gt;0</formula>
    </cfRule>
  </conditionalFormatting>
  <conditionalFormatting sqref="AB861:AF861">
    <cfRule type="notContainsBlanks" dxfId="1598" priority="1639">
      <formula>LEN(TRIM(AB861))&gt;0</formula>
    </cfRule>
  </conditionalFormatting>
  <conditionalFormatting sqref="AB861:AF861">
    <cfRule type="notContainsBlanks" dxfId="1597" priority="1638">
      <formula>LEN(TRIM(AB861))&gt;0</formula>
    </cfRule>
  </conditionalFormatting>
  <conditionalFormatting sqref="AB861:AF861">
    <cfRule type="notContainsBlanks" dxfId="1596" priority="1636">
      <formula>LEN(TRIM(AB861))&gt;0</formula>
    </cfRule>
    <cfRule type="notContainsBlanks" dxfId="1595" priority="1637">
      <formula>LEN(TRIM(AB861))&gt;0</formula>
    </cfRule>
  </conditionalFormatting>
  <conditionalFormatting sqref="AB861:AF861">
    <cfRule type="notContainsBlanks" dxfId="1594" priority="1635">
      <formula>LEN(TRIM(AB861))&gt;0</formula>
    </cfRule>
  </conditionalFormatting>
  <conditionalFormatting sqref="AB861:AF861">
    <cfRule type="notContainsBlanks" dxfId="1593" priority="1634">
      <formula>LEN(TRIM(AB861))&gt;0</formula>
    </cfRule>
  </conditionalFormatting>
  <conditionalFormatting sqref="AB861:AF861">
    <cfRule type="notContainsBlanks" dxfId="1592" priority="1633">
      <formula>LEN(TRIM(AB861))&gt;0</formula>
    </cfRule>
  </conditionalFormatting>
  <conditionalFormatting sqref="AB861:AF861">
    <cfRule type="notContainsBlanks" dxfId="1591" priority="1632">
      <formula>LEN(TRIM(AB861))&gt;0</formula>
    </cfRule>
  </conditionalFormatting>
  <conditionalFormatting sqref="AB861:AF861">
    <cfRule type="notContainsBlanks" dxfId="1590" priority="1631">
      <formula>LEN(TRIM(AB861))&gt;0</formula>
    </cfRule>
  </conditionalFormatting>
  <conditionalFormatting sqref="AB861:AF861">
    <cfRule type="notContainsBlanks" dxfId="1589" priority="1630">
      <formula>LEN(TRIM(AB861))&gt;0</formula>
    </cfRule>
  </conditionalFormatting>
  <conditionalFormatting sqref="AB861:AF861">
    <cfRule type="notContainsBlanks" dxfId="1588" priority="1629">
      <formula>LEN(TRIM(AB861))&gt;0</formula>
    </cfRule>
  </conditionalFormatting>
  <conditionalFormatting sqref="AB861:AF861">
    <cfRule type="notContainsBlanks" dxfId="1587" priority="1628">
      <formula>LEN(TRIM(AB861))&gt;0</formula>
    </cfRule>
  </conditionalFormatting>
  <conditionalFormatting sqref="AB861:AF861">
    <cfRule type="notContainsBlanks" dxfId="1586" priority="1627">
      <formula>LEN(TRIM(AB861))&gt;0</formula>
    </cfRule>
  </conditionalFormatting>
  <conditionalFormatting sqref="AB861:AF861">
    <cfRule type="notContainsBlanks" priority="1626">
      <formula>LEN(TRIM(AB861))&gt;0</formula>
    </cfRule>
  </conditionalFormatting>
  <conditionalFormatting sqref="AB861:AF861">
    <cfRule type="notContainsBlanks" dxfId="1585" priority="1625">
      <formula>LEN(TRIM(AB861))&gt;0</formula>
    </cfRule>
  </conditionalFormatting>
  <conditionalFormatting sqref="AB861:AF861">
    <cfRule type="notContainsBlanks" dxfId="1584" priority="1624">
      <formula>LEN(TRIM(AB861))&gt;0</formula>
    </cfRule>
  </conditionalFormatting>
  <conditionalFormatting sqref="AB861:AF861">
    <cfRule type="notContainsBlanks" dxfId="1583" priority="1623">
      <formula>LEN(TRIM(AB861))&gt;0</formula>
    </cfRule>
  </conditionalFormatting>
  <conditionalFormatting sqref="AB861:AF861">
    <cfRule type="notContainsBlanks" dxfId="1582" priority="1622">
      <formula>LEN(TRIM(AB861))&gt;0</formula>
    </cfRule>
  </conditionalFormatting>
  <conditionalFormatting sqref="AB861:AF861">
    <cfRule type="notContainsBlanks" dxfId="1581" priority="1621">
      <formula>LEN(TRIM(AB861))&gt;0</formula>
    </cfRule>
  </conditionalFormatting>
  <conditionalFormatting sqref="AB874:AF874">
    <cfRule type="notContainsBlanks" dxfId="1580" priority="1620">
      <formula>LEN(TRIM(AB874))&gt;0</formula>
    </cfRule>
  </conditionalFormatting>
  <conditionalFormatting sqref="AB874:AF874">
    <cfRule type="notContainsBlanks" dxfId="1579" priority="1619">
      <formula>LEN(TRIM(AB874))&gt;0</formula>
    </cfRule>
  </conditionalFormatting>
  <conditionalFormatting sqref="AB874:AF874">
    <cfRule type="notContainsBlanks" dxfId="1578" priority="1618">
      <formula>LEN(TRIM(AB874))&gt;0</formula>
    </cfRule>
  </conditionalFormatting>
  <conditionalFormatting sqref="AB874:AF874">
    <cfRule type="notContainsBlanks" dxfId="1577" priority="1617">
      <formula>LEN(TRIM(AB874))&gt;0</formula>
    </cfRule>
  </conditionalFormatting>
  <conditionalFormatting sqref="AB874:AF874">
    <cfRule type="notContainsBlanks" dxfId="1576" priority="1616">
      <formula>LEN(TRIM(AB874))&gt;0</formula>
    </cfRule>
  </conditionalFormatting>
  <conditionalFormatting sqref="AB874:AF874">
    <cfRule type="notContainsBlanks" dxfId="1575" priority="1615">
      <formula>LEN(TRIM(AB874))&gt;0</formula>
    </cfRule>
  </conditionalFormatting>
  <conditionalFormatting sqref="AB874:AF874">
    <cfRule type="notContainsBlanks" dxfId="1574" priority="1614">
      <formula>LEN(TRIM(AB874))&gt;0</formula>
    </cfRule>
  </conditionalFormatting>
  <conditionalFormatting sqref="AB874:AF874">
    <cfRule type="notContainsBlanks" dxfId="1573" priority="1613">
      <formula>LEN(TRIM(AB874))&gt;0</formula>
    </cfRule>
  </conditionalFormatting>
  <conditionalFormatting sqref="AB874:AF874">
    <cfRule type="notContainsBlanks" dxfId="1572" priority="1612">
      <formula>LEN(TRIM(AB874))&gt;0</formula>
    </cfRule>
  </conditionalFormatting>
  <conditionalFormatting sqref="AB874:AF874">
    <cfRule type="notContainsBlanks" dxfId="1571" priority="1610">
      <formula>LEN(TRIM(AB874))&gt;0</formula>
    </cfRule>
    <cfRule type="notContainsBlanks" dxfId="1570" priority="1611">
      <formula>LEN(TRIM(AB874))&gt;0</formula>
    </cfRule>
  </conditionalFormatting>
  <conditionalFormatting sqref="AB874:AF874">
    <cfRule type="notContainsBlanks" dxfId="1569" priority="1609">
      <formula>LEN(TRIM(AB874))&gt;0</formula>
    </cfRule>
  </conditionalFormatting>
  <conditionalFormatting sqref="AB874:AF874">
    <cfRule type="notContainsBlanks" dxfId="1568" priority="1608">
      <formula>LEN(TRIM(AB874))&gt;0</formula>
    </cfRule>
  </conditionalFormatting>
  <conditionalFormatting sqref="AB874:AF874">
    <cfRule type="notContainsBlanks" dxfId="1567" priority="1607">
      <formula>LEN(TRIM(AB874))&gt;0</formula>
    </cfRule>
  </conditionalFormatting>
  <conditionalFormatting sqref="AB874:AF874">
    <cfRule type="notContainsBlanks" dxfId="1566" priority="1606">
      <formula>LEN(TRIM(AB874))&gt;0</formula>
    </cfRule>
  </conditionalFormatting>
  <conditionalFormatting sqref="AB874:AF874">
    <cfRule type="notContainsBlanks" dxfId="1565" priority="1605">
      <formula>LEN(TRIM(AB874))&gt;0</formula>
    </cfRule>
  </conditionalFormatting>
  <conditionalFormatting sqref="AB874:AF874">
    <cfRule type="notContainsBlanks" dxfId="1564" priority="1604">
      <formula>LEN(TRIM(AB874))&gt;0</formula>
    </cfRule>
  </conditionalFormatting>
  <conditionalFormatting sqref="AB874:AF874">
    <cfRule type="notContainsBlanks" dxfId="1563" priority="1603">
      <formula>LEN(TRIM(AB874))&gt;0</formula>
    </cfRule>
  </conditionalFormatting>
  <conditionalFormatting sqref="AB874:AF874">
    <cfRule type="notContainsBlanks" dxfId="1562" priority="1602">
      <formula>LEN(TRIM(AB874))&gt;0</formula>
    </cfRule>
  </conditionalFormatting>
  <conditionalFormatting sqref="AB874:AF874">
    <cfRule type="notContainsBlanks" dxfId="1561" priority="1601">
      <formula>LEN(TRIM(AB874))&gt;0</formula>
    </cfRule>
  </conditionalFormatting>
  <conditionalFormatting sqref="AB874:AF874">
    <cfRule type="notContainsBlanks" priority="1600">
      <formula>LEN(TRIM(AB874))&gt;0</formula>
    </cfRule>
  </conditionalFormatting>
  <conditionalFormatting sqref="AB874:AF874">
    <cfRule type="notContainsBlanks" dxfId="1560" priority="1599">
      <formula>LEN(TRIM(AB874))&gt;0</formula>
    </cfRule>
  </conditionalFormatting>
  <conditionalFormatting sqref="AB874:AF874">
    <cfRule type="notContainsBlanks" dxfId="1559" priority="1598">
      <formula>LEN(TRIM(AB874))&gt;0</formula>
    </cfRule>
  </conditionalFormatting>
  <conditionalFormatting sqref="AB874:AF874">
    <cfRule type="notContainsBlanks" dxfId="1558" priority="1597">
      <formula>LEN(TRIM(AB874))&gt;0</formula>
    </cfRule>
  </conditionalFormatting>
  <conditionalFormatting sqref="AB874:AF874">
    <cfRule type="notContainsBlanks" dxfId="1557" priority="1596">
      <formula>LEN(TRIM(AB874))&gt;0</formula>
    </cfRule>
  </conditionalFormatting>
  <conditionalFormatting sqref="AB874:AF874">
    <cfRule type="notContainsBlanks" dxfId="1556" priority="1595">
      <formula>LEN(TRIM(AB874))&gt;0</formula>
    </cfRule>
  </conditionalFormatting>
  <conditionalFormatting sqref="AB887:AF887">
    <cfRule type="notContainsBlanks" dxfId="1555" priority="1594">
      <formula>LEN(TRIM(AB887))&gt;0</formula>
    </cfRule>
  </conditionalFormatting>
  <conditionalFormatting sqref="AB887:AF887">
    <cfRule type="notContainsBlanks" dxfId="1554" priority="1593">
      <formula>LEN(TRIM(AB887))&gt;0</formula>
    </cfRule>
  </conditionalFormatting>
  <conditionalFormatting sqref="AB887:AF887">
    <cfRule type="notContainsBlanks" dxfId="1553" priority="1592">
      <formula>LEN(TRIM(AB887))&gt;0</formula>
    </cfRule>
  </conditionalFormatting>
  <conditionalFormatting sqref="AB887:AF887">
    <cfRule type="notContainsBlanks" dxfId="1552" priority="1591">
      <formula>LEN(TRIM(AB887))&gt;0</formula>
    </cfRule>
  </conditionalFormatting>
  <conditionalFormatting sqref="AB887:AF887">
    <cfRule type="notContainsBlanks" dxfId="1551" priority="1590">
      <formula>LEN(TRIM(AB887))&gt;0</formula>
    </cfRule>
  </conditionalFormatting>
  <conditionalFormatting sqref="AB887:AF887">
    <cfRule type="notContainsBlanks" dxfId="1550" priority="1589">
      <formula>LEN(TRIM(AB887))&gt;0</formula>
    </cfRule>
  </conditionalFormatting>
  <conditionalFormatting sqref="AB887:AF887">
    <cfRule type="notContainsBlanks" dxfId="1549" priority="1588">
      <formula>LEN(TRIM(AB887))&gt;0</formula>
    </cfRule>
  </conditionalFormatting>
  <conditionalFormatting sqref="AB887:AF887">
    <cfRule type="notContainsBlanks" dxfId="1548" priority="1587">
      <formula>LEN(TRIM(AB887))&gt;0</formula>
    </cfRule>
  </conditionalFormatting>
  <conditionalFormatting sqref="AB887:AF887">
    <cfRule type="notContainsBlanks" dxfId="1547" priority="1586">
      <formula>LEN(TRIM(AB887))&gt;0</formula>
    </cfRule>
  </conditionalFormatting>
  <conditionalFormatting sqref="AB887:AF887">
    <cfRule type="notContainsBlanks" dxfId="1546" priority="1584">
      <formula>LEN(TRIM(AB887))&gt;0</formula>
    </cfRule>
    <cfRule type="notContainsBlanks" dxfId="1545" priority="1585">
      <formula>LEN(TRIM(AB887))&gt;0</formula>
    </cfRule>
  </conditionalFormatting>
  <conditionalFormatting sqref="AB887:AF887">
    <cfRule type="notContainsBlanks" dxfId="1544" priority="1583">
      <formula>LEN(TRIM(AB887))&gt;0</formula>
    </cfRule>
  </conditionalFormatting>
  <conditionalFormatting sqref="AB887:AF887">
    <cfRule type="notContainsBlanks" dxfId="1543" priority="1582">
      <formula>LEN(TRIM(AB887))&gt;0</formula>
    </cfRule>
  </conditionalFormatting>
  <conditionalFormatting sqref="AB887:AF887">
    <cfRule type="notContainsBlanks" dxfId="1542" priority="1581">
      <formula>LEN(TRIM(AB887))&gt;0</formula>
    </cfRule>
  </conditionalFormatting>
  <conditionalFormatting sqref="AB887:AF887">
    <cfRule type="notContainsBlanks" dxfId="1541" priority="1580">
      <formula>LEN(TRIM(AB887))&gt;0</formula>
    </cfRule>
  </conditionalFormatting>
  <conditionalFormatting sqref="AB887:AF887">
    <cfRule type="notContainsBlanks" dxfId="1540" priority="1579">
      <formula>LEN(TRIM(AB887))&gt;0</formula>
    </cfRule>
  </conditionalFormatting>
  <conditionalFormatting sqref="AB887:AF887">
    <cfRule type="notContainsBlanks" dxfId="1539" priority="1578">
      <formula>LEN(TRIM(AB887))&gt;0</formula>
    </cfRule>
  </conditionalFormatting>
  <conditionalFormatting sqref="AB887:AF887">
    <cfRule type="notContainsBlanks" dxfId="1538" priority="1577">
      <formula>LEN(TRIM(AB887))&gt;0</formula>
    </cfRule>
  </conditionalFormatting>
  <conditionalFormatting sqref="AB887:AF887">
    <cfRule type="notContainsBlanks" dxfId="1537" priority="1576">
      <formula>LEN(TRIM(AB887))&gt;0</formula>
    </cfRule>
  </conditionalFormatting>
  <conditionalFormatting sqref="AB887:AF887">
    <cfRule type="notContainsBlanks" dxfId="1536" priority="1575">
      <formula>LEN(TRIM(AB887))&gt;0</formula>
    </cfRule>
  </conditionalFormatting>
  <conditionalFormatting sqref="AB887:AF887">
    <cfRule type="notContainsBlanks" priority="1574">
      <formula>LEN(TRIM(AB887))&gt;0</formula>
    </cfRule>
  </conditionalFormatting>
  <conditionalFormatting sqref="AB887:AF887">
    <cfRule type="notContainsBlanks" dxfId="1535" priority="1573">
      <formula>LEN(TRIM(AB887))&gt;0</formula>
    </cfRule>
  </conditionalFormatting>
  <conditionalFormatting sqref="AB887:AF887">
    <cfRule type="notContainsBlanks" dxfId="1534" priority="1572">
      <formula>LEN(TRIM(AB887))&gt;0</formula>
    </cfRule>
  </conditionalFormatting>
  <conditionalFormatting sqref="AB887:AF887">
    <cfRule type="notContainsBlanks" dxfId="1533" priority="1571">
      <formula>LEN(TRIM(AB887))&gt;0</formula>
    </cfRule>
  </conditionalFormatting>
  <conditionalFormatting sqref="AB887:AF887">
    <cfRule type="notContainsBlanks" dxfId="1532" priority="1570">
      <formula>LEN(TRIM(AB887))&gt;0</formula>
    </cfRule>
  </conditionalFormatting>
  <conditionalFormatting sqref="AB887:AF887">
    <cfRule type="notContainsBlanks" dxfId="1531" priority="1569">
      <formula>LEN(TRIM(AB887))&gt;0</formula>
    </cfRule>
  </conditionalFormatting>
  <conditionalFormatting sqref="AB900:AF900">
    <cfRule type="notContainsBlanks" dxfId="1530" priority="1568">
      <formula>LEN(TRIM(AB900))&gt;0</formula>
    </cfRule>
  </conditionalFormatting>
  <conditionalFormatting sqref="AB900:AF900">
    <cfRule type="notContainsBlanks" dxfId="1529" priority="1567">
      <formula>LEN(TRIM(AB900))&gt;0</formula>
    </cfRule>
  </conditionalFormatting>
  <conditionalFormatting sqref="AB900:AF900">
    <cfRule type="notContainsBlanks" dxfId="1528" priority="1566">
      <formula>LEN(TRIM(AB900))&gt;0</formula>
    </cfRule>
  </conditionalFormatting>
  <conditionalFormatting sqref="AB900:AF900">
    <cfRule type="notContainsBlanks" dxfId="1527" priority="1565">
      <formula>LEN(TRIM(AB900))&gt;0</formula>
    </cfRule>
  </conditionalFormatting>
  <conditionalFormatting sqref="AB900:AF900">
    <cfRule type="notContainsBlanks" dxfId="1526" priority="1564">
      <formula>LEN(TRIM(AB900))&gt;0</formula>
    </cfRule>
  </conditionalFormatting>
  <conditionalFormatting sqref="AB900:AF900">
    <cfRule type="notContainsBlanks" dxfId="1525" priority="1563">
      <formula>LEN(TRIM(AB900))&gt;0</formula>
    </cfRule>
  </conditionalFormatting>
  <conditionalFormatting sqref="AB900:AF900">
    <cfRule type="notContainsBlanks" dxfId="1524" priority="1562">
      <formula>LEN(TRIM(AB900))&gt;0</formula>
    </cfRule>
  </conditionalFormatting>
  <conditionalFormatting sqref="AB900:AF900">
    <cfRule type="notContainsBlanks" dxfId="1523" priority="1561">
      <formula>LEN(TRIM(AB900))&gt;0</formula>
    </cfRule>
  </conditionalFormatting>
  <conditionalFormatting sqref="AB900:AF900">
    <cfRule type="notContainsBlanks" dxfId="1522" priority="1560">
      <formula>LEN(TRIM(AB900))&gt;0</formula>
    </cfRule>
  </conditionalFormatting>
  <conditionalFormatting sqref="AB900:AF900">
    <cfRule type="notContainsBlanks" dxfId="1521" priority="1558">
      <formula>LEN(TRIM(AB900))&gt;0</formula>
    </cfRule>
    <cfRule type="notContainsBlanks" dxfId="1520" priority="1559">
      <formula>LEN(TRIM(AB900))&gt;0</formula>
    </cfRule>
  </conditionalFormatting>
  <conditionalFormatting sqref="AB900:AF900">
    <cfRule type="notContainsBlanks" dxfId="1519" priority="1557">
      <formula>LEN(TRIM(AB900))&gt;0</formula>
    </cfRule>
  </conditionalFormatting>
  <conditionalFormatting sqref="AB900:AF900">
    <cfRule type="notContainsBlanks" dxfId="1518" priority="1556">
      <formula>LEN(TRIM(AB900))&gt;0</formula>
    </cfRule>
  </conditionalFormatting>
  <conditionalFormatting sqref="AB900:AF900">
    <cfRule type="notContainsBlanks" dxfId="1517" priority="1555">
      <formula>LEN(TRIM(AB900))&gt;0</formula>
    </cfRule>
  </conditionalFormatting>
  <conditionalFormatting sqref="AB900:AF900">
    <cfRule type="notContainsBlanks" dxfId="1516" priority="1554">
      <formula>LEN(TRIM(AB900))&gt;0</formula>
    </cfRule>
  </conditionalFormatting>
  <conditionalFormatting sqref="AB900:AF900">
    <cfRule type="notContainsBlanks" dxfId="1515" priority="1553">
      <formula>LEN(TRIM(AB900))&gt;0</formula>
    </cfRule>
  </conditionalFormatting>
  <conditionalFormatting sqref="AB900:AF900">
    <cfRule type="notContainsBlanks" dxfId="1514" priority="1552">
      <formula>LEN(TRIM(AB900))&gt;0</formula>
    </cfRule>
  </conditionalFormatting>
  <conditionalFormatting sqref="AB900:AF900">
    <cfRule type="notContainsBlanks" dxfId="1513" priority="1551">
      <formula>LEN(TRIM(AB900))&gt;0</formula>
    </cfRule>
  </conditionalFormatting>
  <conditionalFormatting sqref="AB900:AF900">
    <cfRule type="notContainsBlanks" dxfId="1512" priority="1550">
      <formula>LEN(TRIM(AB900))&gt;0</formula>
    </cfRule>
  </conditionalFormatting>
  <conditionalFormatting sqref="AB900:AF900">
    <cfRule type="notContainsBlanks" dxfId="1511" priority="1549">
      <formula>LEN(TRIM(AB900))&gt;0</formula>
    </cfRule>
  </conditionalFormatting>
  <conditionalFormatting sqref="AB900:AF900">
    <cfRule type="notContainsBlanks" priority="1548">
      <formula>LEN(TRIM(AB900))&gt;0</formula>
    </cfRule>
  </conditionalFormatting>
  <conditionalFormatting sqref="AB900:AF900">
    <cfRule type="notContainsBlanks" dxfId="1510" priority="1547">
      <formula>LEN(TRIM(AB900))&gt;0</formula>
    </cfRule>
  </conditionalFormatting>
  <conditionalFormatting sqref="AB900:AF900">
    <cfRule type="notContainsBlanks" dxfId="1509" priority="1546">
      <formula>LEN(TRIM(AB900))&gt;0</formula>
    </cfRule>
  </conditionalFormatting>
  <conditionalFormatting sqref="AB900:AF900">
    <cfRule type="notContainsBlanks" dxfId="1508" priority="1545">
      <formula>LEN(TRIM(AB900))&gt;0</formula>
    </cfRule>
  </conditionalFormatting>
  <conditionalFormatting sqref="AB900:AF900">
    <cfRule type="notContainsBlanks" dxfId="1507" priority="1544">
      <formula>LEN(TRIM(AB900))&gt;0</formula>
    </cfRule>
  </conditionalFormatting>
  <conditionalFormatting sqref="AB900:AF900">
    <cfRule type="notContainsBlanks" dxfId="1506" priority="1543">
      <formula>LEN(TRIM(AB900))&gt;0</formula>
    </cfRule>
  </conditionalFormatting>
  <conditionalFormatting sqref="AB913:AF913">
    <cfRule type="notContainsBlanks" dxfId="1505" priority="1542">
      <formula>LEN(TRIM(AB913))&gt;0</formula>
    </cfRule>
  </conditionalFormatting>
  <conditionalFormatting sqref="AB913:AF913">
    <cfRule type="notContainsBlanks" dxfId="1504" priority="1541">
      <formula>LEN(TRIM(AB913))&gt;0</formula>
    </cfRule>
  </conditionalFormatting>
  <conditionalFormatting sqref="AB913:AF913">
    <cfRule type="notContainsBlanks" dxfId="1503" priority="1540">
      <formula>LEN(TRIM(AB913))&gt;0</formula>
    </cfRule>
  </conditionalFormatting>
  <conditionalFormatting sqref="AB913:AF913">
    <cfRule type="notContainsBlanks" dxfId="1502" priority="1539">
      <formula>LEN(TRIM(AB913))&gt;0</formula>
    </cfRule>
  </conditionalFormatting>
  <conditionalFormatting sqref="AB913:AF913">
    <cfRule type="notContainsBlanks" dxfId="1501" priority="1538">
      <formula>LEN(TRIM(AB913))&gt;0</formula>
    </cfRule>
  </conditionalFormatting>
  <conditionalFormatting sqref="AB913:AF913">
    <cfRule type="notContainsBlanks" dxfId="1500" priority="1537">
      <formula>LEN(TRIM(AB913))&gt;0</formula>
    </cfRule>
  </conditionalFormatting>
  <conditionalFormatting sqref="AB913:AF913">
    <cfRule type="notContainsBlanks" dxfId="1499" priority="1536">
      <formula>LEN(TRIM(AB913))&gt;0</formula>
    </cfRule>
  </conditionalFormatting>
  <conditionalFormatting sqref="AB913:AF913">
    <cfRule type="notContainsBlanks" dxfId="1498" priority="1535">
      <formula>LEN(TRIM(AB913))&gt;0</formula>
    </cfRule>
  </conditionalFormatting>
  <conditionalFormatting sqref="AB913:AF913">
    <cfRule type="notContainsBlanks" dxfId="1497" priority="1534">
      <formula>LEN(TRIM(AB913))&gt;0</formula>
    </cfRule>
  </conditionalFormatting>
  <conditionalFormatting sqref="AB913:AF913">
    <cfRule type="notContainsBlanks" dxfId="1496" priority="1532">
      <formula>LEN(TRIM(AB913))&gt;0</formula>
    </cfRule>
    <cfRule type="notContainsBlanks" dxfId="1495" priority="1533">
      <formula>LEN(TRIM(AB913))&gt;0</formula>
    </cfRule>
  </conditionalFormatting>
  <conditionalFormatting sqref="AB913:AF913">
    <cfRule type="notContainsBlanks" dxfId="1494" priority="1531">
      <formula>LEN(TRIM(AB913))&gt;0</formula>
    </cfRule>
  </conditionalFormatting>
  <conditionalFormatting sqref="AB913:AF913">
    <cfRule type="notContainsBlanks" dxfId="1493" priority="1530">
      <formula>LEN(TRIM(AB913))&gt;0</formula>
    </cfRule>
  </conditionalFormatting>
  <conditionalFormatting sqref="AB913:AF913">
    <cfRule type="notContainsBlanks" dxfId="1492" priority="1529">
      <formula>LEN(TRIM(AB913))&gt;0</formula>
    </cfRule>
  </conditionalFormatting>
  <conditionalFormatting sqref="AB913:AF913">
    <cfRule type="notContainsBlanks" dxfId="1491" priority="1528">
      <formula>LEN(TRIM(AB913))&gt;0</formula>
    </cfRule>
  </conditionalFormatting>
  <conditionalFormatting sqref="AB913:AF913">
    <cfRule type="notContainsBlanks" dxfId="1490" priority="1527">
      <formula>LEN(TRIM(AB913))&gt;0</formula>
    </cfRule>
  </conditionalFormatting>
  <conditionalFormatting sqref="AB913:AF913">
    <cfRule type="notContainsBlanks" dxfId="1489" priority="1526">
      <formula>LEN(TRIM(AB913))&gt;0</formula>
    </cfRule>
  </conditionalFormatting>
  <conditionalFormatting sqref="AB913:AF913">
    <cfRule type="notContainsBlanks" dxfId="1488" priority="1525">
      <formula>LEN(TRIM(AB913))&gt;0</formula>
    </cfRule>
  </conditionalFormatting>
  <conditionalFormatting sqref="AB913:AF913">
    <cfRule type="notContainsBlanks" dxfId="1487" priority="1524">
      <formula>LEN(TRIM(AB913))&gt;0</formula>
    </cfRule>
  </conditionalFormatting>
  <conditionalFormatting sqref="AB913:AF913">
    <cfRule type="notContainsBlanks" dxfId="1486" priority="1523">
      <formula>LEN(TRIM(AB913))&gt;0</formula>
    </cfRule>
  </conditionalFormatting>
  <conditionalFormatting sqref="AB913:AF913">
    <cfRule type="notContainsBlanks" priority="1522">
      <formula>LEN(TRIM(AB913))&gt;0</formula>
    </cfRule>
  </conditionalFormatting>
  <conditionalFormatting sqref="AB913:AF913">
    <cfRule type="notContainsBlanks" dxfId="1485" priority="1521">
      <formula>LEN(TRIM(AB913))&gt;0</formula>
    </cfRule>
  </conditionalFormatting>
  <conditionalFormatting sqref="AB913:AF913">
    <cfRule type="notContainsBlanks" dxfId="1484" priority="1520">
      <formula>LEN(TRIM(AB913))&gt;0</formula>
    </cfRule>
  </conditionalFormatting>
  <conditionalFormatting sqref="AB913:AF913">
    <cfRule type="notContainsBlanks" dxfId="1483" priority="1519">
      <formula>LEN(TRIM(AB913))&gt;0</formula>
    </cfRule>
  </conditionalFormatting>
  <conditionalFormatting sqref="AB913:AF913">
    <cfRule type="notContainsBlanks" dxfId="1482" priority="1518">
      <formula>LEN(TRIM(AB913))&gt;0</formula>
    </cfRule>
  </conditionalFormatting>
  <conditionalFormatting sqref="AB913:AF913">
    <cfRule type="notContainsBlanks" dxfId="1481" priority="1517">
      <formula>LEN(TRIM(AB913))&gt;0</formula>
    </cfRule>
  </conditionalFormatting>
  <conditionalFormatting sqref="AB926:AF926">
    <cfRule type="notContainsBlanks" dxfId="1480" priority="1516">
      <formula>LEN(TRIM(AB926))&gt;0</formula>
    </cfRule>
  </conditionalFormatting>
  <conditionalFormatting sqref="AB926:AF926">
    <cfRule type="notContainsBlanks" dxfId="1479" priority="1515">
      <formula>LEN(TRIM(AB926))&gt;0</formula>
    </cfRule>
  </conditionalFormatting>
  <conditionalFormatting sqref="AB926:AF926">
    <cfRule type="notContainsBlanks" dxfId="1478" priority="1514">
      <formula>LEN(TRIM(AB926))&gt;0</formula>
    </cfRule>
  </conditionalFormatting>
  <conditionalFormatting sqref="AB926:AF926">
    <cfRule type="notContainsBlanks" dxfId="1477" priority="1513">
      <formula>LEN(TRIM(AB926))&gt;0</formula>
    </cfRule>
  </conditionalFormatting>
  <conditionalFormatting sqref="AB926:AF926">
    <cfRule type="notContainsBlanks" dxfId="1476" priority="1512">
      <formula>LEN(TRIM(AB926))&gt;0</formula>
    </cfRule>
  </conditionalFormatting>
  <conditionalFormatting sqref="AB926:AF926">
    <cfRule type="notContainsBlanks" dxfId="1475" priority="1511">
      <formula>LEN(TRIM(AB926))&gt;0</formula>
    </cfRule>
  </conditionalFormatting>
  <conditionalFormatting sqref="AB926:AF926">
    <cfRule type="notContainsBlanks" dxfId="1474" priority="1510">
      <formula>LEN(TRIM(AB926))&gt;0</formula>
    </cfRule>
  </conditionalFormatting>
  <conditionalFormatting sqref="AB926:AF926">
    <cfRule type="notContainsBlanks" dxfId="1473" priority="1509">
      <formula>LEN(TRIM(AB926))&gt;0</formula>
    </cfRule>
  </conditionalFormatting>
  <conditionalFormatting sqref="AB926:AF926">
    <cfRule type="notContainsBlanks" dxfId="1472" priority="1508">
      <formula>LEN(TRIM(AB926))&gt;0</formula>
    </cfRule>
  </conditionalFormatting>
  <conditionalFormatting sqref="AB926:AF926">
    <cfRule type="notContainsBlanks" dxfId="1471" priority="1506">
      <formula>LEN(TRIM(AB926))&gt;0</formula>
    </cfRule>
    <cfRule type="notContainsBlanks" dxfId="1470" priority="1507">
      <formula>LEN(TRIM(AB926))&gt;0</formula>
    </cfRule>
  </conditionalFormatting>
  <conditionalFormatting sqref="AB926:AF926">
    <cfRule type="notContainsBlanks" dxfId="1469" priority="1505">
      <formula>LEN(TRIM(AB926))&gt;0</formula>
    </cfRule>
  </conditionalFormatting>
  <conditionalFormatting sqref="AB926:AF926">
    <cfRule type="notContainsBlanks" dxfId="1468" priority="1504">
      <formula>LEN(TRIM(AB926))&gt;0</formula>
    </cfRule>
  </conditionalFormatting>
  <conditionalFormatting sqref="AB926:AF926">
    <cfRule type="notContainsBlanks" dxfId="1467" priority="1503">
      <formula>LEN(TRIM(AB926))&gt;0</formula>
    </cfRule>
  </conditionalFormatting>
  <conditionalFormatting sqref="AB926:AF926">
    <cfRule type="notContainsBlanks" dxfId="1466" priority="1502">
      <formula>LEN(TRIM(AB926))&gt;0</formula>
    </cfRule>
  </conditionalFormatting>
  <conditionalFormatting sqref="AB926:AF926">
    <cfRule type="notContainsBlanks" dxfId="1465" priority="1501">
      <formula>LEN(TRIM(AB926))&gt;0</formula>
    </cfRule>
  </conditionalFormatting>
  <conditionalFormatting sqref="AB926:AF926">
    <cfRule type="notContainsBlanks" dxfId="1464" priority="1500">
      <formula>LEN(TRIM(AB926))&gt;0</formula>
    </cfRule>
  </conditionalFormatting>
  <conditionalFormatting sqref="AB926:AF926">
    <cfRule type="notContainsBlanks" dxfId="1463" priority="1499">
      <formula>LEN(TRIM(AB926))&gt;0</formula>
    </cfRule>
  </conditionalFormatting>
  <conditionalFormatting sqref="AB926:AF926">
    <cfRule type="notContainsBlanks" dxfId="1462" priority="1498">
      <formula>LEN(TRIM(AB926))&gt;0</formula>
    </cfRule>
  </conditionalFormatting>
  <conditionalFormatting sqref="AB926:AF926">
    <cfRule type="notContainsBlanks" dxfId="1461" priority="1497">
      <formula>LEN(TRIM(AB926))&gt;0</formula>
    </cfRule>
  </conditionalFormatting>
  <conditionalFormatting sqref="AB926:AF926">
    <cfRule type="notContainsBlanks" priority="1496">
      <formula>LEN(TRIM(AB926))&gt;0</formula>
    </cfRule>
  </conditionalFormatting>
  <conditionalFormatting sqref="AB926:AF926">
    <cfRule type="notContainsBlanks" dxfId="1460" priority="1495">
      <formula>LEN(TRIM(AB926))&gt;0</formula>
    </cfRule>
  </conditionalFormatting>
  <conditionalFormatting sqref="AB926:AF926">
    <cfRule type="notContainsBlanks" dxfId="1459" priority="1494">
      <formula>LEN(TRIM(AB926))&gt;0</formula>
    </cfRule>
  </conditionalFormatting>
  <conditionalFormatting sqref="AB926:AF926">
    <cfRule type="notContainsBlanks" dxfId="1458" priority="1493">
      <formula>LEN(TRIM(AB926))&gt;0</formula>
    </cfRule>
  </conditionalFormatting>
  <conditionalFormatting sqref="AB926:AF926">
    <cfRule type="notContainsBlanks" dxfId="1457" priority="1492">
      <formula>LEN(TRIM(AB926))&gt;0</formula>
    </cfRule>
  </conditionalFormatting>
  <conditionalFormatting sqref="AB926:AF926">
    <cfRule type="notContainsBlanks" dxfId="1456" priority="1491">
      <formula>LEN(TRIM(AB926))&gt;0</formula>
    </cfRule>
  </conditionalFormatting>
  <conditionalFormatting sqref="AB952:AF952">
    <cfRule type="notContainsBlanks" dxfId="1455" priority="1490">
      <formula>LEN(TRIM(AB952))&gt;0</formula>
    </cfRule>
  </conditionalFormatting>
  <conditionalFormatting sqref="AB952:AF952">
    <cfRule type="notContainsBlanks" dxfId="1454" priority="1489">
      <formula>LEN(TRIM(AB952))&gt;0</formula>
    </cfRule>
  </conditionalFormatting>
  <conditionalFormatting sqref="AB952:AF952">
    <cfRule type="notContainsBlanks" dxfId="1453" priority="1488">
      <formula>LEN(TRIM(AB952))&gt;0</formula>
    </cfRule>
  </conditionalFormatting>
  <conditionalFormatting sqref="AB952:AF952">
    <cfRule type="notContainsBlanks" dxfId="1452" priority="1487">
      <formula>LEN(TRIM(AB952))&gt;0</formula>
    </cfRule>
  </conditionalFormatting>
  <conditionalFormatting sqref="AB952:AF952">
    <cfRule type="notContainsBlanks" dxfId="1451" priority="1486">
      <formula>LEN(TRIM(AB952))&gt;0</formula>
    </cfRule>
  </conditionalFormatting>
  <conditionalFormatting sqref="AB952:AF952">
    <cfRule type="notContainsBlanks" dxfId="1450" priority="1485">
      <formula>LEN(TRIM(AB952))&gt;0</formula>
    </cfRule>
  </conditionalFormatting>
  <conditionalFormatting sqref="AB952:AF952">
    <cfRule type="notContainsBlanks" dxfId="1449" priority="1484">
      <formula>LEN(TRIM(AB952))&gt;0</formula>
    </cfRule>
  </conditionalFormatting>
  <conditionalFormatting sqref="AB952:AF952">
    <cfRule type="notContainsBlanks" dxfId="1448" priority="1483">
      <formula>LEN(TRIM(AB952))&gt;0</formula>
    </cfRule>
  </conditionalFormatting>
  <conditionalFormatting sqref="AB952:AF952">
    <cfRule type="notContainsBlanks" dxfId="1447" priority="1482">
      <formula>LEN(TRIM(AB952))&gt;0</formula>
    </cfRule>
  </conditionalFormatting>
  <conditionalFormatting sqref="AB952:AF952">
    <cfRule type="notContainsBlanks" dxfId="1446" priority="1480">
      <formula>LEN(TRIM(AB952))&gt;0</formula>
    </cfRule>
    <cfRule type="notContainsBlanks" dxfId="1445" priority="1481">
      <formula>LEN(TRIM(AB952))&gt;0</formula>
    </cfRule>
  </conditionalFormatting>
  <conditionalFormatting sqref="AB952:AF952">
    <cfRule type="notContainsBlanks" dxfId="1444" priority="1479">
      <formula>LEN(TRIM(AB952))&gt;0</formula>
    </cfRule>
  </conditionalFormatting>
  <conditionalFormatting sqref="AB952:AF952">
    <cfRule type="notContainsBlanks" dxfId="1443" priority="1478">
      <formula>LEN(TRIM(AB952))&gt;0</formula>
    </cfRule>
  </conditionalFormatting>
  <conditionalFormatting sqref="AB952:AF952">
    <cfRule type="notContainsBlanks" dxfId="1442" priority="1477">
      <formula>LEN(TRIM(AB952))&gt;0</formula>
    </cfRule>
  </conditionalFormatting>
  <conditionalFormatting sqref="AB952:AF952">
    <cfRule type="notContainsBlanks" dxfId="1441" priority="1476">
      <formula>LEN(TRIM(AB952))&gt;0</formula>
    </cfRule>
  </conditionalFormatting>
  <conditionalFormatting sqref="AB952:AF952">
    <cfRule type="notContainsBlanks" dxfId="1440" priority="1475">
      <formula>LEN(TRIM(AB952))&gt;0</formula>
    </cfRule>
  </conditionalFormatting>
  <conditionalFormatting sqref="AB952:AF952">
    <cfRule type="notContainsBlanks" dxfId="1439" priority="1474">
      <formula>LEN(TRIM(AB952))&gt;0</formula>
    </cfRule>
  </conditionalFormatting>
  <conditionalFormatting sqref="AB952:AF952">
    <cfRule type="notContainsBlanks" dxfId="1438" priority="1473">
      <formula>LEN(TRIM(AB952))&gt;0</formula>
    </cfRule>
  </conditionalFormatting>
  <conditionalFormatting sqref="AB952:AF952">
    <cfRule type="notContainsBlanks" dxfId="1437" priority="1472">
      <formula>LEN(TRIM(AB952))&gt;0</formula>
    </cfRule>
  </conditionalFormatting>
  <conditionalFormatting sqref="AB952:AF952">
    <cfRule type="notContainsBlanks" dxfId="1436" priority="1471">
      <formula>LEN(TRIM(AB952))&gt;0</formula>
    </cfRule>
  </conditionalFormatting>
  <conditionalFormatting sqref="AB952:AF952">
    <cfRule type="notContainsBlanks" priority="1470">
      <formula>LEN(TRIM(AB952))&gt;0</formula>
    </cfRule>
  </conditionalFormatting>
  <conditionalFormatting sqref="AB952:AF952">
    <cfRule type="notContainsBlanks" dxfId="1435" priority="1469">
      <formula>LEN(TRIM(AB952))&gt;0</formula>
    </cfRule>
  </conditionalFormatting>
  <conditionalFormatting sqref="AB952:AF952">
    <cfRule type="notContainsBlanks" dxfId="1434" priority="1468">
      <formula>LEN(TRIM(AB952))&gt;0</formula>
    </cfRule>
  </conditionalFormatting>
  <conditionalFormatting sqref="AB952:AF952">
    <cfRule type="notContainsBlanks" dxfId="1433" priority="1467">
      <formula>LEN(TRIM(AB952))&gt;0</formula>
    </cfRule>
  </conditionalFormatting>
  <conditionalFormatting sqref="AB952:AF952">
    <cfRule type="notContainsBlanks" dxfId="1432" priority="1466">
      <formula>LEN(TRIM(AB952))&gt;0</formula>
    </cfRule>
  </conditionalFormatting>
  <conditionalFormatting sqref="AB952:AF952">
    <cfRule type="notContainsBlanks" dxfId="1431" priority="1465">
      <formula>LEN(TRIM(AB952))&gt;0</formula>
    </cfRule>
  </conditionalFormatting>
  <conditionalFormatting sqref="AB965:AF965">
    <cfRule type="notContainsBlanks" dxfId="1430" priority="1464">
      <formula>LEN(TRIM(AB965))&gt;0</formula>
    </cfRule>
  </conditionalFormatting>
  <conditionalFormatting sqref="AB965:AF965">
    <cfRule type="notContainsBlanks" dxfId="1429" priority="1463">
      <formula>LEN(TRIM(AB965))&gt;0</formula>
    </cfRule>
  </conditionalFormatting>
  <conditionalFormatting sqref="AB965:AF965">
    <cfRule type="notContainsBlanks" dxfId="1428" priority="1462">
      <formula>LEN(TRIM(AB965))&gt;0</formula>
    </cfRule>
  </conditionalFormatting>
  <conditionalFormatting sqref="AB965:AF965">
    <cfRule type="notContainsBlanks" dxfId="1427" priority="1461">
      <formula>LEN(TRIM(AB965))&gt;0</formula>
    </cfRule>
  </conditionalFormatting>
  <conditionalFormatting sqref="AB965:AF965">
    <cfRule type="notContainsBlanks" dxfId="1426" priority="1460">
      <formula>LEN(TRIM(AB965))&gt;0</formula>
    </cfRule>
  </conditionalFormatting>
  <conditionalFormatting sqref="AB965:AF965">
    <cfRule type="notContainsBlanks" dxfId="1425" priority="1459">
      <formula>LEN(TRIM(AB965))&gt;0</formula>
    </cfRule>
  </conditionalFormatting>
  <conditionalFormatting sqref="AB965:AF965">
    <cfRule type="notContainsBlanks" dxfId="1424" priority="1458">
      <formula>LEN(TRIM(AB965))&gt;0</formula>
    </cfRule>
  </conditionalFormatting>
  <conditionalFormatting sqref="AB965:AF965">
    <cfRule type="notContainsBlanks" dxfId="1423" priority="1457">
      <formula>LEN(TRIM(AB965))&gt;0</formula>
    </cfRule>
  </conditionalFormatting>
  <conditionalFormatting sqref="AB965:AF965">
    <cfRule type="notContainsBlanks" dxfId="1422" priority="1456">
      <formula>LEN(TRIM(AB965))&gt;0</formula>
    </cfRule>
  </conditionalFormatting>
  <conditionalFormatting sqref="AB965:AF965">
    <cfRule type="notContainsBlanks" dxfId="1421" priority="1454">
      <formula>LEN(TRIM(AB965))&gt;0</formula>
    </cfRule>
    <cfRule type="notContainsBlanks" dxfId="1420" priority="1455">
      <formula>LEN(TRIM(AB965))&gt;0</formula>
    </cfRule>
  </conditionalFormatting>
  <conditionalFormatting sqref="AB965:AF965">
    <cfRule type="notContainsBlanks" dxfId="1419" priority="1453">
      <formula>LEN(TRIM(AB965))&gt;0</formula>
    </cfRule>
  </conditionalFormatting>
  <conditionalFormatting sqref="AB965:AF965">
    <cfRule type="notContainsBlanks" dxfId="1418" priority="1452">
      <formula>LEN(TRIM(AB965))&gt;0</formula>
    </cfRule>
  </conditionalFormatting>
  <conditionalFormatting sqref="AB965:AF965">
    <cfRule type="notContainsBlanks" dxfId="1417" priority="1451">
      <formula>LEN(TRIM(AB965))&gt;0</formula>
    </cfRule>
  </conditionalFormatting>
  <conditionalFormatting sqref="AB965:AF965">
    <cfRule type="notContainsBlanks" dxfId="1416" priority="1450">
      <formula>LEN(TRIM(AB965))&gt;0</formula>
    </cfRule>
  </conditionalFormatting>
  <conditionalFormatting sqref="AB965:AF965">
    <cfRule type="notContainsBlanks" dxfId="1415" priority="1449">
      <formula>LEN(TRIM(AB965))&gt;0</formula>
    </cfRule>
  </conditionalFormatting>
  <conditionalFormatting sqref="AB965:AF965">
    <cfRule type="notContainsBlanks" dxfId="1414" priority="1448">
      <formula>LEN(TRIM(AB965))&gt;0</formula>
    </cfRule>
  </conditionalFormatting>
  <conditionalFormatting sqref="AB965:AF965">
    <cfRule type="notContainsBlanks" dxfId="1413" priority="1447">
      <formula>LEN(TRIM(AB965))&gt;0</formula>
    </cfRule>
  </conditionalFormatting>
  <conditionalFormatting sqref="AB965:AF965">
    <cfRule type="notContainsBlanks" dxfId="1412" priority="1446">
      <formula>LEN(TRIM(AB965))&gt;0</formula>
    </cfRule>
  </conditionalFormatting>
  <conditionalFormatting sqref="AB965:AF965">
    <cfRule type="notContainsBlanks" dxfId="1411" priority="1445">
      <formula>LEN(TRIM(AB965))&gt;0</formula>
    </cfRule>
  </conditionalFormatting>
  <conditionalFormatting sqref="AB965:AF965">
    <cfRule type="notContainsBlanks" priority="1444">
      <formula>LEN(TRIM(AB965))&gt;0</formula>
    </cfRule>
  </conditionalFormatting>
  <conditionalFormatting sqref="AB965:AF965">
    <cfRule type="notContainsBlanks" dxfId="1410" priority="1443">
      <formula>LEN(TRIM(AB965))&gt;0</formula>
    </cfRule>
  </conditionalFormatting>
  <conditionalFormatting sqref="AB965:AF965">
    <cfRule type="notContainsBlanks" dxfId="1409" priority="1442">
      <formula>LEN(TRIM(AB965))&gt;0</formula>
    </cfRule>
  </conditionalFormatting>
  <conditionalFormatting sqref="AB965:AF965">
    <cfRule type="notContainsBlanks" dxfId="1408" priority="1441">
      <formula>LEN(TRIM(AB965))&gt;0</formula>
    </cfRule>
  </conditionalFormatting>
  <conditionalFormatting sqref="AB965:AF965">
    <cfRule type="notContainsBlanks" dxfId="1407" priority="1440">
      <formula>LEN(TRIM(AB965))&gt;0</formula>
    </cfRule>
  </conditionalFormatting>
  <conditionalFormatting sqref="AB965:AF965">
    <cfRule type="notContainsBlanks" dxfId="1406" priority="1439">
      <formula>LEN(TRIM(AB965))&gt;0</formula>
    </cfRule>
  </conditionalFormatting>
  <conditionalFormatting sqref="AB978:AF978">
    <cfRule type="notContainsBlanks" dxfId="1405" priority="1438">
      <formula>LEN(TRIM(AB978))&gt;0</formula>
    </cfRule>
  </conditionalFormatting>
  <conditionalFormatting sqref="AB978:AF978">
    <cfRule type="notContainsBlanks" dxfId="1404" priority="1437">
      <formula>LEN(TRIM(AB978))&gt;0</formula>
    </cfRule>
  </conditionalFormatting>
  <conditionalFormatting sqref="AB978:AF978">
    <cfRule type="notContainsBlanks" dxfId="1403" priority="1436">
      <formula>LEN(TRIM(AB978))&gt;0</formula>
    </cfRule>
  </conditionalFormatting>
  <conditionalFormatting sqref="AB978:AF978">
    <cfRule type="notContainsBlanks" dxfId="1402" priority="1435">
      <formula>LEN(TRIM(AB978))&gt;0</formula>
    </cfRule>
  </conditionalFormatting>
  <conditionalFormatting sqref="AB978:AF978">
    <cfRule type="notContainsBlanks" dxfId="1401" priority="1434">
      <formula>LEN(TRIM(AB978))&gt;0</formula>
    </cfRule>
  </conditionalFormatting>
  <conditionalFormatting sqref="AB978:AF978">
    <cfRule type="notContainsBlanks" dxfId="1400" priority="1433">
      <formula>LEN(TRIM(AB978))&gt;0</formula>
    </cfRule>
  </conditionalFormatting>
  <conditionalFormatting sqref="AB978:AF978">
    <cfRule type="notContainsBlanks" dxfId="1399" priority="1432">
      <formula>LEN(TRIM(AB978))&gt;0</formula>
    </cfRule>
  </conditionalFormatting>
  <conditionalFormatting sqref="AB978:AF978">
    <cfRule type="notContainsBlanks" dxfId="1398" priority="1431">
      <formula>LEN(TRIM(AB978))&gt;0</formula>
    </cfRule>
  </conditionalFormatting>
  <conditionalFormatting sqref="AB978:AF978">
    <cfRule type="notContainsBlanks" dxfId="1397" priority="1430">
      <formula>LEN(TRIM(AB978))&gt;0</formula>
    </cfRule>
  </conditionalFormatting>
  <conditionalFormatting sqref="AB978:AF978">
    <cfRule type="notContainsBlanks" dxfId="1396" priority="1428">
      <formula>LEN(TRIM(AB978))&gt;0</formula>
    </cfRule>
    <cfRule type="notContainsBlanks" dxfId="1395" priority="1429">
      <formula>LEN(TRIM(AB978))&gt;0</formula>
    </cfRule>
  </conditionalFormatting>
  <conditionalFormatting sqref="AB978:AF978">
    <cfRule type="notContainsBlanks" dxfId="1394" priority="1427">
      <formula>LEN(TRIM(AB978))&gt;0</formula>
    </cfRule>
  </conditionalFormatting>
  <conditionalFormatting sqref="AB978:AF978">
    <cfRule type="notContainsBlanks" dxfId="1393" priority="1426">
      <formula>LEN(TRIM(AB978))&gt;0</formula>
    </cfRule>
  </conditionalFormatting>
  <conditionalFormatting sqref="AB978:AF978">
    <cfRule type="notContainsBlanks" dxfId="1392" priority="1425">
      <formula>LEN(TRIM(AB978))&gt;0</formula>
    </cfRule>
  </conditionalFormatting>
  <conditionalFormatting sqref="AB978:AF978">
    <cfRule type="notContainsBlanks" dxfId="1391" priority="1424">
      <formula>LEN(TRIM(AB978))&gt;0</formula>
    </cfRule>
  </conditionalFormatting>
  <conditionalFormatting sqref="AB978:AF978">
    <cfRule type="notContainsBlanks" dxfId="1390" priority="1423">
      <formula>LEN(TRIM(AB978))&gt;0</formula>
    </cfRule>
  </conditionalFormatting>
  <conditionalFormatting sqref="AB978:AF978">
    <cfRule type="notContainsBlanks" dxfId="1389" priority="1422">
      <formula>LEN(TRIM(AB978))&gt;0</formula>
    </cfRule>
  </conditionalFormatting>
  <conditionalFormatting sqref="AB978:AF978">
    <cfRule type="notContainsBlanks" dxfId="1388" priority="1421">
      <formula>LEN(TRIM(AB978))&gt;0</formula>
    </cfRule>
  </conditionalFormatting>
  <conditionalFormatting sqref="AB978:AF978">
    <cfRule type="notContainsBlanks" dxfId="1387" priority="1420">
      <formula>LEN(TRIM(AB978))&gt;0</formula>
    </cfRule>
  </conditionalFormatting>
  <conditionalFormatting sqref="AB978:AF978">
    <cfRule type="notContainsBlanks" dxfId="1386" priority="1419">
      <formula>LEN(TRIM(AB978))&gt;0</formula>
    </cfRule>
  </conditionalFormatting>
  <conditionalFormatting sqref="AB978:AF978">
    <cfRule type="notContainsBlanks" priority="1418">
      <formula>LEN(TRIM(AB978))&gt;0</formula>
    </cfRule>
  </conditionalFormatting>
  <conditionalFormatting sqref="AB978:AF978">
    <cfRule type="notContainsBlanks" dxfId="1385" priority="1417">
      <formula>LEN(TRIM(AB978))&gt;0</formula>
    </cfRule>
  </conditionalFormatting>
  <conditionalFormatting sqref="AB978:AF978">
    <cfRule type="notContainsBlanks" dxfId="1384" priority="1416">
      <formula>LEN(TRIM(AB978))&gt;0</formula>
    </cfRule>
  </conditionalFormatting>
  <conditionalFormatting sqref="AB978:AF978">
    <cfRule type="notContainsBlanks" dxfId="1383" priority="1415">
      <formula>LEN(TRIM(AB978))&gt;0</formula>
    </cfRule>
  </conditionalFormatting>
  <conditionalFormatting sqref="AB978:AF978">
    <cfRule type="notContainsBlanks" dxfId="1382" priority="1414">
      <formula>LEN(TRIM(AB978))&gt;0</formula>
    </cfRule>
  </conditionalFormatting>
  <conditionalFormatting sqref="AB978:AF978">
    <cfRule type="notContainsBlanks" dxfId="1381" priority="1413">
      <formula>LEN(TRIM(AB978))&gt;0</formula>
    </cfRule>
  </conditionalFormatting>
  <conditionalFormatting sqref="AB991:AF991">
    <cfRule type="notContainsBlanks" dxfId="1380" priority="1412">
      <formula>LEN(TRIM(AB991))&gt;0</formula>
    </cfRule>
  </conditionalFormatting>
  <conditionalFormatting sqref="AB991:AF991">
    <cfRule type="notContainsBlanks" dxfId="1379" priority="1411">
      <formula>LEN(TRIM(AB991))&gt;0</formula>
    </cfRule>
  </conditionalFormatting>
  <conditionalFormatting sqref="AB991:AF991">
    <cfRule type="notContainsBlanks" dxfId="1378" priority="1410">
      <formula>LEN(TRIM(AB991))&gt;0</formula>
    </cfRule>
  </conditionalFormatting>
  <conditionalFormatting sqref="AB991:AF991">
    <cfRule type="notContainsBlanks" dxfId="1377" priority="1409">
      <formula>LEN(TRIM(AB991))&gt;0</formula>
    </cfRule>
  </conditionalFormatting>
  <conditionalFormatting sqref="AB991:AF991">
    <cfRule type="notContainsBlanks" dxfId="1376" priority="1408">
      <formula>LEN(TRIM(AB991))&gt;0</formula>
    </cfRule>
  </conditionalFormatting>
  <conditionalFormatting sqref="AB991:AF991">
    <cfRule type="notContainsBlanks" dxfId="1375" priority="1407">
      <formula>LEN(TRIM(AB991))&gt;0</formula>
    </cfRule>
  </conditionalFormatting>
  <conditionalFormatting sqref="AB991:AF991">
    <cfRule type="notContainsBlanks" dxfId="1374" priority="1406">
      <formula>LEN(TRIM(AB991))&gt;0</formula>
    </cfRule>
  </conditionalFormatting>
  <conditionalFormatting sqref="AB991:AF991">
    <cfRule type="notContainsBlanks" dxfId="1373" priority="1405">
      <formula>LEN(TRIM(AB991))&gt;0</formula>
    </cfRule>
  </conditionalFormatting>
  <conditionalFormatting sqref="AB991:AF991">
    <cfRule type="notContainsBlanks" dxfId="1372" priority="1404">
      <formula>LEN(TRIM(AB991))&gt;0</formula>
    </cfRule>
  </conditionalFormatting>
  <conditionalFormatting sqref="AB991:AF991">
    <cfRule type="notContainsBlanks" dxfId="1371" priority="1402">
      <formula>LEN(TRIM(AB991))&gt;0</formula>
    </cfRule>
    <cfRule type="notContainsBlanks" dxfId="1370" priority="1403">
      <formula>LEN(TRIM(AB991))&gt;0</formula>
    </cfRule>
  </conditionalFormatting>
  <conditionalFormatting sqref="AB991:AF991">
    <cfRule type="notContainsBlanks" dxfId="1369" priority="1401">
      <formula>LEN(TRIM(AB991))&gt;0</formula>
    </cfRule>
  </conditionalFormatting>
  <conditionalFormatting sqref="AB991:AF991">
    <cfRule type="notContainsBlanks" dxfId="1368" priority="1400">
      <formula>LEN(TRIM(AB991))&gt;0</formula>
    </cfRule>
  </conditionalFormatting>
  <conditionalFormatting sqref="AB991:AF991">
    <cfRule type="notContainsBlanks" dxfId="1367" priority="1399">
      <formula>LEN(TRIM(AB991))&gt;0</formula>
    </cfRule>
  </conditionalFormatting>
  <conditionalFormatting sqref="AB991:AF991">
    <cfRule type="notContainsBlanks" dxfId="1366" priority="1398">
      <formula>LEN(TRIM(AB991))&gt;0</formula>
    </cfRule>
  </conditionalFormatting>
  <conditionalFormatting sqref="AB991:AF991">
    <cfRule type="notContainsBlanks" dxfId="1365" priority="1397">
      <formula>LEN(TRIM(AB991))&gt;0</formula>
    </cfRule>
  </conditionalFormatting>
  <conditionalFormatting sqref="AB991:AF991">
    <cfRule type="notContainsBlanks" dxfId="1364" priority="1396">
      <formula>LEN(TRIM(AB991))&gt;0</formula>
    </cfRule>
  </conditionalFormatting>
  <conditionalFormatting sqref="AB991:AF991">
    <cfRule type="notContainsBlanks" dxfId="1363" priority="1395">
      <formula>LEN(TRIM(AB991))&gt;0</formula>
    </cfRule>
  </conditionalFormatting>
  <conditionalFormatting sqref="AB991:AF991">
    <cfRule type="notContainsBlanks" dxfId="1362" priority="1394">
      <formula>LEN(TRIM(AB991))&gt;0</formula>
    </cfRule>
  </conditionalFormatting>
  <conditionalFormatting sqref="AB991:AF991">
    <cfRule type="notContainsBlanks" dxfId="1361" priority="1393">
      <formula>LEN(TRIM(AB991))&gt;0</formula>
    </cfRule>
  </conditionalFormatting>
  <conditionalFormatting sqref="AB991:AF991">
    <cfRule type="notContainsBlanks" priority="1392">
      <formula>LEN(TRIM(AB991))&gt;0</formula>
    </cfRule>
  </conditionalFormatting>
  <conditionalFormatting sqref="AB991:AF991">
    <cfRule type="notContainsBlanks" dxfId="1360" priority="1391">
      <formula>LEN(TRIM(AB991))&gt;0</formula>
    </cfRule>
  </conditionalFormatting>
  <conditionalFormatting sqref="AB991:AF991">
    <cfRule type="notContainsBlanks" dxfId="1359" priority="1390">
      <formula>LEN(TRIM(AB991))&gt;0</formula>
    </cfRule>
  </conditionalFormatting>
  <conditionalFormatting sqref="AB991:AF991">
    <cfRule type="notContainsBlanks" dxfId="1358" priority="1389">
      <formula>LEN(TRIM(AB991))&gt;0</formula>
    </cfRule>
  </conditionalFormatting>
  <conditionalFormatting sqref="AB991:AF991">
    <cfRule type="notContainsBlanks" dxfId="1357" priority="1388">
      <formula>LEN(TRIM(AB991))&gt;0</formula>
    </cfRule>
  </conditionalFormatting>
  <conditionalFormatting sqref="AB991:AF991">
    <cfRule type="notContainsBlanks" dxfId="1356" priority="1387">
      <formula>LEN(TRIM(AB991))&gt;0</formula>
    </cfRule>
  </conditionalFormatting>
  <conditionalFormatting sqref="AB1004:AF1004">
    <cfRule type="notContainsBlanks" dxfId="1355" priority="1386">
      <formula>LEN(TRIM(AB1004))&gt;0</formula>
    </cfRule>
  </conditionalFormatting>
  <conditionalFormatting sqref="AB1004:AF1004">
    <cfRule type="notContainsBlanks" dxfId="1354" priority="1385">
      <formula>LEN(TRIM(AB1004))&gt;0</formula>
    </cfRule>
  </conditionalFormatting>
  <conditionalFormatting sqref="AB1004:AF1004">
    <cfRule type="notContainsBlanks" dxfId="1353" priority="1384">
      <formula>LEN(TRIM(AB1004))&gt;0</formula>
    </cfRule>
  </conditionalFormatting>
  <conditionalFormatting sqref="AB1004:AF1004">
    <cfRule type="notContainsBlanks" dxfId="1352" priority="1383">
      <formula>LEN(TRIM(AB1004))&gt;0</formula>
    </cfRule>
  </conditionalFormatting>
  <conditionalFormatting sqref="AB1004:AF1004">
    <cfRule type="notContainsBlanks" dxfId="1351" priority="1382">
      <formula>LEN(TRIM(AB1004))&gt;0</formula>
    </cfRule>
  </conditionalFormatting>
  <conditionalFormatting sqref="AB1004:AF1004">
    <cfRule type="notContainsBlanks" dxfId="1350" priority="1381">
      <formula>LEN(TRIM(AB1004))&gt;0</formula>
    </cfRule>
  </conditionalFormatting>
  <conditionalFormatting sqref="AB1004:AF1004">
    <cfRule type="notContainsBlanks" dxfId="1349" priority="1380">
      <formula>LEN(TRIM(AB1004))&gt;0</formula>
    </cfRule>
  </conditionalFormatting>
  <conditionalFormatting sqref="AB1004:AF1004">
    <cfRule type="notContainsBlanks" dxfId="1348" priority="1379">
      <formula>LEN(TRIM(AB1004))&gt;0</formula>
    </cfRule>
  </conditionalFormatting>
  <conditionalFormatting sqref="AB1004:AF1004">
    <cfRule type="notContainsBlanks" dxfId="1347" priority="1378">
      <formula>LEN(TRIM(AB1004))&gt;0</formula>
    </cfRule>
  </conditionalFormatting>
  <conditionalFormatting sqref="AB1004:AF1004">
    <cfRule type="notContainsBlanks" dxfId="1346" priority="1376">
      <formula>LEN(TRIM(AB1004))&gt;0</formula>
    </cfRule>
    <cfRule type="notContainsBlanks" dxfId="1345" priority="1377">
      <formula>LEN(TRIM(AB1004))&gt;0</formula>
    </cfRule>
  </conditionalFormatting>
  <conditionalFormatting sqref="AB1004:AF1004">
    <cfRule type="notContainsBlanks" dxfId="1344" priority="1375">
      <formula>LEN(TRIM(AB1004))&gt;0</formula>
    </cfRule>
  </conditionalFormatting>
  <conditionalFormatting sqref="AB1004:AF1004">
    <cfRule type="notContainsBlanks" dxfId="1343" priority="1374">
      <formula>LEN(TRIM(AB1004))&gt;0</formula>
    </cfRule>
  </conditionalFormatting>
  <conditionalFormatting sqref="AB1004:AF1004">
    <cfRule type="notContainsBlanks" dxfId="1342" priority="1373">
      <formula>LEN(TRIM(AB1004))&gt;0</formula>
    </cfRule>
  </conditionalFormatting>
  <conditionalFormatting sqref="AB1004:AF1004">
    <cfRule type="notContainsBlanks" dxfId="1341" priority="1372">
      <formula>LEN(TRIM(AB1004))&gt;0</formula>
    </cfRule>
  </conditionalFormatting>
  <conditionalFormatting sqref="AB1004:AF1004">
    <cfRule type="notContainsBlanks" dxfId="1340" priority="1371">
      <formula>LEN(TRIM(AB1004))&gt;0</formula>
    </cfRule>
  </conditionalFormatting>
  <conditionalFormatting sqref="AB1004:AF1004">
    <cfRule type="notContainsBlanks" dxfId="1339" priority="1370">
      <formula>LEN(TRIM(AB1004))&gt;0</formula>
    </cfRule>
  </conditionalFormatting>
  <conditionalFormatting sqref="AB1004:AF1004">
    <cfRule type="notContainsBlanks" dxfId="1338" priority="1369">
      <formula>LEN(TRIM(AB1004))&gt;0</formula>
    </cfRule>
  </conditionalFormatting>
  <conditionalFormatting sqref="AB1004:AF1004">
    <cfRule type="notContainsBlanks" dxfId="1337" priority="1368">
      <formula>LEN(TRIM(AB1004))&gt;0</formula>
    </cfRule>
  </conditionalFormatting>
  <conditionalFormatting sqref="AB1004:AF1004">
    <cfRule type="notContainsBlanks" dxfId="1336" priority="1367">
      <formula>LEN(TRIM(AB1004))&gt;0</formula>
    </cfRule>
  </conditionalFormatting>
  <conditionalFormatting sqref="AB1004:AF1004">
    <cfRule type="notContainsBlanks" priority="1366">
      <formula>LEN(TRIM(AB1004))&gt;0</formula>
    </cfRule>
  </conditionalFormatting>
  <conditionalFormatting sqref="AB1004:AF1004">
    <cfRule type="notContainsBlanks" dxfId="1335" priority="1365">
      <formula>LEN(TRIM(AB1004))&gt;0</formula>
    </cfRule>
  </conditionalFormatting>
  <conditionalFormatting sqref="AB1004:AF1004">
    <cfRule type="notContainsBlanks" dxfId="1334" priority="1364">
      <formula>LEN(TRIM(AB1004))&gt;0</formula>
    </cfRule>
  </conditionalFormatting>
  <conditionalFormatting sqref="AB1004:AF1004">
    <cfRule type="notContainsBlanks" dxfId="1333" priority="1363">
      <formula>LEN(TRIM(AB1004))&gt;0</formula>
    </cfRule>
  </conditionalFormatting>
  <conditionalFormatting sqref="AB1004:AF1004">
    <cfRule type="notContainsBlanks" dxfId="1332" priority="1362">
      <formula>LEN(TRIM(AB1004))&gt;0</formula>
    </cfRule>
  </conditionalFormatting>
  <conditionalFormatting sqref="AB1004:AF1004">
    <cfRule type="notContainsBlanks" dxfId="1331" priority="1361">
      <formula>LEN(TRIM(AB1004))&gt;0</formula>
    </cfRule>
  </conditionalFormatting>
  <conditionalFormatting sqref="AB1030:AF1030">
    <cfRule type="notContainsBlanks" dxfId="1330" priority="1360">
      <formula>LEN(TRIM(AB1030))&gt;0</formula>
    </cfRule>
  </conditionalFormatting>
  <conditionalFormatting sqref="AB1030:AF1030">
    <cfRule type="notContainsBlanks" dxfId="1329" priority="1359">
      <formula>LEN(TRIM(AB1030))&gt;0</formula>
    </cfRule>
  </conditionalFormatting>
  <conditionalFormatting sqref="AB1030:AF1030">
    <cfRule type="notContainsBlanks" dxfId="1328" priority="1358">
      <formula>LEN(TRIM(AB1030))&gt;0</formula>
    </cfRule>
  </conditionalFormatting>
  <conditionalFormatting sqref="AB1030:AF1030">
    <cfRule type="notContainsBlanks" dxfId="1327" priority="1357">
      <formula>LEN(TRIM(AB1030))&gt;0</formula>
    </cfRule>
  </conditionalFormatting>
  <conditionalFormatting sqref="AB1030:AF1030">
    <cfRule type="notContainsBlanks" dxfId="1326" priority="1356">
      <formula>LEN(TRIM(AB1030))&gt;0</formula>
    </cfRule>
  </conditionalFormatting>
  <conditionalFormatting sqref="AB1030:AF1030">
    <cfRule type="notContainsBlanks" dxfId="1325" priority="1355">
      <formula>LEN(TRIM(AB1030))&gt;0</formula>
    </cfRule>
  </conditionalFormatting>
  <conditionalFormatting sqref="AB1030:AF1030">
    <cfRule type="notContainsBlanks" dxfId="1324" priority="1354">
      <formula>LEN(TRIM(AB1030))&gt;0</formula>
    </cfRule>
  </conditionalFormatting>
  <conditionalFormatting sqref="AB1030:AF1030">
    <cfRule type="notContainsBlanks" dxfId="1323" priority="1353">
      <formula>LEN(TRIM(AB1030))&gt;0</formula>
    </cfRule>
  </conditionalFormatting>
  <conditionalFormatting sqref="AB1030:AF1030">
    <cfRule type="notContainsBlanks" dxfId="1322" priority="1352">
      <formula>LEN(TRIM(AB1030))&gt;0</formula>
    </cfRule>
  </conditionalFormatting>
  <conditionalFormatting sqref="AB1030:AF1030">
    <cfRule type="notContainsBlanks" dxfId="1321" priority="1350">
      <formula>LEN(TRIM(AB1030))&gt;0</formula>
    </cfRule>
    <cfRule type="notContainsBlanks" dxfId="1320" priority="1351">
      <formula>LEN(TRIM(AB1030))&gt;0</formula>
    </cfRule>
  </conditionalFormatting>
  <conditionalFormatting sqref="AB1030:AF1030">
    <cfRule type="notContainsBlanks" dxfId="1319" priority="1349">
      <formula>LEN(TRIM(AB1030))&gt;0</formula>
    </cfRule>
  </conditionalFormatting>
  <conditionalFormatting sqref="AB1030:AF1030">
    <cfRule type="notContainsBlanks" dxfId="1318" priority="1348">
      <formula>LEN(TRIM(AB1030))&gt;0</formula>
    </cfRule>
  </conditionalFormatting>
  <conditionalFormatting sqref="AB1030:AF1030">
    <cfRule type="notContainsBlanks" dxfId="1317" priority="1347">
      <formula>LEN(TRIM(AB1030))&gt;0</formula>
    </cfRule>
  </conditionalFormatting>
  <conditionalFormatting sqref="AB1030:AF1030">
    <cfRule type="notContainsBlanks" dxfId="1316" priority="1346">
      <formula>LEN(TRIM(AB1030))&gt;0</formula>
    </cfRule>
  </conditionalFormatting>
  <conditionalFormatting sqref="AB1030:AF1030">
    <cfRule type="notContainsBlanks" dxfId="1315" priority="1345">
      <formula>LEN(TRIM(AB1030))&gt;0</formula>
    </cfRule>
  </conditionalFormatting>
  <conditionalFormatting sqref="AB1030:AF1030">
    <cfRule type="notContainsBlanks" dxfId="1314" priority="1344">
      <formula>LEN(TRIM(AB1030))&gt;0</formula>
    </cfRule>
  </conditionalFormatting>
  <conditionalFormatting sqref="AB1030:AF1030">
    <cfRule type="notContainsBlanks" dxfId="1313" priority="1343">
      <formula>LEN(TRIM(AB1030))&gt;0</formula>
    </cfRule>
  </conditionalFormatting>
  <conditionalFormatting sqref="AB1030:AF1030">
    <cfRule type="notContainsBlanks" dxfId="1312" priority="1342">
      <formula>LEN(TRIM(AB1030))&gt;0</formula>
    </cfRule>
  </conditionalFormatting>
  <conditionalFormatting sqref="AB1030:AF1030">
    <cfRule type="notContainsBlanks" dxfId="1311" priority="1341">
      <formula>LEN(TRIM(AB1030))&gt;0</formula>
    </cfRule>
  </conditionalFormatting>
  <conditionalFormatting sqref="AB1030:AF1030">
    <cfRule type="notContainsBlanks" priority="1340">
      <formula>LEN(TRIM(AB1030))&gt;0</formula>
    </cfRule>
  </conditionalFormatting>
  <conditionalFormatting sqref="AB1030:AF1030">
    <cfRule type="notContainsBlanks" dxfId="1310" priority="1339">
      <formula>LEN(TRIM(AB1030))&gt;0</formula>
    </cfRule>
  </conditionalFormatting>
  <conditionalFormatting sqref="AB1030:AF1030">
    <cfRule type="notContainsBlanks" dxfId="1309" priority="1338">
      <formula>LEN(TRIM(AB1030))&gt;0</formula>
    </cfRule>
  </conditionalFormatting>
  <conditionalFormatting sqref="AB1030:AF1030">
    <cfRule type="notContainsBlanks" dxfId="1308" priority="1337">
      <formula>LEN(TRIM(AB1030))&gt;0</formula>
    </cfRule>
  </conditionalFormatting>
  <conditionalFormatting sqref="AB1030:AF1030">
    <cfRule type="notContainsBlanks" dxfId="1307" priority="1336">
      <formula>LEN(TRIM(AB1030))&gt;0</formula>
    </cfRule>
  </conditionalFormatting>
  <conditionalFormatting sqref="AB1030:AF1030">
    <cfRule type="notContainsBlanks" dxfId="1306" priority="1335">
      <formula>LEN(TRIM(AB1030))&gt;0</formula>
    </cfRule>
  </conditionalFormatting>
  <conditionalFormatting sqref="AB1017:AF1017">
    <cfRule type="notContainsBlanks" dxfId="1305" priority="1334">
      <formula>LEN(TRIM(AB1017))&gt;0</formula>
    </cfRule>
  </conditionalFormatting>
  <conditionalFormatting sqref="AB1017:AF1017">
    <cfRule type="notContainsBlanks" dxfId="1304" priority="1333">
      <formula>LEN(TRIM(AB1017))&gt;0</formula>
    </cfRule>
  </conditionalFormatting>
  <conditionalFormatting sqref="AB1017:AF1017">
    <cfRule type="notContainsBlanks" dxfId="1303" priority="1332">
      <formula>LEN(TRIM(AB1017))&gt;0</formula>
    </cfRule>
  </conditionalFormatting>
  <conditionalFormatting sqref="AB1017:AF1017">
    <cfRule type="notContainsBlanks" dxfId="1302" priority="1331">
      <formula>LEN(TRIM(AB1017))&gt;0</formula>
    </cfRule>
  </conditionalFormatting>
  <conditionalFormatting sqref="AB1017:AF1017">
    <cfRule type="notContainsBlanks" dxfId="1301" priority="1330">
      <formula>LEN(TRIM(AB1017))&gt;0</formula>
    </cfRule>
  </conditionalFormatting>
  <conditionalFormatting sqref="AB1017:AF1017">
    <cfRule type="notContainsBlanks" dxfId="1300" priority="1329">
      <formula>LEN(TRIM(AB1017))&gt;0</formula>
    </cfRule>
  </conditionalFormatting>
  <conditionalFormatting sqref="AB1017:AF1017">
    <cfRule type="notContainsBlanks" dxfId="1299" priority="1328">
      <formula>LEN(TRIM(AB1017))&gt;0</formula>
    </cfRule>
  </conditionalFormatting>
  <conditionalFormatting sqref="AB1017:AF1017">
    <cfRule type="notContainsBlanks" dxfId="1298" priority="1327">
      <formula>LEN(TRIM(AB1017))&gt;0</formula>
    </cfRule>
  </conditionalFormatting>
  <conditionalFormatting sqref="AB1017:AF1017">
    <cfRule type="notContainsBlanks" dxfId="1297" priority="1326">
      <formula>LEN(TRIM(AB1017))&gt;0</formula>
    </cfRule>
  </conditionalFormatting>
  <conditionalFormatting sqref="AB1017:AF1017">
    <cfRule type="notContainsBlanks" dxfId="1296" priority="1324">
      <formula>LEN(TRIM(AB1017))&gt;0</formula>
    </cfRule>
    <cfRule type="notContainsBlanks" dxfId="1295" priority="1325">
      <formula>LEN(TRIM(AB1017))&gt;0</formula>
    </cfRule>
  </conditionalFormatting>
  <conditionalFormatting sqref="AB1017:AF1017">
    <cfRule type="notContainsBlanks" dxfId="1294" priority="1323">
      <formula>LEN(TRIM(AB1017))&gt;0</formula>
    </cfRule>
  </conditionalFormatting>
  <conditionalFormatting sqref="AB1017:AF1017">
    <cfRule type="notContainsBlanks" dxfId="1293" priority="1322">
      <formula>LEN(TRIM(AB1017))&gt;0</formula>
    </cfRule>
  </conditionalFormatting>
  <conditionalFormatting sqref="AB1017:AF1017">
    <cfRule type="notContainsBlanks" dxfId="1292" priority="1321">
      <formula>LEN(TRIM(AB1017))&gt;0</formula>
    </cfRule>
  </conditionalFormatting>
  <conditionalFormatting sqref="AB1017:AF1017">
    <cfRule type="notContainsBlanks" dxfId="1291" priority="1320">
      <formula>LEN(TRIM(AB1017))&gt;0</formula>
    </cfRule>
  </conditionalFormatting>
  <conditionalFormatting sqref="AB1017:AF1017">
    <cfRule type="notContainsBlanks" dxfId="1290" priority="1319">
      <formula>LEN(TRIM(AB1017))&gt;0</formula>
    </cfRule>
  </conditionalFormatting>
  <conditionalFormatting sqref="AB1017:AF1017">
    <cfRule type="notContainsBlanks" dxfId="1289" priority="1318">
      <formula>LEN(TRIM(AB1017))&gt;0</formula>
    </cfRule>
  </conditionalFormatting>
  <conditionalFormatting sqref="AB1017:AF1017">
    <cfRule type="notContainsBlanks" dxfId="1288" priority="1317">
      <formula>LEN(TRIM(AB1017))&gt;0</formula>
    </cfRule>
  </conditionalFormatting>
  <conditionalFormatting sqref="AB1017:AF1017">
    <cfRule type="notContainsBlanks" dxfId="1287" priority="1316">
      <formula>LEN(TRIM(AB1017))&gt;0</formula>
    </cfRule>
  </conditionalFormatting>
  <conditionalFormatting sqref="AB1017:AF1017">
    <cfRule type="notContainsBlanks" dxfId="1286" priority="1315">
      <formula>LEN(TRIM(AB1017))&gt;0</formula>
    </cfRule>
  </conditionalFormatting>
  <conditionalFormatting sqref="AB1017:AF1017">
    <cfRule type="notContainsBlanks" priority="1314">
      <formula>LEN(TRIM(AB1017))&gt;0</formula>
    </cfRule>
  </conditionalFormatting>
  <conditionalFormatting sqref="AB1017:AF1017">
    <cfRule type="notContainsBlanks" dxfId="1285" priority="1313">
      <formula>LEN(TRIM(AB1017))&gt;0</formula>
    </cfRule>
  </conditionalFormatting>
  <conditionalFormatting sqref="AB1017:AF1017">
    <cfRule type="notContainsBlanks" dxfId="1284" priority="1312">
      <formula>LEN(TRIM(AB1017))&gt;0</formula>
    </cfRule>
  </conditionalFormatting>
  <conditionalFormatting sqref="AB1017:AF1017">
    <cfRule type="notContainsBlanks" dxfId="1283" priority="1311">
      <formula>LEN(TRIM(AB1017))&gt;0</formula>
    </cfRule>
  </conditionalFormatting>
  <conditionalFormatting sqref="AB1017:AF1017">
    <cfRule type="notContainsBlanks" dxfId="1282" priority="1310">
      <formula>LEN(TRIM(AB1017))&gt;0</formula>
    </cfRule>
  </conditionalFormatting>
  <conditionalFormatting sqref="AB1017:AF1017">
    <cfRule type="notContainsBlanks" dxfId="1281" priority="1309">
      <formula>LEN(TRIM(AB1017))&gt;0</formula>
    </cfRule>
  </conditionalFormatting>
  <conditionalFormatting sqref="AB1043:AF1043">
    <cfRule type="notContainsBlanks" dxfId="1280" priority="1308">
      <formula>LEN(TRIM(AB1043))&gt;0</formula>
    </cfRule>
  </conditionalFormatting>
  <conditionalFormatting sqref="AB1043:AF1043">
    <cfRule type="notContainsBlanks" dxfId="1279" priority="1307">
      <formula>LEN(TRIM(AB1043))&gt;0</formula>
    </cfRule>
  </conditionalFormatting>
  <conditionalFormatting sqref="AB1043:AF1043">
    <cfRule type="notContainsBlanks" dxfId="1278" priority="1306">
      <formula>LEN(TRIM(AB1043))&gt;0</formula>
    </cfRule>
  </conditionalFormatting>
  <conditionalFormatting sqref="AB1043:AF1043">
    <cfRule type="notContainsBlanks" dxfId="1277" priority="1305">
      <formula>LEN(TRIM(AB1043))&gt;0</formula>
    </cfRule>
  </conditionalFormatting>
  <conditionalFormatting sqref="AB1043:AF1043">
    <cfRule type="notContainsBlanks" dxfId="1276" priority="1304">
      <formula>LEN(TRIM(AB1043))&gt;0</formula>
    </cfRule>
  </conditionalFormatting>
  <conditionalFormatting sqref="AB1043:AF1043">
    <cfRule type="notContainsBlanks" dxfId="1275" priority="1303">
      <formula>LEN(TRIM(AB1043))&gt;0</formula>
    </cfRule>
  </conditionalFormatting>
  <conditionalFormatting sqref="AB1043:AF1043">
    <cfRule type="notContainsBlanks" dxfId="1274" priority="1302">
      <formula>LEN(TRIM(AB1043))&gt;0</formula>
    </cfRule>
  </conditionalFormatting>
  <conditionalFormatting sqref="AB1043:AF1043">
    <cfRule type="notContainsBlanks" dxfId="1273" priority="1301">
      <formula>LEN(TRIM(AB1043))&gt;0</formula>
    </cfRule>
  </conditionalFormatting>
  <conditionalFormatting sqref="AB1043:AF1043">
    <cfRule type="notContainsBlanks" dxfId="1272" priority="1300">
      <formula>LEN(TRIM(AB1043))&gt;0</formula>
    </cfRule>
  </conditionalFormatting>
  <conditionalFormatting sqref="AB1043:AF1043">
    <cfRule type="notContainsBlanks" dxfId="1271" priority="1298">
      <formula>LEN(TRIM(AB1043))&gt;0</formula>
    </cfRule>
    <cfRule type="notContainsBlanks" dxfId="1270" priority="1299">
      <formula>LEN(TRIM(AB1043))&gt;0</formula>
    </cfRule>
  </conditionalFormatting>
  <conditionalFormatting sqref="AB1043:AF1043">
    <cfRule type="notContainsBlanks" dxfId="1269" priority="1297">
      <formula>LEN(TRIM(AB1043))&gt;0</formula>
    </cfRule>
  </conditionalFormatting>
  <conditionalFormatting sqref="AB1043:AF1043">
    <cfRule type="notContainsBlanks" dxfId="1268" priority="1296">
      <formula>LEN(TRIM(AB1043))&gt;0</formula>
    </cfRule>
  </conditionalFormatting>
  <conditionalFormatting sqref="AB1043:AF1043">
    <cfRule type="notContainsBlanks" dxfId="1267" priority="1295">
      <formula>LEN(TRIM(AB1043))&gt;0</formula>
    </cfRule>
  </conditionalFormatting>
  <conditionalFormatting sqref="AB1043:AF1043">
    <cfRule type="notContainsBlanks" dxfId="1266" priority="1294">
      <formula>LEN(TRIM(AB1043))&gt;0</formula>
    </cfRule>
  </conditionalFormatting>
  <conditionalFormatting sqref="AB1043:AF1043">
    <cfRule type="notContainsBlanks" dxfId="1265" priority="1293">
      <formula>LEN(TRIM(AB1043))&gt;0</formula>
    </cfRule>
  </conditionalFormatting>
  <conditionalFormatting sqref="AB1043:AF1043">
    <cfRule type="notContainsBlanks" dxfId="1264" priority="1292">
      <formula>LEN(TRIM(AB1043))&gt;0</formula>
    </cfRule>
  </conditionalFormatting>
  <conditionalFormatting sqref="AB1043:AF1043">
    <cfRule type="notContainsBlanks" dxfId="1263" priority="1291">
      <formula>LEN(TRIM(AB1043))&gt;0</formula>
    </cfRule>
  </conditionalFormatting>
  <conditionalFormatting sqref="AB1043:AF1043">
    <cfRule type="notContainsBlanks" dxfId="1262" priority="1290">
      <formula>LEN(TRIM(AB1043))&gt;0</formula>
    </cfRule>
  </conditionalFormatting>
  <conditionalFormatting sqref="AB1043:AF1043">
    <cfRule type="notContainsBlanks" dxfId="1261" priority="1289">
      <formula>LEN(TRIM(AB1043))&gt;0</formula>
    </cfRule>
  </conditionalFormatting>
  <conditionalFormatting sqref="AB1043:AF1043">
    <cfRule type="notContainsBlanks" priority="1288">
      <formula>LEN(TRIM(AB1043))&gt;0</formula>
    </cfRule>
  </conditionalFormatting>
  <conditionalFormatting sqref="AB1043:AF1043">
    <cfRule type="notContainsBlanks" dxfId="1260" priority="1287">
      <formula>LEN(TRIM(AB1043))&gt;0</formula>
    </cfRule>
  </conditionalFormatting>
  <conditionalFormatting sqref="AB1043:AF1043">
    <cfRule type="notContainsBlanks" dxfId="1259" priority="1286">
      <formula>LEN(TRIM(AB1043))&gt;0</formula>
    </cfRule>
  </conditionalFormatting>
  <conditionalFormatting sqref="AB1043:AF1043">
    <cfRule type="notContainsBlanks" dxfId="1258" priority="1285">
      <formula>LEN(TRIM(AB1043))&gt;0</formula>
    </cfRule>
  </conditionalFormatting>
  <conditionalFormatting sqref="AB1043:AF1043">
    <cfRule type="notContainsBlanks" dxfId="1257" priority="1284">
      <formula>LEN(TRIM(AB1043))&gt;0</formula>
    </cfRule>
  </conditionalFormatting>
  <conditionalFormatting sqref="AB1043:AF1043">
    <cfRule type="notContainsBlanks" dxfId="1256" priority="1283">
      <formula>LEN(TRIM(AB1043))&gt;0</formula>
    </cfRule>
  </conditionalFormatting>
  <conditionalFormatting sqref="AB1056:AF1056">
    <cfRule type="notContainsBlanks" dxfId="1255" priority="1282">
      <formula>LEN(TRIM(AB1056))&gt;0</formula>
    </cfRule>
  </conditionalFormatting>
  <conditionalFormatting sqref="AB1056:AF1056">
    <cfRule type="notContainsBlanks" dxfId="1254" priority="1281">
      <formula>LEN(TRIM(AB1056))&gt;0</formula>
    </cfRule>
  </conditionalFormatting>
  <conditionalFormatting sqref="AB1056:AF1056">
    <cfRule type="notContainsBlanks" dxfId="1253" priority="1280">
      <formula>LEN(TRIM(AB1056))&gt;0</formula>
    </cfRule>
  </conditionalFormatting>
  <conditionalFormatting sqref="AB1056:AF1056">
    <cfRule type="notContainsBlanks" dxfId="1252" priority="1279">
      <formula>LEN(TRIM(AB1056))&gt;0</formula>
    </cfRule>
  </conditionalFormatting>
  <conditionalFormatting sqref="AB1056:AF1056">
    <cfRule type="notContainsBlanks" dxfId="1251" priority="1278">
      <formula>LEN(TRIM(AB1056))&gt;0</formula>
    </cfRule>
  </conditionalFormatting>
  <conditionalFormatting sqref="AB1056:AF1056">
    <cfRule type="notContainsBlanks" dxfId="1250" priority="1277">
      <formula>LEN(TRIM(AB1056))&gt;0</formula>
    </cfRule>
  </conditionalFormatting>
  <conditionalFormatting sqref="AB1056:AF1056">
    <cfRule type="notContainsBlanks" dxfId="1249" priority="1276">
      <formula>LEN(TRIM(AB1056))&gt;0</formula>
    </cfRule>
  </conditionalFormatting>
  <conditionalFormatting sqref="AB1056:AF1056">
    <cfRule type="notContainsBlanks" dxfId="1248" priority="1275">
      <formula>LEN(TRIM(AB1056))&gt;0</formula>
    </cfRule>
  </conditionalFormatting>
  <conditionalFormatting sqref="AB1056:AF1056">
    <cfRule type="notContainsBlanks" dxfId="1247" priority="1274">
      <formula>LEN(TRIM(AB1056))&gt;0</formula>
    </cfRule>
  </conditionalFormatting>
  <conditionalFormatting sqref="AB1056:AF1056">
    <cfRule type="notContainsBlanks" dxfId="1246" priority="1272">
      <formula>LEN(TRIM(AB1056))&gt;0</formula>
    </cfRule>
    <cfRule type="notContainsBlanks" dxfId="1245" priority="1273">
      <formula>LEN(TRIM(AB1056))&gt;0</formula>
    </cfRule>
  </conditionalFormatting>
  <conditionalFormatting sqref="AB1056:AF1056">
    <cfRule type="notContainsBlanks" dxfId="1244" priority="1271">
      <formula>LEN(TRIM(AB1056))&gt;0</formula>
    </cfRule>
  </conditionalFormatting>
  <conditionalFormatting sqref="AB1056:AF1056">
    <cfRule type="notContainsBlanks" dxfId="1243" priority="1270">
      <formula>LEN(TRIM(AB1056))&gt;0</formula>
    </cfRule>
  </conditionalFormatting>
  <conditionalFormatting sqref="AB1056:AF1056">
    <cfRule type="notContainsBlanks" dxfId="1242" priority="1269">
      <formula>LEN(TRIM(AB1056))&gt;0</formula>
    </cfRule>
  </conditionalFormatting>
  <conditionalFormatting sqref="AB1056:AF1056">
    <cfRule type="notContainsBlanks" dxfId="1241" priority="1268">
      <formula>LEN(TRIM(AB1056))&gt;0</formula>
    </cfRule>
  </conditionalFormatting>
  <conditionalFormatting sqref="AB1056:AF1056">
    <cfRule type="notContainsBlanks" dxfId="1240" priority="1267">
      <formula>LEN(TRIM(AB1056))&gt;0</formula>
    </cfRule>
  </conditionalFormatting>
  <conditionalFormatting sqref="AB1056:AF1056">
    <cfRule type="notContainsBlanks" dxfId="1239" priority="1266">
      <formula>LEN(TRIM(AB1056))&gt;0</formula>
    </cfRule>
  </conditionalFormatting>
  <conditionalFormatting sqref="AB1056:AF1056">
    <cfRule type="notContainsBlanks" dxfId="1238" priority="1265">
      <formula>LEN(TRIM(AB1056))&gt;0</formula>
    </cfRule>
  </conditionalFormatting>
  <conditionalFormatting sqref="AB1056:AF1056">
    <cfRule type="notContainsBlanks" dxfId="1237" priority="1264">
      <formula>LEN(TRIM(AB1056))&gt;0</formula>
    </cfRule>
  </conditionalFormatting>
  <conditionalFormatting sqref="AB1056:AF1056">
    <cfRule type="notContainsBlanks" dxfId="1236" priority="1263">
      <formula>LEN(TRIM(AB1056))&gt;0</formula>
    </cfRule>
  </conditionalFormatting>
  <conditionalFormatting sqref="AB1056:AF1056">
    <cfRule type="notContainsBlanks" priority="1262">
      <formula>LEN(TRIM(AB1056))&gt;0</formula>
    </cfRule>
  </conditionalFormatting>
  <conditionalFormatting sqref="AB1056:AF1056">
    <cfRule type="notContainsBlanks" dxfId="1235" priority="1261">
      <formula>LEN(TRIM(AB1056))&gt;0</formula>
    </cfRule>
  </conditionalFormatting>
  <conditionalFormatting sqref="AB1056:AF1056">
    <cfRule type="notContainsBlanks" dxfId="1234" priority="1260">
      <formula>LEN(TRIM(AB1056))&gt;0</formula>
    </cfRule>
  </conditionalFormatting>
  <conditionalFormatting sqref="AB1056:AF1056">
    <cfRule type="notContainsBlanks" dxfId="1233" priority="1259">
      <formula>LEN(TRIM(AB1056))&gt;0</formula>
    </cfRule>
  </conditionalFormatting>
  <conditionalFormatting sqref="AB1056:AF1056">
    <cfRule type="notContainsBlanks" dxfId="1232" priority="1258">
      <formula>LEN(TRIM(AB1056))&gt;0</formula>
    </cfRule>
  </conditionalFormatting>
  <conditionalFormatting sqref="AB1056:AF1056">
    <cfRule type="notContainsBlanks" dxfId="1231" priority="1257">
      <formula>LEN(TRIM(AB1056))&gt;0</formula>
    </cfRule>
  </conditionalFormatting>
  <conditionalFormatting sqref="AB1069:AF1069">
    <cfRule type="notContainsBlanks" dxfId="1230" priority="1256">
      <formula>LEN(TRIM(AB1069))&gt;0</formula>
    </cfRule>
  </conditionalFormatting>
  <conditionalFormatting sqref="AB1069:AF1069">
    <cfRule type="notContainsBlanks" dxfId="1229" priority="1255">
      <formula>LEN(TRIM(AB1069))&gt;0</formula>
    </cfRule>
  </conditionalFormatting>
  <conditionalFormatting sqref="AB1069:AF1069">
    <cfRule type="notContainsBlanks" dxfId="1228" priority="1254">
      <formula>LEN(TRIM(AB1069))&gt;0</formula>
    </cfRule>
  </conditionalFormatting>
  <conditionalFormatting sqref="AB1069:AF1069">
    <cfRule type="notContainsBlanks" dxfId="1227" priority="1253">
      <formula>LEN(TRIM(AB1069))&gt;0</formula>
    </cfRule>
  </conditionalFormatting>
  <conditionalFormatting sqref="AB1069:AF1069">
    <cfRule type="notContainsBlanks" dxfId="1226" priority="1252">
      <formula>LEN(TRIM(AB1069))&gt;0</formula>
    </cfRule>
  </conditionalFormatting>
  <conditionalFormatting sqref="AB1069:AF1069">
    <cfRule type="notContainsBlanks" dxfId="1225" priority="1251">
      <formula>LEN(TRIM(AB1069))&gt;0</formula>
    </cfRule>
  </conditionalFormatting>
  <conditionalFormatting sqref="AB1069:AF1069">
    <cfRule type="notContainsBlanks" dxfId="1224" priority="1250">
      <formula>LEN(TRIM(AB1069))&gt;0</formula>
    </cfRule>
  </conditionalFormatting>
  <conditionalFormatting sqref="AB1069:AF1069">
    <cfRule type="notContainsBlanks" dxfId="1223" priority="1249">
      <formula>LEN(TRIM(AB1069))&gt;0</formula>
    </cfRule>
  </conditionalFormatting>
  <conditionalFormatting sqref="AB1069:AF1069">
    <cfRule type="notContainsBlanks" dxfId="1222" priority="1248">
      <formula>LEN(TRIM(AB1069))&gt;0</formula>
    </cfRule>
  </conditionalFormatting>
  <conditionalFormatting sqref="AB1069:AF1069">
    <cfRule type="notContainsBlanks" dxfId="1221" priority="1246">
      <formula>LEN(TRIM(AB1069))&gt;0</formula>
    </cfRule>
    <cfRule type="notContainsBlanks" dxfId="1220" priority="1247">
      <formula>LEN(TRIM(AB1069))&gt;0</formula>
    </cfRule>
  </conditionalFormatting>
  <conditionalFormatting sqref="AB1069:AF1069">
    <cfRule type="notContainsBlanks" dxfId="1219" priority="1245">
      <formula>LEN(TRIM(AB1069))&gt;0</formula>
    </cfRule>
  </conditionalFormatting>
  <conditionalFormatting sqref="AB1069:AF1069">
    <cfRule type="notContainsBlanks" dxfId="1218" priority="1244">
      <formula>LEN(TRIM(AB1069))&gt;0</formula>
    </cfRule>
  </conditionalFormatting>
  <conditionalFormatting sqref="AB1069:AF1069">
    <cfRule type="notContainsBlanks" dxfId="1217" priority="1243">
      <formula>LEN(TRIM(AB1069))&gt;0</formula>
    </cfRule>
  </conditionalFormatting>
  <conditionalFormatting sqref="AB1069:AF1069">
    <cfRule type="notContainsBlanks" dxfId="1216" priority="1242">
      <formula>LEN(TRIM(AB1069))&gt;0</formula>
    </cfRule>
  </conditionalFormatting>
  <conditionalFormatting sqref="AB1069:AF1069">
    <cfRule type="notContainsBlanks" dxfId="1215" priority="1241">
      <formula>LEN(TRIM(AB1069))&gt;0</formula>
    </cfRule>
  </conditionalFormatting>
  <conditionalFormatting sqref="AB1069:AF1069">
    <cfRule type="notContainsBlanks" dxfId="1214" priority="1240">
      <formula>LEN(TRIM(AB1069))&gt;0</formula>
    </cfRule>
  </conditionalFormatting>
  <conditionalFormatting sqref="AB1069:AF1069">
    <cfRule type="notContainsBlanks" dxfId="1213" priority="1239">
      <formula>LEN(TRIM(AB1069))&gt;0</formula>
    </cfRule>
  </conditionalFormatting>
  <conditionalFormatting sqref="AB1069:AF1069">
    <cfRule type="notContainsBlanks" dxfId="1212" priority="1238">
      <formula>LEN(TRIM(AB1069))&gt;0</formula>
    </cfRule>
  </conditionalFormatting>
  <conditionalFormatting sqref="AB1069:AF1069">
    <cfRule type="notContainsBlanks" dxfId="1211" priority="1237">
      <formula>LEN(TRIM(AB1069))&gt;0</formula>
    </cfRule>
  </conditionalFormatting>
  <conditionalFormatting sqref="AB1069:AF1069">
    <cfRule type="notContainsBlanks" priority="1236">
      <formula>LEN(TRIM(AB1069))&gt;0</formula>
    </cfRule>
  </conditionalFormatting>
  <conditionalFormatting sqref="AB1069:AF1069">
    <cfRule type="notContainsBlanks" dxfId="1210" priority="1235">
      <formula>LEN(TRIM(AB1069))&gt;0</formula>
    </cfRule>
  </conditionalFormatting>
  <conditionalFormatting sqref="AB1069:AF1069">
    <cfRule type="notContainsBlanks" dxfId="1209" priority="1234">
      <formula>LEN(TRIM(AB1069))&gt;0</formula>
    </cfRule>
  </conditionalFormatting>
  <conditionalFormatting sqref="AB1069:AF1069">
    <cfRule type="notContainsBlanks" dxfId="1208" priority="1233">
      <formula>LEN(TRIM(AB1069))&gt;0</formula>
    </cfRule>
  </conditionalFormatting>
  <conditionalFormatting sqref="AB1069:AF1069">
    <cfRule type="notContainsBlanks" dxfId="1207" priority="1232">
      <formula>LEN(TRIM(AB1069))&gt;0</formula>
    </cfRule>
  </conditionalFormatting>
  <conditionalFormatting sqref="AB1069:AF1069">
    <cfRule type="notContainsBlanks" dxfId="1206" priority="1231">
      <formula>LEN(TRIM(AB1069))&gt;0</formula>
    </cfRule>
  </conditionalFormatting>
  <conditionalFormatting sqref="AB1082:AF1082">
    <cfRule type="notContainsBlanks" dxfId="1205" priority="1230">
      <formula>LEN(TRIM(AB1082))&gt;0</formula>
    </cfRule>
  </conditionalFormatting>
  <conditionalFormatting sqref="AB1082:AF1082">
    <cfRule type="notContainsBlanks" dxfId="1204" priority="1229">
      <formula>LEN(TRIM(AB1082))&gt;0</formula>
    </cfRule>
  </conditionalFormatting>
  <conditionalFormatting sqref="AB1082:AF1082">
    <cfRule type="notContainsBlanks" dxfId="1203" priority="1228">
      <formula>LEN(TRIM(AB1082))&gt;0</formula>
    </cfRule>
  </conditionalFormatting>
  <conditionalFormatting sqref="AB1082:AF1082">
    <cfRule type="notContainsBlanks" dxfId="1202" priority="1227">
      <formula>LEN(TRIM(AB1082))&gt;0</formula>
    </cfRule>
  </conditionalFormatting>
  <conditionalFormatting sqref="AB1082:AF1082">
    <cfRule type="notContainsBlanks" dxfId="1201" priority="1226">
      <formula>LEN(TRIM(AB1082))&gt;0</formula>
    </cfRule>
  </conditionalFormatting>
  <conditionalFormatting sqref="AB1082:AF1082">
    <cfRule type="notContainsBlanks" dxfId="1200" priority="1225">
      <formula>LEN(TRIM(AB1082))&gt;0</formula>
    </cfRule>
  </conditionalFormatting>
  <conditionalFormatting sqref="AB1082:AF1082">
    <cfRule type="notContainsBlanks" dxfId="1199" priority="1224">
      <formula>LEN(TRIM(AB1082))&gt;0</formula>
    </cfRule>
  </conditionalFormatting>
  <conditionalFormatting sqref="AB1082:AF1082">
    <cfRule type="notContainsBlanks" dxfId="1198" priority="1223">
      <formula>LEN(TRIM(AB1082))&gt;0</formula>
    </cfRule>
  </conditionalFormatting>
  <conditionalFormatting sqref="AB1082:AF1082">
    <cfRule type="notContainsBlanks" dxfId="1197" priority="1222">
      <formula>LEN(TRIM(AB1082))&gt;0</formula>
    </cfRule>
  </conditionalFormatting>
  <conditionalFormatting sqref="AB1082:AF1082">
    <cfRule type="notContainsBlanks" dxfId="1196" priority="1220">
      <formula>LEN(TRIM(AB1082))&gt;0</formula>
    </cfRule>
    <cfRule type="notContainsBlanks" dxfId="1195" priority="1221">
      <formula>LEN(TRIM(AB1082))&gt;0</formula>
    </cfRule>
  </conditionalFormatting>
  <conditionalFormatting sqref="AB1082:AF1082">
    <cfRule type="notContainsBlanks" dxfId="1194" priority="1219">
      <formula>LEN(TRIM(AB1082))&gt;0</formula>
    </cfRule>
  </conditionalFormatting>
  <conditionalFormatting sqref="AB1082:AF1082">
    <cfRule type="notContainsBlanks" dxfId="1193" priority="1218">
      <formula>LEN(TRIM(AB1082))&gt;0</formula>
    </cfRule>
  </conditionalFormatting>
  <conditionalFormatting sqref="AB1082:AF1082">
    <cfRule type="notContainsBlanks" dxfId="1192" priority="1217">
      <formula>LEN(TRIM(AB1082))&gt;0</formula>
    </cfRule>
  </conditionalFormatting>
  <conditionalFormatting sqref="AB1082:AF1082">
    <cfRule type="notContainsBlanks" dxfId="1191" priority="1216">
      <formula>LEN(TRIM(AB1082))&gt;0</formula>
    </cfRule>
  </conditionalFormatting>
  <conditionalFormatting sqref="AB1082:AF1082">
    <cfRule type="notContainsBlanks" dxfId="1190" priority="1215">
      <formula>LEN(TRIM(AB1082))&gt;0</formula>
    </cfRule>
  </conditionalFormatting>
  <conditionalFormatting sqref="AB1082:AF1082">
    <cfRule type="notContainsBlanks" dxfId="1189" priority="1214">
      <formula>LEN(TRIM(AB1082))&gt;0</formula>
    </cfRule>
  </conditionalFormatting>
  <conditionalFormatting sqref="AB1082:AF1082">
    <cfRule type="notContainsBlanks" dxfId="1188" priority="1213">
      <formula>LEN(TRIM(AB1082))&gt;0</formula>
    </cfRule>
  </conditionalFormatting>
  <conditionalFormatting sqref="AB1082:AF1082">
    <cfRule type="notContainsBlanks" dxfId="1187" priority="1212">
      <formula>LEN(TRIM(AB1082))&gt;0</formula>
    </cfRule>
  </conditionalFormatting>
  <conditionalFormatting sqref="AB1082:AF1082">
    <cfRule type="notContainsBlanks" dxfId="1186" priority="1211">
      <formula>LEN(TRIM(AB1082))&gt;0</formula>
    </cfRule>
  </conditionalFormatting>
  <conditionalFormatting sqref="AB1082:AF1082">
    <cfRule type="notContainsBlanks" priority="1210">
      <formula>LEN(TRIM(AB1082))&gt;0</formula>
    </cfRule>
  </conditionalFormatting>
  <conditionalFormatting sqref="AB1082:AF1082">
    <cfRule type="notContainsBlanks" dxfId="1185" priority="1209">
      <formula>LEN(TRIM(AB1082))&gt;0</formula>
    </cfRule>
  </conditionalFormatting>
  <conditionalFormatting sqref="AB1082:AF1082">
    <cfRule type="notContainsBlanks" dxfId="1184" priority="1208">
      <formula>LEN(TRIM(AB1082))&gt;0</formula>
    </cfRule>
  </conditionalFormatting>
  <conditionalFormatting sqref="AB1082:AF1082">
    <cfRule type="notContainsBlanks" dxfId="1183" priority="1207">
      <formula>LEN(TRIM(AB1082))&gt;0</formula>
    </cfRule>
  </conditionalFormatting>
  <conditionalFormatting sqref="AB1082:AF1082">
    <cfRule type="notContainsBlanks" dxfId="1182" priority="1206">
      <formula>LEN(TRIM(AB1082))&gt;0</formula>
    </cfRule>
  </conditionalFormatting>
  <conditionalFormatting sqref="AB1082:AF1082">
    <cfRule type="notContainsBlanks" dxfId="1181" priority="1205">
      <formula>LEN(TRIM(AB1082))&gt;0</formula>
    </cfRule>
  </conditionalFormatting>
  <conditionalFormatting sqref="AB1095:AF1095">
    <cfRule type="notContainsBlanks" dxfId="1180" priority="1204">
      <formula>LEN(TRIM(AB1095))&gt;0</formula>
    </cfRule>
  </conditionalFormatting>
  <conditionalFormatting sqref="AB1095:AF1095">
    <cfRule type="notContainsBlanks" dxfId="1179" priority="1203">
      <formula>LEN(TRIM(AB1095))&gt;0</formula>
    </cfRule>
  </conditionalFormatting>
  <conditionalFormatting sqref="AB1095:AF1095">
    <cfRule type="notContainsBlanks" dxfId="1178" priority="1202">
      <formula>LEN(TRIM(AB1095))&gt;0</formula>
    </cfRule>
  </conditionalFormatting>
  <conditionalFormatting sqref="AB1095:AF1095">
    <cfRule type="notContainsBlanks" dxfId="1177" priority="1201">
      <formula>LEN(TRIM(AB1095))&gt;0</formula>
    </cfRule>
  </conditionalFormatting>
  <conditionalFormatting sqref="AB1095:AF1095">
    <cfRule type="notContainsBlanks" dxfId="1176" priority="1200">
      <formula>LEN(TRIM(AB1095))&gt;0</formula>
    </cfRule>
  </conditionalFormatting>
  <conditionalFormatting sqref="AB1095:AF1095">
    <cfRule type="notContainsBlanks" dxfId="1175" priority="1199">
      <formula>LEN(TRIM(AB1095))&gt;0</formula>
    </cfRule>
  </conditionalFormatting>
  <conditionalFormatting sqref="AB1095:AF1095">
    <cfRule type="notContainsBlanks" dxfId="1174" priority="1198">
      <formula>LEN(TRIM(AB1095))&gt;0</formula>
    </cfRule>
  </conditionalFormatting>
  <conditionalFormatting sqref="AB1095:AF1095">
    <cfRule type="notContainsBlanks" dxfId="1173" priority="1197">
      <formula>LEN(TRIM(AB1095))&gt;0</formula>
    </cfRule>
  </conditionalFormatting>
  <conditionalFormatting sqref="AB1095:AF1095">
    <cfRule type="notContainsBlanks" dxfId="1172" priority="1196">
      <formula>LEN(TRIM(AB1095))&gt;0</formula>
    </cfRule>
  </conditionalFormatting>
  <conditionalFormatting sqref="AB1095:AF1095">
    <cfRule type="notContainsBlanks" dxfId="1171" priority="1194">
      <formula>LEN(TRIM(AB1095))&gt;0</formula>
    </cfRule>
    <cfRule type="notContainsBlanks" dxfId="1170" priority="1195">
      <formula>LEN(TRIM(AB1095))&gt;0</formula>
    </cfRule>
  </conditionalFormatting>
  <conditionalFormatting sqref="AB1095:AF1095">
    <cfRule type="notContainsBlanks" dxfId="1169" priority="1193">
      <formula>LEN(TRIM(AB1095))&gt;0</formula>
    </cfRule>
  </conditionalFormatting>
  <conditionalFormatting sqref="AB1095:AF1095">
    <cfRule type="notContainsBlanks" dxfId="1168" priority="1192">
      <formula>LEN(TRIM(AB1095))&gt;0</formula>
    </cfRule>
  </conditionalFormatting>
  <conditionalFormatting sqref="AB1095:AF1095">
    <cfRule type="notContainsBlanks" dxfId="1167" priority="1191">
      <formula>LEN(TRIM(AB1095))&gt;0</formula>
    </cfRule>
  </conditionalFormatting>
  <conditionalFormatting sqref="AB1095:AF1095">
    <cfRule type="notContainsBlanks" dxfId="1166" priority="1190">
      <formula>LEN(TRIM(AB1095))&gt;0</formula>
    </cfRule>
  </conditionalFormatting>
  <conditionalFormatting sqref="AB1095:AF1095">
    <cfRule type="notContainsBlanks" dxfId="1165" priority="1189">
      <formula>LEN(TRIM(AB1095))&gt;0</formula>
    </cfRule>
  </conditionalFormatting>
  <conditionalFormatting sqref="AB1095:AF1095">
    <cfRule type="notContainsBlanks" dxfId="1164" priority="1188">
      <formula>LEN(TRIM(AB1095))&gt;0</formula>
    </cfRule>
  </conditionalFormatting>
  <conditionalFormatting sqref="AB1095:AF1095">
    <cfRule type="notContainsBlanks" dxfId="1163" priority="1187">
      <formula>LEN(TRIM(AB1095))&gt;0</formula>
    </cfRule>
  </conditionalFormatting>
  <conditionalFormatting sqref="AB1095:AF1095">
    <cfRule type="notContainsBlanks" dxfId="1162" priority="1186">
      <formula>LEN(TRIM(AB1095))&gt;0</formula>
    </cfRule>
  </conditionalFormatting>
  <conditionalFormatting sqref="AB1095:AF1095">
    <cfRule type="notContainsBlanks" dxfId="1161" priority="1185">
      <formula>LEN(TRIM(AB1095))&gt;0</formula>
    </cfRule>
  </conditionalFormatting>
  <conditionalFormatting sqref="AB1095:AF1095">
    <cfRule type="notContainsBlanks" priority="1184">
      <formula>LEN(TRIM(AB1095))&gt;0</formula>
    </cfRule>
  </conditionalFormatting>
  <conditionalFormatting sqref="AB1095:AF1095">
    <cfRule type="notContainsBlanks" dxfId="1160" priority="1183">
      <formula>LEN(TRIM(AB1095))&gt;0</formula>
    </cfRule>
  </conditionalFormatting>
  <conditionalFormatting sqref="AB1095:AF1095">
    <cfRule type="notContainsBlanks" dxfId="1159" priority="1182">
      <formula>LEN(TRIM(AB1095))&gt;0</formula>
    </cfRule>
  </conditionalFormatting>
  <conditionalFormatting sqref="AB1095:AF1095">
    <cfRule type="notContainsBlanks" dxfId="1158" priority="1181">
      <formula>LEN(TRIM(AB1095))&gt;0</formula>
    </cfRule>
  </conditionalFormatting>
  <conditionalFormatting sqref="AB1095:AF1095">
    <cfRule type="notContainsBlanks" dxfId="1157" priority="1180">
      <formula>LEN(TRIM(AB1095))&gt;0</formula>
    </cfRule>
  </conditionalFormatting>
  <conditionalFormatting sqref="AB1095:AF1095">
    <cfRule type="notContainsBlanks" dxfId="1156" priority="1179">
      <formula>LEN(TRIM(AB1095))&gt;0</formula>
    </cfRule>
  </conditionalFormatting>
  <conditionalFormatting sqref="AB1108:AF1108">
    <cfRule type="notContainsBlanks" dxfId="1155" priority="1178">
      <formula>LEN(TRIM(AB1108))&gt;0</formula>
    </cfRule>
  </conditionalFormatting>
  <conditionalFormatting sqref="AB1108:AF1108">
    <cfRule type="notContainsBlanks" dxfId="1154" priority="1177">
      <formula>LEN(TRIM(AB1108))&gt;0</formula>
    </cfRule>
  </conditionalFormatting>
  <conditionalFormatting sqref="AB1108:AF1108">
    <cfRule type="notContainsBlanks" dxfId="1153" priority="1176">
      <formula>LEN(TRIM(AB1108))&gt;0</formula>
    </cfRule>
  </conditionalFormatting>
  <conditionalFormatting sqref="AB1108:AF1108">
    <cfRule type="notContainsBlanks" dxfId="1152" priority="1175">
      <formula>LEN(TRIM(AB1108))&gt;0</formula>
    </cfRule>
  </conditionalFormatting>
  <conditionalFormatting sqref="AB1108:AF1108">
    <cfRule type="notContainsBlanks" dxfId="1151" priority="1174">
      <formula>LEN(TRIM(AB1108))&gt;0</formula>
    </cfRule>
  </conditionalFormatting>
  <conditionalFormatting sqref="AB1108:AF1108">
    <cfRule type="notContainsBlanks" dxfId="1150" priority="1173">
      <formula>LEN(TRIM(AB1108))&gt;0</formula>
    </cfRule>
  </conditionalFormatting>
  <conditionalFormatting sqref="AB1108:AF1108">
    <cfRule type="notContainsBlanks" dxfId="1149" priority="1172">
      <formula>LEN(TRIM(AB1108))&gt;0</formula>
    </cfRule>
  </conditionalFormatting>
  <conditionalFormatting sqref="AB1108:AF1108">
    <cfRule type="notContainsBlanks" dxfId="1148" priority="1171">
      <formula>LEN(TRIM(AB1108))&gt;0</formula>
    </cfRule>
  </conditionalFormatting>
  <conditionalFormatting sqref="AB1108:AF1108">
    <cfRule type="notContainsBlanks" dxfId="1147" priority="1170">
      <formula>LEN(TRIM(AB1108))&gt;0</formula>
    </cfRule>
  </conditionalFormatting>
  <conditionalFormatting sqref="AB1108:AF1108">
    <cfRule type="notContainsBlanks" dxfId="1146" priority="1168">
      <formula>LEN(TRIM(AB1108))&gt;0</formula>
    </cfRule>
    <cfRule type="notContainsBlanks" dxfId="1145" priority="1169">
      <formula>LEN(TRIM(AB1108))&gt;0</formula>
    </cfRule>
  </conditionalFormatting>
  <conditionalFormatting sqref="AB1108:AF1108">
    <cfRule type="notContainsBlanks" dxfId="1144" priority="1167">
      <formula>LEN(TRIM(AB1108))&gt;0</formula>
    </cfRule>
  </conditionalFormatting>
  <conditionalFormatting sqref="AB1108:AF1108">
    <cfRule type="notContainsBlanks" dxfId="1143" priority="1166">
      <formula>LEN(TRIM(AB1108))&gt;0</formula>
    </cfRule>
  </conditionalFormatting>
  <conditionalFormatting sqref="AB1108:AF1108">
    <cfRule type="notContainsBlanks" dxfId="1142" priority="1165">
      <formula>LEN(TRIM(AB1108))&gt;0</formula>
    </cfRule>
  </conditionalFormatting>
  <conditionalFormatting sqref="AB1108:AF1108">
    <cfRule type="notContainsBlanks" dxfId="1141" priority="1164">
      <formula>LEN(TRIM(AB1108))&gt;0</formula>
    </cfRule>
  </conditionalFormatting>
  <conditionalFormatting sqref="AB1108:AF1108">
    <cfRule type="notContainsBlanks" dxfId="1140" priority="1163">
      <formula>LEN(TRIM(AB1108))&gt;0</formula>
    </cfRule>
  </conditionalFormatting>
  <conditionalFormatting sqref="AB1108:AF1108">
    <cfRule type="notContainsBlanks" dxfId="1139" priority="1162">
      <formula>LEN(TRIM(AB1108))&gt;0</formula>
    </cfRule>
  </conditionalFormatting>
  <conditionalFormatting sqref="AB1108:AF1108">
    <cfRule type="notContainsBlanks" dxfId="1138" priority="1161">
      <formula>LEN(TRIM(AB1108))&gt;0</formula>
    </cfRule>
  </conditionalFormatting>
  <conditionalFormatting sqref="AB1108:AF1108">
    <cfRule type="notContainsBlanks" dxfId="1137" priority="1160">
      <formula>LEN(TRIM(AB1108))&gt;0</formula>
    </cfRule>
  </conditionalFormatting>
  <conditionalFormatting sqref="AB1108:AF1108">
    <cfRule type="notContainsBlanks" dxfId="1136" priority="1159">
      <formula>LEN(TRIM(AB1108))&gt;0</formula>
    </cfRule>
  </conditionalFormatting>
  <conditionalFormatting sqref="AB1108:AF1108">
    <cfRule type="notContainsBlanks" priority="1158">
      <formula>LEN(TRIM(AB1108))&gt;0</formula>
    </cfRule>
  </conditionalFormatting>
  <conditionalFormatting sqref="AB1108:AF1108">
    <cfRule type="notContainsBlanks" dxfId="1135" priority="1157">
      <formula>LEN(TRIM(AB1108))&gt;0</formula>
    </cfRule>
  </conditionalFormatting>
  <conditionalFormatting sqref="AB1108:AF1108">
    <cfRule type="notContainsBlanks" dxfId="1134" priority="1156">
      <formula>LEN(TRIM(AB1108))&gt;0</formula>
    </cfRule>
  </conditionalFormatting>
  <conditionalFormatting sqref="AB1108:AF1108">
    <cfRule type="notContainsBlanks" dxfId="1133" priority="1155">
      <formula>LEN(TRIM(AB1108))&gt;0</formula>
    </cfRule>
  </conditionalFormatting>
  <conditionalFormatting sqref="AB1108:AF1108">
    <cfRule type="notContainsBlanks" dxfId="1132" priority="1154">
      <formula>LEN(TRIM(AB1108))&gt;0</formula>
    </cfRule>
  </conditionalFormatting>
  <conditionalFormatting sqref="AB1108:AF1108">
    <cfRule type="notContainsBlanks" dxfId="1131" priority="1153">
      <formula>LEN(TRIM(AB1108))&gt;0</formula>
    </cfRule>
  </conditionalFormatting>
  <conditionalFormatting sqref="AB1121:AF1121">
    <cfRule type="notContainsBlanks" dxfId="1130" priority="1152">
      <formula>LEN(TRIM(AB1121))&gt;0</formula>
    </cfRule>
  </conditionalFormatting>
  <conditionalFormatting sqref="AB1121:AF1121">
    <cfRule type="notContainsBlanks" dxfId="1129" priority="1151">
      <formula>LEN(TRIM(AB1121))&gt;0</formula>
    </cfRule>
  </conditionalFormatting>
  <conditionalFormatting sqref="AB1121:AF1121">
    <cfRule type="notContainsBlanks" dxfId="1128" priority="1150">
      <formula>LEN(TRIM(AB1121))&gt;0</formula>
    </cfRule>
  </conditionalFormatting>
  <conditionalFormatting sqref="AB1121:AF1121">
    <cfRule type="notContainsBlanks" dxfId="1127" priority="1149">
      <formula>LEN(TRIM(AB1121))&gt;0</formula>
    </cfRule>
  </conditionalFormatting>
  <conditionalFormatting sqref="AB1121:AF1121">
    <cfRule type="notContainsBlanks" dxfId="1126" priority="1148">
      <formula>LEN(TRIM(AB1121))&gt;0</formula>
    </cfRule>
  </conditionalFormatting>
  <conditionalFormatting sqref="AB1121:AF1121">
    <cfRule type="notContainsBlanks" dxfId="1125" priority="1147">
      <formula>LEN(TRIM(AB1121))&gt;0</formula>
    </cfRule>
  </conditionalFormatting>
  <conditionalFormatting sqref="AB1121:AF1121">
    <cfRule type="notContainsBlanks" dxfId="1124" priority="1146">
      <formula>LEN(TRIM(AB1121))&gt;0</formula>
    </cfRule>
  </conditionalFormatting>
  <conditionalFormatting sqref="AB1121:AF1121">
    <cfRule type="notContainsBlanks" dxfId="1123" priority="1145">
      <formula>LEN(TRIM(AB1121))&gt;0</formula>
    </cfRule>
  </conditionalFormatting>
  <conditionalFormatting sqref="AB1121:AF1121">
    <cfRule type="notContainsBlanks" dxfId="1122" priority="1144">
      <formula>LEN(TRIM(AB1121))&gt;0</formula>
    </cfRule>
  </conditionalFormatting>
  <conditionalFormatting sqref="AB1121:AF1121">
    <cfRule type="notContainsBlanks" dxfId="1121" priority="1142">
      <formula>LEN(TRIM(AB1121))&gt;0</formula>
    </cfRule>
    <cfRule type="notContainsBlanks" dxfId="1120" priority="1143">
      <formula>LEN(TRIM(AB1121))&gt;0</formula>
    </cfRule>
  </conditionalFormatting>
  <conditionalFormatting sqref="AB1121:AF1121">
    <cfRule type="notContainsBlanks" dxfId="1119" priority="1141">
      <formula>LEN(TRIM(AB1121))&gt;0</formula>
    </cfRule>
  </conditionalFormatting>
  <conditionalFormatting sqref="AB1121:AF1121">
    <cfRule type="notContainsBlanks" dxfId="1118" priority="1140">
      <formula>LEN(TRIM(AB1121))&gt;0</formula>
    </cfRule>
  </conditionalFormatting>
  <conditionalFormatting sqref="AB1121:AF1121">
    <cfRule type="notContainsBlanks" dxfId="1117" priority="1139">
      <formula>LEN(TRIM(AB1121))&gt;0</formula>
    </cfRule>
  </conditionalFormatting>
  <conditionalFormatting sqref="AB1121:AF1121">
    <cfRule type="notContainsBlanks" dxfId="1116" priority="1138">
      <formula>LEN(TRIM(AB1121))&gt;0</formula>
    </cfRule>
  </conditionalFormatting>
  <conditionalFormatting sqref="AB1121:AF1121">
    <cfRule type="notContainsBlanks" dxfId="1115" priority="1137">
      <formula>LEN(TRIM(AB1121))&gt;0</formula>
    </cfRule>
  </conditionalFormatting>
  <conditionalFormatting sqref="AB1121:AF1121">
    <cfRule type="notContainsBlanks" dxfId="1114" priority="1136">
      <formula>LEN(TRIM(AB1121))&gt;0</formula>
    </cfRule>
  </conditionalFormatting>
  <conditionalFormatting sqref="AB1121:AF1121">
    <cfRule type="notContainsBlanks" dxfId="1113" priority="1135">
      <formula>LEN(TRIM(AB1121))&gt;0</formula>
    </cfRule>
  </conditionalFormatting>
  <conditionalFormatting sqref="AB1121:AF1121">
    <cfRule type="notContainsBlanks" dxfId="1112" priority="1134">
      <formula>LEN(TRIM(AB1121))&gt;0</formula>
    </cfRule>
  </conditionalFormatting>
  <conditionalFormatting sqref="AB1121:AF1121">
    <cfRule type="notContainsBlanks" dxfId="1111" priority="1133">
      <formula>LEN(TRIM(AB1121))&gt;0</formula>
    </cfRule>
  </conditionalFormatting>
  <conditionalFormatting sqref="AB1121:AF1121">
    <cfRule type="notContainsBlanks" priority="1132">
      <formula>LEN(TRIM(AB1121))&gt;0</formula>
    </cfRule>
  </conditionalFormatting>
  <conditionalFormatting sqref="AB1121:AF1121">
    <cfRule type="notContainsBlanks" dxfId="1110" priority="1131">
      <formula>LEN(TRIM(AB1121))&gt;0</formula>
    </cfRule>
  </conditionalFormatting>
  <conditionalFormatting sqref="AB1121:AF1121">
    <cfRule type="notContainsBlanks" dxfId="1109" priority="1130">
      <formula>LEN(TRIM(AB1121))&gt;0</formula>
    </cfRule>
  </conditionalFormatting>
  <conditionalFormatting sqref="AB1121:AF1121">
    <cfRule type="notContainsBlanks" dxfId="1108" priority="1129">
      <formula>LEN(TRIM(AB1121))&gt;0</formula>
    </cfRule>
  </conditionalFormatting>
  <conditionalFormatting sqref="AB1121:AF1121">
    <cfRule type="notContainsBlanks" dxfId="1107" priority="1128">
      <formula>LEN(TRIM(AB1121))&gt;0</formula>
    </cfRule>
  </conditionalFormatting>
  <conditionalFormatting sqref="AB1121:AF1121">
    <cfRule type="notContainsBlanks" dxfId="1106" priority="1127">
      <formula>LEN(TRIM(AB1121))&gt;0</formula>
    </cfRule>
  </conditionalFormatting>
  <conditionalFormatting sqref="AB1134:AF1134">
    <cfRule type="notContainsBlanks" dxfId="1105" priority="1126">
      <formula>LEN(TRIM(AB1134))&gt;0</formula>
    </cfRule>
  </conditionalFormatting>
  <conditionalFormatting sqref="AB1134:AF1134">
    <cfRule type="notContainsBlanks" dxfId="1104" priority="1125">
      <formula>LEN(TRIM(AB1134))&gt;0</formula>
    </cfRule>
  </conditionalFormatting>
  <conditionalFormatting sqref="AB1134:AF1134">
    <cfRule type="notContainsBlanks" dxfId="1103" priority="1124">
      <formula>LEN(TRIM(AB1134))&gt;0</formula>
    </cfRule>
  </conditionalFormatting>
  <conditionalFormatting sqref="AB1134:AF1134">
    <cfRule type="notContainsBlanks" dxfId="1102" priority="1123">
      <formula>LEN(TRIM(AB1134))&gt;0</formula>
    </cfRule>
  </conditionalFormatting>
  <conditionalFormatting sqref="AB1134:AF1134">
    <cfRule type="notContainsBlanks" dxfId="1101" priority="1122">
      <formula>LEN(TRIM(AB1134))&gt;0</formula>
    </cfRule>
  </conditionalFormatting>
  <conditionalFormatting sqref="AB1134:AF1134">
    <cfRule type="notContainsBlanks" dxfId="1100" priority="1121">
      <formula>LEN(TRIM(AB1134))&gt;0</formula>
    </cfRule>
  </conditionalFormatting>
  <conditionalFormatting sqref="AB1134:AF1134">
    <cfRule type="notContainsBlanks" dxfId="1099" priority="1120">
      <formula>LEN(TRIM(AB1134))&gt;0</formula>
    </cfRule>
  </conditionalFormatting>
  <conditionalFormatting sqref="AB1134:AF1134">
    <cfRule type="notContainsBlanks" dxfId="1098" priority="1119">
      <formula>LEN(TRIM(AB1134))&gt;0</formula>
    </cfRule>
  </conditionalFormatting>
  <conditionalFormatting sqref="AB1134:AF1134">
    <cfRule type="notContainsBlanks" dxfId="1097" priority="1118">
      <formula>LEN(TRIM(AB1134))&gt;0</formula>
    </cfRule>
  </conditionalFormatting>
  <conditionalFormatting sqref="AB1134:AF1134">
    <cfRule type="notContainsBlanks" dxfId="1096" priority="1116">
      <formula>LEN(TRIM(AB1134))&gt;0</formula>
    </cfRule>
    <cfRule type="notContainsBlanks" dxfId="1095" priority="1117">
      <formula>LEN(TRIM(AB1134))&gt;0</formula>
    </cfRule>
  </conditionalFormatting>
  <conditionalFormatting sqref="AB1134:AF1134">
    <cfRule type="notContainsBlanks" dxfId="1094" priority="1115">
      <formula>LEN(TRIM(AB1134))&gt;0</formula>
    </cfRule>
  </conditionalFormatting>
  <conditionalFormatting sqref="AB1134:AF1134">
    <cfRule type="notContainsBlanks" dxfId="1093" priority="1114">
      <formula>LEN(TRIM(AB1134))&gt;0</formula>
    </cfRule>
  </conditionalFormatting>
  <conditionalFormatting sqref="AB1134:AF1134">
    <cfRule type="notContainsBlanks" dxfId="1092" priority="1113">
      <formula>LEN(TRIM(AB1134))&gt;0</formula>
    </cfRule>
  </conditionalFormatting>
  <conditionalFormatting sqref="AB1134:AF1134">
    <cfRule type="notContainsBlanks" dxfId="1091" priority="1112">
      <formula>LEN(TRIM(AB1134))&gt;0</formula>
    </cfRule>
  </conditionalFormatting>
  <conditionalFormatting sqref="AB1134:AF1134">
    <cfRule type="notContainsBlanks" dxfId="1090" priority="1111">
      <formula>LEN(TRIM(AB1134))&gt;0</formula>
    </cfRule>
  </conditionalFormatting>
  <conditionalFormatting sqref="AB1134:AF1134">
    <cfRule type="notContainsBlanks" dxfId="1089" priority="1110">
      <formula>LEN(TRIM(AB1134))&gt;0</formula>
    </cfRule>
  </conditionalFormatting>
  <conditionalFormatting sqref="AB1134:AF1134">
    <cfRule type="notContainsBlanks" dxfId="1088" priority="1109">
      <formula>LEN(TRIM(AB1134))&gt;0</formula>
    </cfRule>
  </conditionalFormatting>
  <conditionalFormatting sqref="AB1134:AF1134">
    <cfRule type="notContainsBlanks" dxfId="1087" priority="1108">
      <formula>LEN(TRIM(AB1134))&gt;0</formula>
    </cfRule>
  </conditionalFormatting>
  <conditionalFormatting sqref="AB1134:AF1134">
    <cfRule type="notContainsBlanks" dxfId="1086" priority="1107">
      <formula>LEN(TRIM(AB1134))&gt;0</formula>
    </cfRule>
  </conditionalFormatting>
  <conditionalFormatting sqref="AB1134:AF1134">
    <cfRule type="notContainsBlanks" priority="1106">
      <formula>LEN(TRIM(AB1134))&gt;0</formula>
    </cfRule>
  </conditionalFormatting>
  <conditionalFormatting sqref="AB1134:AF1134">
    <cfRule type="notContainsBlanks" dxfId="1085" priority="1105">
      <formula>LEN(TRIM(AB1134))&gt;0</formula>
    </cfRule>
  </conditionalFormatting>
  <conditionalFormatting sqref="AB1134:AF1134">
    <cfRule type="notContainsBlanks" dxfId="1084" priority="1104">
      <formula>LEN(TRIM(AB1134))&gt;0</formula>
    </cfRule>
  </conditionalFormatting>
  <conditionalFormatting sqref="AB1134:AF1134">
    <cfRule type="notContainsBlanks" dxfId="1083" priority="1103">
      <formula>LEN(TRIM(AB1134))&gt;0</formula>
    </cfRule>
  </conditionalFormatting>
  <conditionalFormatting sqref="AB1134:AF1134">
    <cfRule type="notContainsBlanks" dxfId="1082" priority="1102">
      <formula>LEN(TRIM(AB1134))&gt;0</formula>
    </cfRule>
  </conditionalFormatting>
  <conditionalFormatting sqref="AB1134:AF1134">
    <cfRule type="notContainsBlanks" dxfId="1081" priority="1101">
      <formula>LEN(TRIM(AB1134))&gt;0</formula>
    </cfRule>
  </conditionalFormatting>
  <conditionalFormatting sqref="AB1147:AF1147">
    <cfRule type="notContainsBlanks" dxfId="1080" priority="1100">
      <formula>LEN(TRIM(AB1147))&gt;0</formula>
    </cfRule>
  </conditionalFormatting>
  <conditionalFormatting sqref="AB1147:AF1147">
    <cfRule type="notContainsBlanks" dxfId="1079" priority="1099">
      <formula>LEN(TRIM(AB1147))&gt;0</formula>
    </cfRule>
  </conditionalFormatting>
  <conditionalFormatting sqref="AB1147:AF1147">
    <cfRule type="notContainsBlanks" dxfId="1078" priority="1098">
      <formula>LEN(TRIM(AB1147))&gt;0</formula>
    </cfRule>
  </conditionalFormatting>
  <conditionalFormatting sqref="AB1147:AF1147">
    <cfRule type="notContainsBlanks" dxfId="1077" priority="1097">
      <formula>LEN(TRIM(AB1147))&gt;0</formula>
    </cfRule>
  </conditionalFormatting>
  <conditionalFormatting sqref="AB1147:AF1147">
    <cfRule type="notContainsBlanks" dxfId="1076" priority="1096">
      <formula>LEN(TRIM(AB1147))&gt;0</formula>
    </cfRule>
  </conditionalFormatting>
  <conditionalFormatting sqref="AB1147:AF1147">
    <cfRule type="notContainsBlanks" dxfId="1075" priority="1095">
      <formula>LEN(TRIM(AB1147))&gt;0</formula>
    </cfRule>
  </conditionalFormatting>
  <conditionalFormatting sqref="AB1147:AF1147">
    <cfRule type="notContainsBlanks" dxfId="1074" priority="1094">
      <formula>LEN(TRIM(AB1147))&gt;0</formula>
    </cfRule>
  </conditionalFormatting>
  <conditionalFormatting sqref="AB1147:AF1147">
    <cfRule type="notContainsBlanks" dxfId="1073" priority="1093">
      <formula>LEN(TRIM(AB1147))&gt;0</formula>
    </cfRule>
  </conditionalFormatting>
  <conditionalFormatting sqref="AB1147:AF1147">
    <cfRule type="notContainsBlanks" dxfId="1072" priority="1092">
      <formula>LEN(TRIM(AB1147))&gt;0</formula>
    </cfRule>
  </conditionalFormatting>
  <conditionalFormatting sqref="AB1147:AF1147">
    <cfRule type="notContainsBlanks" dxfId="1071" priority="1090">
      <formula>LEN(TRIM(AB1147))&gt;0</formula>
    </cfRule>
    <cfRule type="notContainsBlanks" dxfId="1070" priority="1091">
      <formula>LEN(TRIM(AB1147))&gt;0</formula>
    </cfRule>
  </conditionalFormatting>
  <conditionalFormatting sqref="AB1147:AF1147">
    <cfRule type="notContainsBlanks" dxfId="1069" priority="1089">
      <formula>LEN(TRIM(AB1147))&gt;0</formula>
    </cfRule>
  </conditionalFormatting>
  <conditionalFormatting sqref="AB1147:AF1147">
    <cfRule type="notContainsBlanks" dxfId="1068" priority="1088">
      <formula>LEN(TRIM(AB1147))&gt;0</formula>
    </cfRule>
  </conditionalFormatting>
  <conditionalFormatting sqref="AB1147:AF1147">
    <cfRule type="notContainsBlanks" dxfId="1067" priority="1087">
      <formula>LEN(TRIM(AB1147))&gt;0</formula>
    </cfRule>
  </conditionalFormatting>
  <conditionalFormatting sqref="AB1147:AF1147">
    <cfRule type="notContainsBlanks" dxfId="1066" priority="1086">
      <formula>LEN(TRIM(AB1147))&gt;0</formula>
    </cfRule>
  </conditionalFormatting>
  <conditionalFormatting sqref="AB1147:AF1147">
    <cfRule type="notContainsBlanks" dxfId="1065" priority="1085">
      <formula>LEN(TRIM(AB1147))&gt;0</formula>
    </cfRule>
  </conditionalFormatting>
  <conditionalFormatting sqref="AB1147:AF1147">
    <cfRule type="notContainsBlanks" dxfId="1064" priority="1084">
      <formula>LEN(TRIM(AB1147))&gt;0</formula>
    </cfRule>
  </conditionalFormatting>
  <conditionalFormatting sqref="AB1147:AF1147">
    <cfRule type="notContainsBlanks" dxfId="1063" priority="1083">
      <formula>LEN(TRIM(AB1147))&gt;0</formula>
    </cfRule>
  </conditionalFormatting>
  <conditionalFormatting sqref="AB1147:AF1147">
    <cfRule type="notContainsBlanks" dxfId="1062" priority="1082">
      <formula>LEN(TRIM(AB1147))&gt;0</formula>
    </cfRule>
  </conditionalFormatting>
  <conditionalFormatting sqref="AB1147:AF1147">
    <cfRule type="notContainsBlanks" dxfId="1061" priority="1081">
      <formula>LEN(TRIM(AB1147))&gt;0</formula>
    </cfRule>
  </conditionalFormatting>
  <conditionalFormatting sqref="AB1147:AF1147">
    <cfRule type="notContainsBlanks" priority="1080">
      <formula>LEN(TRIM(AB1147))&gt;0</formula>
    </cfRule>
  </conditionalFormatting>
  <conditionalFormatting sqref="AB1147:AF1147">
    <cfRule type="notContainsBlanks" dxfId="1060" priority="1079">
      <formula>LEN(TRIM(AB1147))&gt;0</formula>
    </cfRule>
  </conditionalFormatting>
  <conditionalFormatting sqref="AB1147:AF1147">
    <cfRule type="notContainsBlanks" dxfId="1059" priority="1078">
      <formula>LEN(TRIM(AB1147))&gt;0</formula>
    </cfRule>
  </conditionalFormatting>
  <conditionalFormatting sqref="AB1147:AF1147">
    <cfRule type="notContainsBlanks" dxfId="1058" priority="1077">
      <formula>LEN(TRIM(AB1147))&gt;0</formula>
    </cfRule>
  </conditionalFormatting>
  <conditionalFormatting sqref="AB1147:AF1147">
    <cfRule type="notContainsBlanks" dxfId="1057" priority="1076">
      <formula>LEN(TRIM(AB1147))&gt;0</formula>
    </cfRule>
  </conditionalFormatting>
  <conditionalFormatting sqref="AB1147:AF1147">
    <cfRule type="notContainsBlanks" dxfId="1056" priority="1075">
      <formula>LEN(TRIM(AB1147))&gt;0</formula>
    </cfRule>
  </conditionalFormatting>
  <conditionalFormatting sqref="AB1160:AF1160">
    <cfRule type="notContainsBlanks" dxfId="1055" priority="1074">
      <formula>LEN(TRIM(AB1160))&gt;0</formula>
    </cfRule>
  </conditionalFormatting>
  <conditionalFormatting sqref="AB1160:AF1160">
    <cfRule type="notContainsBlanks" dxfId="1054" priority="1073">
      <formula>LEN(TRIM(AB1160))&gt;0</formula>
    </cfRule>
  </conditionalFormatting>
  <conditionalFormatting sqref="AB1160:AF1160">
    <cfRule type="notContainsBlanks" dxfId="1053" priority="1072">
      <formula>LEN(TRIM(AB1160))&gt;0</formula>
    </cfRule>
  </conditionalFormatting>
  <conditionalFormatting sqref="AB1160:AF1160">
    <cfRule type="notContainsBlanks" dxfId="1052" priority="1071">
      <formula>LEN(TRIM(AB1160))&gt;0</formula>
    </cfRule>
  </conditionalFormatting>
  <conditionalFormatting sqref="AB1160:AF1160">
    <cfRule type="notContainsBlanks" dxfId="1051" priority="1070">
      <formula>LEN(TRIM(AB1160))&gt;0</formula>
    </cfRule>
  </conditionalFormatting>
  <conditionalFormatting sqref="AB1160:AF1160">
    <cfRule type="notContainsBlanks" dxfId="1050" priority="1069">
      <formula>LEN(TRIM(AB1160))&gt;0</formula>
    </cfRule>
  </conditionalFormatting>
  <conditionalFormatting sqref="AB1160:AF1160">
    <cfRule type="notContainsBlanks" dxfId="1049" priority="1068">
      <formula>LEN(TRIM(AB1160))&gt;0</formula>
    </cfRule>
  </conditionalFormatting>
  <conditionalFormatting sqref="AB1160:AF1160">
    <cfRule type="notContainsBlanks" dxfId="1048" priority="1067">
      <formula>LEN(TRIM(AB1160))&gt;0</formula>
    </cfRule>
  </conditionalFormatting>
  <conditionalFormatting sqref="AB1160:AF1160">
    <cfRule type="notContainsBlanks" dxfId="1047" priority="1066">
      <formula>LEN(TRIM(AB1160))&gt;0</formula>
    </cfRule>
  </conditionalFormatting>
  <conditionalFormatting sqref="AB1160:AF1160">
    <cfRule type="notContainsBlanks" dxfId="1046" priority="1064">
      <formula>LEN(TRIM(AB1160))&gt;0</formula>
    </cfRule>
    <cfRule type="notContainsBlanks" dxfId="1045" priority="1065">
      <formula>LEN(TRIM(AB1160))&gt;0</formula>
    </cfRule>
  </conditionalFormatting>
  <conditionalFormatting sqref="AB1160:AF1160">
    <cfRule type="notContainsBlanks" dxfId="1044" priority="1063">
      <formula>LEN(TRIM(AB1160))&gt;0</formula>
    </cfRule>
  </conditionalFormatting>
  <conditionalFormatting sqref="AB1160:AF1160">
    <cfRule type="notContainsBlanks" dxfId="1043" priority="1062">
      <formula>LEN(TRIM(AB1160))&gt;0</formula>
    </cfRule>
  </conditionalFormatting>
  <conditionalFormatting sqref="AB1160:AF1160">
    <cfRule type="notContainsBlanks" dxfId="1042" priority="1061">
      <formula>LEN(TRIM(AB1160))&gt;0</formula>
    </cfRule>
  </conditionalFormatting>
  <conditionalFormatting sqref="AB1160:AF1160">
    <cfRule type="notContainsBlanks" dxfId="1041" priority="1060">
      <formula>LEN(TRIM(AB1160))&gt;0</formula>
    </cfRule>
  </conditionalFormatting>
  <conditionalFormatting sqref="AB1160:AF1160">
    <cfRule type="notContainsBlanks" dxfId="1040" priority="1059">
      <formula>LEN(TRIM(AB1160))&gt;0</formula>
    </cfRule>
  </conditionalFormatting>
  <conditionalFormatting sqref="AB1160:AF1160">
    <cfRule type="notContainsBlanks" dxfId="1039" priority="1058">
      <formula>LEN(TRIM(AB1160))&gt;0</formula>
    </cfRule>
  </conditionalFormatting>
  <conditionalFormatting sqref="AB1160:AF1160">
    <cfRule type="notContainsBlanks" dxfId="1038" priority="1057">
      <formula>LEN(TRIM(AB1160))&gt;0</formula>
    </cfRule>
  </conditionalFormatting>
  <conditionalFormatting sqref="AB1160:AF1160">
    <cfRule type="notContainsBlanks" dxfId="1037" priority="1056">
      <formula>LEN(TRIM(AB1160))&gt;0</formula>
    </cfRule>
  </conditionalFormatting>
  <conditionalFormatting sqref="AB1160:AF1160">
    <cfRule type="notContainsBlanks" dxfId="1036" priority="1055">
      <formula>LEN(TRIM(AB1160))&gt;0</formula>
    </cfRule>
  </conditionalFormatting>
  <conditionalFormatting sqref="AB1160:AF1160">
    <cfRule type="notContainsBlanks" priority="1054">
      <formula>LEN(TRIM(AB1160))&gt;0</formula>
    </cfRule>
  </conditionalFormatting>
  <conditionalFormatting sqref="AB1160:AF1160">
    <cfRule type="notContainsBlanks" dxfId="1035" priority="1053">
      <formula>LEN(TRIM(AB1160))&gt;0</formula>
    </cfRule>
  </conditionalFormatting>
  <conditionalFormatting sqref="AB1160:AF1160">
    <cfRule type="notContainsBlanks" dxfId="1034" priority="1052">
      <formula>LEN(TRIM(AB1160))&gt;0</formula>
    </cfRule>
  </conditionalFormatting>
  <conditionalFormatting sqref="AB1160:AF1160">
    <cfRule type="notContainsBlanks" dxfId="1033" priority="1051">
      <formula>LEN(TRIM(AB1160))&gt;0</formula>
    </cfRule>
  </conditionalFormatting>
  <conditionalFormatting sqref="AB1160:AF1160">
    <cfRule type="notContainsBlanks" dxfId="1032" priority="1050">
      <formula>LEN(TRIM(AB1160))&gt;0</formula>
    </cfRule>
  </conditionalFormatting>
  <conditionalFormatting sqref="AB1160:AF1160">
    <cfRule type="notContainsBlanks" dxfId="1031" priority="1049">
      <formula>LEN(TRIM(AB1160))&gt;0</formula>
    </cfRule>
  </conditionalFormatting>
  <conditionalFormatting sqref="AB1173:AF1173">
    <cfRule type="notContainsBlanks" dxfId="1030" priority="1048">
      <formula>LEN(TRIM(AB1173))&gt;0</formula>
    </cfRule>
  </conditionalFormatting>
  <conditionalFormatting sqref="AB1173:AF1173">
    <cfRule type="notContainsBlanks" dxfId="1029" priority="1047">
      <formula>LEN(TRIM(AB1173))&gt;0</formula>
    </cfRule>
  </conditionalFormatting>
  <conditionalFormatting sqref="AB1173:AF1173">
    <cfRule type="notContainsBlanks" dxfId="1028" priority="1046">
      <formula>LEN(TRIM(AB1173))&gt;0</formula>
    </cfRule>
  </conditionalFormatting>
  <conditionalFormatting sqref="AB1173:AF1173">
    <cfRule type="notContainsBlanks" dxfId="1027" priority="1045">
      <formula>LEN(TRIM(AB1173))&gt;0</formula>
    </cfRule>
  </conditionalFormatting>
  <conditionalFormatting sqref="AB1173:AF1173">
    <cfRule type="notContainsBlanks" dxfId="1026" priority="1044">
      <formula>LEN(TRIM(AB1173))&gt;0</formula>
    </cfRule>
  </conditionalFormatting>
  <conditionalFormatting sqref="AB1173:AF1173">
    <cfRule type="notContainsBlanks" dxfId="1025" priority="1043">
      <formula>LEN(TRIM(AB1173))&gt;0</formula>
    </cfRule>
  </conditionalFormatting>
  <conditionalFormatting sqref="AB1173:AF1173">
    <cfRule type="notContainsBlanks" dxfId="1024" priority="1042">
      <formula>LEN(TRIM(AB1173))&gt;0</formula>
    </cfRule>
  </conditionalFormatting>
  <conditionalFormatting sqref="AB1173:AF1173">
    <cfRule type="notContainsBlanks" dxfId="1023" priority="1041">
      <formula>LEN(TRIM(AB1173))&gt;0</formula>
    </cfRule>
  </conditionalFormatting>
  <conditionalFormatting sqref="AB1173:AF1173">
    <cfRule type="notContainsBlanks" dxfId="1022" priority="1040">
      <formula>LEN(TRIM(AB1173))&gt;0</formula>
    </cfRule>
  </conditionalFormatting>
  <conditionalFormatting sqref="AB1173:AF1173">
    <cfRule type="notContainsBlanks" dxfId="1021" priority="1038">
      <formula>LEN(TRIM(AB1173))&gt;0</formula>
    </cfRule>
    <cfRule type="notContainsBlanks" dxfId="1020" priority="1039">
      <formula>LEN(TRIM(AB1173))&gt;0</formula>
    </cfRule>
  </conditionalFormatting>
  <conditionalFormatting sqref="AB1173:AF1173">
    <cfRule type="notContainsBlanks" dxfId="1019" priority="1037">
      <formula>LEN(TRIM(AB1173))&gt;0</formula>
    </cfRule>
  </conditionalFormatting>
  <conditionalFormatting sqref="AB1173:AF1173">
    <cfRule type="notContainsBlanks" dxfId="1018" priority="1036">
      <formula>LEN(TRIM(AB1173))&gt;0</formula>
    </cfRule>
  </conditionalFormatting>
  <conditionalFormatting sqref="AB1173:AF1173">
    <cfRule type="notContainsBlanks" dxfId="1017" priority="1035">
      <formula>LEN(TRIM(AB1173))&gt;0</formula>
    </cfRule>
  </conditionalFormatting>
  <conditionalFormatting sqref="AB1173:AF1173">
    <cfRule type="notContainsBlanks" dxfId="1016" priority="1034">
      <formula>LEN(TRIM(AB1173))&gt;0</formula>
    </cfRule>
  </conditionalFormatting>
  <conditionalFormatting sqref="AB1173:AF1173">
    <cfRule type="notContainsBlanks" dxfId="1015" priority="1033">
      <formula>LEN(TRIM(AB1173))&gt;0</formula>
    </cfRule>
  </conditionalFormatting>
  <conditionalFormatting sqref="AB1173:AF1173">
    <cfRule type="notContainsBlanks" dxfId="1014" priority="1032">
      <formula>LEN(TRIM(AB1173))&gt;0</formula>
    </cfRule>
  </conditionalFormatting>
  <conditionalFormatting sqref="AB1173:AF1173">
    <cfRule type="notContainsBlanks" dxfId="1013" priority="1031">
      <formula>LEN(TRIM(AB1173))&gt;0</formula>
    </cfRule>
  </conditionalFormatting>
  <conditionalFormatting sqref="AB1173:AF1173">
    <cfRule type="notContainsBlanks" dxfId="1012" priority="1030">
      <formula>LEN(TRIM(AB1173))&gt;0</formula>
    </cfRule>
  </conditionalFormatting>
  <conditionalFormatting sqref="AB1173:AF1173">
    <cfRule type="notContainsBlanks" dxfId="1011" priority="1029">
      <formula>LEN(TRIM(AB1173))&gt;0</formula>
    </cfRule>
  </conditionalFormatting>
  <conditionalFormatting sqref="AB1173:AF1173">
    <cfRule type="notContainsBlanks" priority="1028">
      <formula>LEN(TRIM(AB1173))&gt;0</formula>
    </cfRule>
  </conditionalFormatting>
  <conditionalFormatting sqref="AB1173:AF1173">
    <cfRule type="notContainsBlanks" dxfId="1010" priority="1027">
      <formula>LEN(TRIM(AB1173))&gt;0</formula>
    </cfRule>
  </conditionalFormatting>
  <conditionalFormatting sqref="AB1173:AF1173">
    <cfRule type="notContainsBlanks" dxfId="1009" priority="1026">
      <formula>LEN(TRIM(AB1173))&gt;0</formula>
    </cfRule>
  </conditionalFormatting>
  <conditionalFormatting sqref="AB1173:AF1173">
    <cfRule type="notContainsBlanks" dxfId="1008" priority="1025">
      <formula>LEN(TRIM(AB1173))&gt;0</formula>
    </cfRule>
  </conditionalFormatting>
  <conditionalFormatting sqref="AB1173:AF1173">
    <cfRule type="notContainsBlanks" dxfId="1007" priority="1024">
      <formula>LEN(TRIM(AB1173))&gt;0</formula>
    </cfRule>
  </conditionalFormatting>
  <conditionalFormatting sqref="AB1173:AF1173">
    <cfRule type="notContainsBlanks" dxfId="1006" priority="1023">
      <formula>LEN(TRIM(AB1173))&gt;0</formula>
    </cfRule>
  </conditionalFormatting>
  <conditionalFormatting sqref="AB1186:AF1186">
    <cfRule type="notContainsBlanks" dxfId="1005" priority="1022">
      <formula>LEN(TRIM(AB1186))&gt;0</formula>
    </cfRule>
  </conditionalFormatting>
  <conditionalFormatting sqref="AB1186:AF1186">
    <cfRule type="notContainsBlanks" dxfId="1004" priority="1021">
      <formula>LEN(TRIM(AB1186))&gt;0</formula>
    </cfRule>
  </conditionalFormatting>
  <conditionalFormatting sqref="AB1186:AF1186">
    <cfRule type="notContainsBlanks" dxfId="1003" priority="1020">
      <formula>LEN(TRIM(AB1186))&gt;0</formula>
    </cfRule>
  </conditionalFormatting>
  <conditionalFormatting sqref="AB1186:AF1186">
    <cfRule type="notContainsBlanks" dxfId="1002" priority="1019">
      <formula>LEN(TRIM(AB1186))&gt;0</formula>
    </cfRule>
  </conditionalFormatting>
  <conditionalFormatting sqref="AB1186:AF1186">
    <cfRule type="notContainsBlanks" dxfId="1001" priority="1018">
      <formula>LEN(TRIM(AB1186))&gt;0</formula>
    </cfRule>
  </conditionalFormatting>
  <conditionalFormatting sqref="AB1186:AF1186">
    <cfRule type="notContainsBlanks" dxfId="1000" priority="1017">
      <formula>LEN(TRIM(AB1186))&gt;0</formula>
    </cfRule>
  </conditionalFormatting>
  <conditionalFormatting sqref="AB1186:AF1186">
    <cfRule type="notContainsBlanks" dxfId="999" priority="1016">
      <formula>LEN(TRIM(AB1186))&gt;0</formula>
    </cfRule>
  </conditionalFormatting>
  <conditionalFormatting sqref="AB1186:AF1186">
    <cfRule type="notContainsBlanks" dxfId="998" priority="1015">
      <formula>LEN(TRIM(AB1186))&gt;0</formula>
    </cfRule>
  </conditionalFormatting>
  <conditionalFormatting sqref="AB1186:AF1186">
    <cfRule type="notContainsBlanks" dxfId="997" priority="1014">
      <formula>LEN(TRIM(AB1186))&gt;0</formula>
    </cfRule>
  </conditionalFormatting>
  <conditionalFormatting sqref="AB1186:AF1186">
    <cfRule type="notContainsBlanks" dxfId="996" priority="1012">
      <formula>LEN(TRIM(AB1186))&gt;0</formula>
    </cfRule>
    <cfRule type="notContainsBlanks" dxfId="995" priority="1013">
      <formula>LEN(TRIM(AB1186))&gt;0</formula>
    </cfRule>
  </conditionalFormatting>
  <conditionalFormatting sqref="AB1186:AF1186">
    <cfRule type="notContainsBlanks" dxfId="994" priority="1011">
      <formula>LEN(TRIM(AB1186))&gt;0</formula>
    </cfRule>
  </conditionalFormatting>
  <conditionalFormatting sqref="AB1186:AF1186">
    <cfRule type="notContainsBlanks" dxfId="993" priority="1010">
      <formula>LEN(TRIM(AB1186))&gt;0</formula>
    </cfRule>
  </conditionalFormatting>
  <conditionalFormatting sqref="AB1186:AF1186">
    <cfRule type="notContainsBlanks" dxfId="992" priority="1009">
      <formula>LEN(TRIM(AB1186))&gt;0</formula>
    </cfRule>
  </conditionalFormatting>
  <conditionalFormatting sqref="AB1186:AF1186">
    <cfRule type="notContainsBlanks" dxfId="991" priority="1008">
      <formula>LEN(TRIM(AB1186))&gt;0</formula>
    </cfRule>
  </conditionalFormatting>
  <conditionalFormatting sqref="AB1186:AF1186">
    <cfRule type="notContainsBlanks" dxfId="990" priority="1007">
      <formula>LEN(TRIM(AB1186))&gt;0</formula>
    </cfRule>
  </conditionalFormatting>
  <conditionalFormatting sqref="AB1186:AF1186">
    <cfRule type="notContainsBlanks" dxfId="989" priority="1006">
      <formula>LEN(TRIM(AB1186))&gt;0</formula>
    </cfRule>
  </conditionalFormatting>
  <conditionalFormatting sqref="AB1186:AF1186">
    <cfRule type="notContainsBlanks" dxfId="988" priority="1005">
      <formula>LEN(TRIM(AB1186))&gt;0</formula>
    </cfRule>
  </conditionalFormatting>
  <conditionalFormatting sqref="AB1186:AF1186">
    <cfRule type="notContainsBlanks" dxfId="987" priority="1004">
      <formula>LEN(TRIM(AB1186))&gt;0</formula>
    </cfRule>
  </conditionalFormatting>
  <conditionalFormatting sqref="AB1186:AF1186">
    <cfRule type="notContainsBlanks" dxfId="986" priority="1003">
      <formula>LEN(TRIM(AB1186))&gt;0</formula>
    </cfRule>
  </conditionalFormatting>
  <conditionalFormatting sqref="AB1186:AF1186">
    <cfRule type="notContainsBlanks" priority="1002">
      <formula>LEN(TRIM(AB1186))&gt;0</formula>
    </cfRule>
  </conditionalFormatting>
  <conditionalFormatting sqref="AB1186:AF1186">
    <cfRule type="notContainsBlanks" dxfId="985" priority="1001">
      <formula>LEN(TRIM(AB1186))&gt;0</formula>
    </cfRule>
  </conditionalFormatting>
  <conditionalFormatting sqref="AB1186:AF1186">
    <cfRule type="notContainsBlanks" dxfId="984" priority="1000">
      <formula>LEN(TRIM(AB1186))&gt;0</formula>
    </cfRule>
  </conditionalFormatting>
  <conditionalFormatting sqref="AB1186:AF1186">
    <cfRule type="notContainsBlanks" dxfId="983" priority="999">
      <formula>LEN(TRIM(AB1186))&gt;0</formula>
    </cfRule>
  </conditionalFormatting>
  <conditionalFormatting sqref="AB1186:AF1186">
    <cfRule type="notContainsBlanks" dxfId="982" priority="998">
      <formula>LEN(TRIM(AB1186))&gt;0</formula>
    </cfRule>
  </conditionalFormatting>
  <conditionalFormatting sqref="AB1186:AF1186">
    <cfRule type="notContainsBlanks" dxfId="981" priority="997">
      <formula>LEN(TRIM(AB1186))&gt;0</formula>
    </cfRule>
  </conditionalFormatting>
  <conditionalFormatting sqref="AB1199:AF1199">
    <cfRule type="notContainsBlanks" dxfId="980" priority="996">
      <formula>LEN(TRIM(AB1199))&gt;0</formula>
    </cfRule>
  </conditionalFormatting>
  <conditionalFormatting sqref="AB1199:AF1199">
    <cfRule type="notContainsBlanks" dxfId="979" priority="995">
      <formula>LEN(TRIM(AB1199))&gt;0</formula>
    </cfRule>
  </conditionalFormatting>
  <conditionalFormatting sqref="AB1199:AF1199">
    <cfRule type="notContainsBlanks" dxfId="978" priority="994">
      <formula>LEN(TRIM(AB1199))&gt;0</formula>
    </cfRule>
  </conditionalFormatting>
  <conditionalFormatting sqref="AB1199:AF1199">
    <cfRule type="notContainsBlanks" dxfId="977" priority="993">
      <formula>LEN(TRIM(AB1199))&gt;0</formula>
    </cfRule>
  </conditionalFormatting>
  <conditionalFormatting sqref="AB1199:AF1199">
    <cfRule type="notContainsBlanks" dxfId="976" priority="992">
      <formula>LEN(TRIM(AB1199))&gt;0</formula>
    </cfRule>
  </conditionalFormatting>
  <conditionalFormatting sqref="AB1199:AF1199">
    <cfRule type="notContainsBlanks" dxfId="975" priority="991">
      <formula>LEN(TRIM(AB1199))&gt;0</formula>
    </cfRule>
  </conditionalFormatting>
  <conditionalFormatting sqref="AB1199:AF1199">
    <cfRule type="notContainsBlanks" dxfId="974" priority="990">
      <formula>LEN(TRIM(AB1199))&gt;0</formula>
    </cfRule>
  </conditionalFormatting>
  <conditionalFormatting sqref="AB1199:AF1199">
    <cfRule type="notContainsBlanks" dxfId="973" priority="989">
      <formula>LEN(TRIM(AB1199))&gt;0</formula>
    </cfRule>
  </conditionalFormatting>
  <conditionalFormatting sqref="AB1199:AF1199">
    <cfRule type="notContainsBlanks" dxfId="972" priority="988">
      <formula>LEN(TRIM(AB1199))&gt;0</formula>
    </cfRule>
  </conditionalFormatting>
  <conditionalFormatting sqref="AB1199:AF1199">
    <cfRule type="notContainsBlanks" dxfId="971" priority="986">
      <formula>LEN(TRIM(AB1199))&gt;0</formula>
    </cfRule>
    <cfRule type="notContainsBlanks" dxfId="970" priority="987">
      <formula>LEN(TRIM(AB1199))&gt;0</formula>
    </cfRule>
  </conditionalFormatting>
  <conditionalFormatting sqref="AB1199:AF1199">
    <cfRule type="notContainsBlanks" dxfId="969" priority="985">
      <formula>LEN(TRIM(AB1199))&gt;0</formula>
    </cfRule>
  </conditionalFormatting>
  <conditionalFormatting sqref="AB1199:AF1199">
    <cfRule type="notContainsBlanks" dxfId="968" priority="984">
      <formula>LEN(TRIM(AB1199))&gt;0</formula>
    </cfRule>
  </conditionalFormatting>
  <conditionalFormatting sqref="AB1199:AF1199">
    <cfRule type="notContainsBlanks" dxfId="967" priority="983">
      <formula>LEN(TRIM(AB1199))&gt;0</formula>
    </cfRule>
  </conditionalFormatting>
  <conditionalFormatting sqref="AB1199:AF1199">
    <cfRule type="notContainsBlanks" dxfId="966" priority="982">
      <formula>LEN(TRIM(AB1199))&gt;0</formula>
    </cfRule>
  </conditionalFormatting>
  <conditionalFormatting sqref="AB1199:AF1199">
    <cfRule type="notContainsBlanks" dxfId="965" priority="981">
      <formula>LEN(TRIM(AB1199))&gt;0</formula>
    </cfRule>
  </conditionalFormatting>
  <conditionalFormatting sqref="AB1199:AF1199">
    <cfRule type="notContainsBlanks" dxfId="964" priority="980">
      <formula>LEN(TRIM(AB1199))&gt;0</formula>
    </cfRule>
  </conditionalFormatting>
  <conditionalFormatting sqref="AB1199:AF1199">
    <cfRule type="notContainsBlanks" dxfId="963" priority="979">
      <formula>LEN(TRIM(AB1199))&gt;0</formula>
    </cfRule>
  </conditionalFormatting>
  <conditionalFormatting sqref="AB1199:AF1199">
    <cfRule type="notContainsBlanks" dxfId="962" priority="978">
      <formula>LEN(TRIM(AB1199))&gt;0</formula>
    </cfRule>
  </conditionalFormatting>
  <conditionalFormatting sqref="AB1199:AF1199">
    <cfRule type="notContainsBlanks" dxfId="961" priority="977">
      <formula>LEN(TRIM(AB1199))&gt;0</formula>
    </cfRule>
  </conditionalFormatting>
  <conditionalFormatting sqref="AB1199:AF1199">
    <cfRule type="notContainsBlanks" priority="976">
      <formula>LEN(TRIM(AB1199))&gt;0</formula>
    </cfRule>
  </conditionalFormatting>
  <conditionalFormatting sqref="AB1199:AF1199">
    <cfRule type="notContainsBlanks" dxfId="960" priority="975">
      <formula>LEN(TRIM(AB1199))&gt;0</formula>
    </cfRule>
  </conditionalFormatting>
  <conditionalFormatting sqref="AB1199:AF1199">
    <cfRule type="notContainsBlanks" dxfId="959" priority="974">
      <formula>LEN(TRIM(AB1199))&gt;0</formula>
    </cfRule>
  </conditionalFormatting>
  <conditionalFormatting sqref="AB1199:AF1199">
    <cfRule type="notContainsBlanks" dxfId="958" priority="973">
      <formula>LEN(TRIM(AB1199))&gt;0</formula>
    </cfRule>
  </conditionalFormatting>
  <conditionalFormatting sqref="AB1199:AF1199">
    <cfRule type="notContainsBlanks" dxfId="957" priority="972">
      <formula>LEN(TRIM(AB1199))&gt;0</formula>
    </cfRule>
  </conditionalFormatting>
  <conditionalFormatting sqref="AB1199:AF1199">
    <cfRule type="notContainsBlanks" dxfId="956" priority="971">
      <formula>LEN(TRIM(AB1199))&gt;0</formula>
    </cfRule>
  </conditionalFormatting>
  <conditionalFormatting sqref="AB1212:AF1212">
    <cfRule type="notContainsBlanks" dxfId="955" priority="970">
      <formula>LEN(TRIM(AB1212))&gt;0</formula>
    </cfRule>
  </conditionalFormatting>
  <conditionalFormatting sqref="AB1212:AF1212">
    <cfRule type="notContainsBlanks" dxfId="954" priority="969">
      <formula>LEN(TRIM(AB1212))&gt;0</formula>
    </cfRule>
  </conditionalFormatting>
  <conditionalFormatting sqref="AB1212:AF1212">
    <cfRule type="notContainsBlanks" dxfId="953" priority="968">
      <formula>LEN(TRIM(AB1212))&gt;0</formula>
    </cfRule>
  </conditionalFormatting>
  <conditionalFormatting sqref="AB1212:AF1212">
    <cfRule type="notContainsBlanks" dxfId="952" priority="967">
      <formula>LEN(TRIM(AB1212))&gt;0</formula>
    </cfRule>
  </conditionalFormatting>
  <conditionalFormatting sqref="AB1212:AF1212">
    <cfRule type="notContainsBlanks" dxfId="951" priority="966">
      <formula>LEN(TRIM(AB1212))&gt;0</formula>
    </cfRule>
  </conditionalFormatting>
  <conditionalFormatting sqref="AB1212:AF1212">
    <cfRule type="notContainsBlanks" dxfId="950" priority="965">
      <formula>LEN(TRIM(AB1212))&gt;0</formula>
    </cfRule>
  </conditionalFormatting>
  <conditionalFormatting sqref="AB1212:AF1212">
    <cfRule type="notContainsBlanks" dxfId="949" priority="964">
      <formula>LEN(TRIM(AB1212))&gt;0</formula>
    </cfRule>
  </conditionalFormatting>
  <conditionalFormatting sqref="AB1212:AF1212">
    <cfRule type="notContainsBlanks" dxfId="948" priority="963">
      <formula>LEN(TRIM(AB1212))&gt;0</formula>
    </cfRule>
  </conditionalFormatting>
  <conditionalFormatting sqref="AB1212:AF1212">
    <cfRule type="notContainsBlanks" dxfId="947" priority="962">
      <formula>LEN(TRIM(AB1212))&gt;0</formula>
    </cfRule>
  </conditionalFormatting>
  <conditionalFormatting sqref="AB1212:AF1212">
    <cfRule type="notContainsBlanks" dxfId="946" priority="960">
      <formula>LEN(TRIM(AB1212))&gt;0</formula>
    </cfRule>
    <cfRule type="notContainsBlanks" dxfId="945" priority="961">
      <formula>LEN(TRIM(AB1212))&gt;0</formula>
    </cfRule>
  </conditionalFormatting>
  <conditionalFormatting sqref="AB1212:AF1212">
    <cfRule type="notContainsBlanks" dxfId="944" priority="959">
      <formula>LEN(TRIM(AB1212))&gt;0</formula>
    </cfRule>
  </conditionalFormatting>
  <conditionalFormatting sqref="AB1212:AF1212">
    <cfRule type="notContainsBlanks" dxfId="943" priority="958">
      <formula>LEN(TRIM(AB1212))&gt;0</formula>
    </cfRule>
  </conditionalFormatting>
  <conditionalFormatting sqref="AB1212:AF1212">
    <cfRule type="notContainsBlanks" dxfId="942" priority="957">
      <formula>LEN(TRIM(AB1212))&gt;0</formula>
    </cfRule>
  </conditionalFormatting>
  <conditionalFormatting sqref="AB1212:AF1212">
    <cfRule type="notContainsBlanks" dxfId="941" priority="956">
      <formula>LEN(TRIM(AB1212))&gt;0</formula>
    </cfRule>
  </conditionalFormatting>
  <conditionalFormatting sqref="AB1212:AF1212">
    <cfRule type="notContainsBlanks" dxfId="940" priority="955">
      <formula>LEN(TRIM(AB1212))&gt;0</formula>
    </cfRule>
  </conditionalFormatting>
  <conditionalFormatting sqref="AB1212:AF1212">
    <cfRule type="notContainsBlanks" dxfId="939" priority="954">
      <formula>LEN(TRIM(AB1212))&gt;0</formula>
    </cfRule>
  </conditionalFormatting>
  <conditionalFormatting sqref="AB1212:AF1212">
    <cfRule type="notContainsBlanks" dxfId="938" priority="953">
      <formula>LEN(TRIM(AB1212))&gt;0</formula>
    </cfRule>
  </conditionalFormatting>
  <conditionalFormatting sqref="AB1212:AF1212">
    <cfRule type="notContainsBlanks" dxfId="937" priority="952">
      <formula>LEN(TRIM(AB1212))&gt;0</formula>
    </cfRule>
  </conditionalFormatting>
  <conditionalFormatting sqref="AB1212:AF1212">
    <cfRule type="notContainsBlanks" dxfId="936" priority="951">
      <formula>LEN(TRIM(AB1212))&gt;0</formula>
    </cfRule>
  </conditionalFormatting>
  <conditionalFormatting sqref="AB1212:AF1212">
    <cfRule type="notContainsBlanks" priority="950">
      <formula>LEN(TRIM(AB1212))&gt;0</formula>
    </cfRule>
  </conditionalFormatting>
  <conditionalFormatting sqref="AB1212:AF1212">
    <cfRule type="notContainsBlanks" dxfId="935" priority="949">
      <formula>LEN(TRIM(AB1212))&gt;0</formula>
    </cfRule>
  </conditionalFormatting>
  <conditionalFormatting sqref="AB1212:AF1212">
    <cfRule type="notContainsBlanks" dxfId="934" priority="948">
      <formula>LEN(TRIM(AB1212))&gt;0</formula>
    </cfRule>
  </conditionalFormatting>
  <conditionalFormatting sqref="AB1212:AF1212">
    <cfRule type="notContainsBlanks" dxfId="933" priority="947">
      <formula>LEN(TRIM(AB1212))&gt;0</formula>
    </cfRule>
  </conditionalFormatting>
  <conditionalFormatting sqref="AB1212:AF1212">
    <cfRule type="notContainsBlanks" dxfId="932" priority="946">
      <formula>LEN(TRIM(AB1212))&gt;0</formula>
    </cfRule>
  </conditionalFormatting>
  <conditionalFormatting sqref="AB1212:AF1212">
    <cfRule type="notContainsBlanks" dxfId="931" priority="945">
      <formula>LEN(TRIM(AB1212))&gt;0</formula>
    </cfRule>
  </conditionalFormatting>
  <conditionalFormatting sqref="AB1225:AF1225">
    <cfRule type="notContainsBlanks" dxfId="930" priority="944">
      <formula>LEN(TRIM(AB1225))&gt;0</formula>
    </cfRule>
  </conditionalFormatting>
  <conditionalFormatting sqref="AB1225:AF1225">
    <cfRule type="notContainsBlanks" dxfId="929" priority="943">
      <formula>LEN(TRIM(AB1225))&gt;0</formula>
    </cfRule>
  </conditionalFormatting>
  <conditionalFormatting sqref="AB1225:AF1225">
    <cfRule type="notContainsBlanks" dxfId="928" priority="942">
      <formula>LEN(TRIM(AB1225))&gt;0</formula>
    </cfRule>
  </conditionalFormatting>
  <conditionalFormatting sqref="AB1225:AF1225">
    <cfRule type="notContainsBlanks" dxfId="927" priority="941">
      <formula>LEN(TRIM(AB1225))&gt;0</formula>
    </cfRule>
  </conditionalFormatting>
  <conditionalFormatting sqref="AB1225:AF1225">
    <cfRule type="notContainsBlanks" dxfId="926" priority="940">
      <formula>LEN(TRIM(AB1225))&gt;0</formula>
    </cfRule>
  </conditionalFormatting>
  <conditionalFormatting sqref="AB1225:AF1225">
    <cfRule type="notContainsBlanks" dxfId="925" priority="939">
      <formula>LEN(TRIM(AB1225))&gt;0</formula>
    </cfRule>
  </conditionalFormatting>
  <conditionalFormatting sqref="AB1225:AF1225">
    <cfRule type="notContainsBlanks" dxfId="924" priority="938">
      <formula>LEN(TRIM(AB1225))&gt;0</formula>
    </cfRule>
  </conditionalFormatting>
  <conditionalFormatting sqref="AB1225:AF1225">
    <cfRule type="notContainsBlanks" dxfId="923" priority="937">
      <formula>LEN(TRIM(AB1225))&gt;0</formula>
    </cfRule>
  </conditionalFormatting>
  <conditionalFormatting sqref="AB1225:AF1225">
    <cfRule type="notContainsBlanks" dxfId="922" priority="936">
      <formula>LEN(TRIM(AB1225))&gt;0</formula>
    </cfRule>
  </conditionalFormatting>
  <conditionalFormatting sqref="AB1225:AF1225">
    <cfRule type="notContainsBlanks" dxfId="921" priority="934">
      <formula>LEN(TRIM(AB1225))&gt;0</formula>
    </cfRule>
    <cfRule type="notContainsBlanks" dxfId="920" priority="935">
      <formula>LEN(TRIM(AB1225))&gt;0</formula>
    </cfRule>
  </conditionalFormatting>
  <conditionalFormatting sqref="AB1225:AF1225">
    <cfRule type="notContainsBlanks" dxfId="919" priority="933">
      <formula>LEN(TRIM(AB1225))&gt;0</formula>
    </cfRule>
  </conditionalFormatting>
  <conditionalFormatting sqref="AB1225:AF1225">
    <cfRule type="notContainsBlanks" dxfId="918" priority="932">
      <formula>LEN(TRIM(AB1225))&gt;0</formula>
    </cfRule>
  </conditionalFormatting>
  <conditionalFormatting sqref="AB1225:AF1225">
    <cfRule type="notContainsBlanks" dxfId="917" priority="931">
      <formula>LEN(TRIM(AB1225))&gt;0</formula>
    </cfRule>
  </conditionalFormatting>
  <conditionalFormatting sqref="AB1225:AF1225">
    <cfRule type="notContainsBlanks" dxfId="916" priority="930">
      <formula>LEN(TRIM(AB1225))&gt;0</formula>
    </cfRule>
  </conditionalFormatting>
  <conditionalFormatting sqref="AB1225:AF1225">
    <cfRule type="notContainsBlanks" dxfId="915" priority="929">
      <formula>LEN(TRIM(AB1225))&gt;0</formula>
    </cfRule>
  </conditionalFormatting>
  <conditionalFormatting sqref="AB1225:AF1225">
    <cfRule type="notContainsBlanks" dxfId="914" priority="928">
      <formula>LEN(TRIM(AB1225))&gt;0</formula>
    </cfRule>
  </conditionalFormatting>
  <conditionalFormatting sqref="AB1225:AF1225">
    <cfRule type="notContainsBlanks" dxfId="913" priority="927">
      <formula>LEN(TRIM(AB1225))&gt;0</formula>
    </cfRule>
  </conditionalFormatting>
  <conditionalFormatting sqref="AB1225:AF1225">
    <cfRule type="notContainsBlanks" dxfId="912" priority="926">
      <formula>LEN(TRIM(AB1225))&gt;0</formula>
    </cfRule>
  </conditionalFormatting>
  <conditionalFormatting sqref="AB1225:AF1225">
    <cfRule type="notContainsBlanks" dxfId="911" priority="925">
      <formula>LEN(TRIM(AB1225))&gt;0</formula>
    </cfRule>
  </conditionalFormatting>
  <conditionalFormatting sqref="AB1225:AF1225">
    <cfRule type="notContainsBlanks" priority="924">
      <formula>LEN(TRIM(AB1225))&gt;0</formula>
    </cfRule>
  </conditionalFormatting>
  <conditionalFormatting sqref="AB1225:AF1225">
    <cfRule type="notContainsBlanks" dxfId="910" priority="923">
      <formula>LEN(TRIM(AB1225))&gt;0</formula>
    </cfRule>
  </conditionalFormatting>
  <conditionalFormatting sqref="AB1225:AF1225">
    <cfRule type="notContainsBlanks" dxfId="909" priority="922">
      <formula>LEN(TRIM(AB1225))&gt;0</formula>
    </cfRule>
  </conditionalFormatting>
  <conditionalFormatting sqref="AB1225:AF1225">
    <cfRule type="notContainsBlanks" dxfId="908" priority="921">
      <formula>LEN(TRIM(AB1225))&gt;0</formula>
    </cfRule>
  </conditionalFormatting>
  <conditionalFormatting sqref="AB1225:AF1225">
    <cfRule type="notContainsBlanks" dxfId="907" priority="920">
      <formula>LEN(TRIM(AB1225))&gt;0</formula>
    </cfRule>
  </conditionalFormatting>
  <conditionalFormatting sqref="AB1225:AF1225">
    <cfRule type="notContainsBlanks" dxfId="906" priority="919">
      <formula>LEN(TRIM(AB1225))&gt;0</formula>
    </cfRule>
  </conditionalFormatting>
  <conditionalFormatting sqref="AB1238:AF1238">
    <cfRule type="notContainsBlanks" dxfId="905" priority="918">
      <formula>LEN(TRIM(AB1238))&gt;0</formula>
    </cfRule>
  </conditionalFormatting>
  <conditionalFormatting sqref="AB1238:AF1238">
    <cfRule type="notContainsBlanks" dxfId="904" priority="917">
      <formula>LEN(TRIM(AB1238))&gt;0</formula>
    </cfRule>
  </conditionalFormatting>
  <conditionalFormatting sqref="AB1238:AF1238">
    <cfRule type="notContainsBlanks" dxfId="903" priority="916">
      <formula>LEN(TRIM(AB1238))&gt;0</formula>
    </cfRule>
  </conditionalFormatting>
  <conditionalFormatting sqref="AB1238:AF1238">
    <cfRule type="notContainsBlanks" dxfId="902" priority="915">
      <formula>LEN(TRIM(AB1238))&gt;0</formula>
    </cfRule>
  </conditionalFormatting>
  <conditionalFormatting sqref="AB1238:AF1238">
    <cfRule type="notContainsBlanks" dxfId="901" priority="914">
      <formula>LEN(TRIM(AB1238))&gt;0</formula>
    </cfRule>
  </conditionalFormatting>
  <conditionalFormatting sqref="AB1238:AF1238">
    <cfRule type="notContainsBlanks" dxfId="900" priority="913">
      <formula>LEN(TRIM(AB1238))&gt;0</formula>
    </cfRule>
  </conditionalFormatting>
  <conditionalFormatting sqref="AB1238:AF1238">
    <cfRule type="notContainsBlanks" dxfId="899" priority="912">
      <formula>LEN(TRIM(AB1238))&gt;0</formula>
    </cfRule>
  </conditionalFormatting>
  <conditionalFormatting sqref="AB1238:AF1238">
    <cfRule type="notContainsBlanks" dxfId="898" priority="911">
      <formula>LEN(TRIM(AB1238))&gt;0</formula>
    </cfRule>
  </conditionalFormatting>
  <conditionalFormatting sqref="AB1238:AF1238">
    <cfRule type="notContainsBlanks" dxfId="897" priority="910">
      <formula>LEN(TRIM(AB1238))&gt;0</formula>
    </cfRule>
  </conditionalFormatting>
  <conditionalFormatting sqref="AB1238:AF1238">
    <cfRule type="notContainsBlanks" dxfId="896" priority="908">
      <formula>LEN(TRIM(AB1238))&gt;0</formula>
    </cfRule>
    <cfRule type="notContainsBlanks" dxfId="895" priority="909">
      <formula>LEN(TRIM(AB1238))&gt;0</formula>
    </cfRule>
  </conditionalFormatting>
  <conditionalFormatting sqref="AB1238:AF1238">
    <cfRule type="notContainsBlanks" dxfId="894" priority="907">
      <formula>LEN(TRIM(AB1238))&gt;0</formula>
    </cfRule>
  </conditionalFormatting>
  <conditionalFormatting sqref="AB1238:AF1238">
    <cfRule type="notContainsBlanks" dxfId="893" priority="906">
      <formula>LEN(TRIM(AB1238))&gt;0</formula>
    </cfRule>
  </conditionalFormatting>
  <conditionalFormatting sqref="AB1238:AF1238">
    <cfRule type="notContainsBlanks" dxfId="892" priority="905">
      <formula>LEN(TRIM(AB1238))&gt;0</formula>
    </cfRule>
  </conditionalFormatting>
  <conditionalFormatting sqref="AB1238:AF1238">
    <cfRule type="notContainsBlanks" dxfId="891" priority="904">
      <formula>LEN(TRIM(AB1238))&gt;0</formula>
    </cfRule>
  </conditionalFormatting>
  <conditionalFormatting sqref="AB1238:AF1238">
    <cfRule type="notContainsBlanks" dxfId="890" priority="903">
      <formula>LEN(TRIM(AB1238))&gt;0</formula>
    </cfRule>
  </conditionalFormatting>
  <conditionalFormatting sqref="AB1238:AF1238">
    <cfRule type="notContainsBlanks" dxfId="889" priority="902">
      <formula>LEN(TRIM(AB1238))&gt;0</formula>
    </cfRule>
  </conditionalFormatting>
  <conditionalFormatting sqref="AB1238:AF1238">
    <cfRule type="notContainsBlanks" dxfId="888" priority="901">
      <formula>LEN(TRIM(AB1238))&gt;0</formula>
    </cfRule>
  </conditionalFormatting>
  <conditionalFormatting sqref="AB1238:AF1238">
    <cfRule type="notContainsBlanks" dxfId="887" priority="900">
      <formula>LEN(TRIM(AB1238))&gt;0</formula>
    </cfRule>
  </conditionalFormatting>
  <conditionalFormatting sqref="AB1238:AF1238">
    <cfRule type="notContainsBlanks" dxfId="886" priority="899">
      <formula>LEN(TRIM(AB1238))&gt;0</formula>
    </cfRule>
  </conditionalFormatting>
  <conditionalFormatting sqref="AB1238:AF1238">
    <cfRule type="notContainsBlanks" priority="898">
      <formula>LEN(TRIM(AB1238))&gt;0</formula>
    </cfRule>
  </conditionalFormatting>
  <conditionalFormatting sqref="AB1238:AF1238">
    <cfRule type="notContainsBlanks" dxfId="885" priority="897">
      <formula>LEN(TRIM(AB1238))&gt;0</formula>
    </cfRule>
  </conditionalFormatting>
  <conditionalFormatting sqref="AB1238:AF1238">
    <cfRule type="notContainsBlanks" dxfId="884" priority="896">
      <formula>LEN(TRIM(AB1238))&gt;0</formula>
    </cfRule>
  </conditionalFormatting>
  <conditionalFormatting sqref="AB1238:AF1238">
    <cfRule type="notContainsBlanks" dxfId="883" priority="895">
      <formula>LEN(TRIM(AB1238))&gt;0</formula>
    </cfRule>
  </conditionalFormatting>
  <conditionalFormatting sqref="AB1238:AF1238">
    <cfRule type="notContainsBlanks" dxfId="882" priority="894">
      <formula>LEN(TRIM(AB1238))&gt;0</formula>
    </cfRule>
  </conditionalFormatting>
  <conditionalFormatting sqref="AB1238:AF1238">
    <cfRule type="notContainsBlanks" dxfId="881" priority="893">
      <formula>LEN(TRIM(AB1238))&gt;0</formula>
    </cfRule>
  </conditionalFormatting>
  <conditionalFormatting sqref="AB1251:AF1251">
    <cfRule type="notContainsBlanks" dxfId="880" priority="892">
      <formula>LEN(TRIM(AB1251))&gt;0</formula>
    </cfRule>
  </conditionalFormatting>
  <conditionalFormatting sqref="AB1251:AF1251">
    <cfRule type="notContainsBlanks" dxfId="879" priority="891">
      <formula>LEN(TRIM(AB1251))&gt;0</formula>
    </cfRule>
  </conditionalFormatting>
  <conditionalFormatting sqref="AB1251:AF1251">
    <cfRule type="notContainsBlanks" dxfId="878" priority="890">
      <formula>LEN(TRIM(AB1251))&gt;0</formula>
    </cfRule>
  </conditionalFormatting>
  <conditionalFormatting sqref="AB1251:AF1251">
    <cfRule type="notContainsBlanks" dxfId="877" priority="889">
      <formula>LEN(TRIM(AB1251))&gt;0</formula>
    </cfRule>
  </conditionalFormatting>
  <conditionalFormatting sqref="AB1251:AF1251">
    <cfRule type="notContainsBlanks" dxfId="876" priority="888">
      <formula>LEN(TRIM(AB1251))&gt;0</formula>
    </cfRule>
  </conditionalFormatting>
  <conditionalFormatting sqref="AB1251:AF1251">
    <cfRule type="notContainsBlanks" dxfId="875" priority="887">
      <formula>LEN(TRIM(AB1251))&gt;0</formula>
    </cfRule>
  </conditionalFormatting>
  <conditionalFormatting sqref="AB1251:AF1251">
    <cfRule type="notContainsBlanks" dxfId="874" priority="886">
      <formula>LEN(TRIM(AB1251))&gt;0</formula>
    </cfRule>
  </conditionalFormatting>
  <conditionalFormatting sqref="AB1251:AF1251">
    <cfRule type="notContainsBlanks" dxfId="873" priority="885">
      <formula>LEN(TRIM(AB1251))&gt;0</formula>
    </cfRule>
  </conditionalFormatting>
  <conditionalFormatting sqref="AB1251:AF1251">
    <cfRule type="notContainsBlanks" dxfId="872" priority="884">
      <formula>LEN(TRIM(AB1251))&gt;0</formula>
    </cfRule>
  </conditionalFormatting>
  <conditionalFormatting sqref="AB1251:AF1251">
    <cfRule type="notContainsBlanks" dxfId="871" priority="882">
      <formula>LEN(TRIM(AB1251))&gt;0</formula>
    </cfRule>
    <cfRule type="notContainsBlanks" dxfId="870" priority="883">
      <formula>LEN(TRIM(AB1251))&gt;0</formula>
    </cfRule>
  </conditionalFormatting>
  <conditionalFormatting sqref="AB1251:AF1251">
    <cfRule type="notContainsBlanks" dxfId="869" priority="881">
      <formula>LEN(TRIM(AB1251))&gt;0</formula>
    </cfRule>
  </conditionalFormatting>
  <conditionalFormatting sqref="AB1251:AF1251">
    <cfRule type="notContainsBlanks" dxfId="868" priority="880">
      <formula>LEN(TRIM(AB1251))&gt;0</formula>
    </cfRule>
  </conditionalFormatting>
  <conditionalFormatting sqref="AB1251:AF1251">
    <cfRule type="notContainsBlanks" dxfId="867" priority="879">
      <formula>LEN(TRIM(AB1251))&gt;0</formula>
    </cfRule>
  </conditionalFormatting>
  <conditionalFormatting sqref="AB1251:AF1251">
    <cfRule type="notContainsBlanks" dxfId="866" priority="878">
      <formula>LEN(TRIM(AB1251))&gt;0</formula>
    </cfRule>
  </conditionalFormatting>
  <conditionalFormatting sqref="AB1251:AF1251">
    <cfRule type="notContainsBlanks" dxfId="865" priority="877">
      <formula>LEN(TRIM(AB1251))&gt;0</formula>
    </cfRule>
  </conditionalFormatting>
  <conditionalFormatting sqref="AB1251:AF1251">
    <cfRule type="notContainsBlanks" dxfId="864" priority="876">
      <formula>LEN(TRIM(AB1251))&gt;0</formula>
    </cfRule>
  </conditionalFormatting>
  <conditionalFormatting sqref="AB1251:AF1251">
    <cfRule type="notContainsBlanks" dxfId="863" priority="875">
      <formula>LEN(TRIM(AB1251))&gt;0</formula>
    </cfRule>
  </conditionalFormatting>
  <conditionalFormatting sqref="AB1251:AF1251">
    <cfRule type="notContainsBlanks" dxfId="862" priority="874">
      <formula>LEN(TRIM(AB1251))&gt;0</formula>
    </cfRule>
  </conditionalFormatting>
  <conditionalFormatting sqref="AB1251:AF1251">
    <cfRule type="notContainsBlanks" dxfId="861" priority="873">
      <formula>LEN(TRIM(AB1251))&gt;0</formula>
    </cfRule>
  </conditionalFormatting>
  <conditionalFormatting sqref="AB1251:AF1251">
    <cfRule type="notContainsBlanks" priority="872">
      <formula>LEN(TRIM(AB1251))&gt;0</formula>
    </cfRule>
  </conditionalFormatting>
  <conditionalFormatting sqref="AB1251:AF1251">
    <cfRule type="notContainsBlanks" dxfId="860" priority="871">
      <formula>LEN(TRIM(AB1251))&gt;0</formula>
    </cfRule>
  </conditionalFormatting>
  <conditionalFormatting sqref="AB1251:AF1251">
    <cfRule type="notContainsBlanks" dxfId="859" priority="870">
      <formula>LEN(TRIM(AB1251))&gt;0</formula>
    </cfRule>
  </conditionalFormatting>
  <conditionalFormatting sqref="AB1251:AF1251">
    <cfRule type="notContainsBlanks" dxfId="858" priority="869">
      <formula>LEN(TRIM(AB1251))&gt;0</formula>
    </cfRule>
  </conditionalFormatting>
  <conditionalFormatting sqref="AB1251:AF1251">
    <cfRule type="notContainsBlanks" dxfId="857" priority="868">
      <formula>LEN(TRIM(AB1251))&gt;0</formula>
    </cfRule>
  </conditionalFormatting>
  <conditionalFormatting sqref="AB1251:AF1251">
    <cfRule type="notContainsBlanks" dxfId="856" priority="867">
      <formula>LEN(TRIM(AB1251))&gt;0</formula>
    </cfRule>
  </conditionalFormatting>
  <conditionalFormatting sqref="AB1264:AF1264">
    <cfRule type="notContainsBlanks" dxfId="855" priority="866">
      <formula>LEN(TRIM(AB1264))&gt;0</formula>
    </cfRule>
  </conditionalFormatting>
  <conditionalFormatting sqref="AB1264:AF1264">
    <cfRule type="notContainsBlanks" dxfId="854" priority="865">
      <formula>LEN(TRIM(AB1264))&gt;0</formula>
    </cfRule>
  </conditionalFormatting>
  <conditionalFormatting sqref="AB1264:AF1264">
    <cfRule type="notContainsBlanks" dxfId="853" priority="864">
      <formula>LEN(TRIM(AB1264))&gt;0</formula>
    </cfRule>
  </conditionalFormatting>
  <conditionalFormatting sqref="AB1264:AF1264">
    <cfRule type="notContainsBlanks" dxfId="852" priority="863">
      <formula>LEN(TRIM(AB1264))&gt;0</formula>
    </cfRule>
  </conditionalFormatting>
  <conditionalFormatting sqref="AB1264:AF1264">
    <cfRule type="notContainsBlanks" dxfId="851" priority="862">
      <formula>LEN(TRIM(AB1264))&gt;0</formula>
    </cfRule>
  </conditionalFormatting>
  <conditionalFormatting sqref="AB1264:AF1264">
    <cfRule type="notContainsBlanks" dxfId="850" priority="861">
      <formula>LEN(TRIM(AB1264))&gt;0</formula>
    </cfRule>
  </conditionalFormatting>
  <conditionalFormatting sqref="AB1264:AF1264">
    <cfRule type="notContainsBlanks" dxfId="849" priority="860">
      <formula>LEN(TRIM(AB1264))&gt;0</formula>
    </cfRule>
  </conditionalFormatting>
  <conditionalFormatting sqref="AB1264:AF1264">
    <cfRule type="notContainsBlanks" dxfId="848" priority="859">
      <formula>LEN(TRIM(AB1264))&gt;0</formula>
    </cfRule>
  </conditionalFormatting>
  <conditionalFormatting sqref="AB1264:AF1264">
    <cfRule type="notContainsBlanks" dxfId="847" priority="858">
      <formula>LEN(TRIM(AB1264))&gt;0</formula>
    </cfRule>
  </conditionalFormatting>
  <conditionalFormatting sqref="AB1264:AF1264">
    <cfRule type="notContainsBlanks" dxfId="846" priority="856">
      <formula>LEN(TRIM(AB1264))&gt;0</formula>
    </cfRule>
    <cfRule type="notContainsBlanks" dxfId="845" priority="857">
      <formula>LEN(TRIM(AB1264))&gt;0</formula>
    </cfRule>
  </conditionalFormatting>
  <conditionalFormatting sqref="AB1264:AF1264">
    <cfRule type="notContainsBlanks" dxfId="844" priority="855">
      <formula>LEN(TRIM(AB1264))&gt;0</formula>
    </cfRule>
  </conditionalFormatting>
  <conditionalFormatting sqref="AB1264:AF1264">
    <cfRule type="notContainsBlanks" dxfId="843" priority="854">
      <formula>LEN(TRIM(AB1264))&gt;0</formula>
    </cfRule>
  </conditionalFormatting>
  <conditionalFormatting sqref="AB1264:AF1264">
    <cfRule type="notContainsBlanks" dxfId="842" priority="853">
      <formula>LEN(TRIM(AB1264))&gt;0</formula>
    </cfRule>
  </conditionalFormatting>
  <conditionalFormatting sqref="AB1264:AF1264">
    <cfRule type="notContainsBlanks" dxfId="841" priority="852">
      <formula>LEN(TRIM(AB1264))&gt;0</formula>
    </cfRule>
  </conditionalFormatting>
  <conditionalFormatting sqref="AB1264:AF1264">
    <cfRule type="notContainsBlanks" dxfId="840" priority="851">
      <formula>LEN(TRIM(AB1264))&gt;0</formula>
    </cfRule>
  </conditionalFormatting>
  <conditionalFormatting sqref="AB1264:AF1264">
    <cfRule type="notContainsBlanks" dxfId="839" priority="850">
      <formula>LEN(TRIM(AB1264))&gt;0</formula>
    </cfRule>
  </conditionalFormatting>
  <conditionalFormatting sqref="AB1264:AF1264">
    <cfRule type="notContainsBlanks" dxfId="838" priority="849">
      <formula>LEN(TRIM(AB1264))&gt;0</formula>
    </cfRule>
  </conditionalFormatting>
  <conditionalFormatting sqref="AB1264:AF1264">
    <cfRule type="notContainsBlanks" dxfId="837" priority="848">
      <formula>LEN(TRIM(AB1264))&gt;0</formula>
    </cfRule>
  </conditionalFormatting>
  <conditionalFormatting sqref="AB1264:AF1264">
    <cfRule type="notContainsBlanks" dxfId="836" priority="847">
      <formula>LEN(TRIM(AB1264))&gt;0</formula>
    </cfRule>
  </conditionalFormatting>
  <conditionalFormatting sqref="AB1264:AF1264">
    <cfRule type="notContainsBlanks" priority="846">
      <formula>LEN(TRIM(AB1264))&gt;0</formula>
    </cfRule>
  </conditionalFormatting>
  <conditionalFormatting sqref="AB1264:AF1264">
    <cfRule type="notContainsBlanks" dxfId="835" priority="845">
      <formula>LEN(TRIM(AB1264))&gt;0</formula>
    </cfRule>
  </conditionalFormatting>
  <conditionalFormatting sqref="AB1264:AF1264">
    <cfRule type="notContainsBlanks" dxfId="834" priority="844">
      <formula>LEN(TRIM(AB1264))&gt;0</formula>
    </cfRule>
  </conditionalFormatting>
  <conditionalFormatting sqref="AB1264:AF1264">
    <cfRule type="notContainsBlanks" dxfId="833" priority="843">
      <formula>LEN(TRIM(AB1264))&gt;0</formula>
    </cfRule>
  </conditionalFormatting>
  <conditionalFormatting sqref="AB1264:AF1264">
    <cfRule type="notContainsBlanks" dxfId="832" priority="842">
      <formula>LEN(TRIM(AB1264))&gt;0</formula>
    </cfRule>
  </conditionalFormatting>
  <conditionalFormatting sqref="AB1264:AF1264">
    <cfRule type="notContainsBlanks" dxfId="831" priority="841">
      <formula>LEN(TRIM(AB1264))&gt;0</formula>
    </cfRule>
  </conditionalFormatting>
  <conditionalFormatting sqref="AB1277:AF1277">
    <cfRule type="notContainsBlanks" dxfId="830" priority="840">
      <formula>LEN(TRIM(AB1277))&gt;0</formula>
    </cfRule>
  </conditionalFormatting>
  <conditionalFormatting sqref="AB1277:AF1277">
    <cfRule type="notContainsBlanks" dxfId="829" priority="839">
      <formula>LEN(TRIM(AB1277))&gt;0</formula>
    </cfRule>
  </conditionalFormatting>
  <conditionalFormatting sqref="AB1277:AF1277">
    <cfRule type="notContainsBlanks" dxfId="828" priority="838">
      <formula>LEN(TRIM(AB1277))&gt;0</formula>
    </cfRule>
  </conditionalFormatting>
  <conditionalFormatting sqref="AB1277:AF1277">
    <cfRule type="notContainsBlanks" dxfId="827" priority="837">
      <formula>LEN(TRIM(AB1277))&gt;0</formula>
    </cfRule>
  </conditionalFormatting>
  <conditionalFormatting sqref="AB1277:AF1277">
    <cfRule type="notContainsBlanks" dxfId="826" priority="836">
      <formula>LEN(TRIM(AB1277))&gt;0</formula>
    </cfRule>
  </conditionalFormatting>
  <conditionalFormatting sqref="AB1277:AF1277">
    <cfRule type="notContainsBlanks" dxfId="825" priority="835">
      <formula>LEN(TRIM(AB1277))&gt;0</formula>
    </cfRule>
  </conditionalFormatting>
  <conditionalFormatting sqref="AB1277:AF1277">
    <cfRule type="notContainsBlanks" dxfId="824" priority="834">
      <formula>LEN(TRIM(AB1277))&gt;0</formula>
    </cfRule>
  </conditionalFormatting>
  <conditionalFormatting sqref="AB1277:AF1277">
    <cfRule type="notContainsBlanks" dxfId="823" priority="833">
      <formula>LEN(TRIM(AB1277))&gt;0</formula>
    </cfRule>
  </conditionalFormatting>
  <conditionalFormatting sqref="AB1277:AF1277">
    <cfRule type="notContainsBlanks" dxfId="822" priority="832">
      <formula>LEN(TRIM(AB1277))&gt;0</formula>
    </cfRule>
  </conditionalFormatting>
  <conditionalFormatting sqref="AB1277:AF1277">
    <cfRule type="notContainsBlanks" dxfId="821" priority="830">
      <formula>LEN(TRIM(AB1277))&gt;0</formula>
    </cfRule>
    <cfRule type="notContainsBlanks" dxfId="820" priority="831">
      <formula>LEN(TRIM(AB1277))&gt;0</formula>
    </cfRule>
  </conditionalFormatting>
  <conditionalFormatting sqref="AB1277:AF1277">
    <cfRule type="notContainsBlanks" dxfId="819" priority="829">
      <formula>LEN(TRIM(AB1277))&gt;0</formula>
    </cfRule>
  </conditionalFormatting>
  <conditionalFormatting sqref="AB1277:AF1277">
    <cfRule type="notContainsBlanks" dxfId="818" priority="828">
      <formula>LEN(TRIM(AB1277))&gt;0</formula>
    </cfRule>
  </conditionalFormatting>
  <conditionalFormatting sqref="AB1277:AF1277">
    <cfRule type="notContainsBlanks" dxfId="817" priority="827">
      <formula>LEN(TRIM(AB1277))&gt;0</formula>
    </cfRule>
  </conditionalFormatting>
  <conditionalFormatting sqref="AB1277:AF1277">
    <cfRule type="notContainsBlanks" dxfId="816" priority="826">
      <formula>LEN(TRIM(AB1277))&gt;0</formula>
    </cfRule>
  </conditionalFormatting>
  <conditionalFormatting sqref="AB1277:AF1277">
    <cfRule type="notContainsBlanks" dxfId="815" priority="825">
      <formula>LEN(TRIM(AB1277))&gt;0</formula>
    </cfRule>
  </conditionalFormatting>
  <conditionalFormatting sqref="AB1277:AF1277">
    <cfRule type="notContainsBlanks" dxfId="814" priority="824">
      <formula>LEN(TRIM(AB1277))&gt;0</formula>
    </cfRule>
  </conditionalFormatting>
  <conditionalFormatting sqref="AB1277:AF1277">
    <cfRule type="notContainsBlanks" dxfId="813" priority="823">
      <formula>LEN(TRIM(AB1277))&gt;0</formula>
    </cfRule>
  </conditionalFormatting>
  <conditionalFormatting sqref="AB1277:AF1277">
    <cfRule type="notContainsBlanks" dxfId="812" priority="822">
      <formula>LEN(TRIM(AB1277))&gt;0</formula>
    </cfRule>
  </conditionalFormatting>
  <conditionalFormatting sqref="AB1277:AF1277">
    <cfRule type="notContainsBlanks" dxfId="811" priority="821">
      <formula>LEN(TRIM(AB1277))&gt;0</formula>
    </cfRule>
  </conditionalFormatting>
  <conditionalFormatting sqref="AB1277:AF1277">
    <cfRule type="notContainsBlanks" priority="820">
      <formula>LEN(TRIM(AB1277))&gt;0</formula>
    </cfRule>
  </conditionalFormatting>
  <conditionalFormatting sqref="AB1277:AF1277">
    <cfRule type="notContainsBlanks" dxfId="810" priority="819">
      <formula>LEN(TRIM(AB1277))&gt;0</formula>
    </cfRule>
  </conditionalFormatting>
  <conditionalFormatting sqref="AB1277:AF1277">
    <cfRule type="notContainsBlanks" dxfId="809" priority="818">
      <formula>LEN(TRIM(AB1277))&gt;0</formula>
    </cfRule>
  </conditionalFormatting>
  <conditionalFormatting sqref="AB1277:AF1277">
    <cfRule type="notContainsBlanks" dxfId="808" priority="817">
      <formula>LEN(TRIM(AB1277))&gt;0</formula>
    </cfRule>
  </conditionalFormatting>
  <conditionalFormatting sqref="AB1277:AF1277">
    <cfRule type="notContainsBlanks" dxfId="807" priority="816">
      <formula>LEN(TRIM(AB1277))&gt;0</formula>
    </cfRule>
  </conditionalFormatting>
  <conditionalFormatting sqref="AB1277:AF1277">
    <cfRule type="notContainsBlanks" dxfId="806" priority="815">
      <formula>LEN(TRIM(AB1277))&gt;0</formula>
    </cfRule>
  </conditionalFormatting>
  <conditionalFormatting sqref="AB1290:AF1290">
    <cfRule type="notContainsBlanks" dxfId="805" priority="814">
      <formula>LEN(TRIM(AB1290))&gt;0</formula>
    </cfRule>
  </conditionalFormatting>
  <conditionalFormatting sqref="AB1290:AF1290">
    <cfRule type="notContainsBlanks" dxfId="804" priority="813">
      <formula>LEN(TRIM(AB1290))&gt;0</formula>
    </cfRule>
  </conditionalFormatting>
  <conditionalFormatting sqref="AB1290:AF1290">
    <cfRule type="notContainsBlanks" dxfId="803" priority="812">
      <formula>LEN(TRIM(AB1290))&gt;0</formula>
    </cfRule>
  </conditionalFormatting>
  <conditionalFormatting sqref="AB1290:AF1290">
    <cfRule type="notContainsBlanks" dxfId="802" priority="811">
      <formula>LEN(TRIM(AB1290))&gt;0</formula>
    </cfRule>
  </conditionalFormatting>
  <conditionalFormatting sqref="AB1290:AF1290">
    <cfRule type="notContainsBlanks" dxfId="801" priority="810">
      <formula>LEN(TRIM(AB1290))&gt;0</formula>
    </cfRule>
  </conditionalFormatting>
  <conditionalFormatting sqref="AB1290:AF1290">
    <cfRule type="notContainsBlanks" dxfId="800" priority="809">
      <formula>LEN(TRIM(AB1290))&gt;0</formula>
    </cfRule>
  </conditionalFormatting>
  <conditionalFormatting sqref="AB1290:AF1290">
    <cfRule type="notContainsBlanks" dxfId="799" priority="808">
      <formula>LEN(TRIM(AB1290))&gt;0</formula>
    </cfRule>
  </conditionalFormatting>
  <conditionalFormatting sqref="AB1290:AF1290">
    <cfRule type="notContainsBlanks" dxfId="798" priority="807">
      <formula>LEN(TRIM(AB1290))&gt;0</formula>
    </cfRule>
  </conditionalFormatting>
  <conditionalFormatting sqref="AB1290:AF1290">
    <cfRule type="notContainsBlanks" dxfId="797" priority="806">
      <formula>LEN(TRIM(AB1290))&gt;0</formula>
    </cfRule>
  </conditionalFormatting>
  <conditionalFormatting sqref="AB1290:AF1290">
    <cfRule type="notContainsBlanks" dxfId="796" priority="804">
      <formula>LEN(TRIM(AB1290))&gt;0</formula>
    </cfRule>
    <cfRule type="notContainsBlanks" dxfId="795" priority="805">
      <formula>LEN(TRIM(AB1290))&gt;0</formula>
    </cfRule>
  </conditionalFormatting>
  <conditionalFormatting sqref="AB1290:AF1290">
    <cfRule type="notContainsBlanks" dxfId="794" priority="803">
      <formula>LEN(TRIM(AB1290))&gt;0</formula>
    </cfRule>
  </conditionalFormatting>
  <conditionalFormatting sqref="AB1290:AF1290">
    <cfRule type="notContainsBlanks" dxfId="793" priority="802">
      <formula>LEN(TRIM(AB1290))&gt;0</formula>
    </cfRule>
  </conditionalFormatting>
  <conditionalFormatting sqref="AB1290:AF1290">
    <cfRule type="notContainsBlanks" dxfId="792" priority="801">
      <formula>LEN(TRIM(AB1290))&gt;0</formula>
    </cfRule>
  </conditionalFormatting>
  <conditionalFormatting sqref="AB1290:AF1290">
    <cfRule type="notContainsBlanks" dxfId="791" priority="800">
      <formula>LEN(TRIM(AB1290))&gt;0</formula>
    </cfRule>
  </conditionalFormatting>
  <conditionalFormatting sqref="AB1290:AF1290">
    <cfRule type="notContainsBlanks" dxfId="790" priority="799">
      <formula>LEN(TRIM(AB1290))&gt;0</formula>
    </cfRule>
  </conditionalFormatting>
  <conditionalFormatting sqref="AB1290:AF1290">
    <cfRule type="notContainsBlanks" dxfId="789" priority="798">
      <formula>LEN(TRIM(AB1290))&gt;0</formula>
    </cfRule>
  </conditionalFormatting>
  <conditionalFormatting sqref="AB1290:AF1290">
    <cfRule type="notContainsBlanks" dxfId="788" priority="797">
      <formula>LEN(TRIM(AB1290))&gt;0</formula>
    </cfRule>
  </conditionalFormatting>
  <conditionalFormatting sqref="AB1290:AF1290">
    <cfRule type="notContainsBlanks" dxfId="787" priority="796">
      <formula>LEN(TRIM(AB1290))&gt;0</formula>
    </cfRule>
  </conditionalFormatting>
  <conditionalFormatting sqref="AB1290:AF1290">
    <cfRule type="notContainsBlanks" dxfId="786" priority="795">
      <formula>LEN(TRIM(AB1290))&gt;0</formula>
    </cfRule>
  </conditionalFormatting>
  <conditionalFormatting sqref="AB1290:AF1290">
    <cfRule type="notContainsBlanks" priority="794">
      <formula>LEN(TRIM(AB1290))&gt;0</formula>
    </cfRule>
  </conditionalFormatting>
  <conditionalFormatting sqref="AB1290:AF1290">
    <cfRule type="notContainsBlanks" dxfId="785" priority="793">
      <formula>LEN(TRIM(AB1290))&gt;0</formula>
    </cfRule>
  </conditionalFormatting>
  <conditionalFormatting sqref="AB1290:AF1290">
    <cfRule type="notContainsBlanks" dxfId="784" priority="792">
      <formula>LEN(TRIM(AB1290))&gt;0</formula>
    </cfRule>
  </conditionalFormatting>
  <conditionalFormatting sqref="AB1290:AF1290">
    <cfRule type="notContainsBlanks" dxfId="783" priority="791">
      <formula>LEN(TRIM(AB1290))&gt;0</formula>
    </cfRule>
  </conditionalFormatting>
  <conditionalFormatting sqref="AB1290:AF1290">
    <cfRule type="notContainsBlanks" dxfId="782" priority="790">
      <formula>LEN(TRIM(AB1290))&gt;0</formula>
    </cfRule>
  </conditionalFormatting>
  <conditionalFormatting sqref="AB1290:AF1290">
    <cfRule type="notContainsBlanks" dxfId="781" priority="789">
      <formula>LEN(TRIM(AB1290))&gt;0</formula>
    </cfRule>
  </conditionalFormatting>
  <conditionalFormatting sqref="AB1303:AF1303">
    <cfRule type="notContainsBlanks" dxfId="780" priority="788">
      <formula>LEN(TRIM(AB1303))&gt;0</formula>
    </cfRule>
  </conditionalFormatting>
  <conditionalFormatting sqref="AB1303:AF1303">
    <cfRule type="notContainsBlanks" dxfId="779" priority="787">
      <formula>LEN(TRIM(AB1303))&gt;0</formula>
    </cfRule>
  </conditionalFormatting>
  <conditionalFormatting sqref="AB1303:AF1303">
    <cfRule type="notContainsBlanks" dxfId="778" priority="786">
      <formula>LEN(TRIM(AB1303))&gt;0</formula>
    </cfRule>
  </conditionalFormatting>
  <conditionalFormatting sqref="AB1303:AF1303">
    <cfRule type="notContainsBlanks" dxfId="777" priority="785">
      <formula>LEN(TRIM(AB1303))&gt;0</formula>
    </cfRule>
  </conditionalFormatting>
  <conditionalFormatting sqref="AB1303:AF1303">
    <cfRule type="notContainsBlanks" dxfId="776" priority="784">
      <formula>LEN(TRIM(AB1303))&gt;0</formula>
    </cfRule>
  </conditionalFormatting>
  <conditionalFormatting sqref="AB1303:AF1303">
    <cfRule type="notContainsBlanks" dxfId="775" priority="783">
      <formula>LEN(TRIM(AB1303))&gt;0</formula>
    </cfRule>
  </conditionalFormatting>
  <conditionalFormatting sqref="AB1303:AF1303">
    <cfRule type="notContainsBlanks" dxfId="774" priority="782">
      <formula>LEN(TRIM(AB1303))&gt;0</formula>
    </cfRule>
  </conditionalFormatting>
  <conditionalFormatting sqref="AB1303:AF1303">
    <cfRule type="notContainsBlanks" dxfId="773" priority="781">
      <formula>LEN(TRIM(AB1303))&gt;0</formula>
    </cfRule>
  </conditionalFormatting>
  <conditionalFormatting sqref="AB1303:AF1303">
    <cfRule type="notContainsBlanks" dxfId="772" priority="780">
      <formula>LEN(TRIM(AB1303))&gt;0</formula>
    </cfRule>
  </conditionalFormatting>
  <conditionalFormatting sqref="AB1303:AF1303">
    <cfRule type="notContainsBlanks" dxfId="771" priority="778">
      <formula>LEN(TRIM(AB1303))&gt;0</formula>
    </cfRule>
    <cfRule type="notContainsBlanks" dxfId="770" priority="779">
      <formula>LEN(TRIM(AB1303))&gt;0</formula>
    </cfRule>
  </conditionalFormatting>
  <conditionalFormatting sqref="AB1303:AF1303">
    <cfRule type="notContainsBlanks" dxfId="769" priority="777">
      <formula>LEN(TRIM(AB1303))&gt;0</formula>
    </cfRule>
  </conditionalFormatting>
  <conditionalFormatting sqref="AB1303:AF1303">
    <cfRule type="notContainsBlanks" dxfId="768" priority="776">
      <formula>LEN(TRIM(AB1303))&gt;0</formula>
    </cfRule>
  </conditionalFormatting>
  <conditionalFormatting sqref="AB1303:AF1303">
    <cfRule type="notContainsBlanks" dxfId="767" priority="775">
      <formula>LEN(TRIM(AB1303))&gt;0</formula>
    </cfRule>
  </conditionalFormatting>
  <conditionalFormatting sqref="AB1303:AF1303">
    <cfRule type="notContainsBlanks" dxfId="766" priority="774">
      <formula>LEN(TRIM(AB1303))&gt;0</formula>
    </cfRule>
  </conditionalFormatting>
  <conditionalFormatting sqref="AB1303:AF1303">
    <cfRule type="notContainsBlanks" dxfId="765" priority="773">
      <formula>LEN(TRIM(AB1303))&gt;0</formula>
    </cfRule>
  </conditionalFormatting>
  <conditionalFormatting sqref="AB1303:AF1303">
    <cfRule type="notContainsBlanks" dxfId="764" priority="772">
      <formula>LEN(TRIM(AB1303))&gt;0</formula>
    </cfRule>
  </conditionalFormatting>
  <conditionalFormatting sqref="AB1303:AF1303">
    <cfRule type="notContainsBlanks" dxfId="763" priority="771">
      <formula>LEN(TRIM(AB1303))&gt;0</formula>
    </cfRule>
  </conditionalFormatting>
  <conditionalFormatting sqref="AB1303:AF1303">
    <cfRule type="notContainsBlanks" dxfId="762" priority="770">
      <formula>LEN(TRIM(AB1303))&gt;0</formula>
    </cfRule>
  </conditionalFormatting>
  <conditionalFormatting sqref="AB1303:AF1303">
    <cfRule type="notContainsBlanks" dxfId="761" priority="769">
      <formula>LEN(TRIM(AB1303))&gt;0</formula>
    </cfRule>
  </conditionalFormatting>
  <conditionalFormatting sqref="AB1303:AF1303">
    <cfRule type="notContainsBlanks" priority="768">
      <formula>LEN(TRIM(AB1303))&gt;0</formula>
    </cfRule>
  </conditionalFormatting>
  <conditionalFormatting sqref="AB1303:AF1303">
    <cfRule type="notContainsBlanks" dxfId="760" priority="767">
      <formula>LEN(TRIM(AB1303))&gt;0</formula>
    </cfRule>
  </conditionalFormatting>
  <conditionalFormatting sqref="AB1303:AF1303">
    <cfRule type="notContainsBlanks" dxfId="759" priority="766">
      <formula>LEN(TRIM(AB1303))&gt;0</formula>
    </cfRule>
  </conditionalFormatting>
  <conditionalFormatting sqref="AB1303:AF1303">
    <cfRule type="notContainsBlanks" dxfId="758" priority="765">
      <formula>LEN(TRIM(AB1303))&gt;0</formula>
    </cfRule>
  </conditionalFormatting>
  <conditionalFormatting sqref="AB1303:AF1303">
    <cfRule type="notContainsBlanks" dxfId="757" priority="764">
      <formula>LEN(TRIM(AB1303))&gt;0</formula>
    </cfRule>
  </conditionalFormatting>
  <conditionalFormatting sqref="AB1303:AF1303">
    <cfRule type="notContainsBlanks" dxfId="756" priority="763">
      <formula>LEN(TRIM(AB1303))&gt;0</formula>
    </cfRule>
  </conditionalFormatting>
  <conditionalFormatting sqref="AB1316:AF1316">
    <cfRule type="notContainsBlanks" dxfId="755" priority="762">
      <formula>LEN(TRIM(AB1316))&gt;0</formula>
    </cfRule>
  </conditionalFormatting>
  <conditionalFormatting sqref="AB1316:AF1316">
    <cfRule type="notContainsBlanks" dxfId="754" priority="761">
      <formula>LEN(TRIM(AB1316))&gt;0</formula>
    </cfRule>
  </conditionalFormatting>
  <conditionalFormatting sqref="AB1316:AF1316">
    <cfRule type="notContainsBlanks" dxfId="753" priority="760">
      <formula>LEN(TRIM(AB1316))&gt;0</formula>
    </cfRule>
  </conditionalFormatting>
  <conditionalFormatting sqref="AB1316:AF1316">
    <cfRule type="notContainsBlanks" dxfId="752" priority="759">
      <formula>LEN(TRIM(AB1316))&gt;0</formula>
    </cfRule>
  </conditionalFormatting>
  <conditionalFormatting sqref="AB1316:AF1316">
    <cfRule type="notContainsBlanks" dxfId="751" priority="758">
      <formula>LEN(TRIM(AB1316))&gt;0</formula>
    </cfRule>
  </conditionalFormatting>
  <conditionalFormatting sqref="AB1316:AF1316">
    <cfRule type="notContainsBlanks" dxfId="750" priority="757">
      <formula>LEN(TRIM(AB1316))&gt;0</formula>
    </cfRule>
  </conditionalFormatting>
  <conditionalFormatting sqref="AB1316:AF1316">
    <cfRule type="notContainsBlanks" dxfId="749" priority="756">
      <formula>LEN(TRIM(AB1316))&gt;0</formula>
    </cfRule>
  </conditionalFormatting>
  <conditionalFormatting sqref="AB1316:AF1316">
    <cfRule type="notContainsBlanks" dxfId="748" priority="755">
      <formula>LEN(TRIM(AB1316))&gt;0</formula>
    </cfRule>
  </conditionalFormatting>
  <conditionalFormatting sqref="AB1316:AF1316">
    <cfRule type="notContainsBlanks" dxfId="747" priority="754">
      <formula>LEN(TRIM(AB1316))&gt;0</formula>
    </cfRule>
  </conditionalFormatting>
  <conditionalFormatting sqref="AB1316:AF1316">
    <cfRule type="notContainsBlanks" dxfId="746" priority="752">
      <formula>LEN(TRIM(AB1316))&gt;0</formula>
    </cfRule>
    <cfRule type="notContainsBlanks" dxfId="745" priority="753">
      <formula>LEN(TRIM(AB1316))&gt;0</formula>
    </cfRule>
  </conditionalFormatting>
  <conditionalFormatting sqref="AB1316:AF1316">
    <cfRule type="notContainsBlanks" dxfId="744" priority="751">
      <formula>LEN(TRIM(AB1316))&gt;0</formula>
    </cfRule>
  </conditionalFormatting>
  <conditionalFormatting sqref="AB1316:AF1316">
    <cfRule type="notContainsBlanks" dxfId="743" priority="750">
      <formula>LEN(TRIM(AB1316))&gt;0</formula>
    </cfRule>
  </conditionalFormatting>
  <conditionalFormatting sqref="AB1316:AF1316">
    <cfRule type="notContainsBlanks" dxfId="742" priority="749">
      <formula>LEN(TRIM(AB1316))&gt;0</formula>
    </cfRule>
  </conditionalFormatting>
  <conditionalFormatting sqref="AB1316:AF1316">
    <cfRule type="notContainsBlanks" dxfId="741" priority="748">
      <formula>LEN(TRIM(AB1316))&gt;0</formula>
    </cfRule>
  </conditionalFormatting>
  <conditionalFormatting sqref="AB1316:AF1316">
    <cfRule type="notContainsBlanks" dxfId="740" priority="747">
      <formula>LEN(TRIM(AB1316))&gt;0</formula>
    </cfRule>
  </conditionalFormatting>
  <conditionalFormatting sqref="AB1316:AF1316">
    <cfRule type="notContainsBlanks" dxfId="739" priority="746">
      <formula>LEN(TRIM(AB1316))&gt;0</formula>
    </cfRule>
  </conditionalFormatting>
  <conditionalFormatting sqref="AB1316:AF1316">
    <cfRule type="notContainsBlanks" dxfId="738" priority="745">
      <formula>LEN(TRIM(AB1316))&gt;0</formula>
    </cfRule>
  </conditionalFormatting>
  <conditionalFormatting sqref="AB1316:AF1316">
    <cfRule type="notContainsBlanks" dxfId="737" priority="744">
      <formula>LEN(TRIM(AB1316))&gt;0</formula>
    </cfRule>
  </conditionalFormatting>
  <conditionalFormatting sqref="AB1316:AF1316">
    <cfRule type="notContainsBlanks" dxfId="736" priority="743">
      <formula>LEN(TRIM(AB1316))&gt;0</formula>
    </cfRule>
  </conditionalFormatting>
  <conditionalFormatting sqref="AB1316:AF1316">
    <cfRule type="notContainsBlanks" priority="742">
      <formula>LEN(TRIM(AB1316))&gt;0</formula>
    </cfRule>
  </conditionalFormatting>
  <conditionalFormatting sqref="AB1316:AF1316">
    <cfRule type="notContainsBlanks" dxfId="735" priority="741">
      <formula>LEN(TRIM(AB1316))&gt;0</formula>
    </cfRule>
  </conditionalFormatting>
  <conditionalFormatting sqref="AB1316:AF1316">
    <cfRule type="notContainsBlanks" dxfId="734" priority="740">
      <formula>LEN(TRIM(AB1316))&gt;0</formula>
    </cfRule>
  </conditionalFormatting>
  <conditionalFormatting sqref="AB1316:AF1316">
    <cfRule type="notContainsBlanks" dxfId="733" priority="739">
      <formula>LEN(TRIM(AB1316))&gt;0</formula>
    </cfRule>
  </conditionalFormatting>
  <conditionalFormatting sqref="AB1316:AF1316">
    <cfRule type="notContainsBlanks" dxfId="732" priority="738">
      <formula>LEN(TRIM(AB1316))&gt;0</formula>
    </cfRule>
  </conditionalFormatting>
  <conditionalFormatting sqref="AB1316:AF1316">
    <cfRule type="notContainsBlanks" dxfId="731" priority="737">
      <formula>LEN(TRIM(AB1316))&gt;0</formula>
    </cfRule>
  </conditionalFormatting>
  <conditionalFormatting sqref="AB1329:AF1329">
    <cfRule type="notContainsBlanks" dxfId="730" priority="736">
      <formula>LEN(TRIM(AB1329))&gt;0</formula>
    </cfRule>
  </conditionalFormatting>
  <conditionalFormatting sqref="AB1329:AF1329">
    <cfRule type="notContainsBlanks" dxfId="729" priority="735">
      <formula>LEN(TRIM(AB1329))&gt;0</formula>
    </cfRule>
  </conditionalFormatting>
  <conditionalFormatting sqref="AB1329:AF1329">
    <cfRule type="notContainsBlanks" dxfId="728" priority="734">
      <formula>LEN(TRIM(AB1329))&gt;0</formula>
    </cfRule>
  </conditionalFormatting>
  <conditionalFormatting sqref="AB1329:AF1329">
    <cfRule type="notContainsBlanks" dxfId="727" priority="733">
      <formula>LEN(TRIM(AB1329))&gt;0</formula>
    </cfRule>
  </conditionalFormatting>
  <conditionalFormatting sqref="AB1329:AF1329">
    <cfRule type="notContainsBlanks" dxfId="726" priority="732">
      <formula>LEN(TRIM(AB1329))&gt;0</formula>
    </cfRule>
  </conditionalFormatting>
  <conditionalFormatting sqref="AB1329:AF1329">
    <cfRule type="notContainsBlanks" dxfId="725" priority="731">
      <formula>LEN(TRIM(AB1329))&gt;0</formula>
    </cfRule>
  </conditionalFormatting>
  <conditionalFormatting sqref="AB1329:AF1329">
    <cfRule type="notContainsBlanks" dxfId="724" priority="730">
      <formula>LEN(TRIM(AB1329))&gt;0</formula>
    </cfRule>
  </conditionalFormatting>
  <conditionalFormatting sqref="AB1329:AF1329">
    <cfRule type="notContainsBlanks" dxfId="723" priority="729">
      <formula>LEN(TRIM(AB1329))&gt;0</formula>
    </cfRule>
  </conditionalFormatting>
  <conditionalFormatting sqref="AB1329:AF1329">
    <cfRule type="notContainsBlanks" dxfId="722" priority="728">
      <formula>LEN(TRIM(AB1329))&gt;0</formula>
    </cfRule>
  </conditionalFormatting>
  <conditionalFormatting sqref="AB1329:AF1329">
    <cfRule type="notContainsBlanks" dxfId="721" priority="726">
      <formula>LEN(TRIM(AB1329))&gt;0</formula>
    </cfRule>
    <cfRule type="notContainsBlanks" dxfId="720" priority="727">
      <formula>LEN(TRIM(AB1329))&gt;0</formula>
    </cfRule>
  </conditionalFormatting>
  <conditionalFormatting sqref="AB1329:AF1329">
    <cfRule type="notContainsBlanks" dxfId="719" priority="725">
      <formula>LEN(TRIM(AB1329))&gt;0</formula>
    </cfRule>
  </conditionalFormatting>
  <conditionalFormatting sqref="AB1329:AF1329">
    <cfRule type="notContainsBlanks" dxfId="718" priority="724">
      <formula>LEN(TRIM(AB1329))&gt;0</formula>
    </cfRule>
  </conditionalFormatting>
  <conditionalFormatting sqref="AB1329:AF1329">
    <cfRule type="notContainsBlanks" dxfId="717" priority="723">
      <formula>LEN(TRIM(AB1329))&gt;0</formula>
    </cfRule>
  </conditionalFormatting>
  <conditionalFormatting sqref="AB1329:AF1329">
    <cfRule type="notContainsBlanks" dxfId="716" priority="722">
      <formula>LEN(TRIM(AB1329))&gt;0</formula>
    </cfRule>
  </conditionalFormatting>
  <conditionalFormatting sqref="AB1329:AF1329">
    <cfRule type="notContainsBlanks" dxfId="715" priority="721">
      <formula>LEN(TRIM(AB1329))&gt;0</formula>
    </cfRule>
  </conditionalFormatting>
  <conditionalFormatting sqref="AB1329:AF1329">
    <cfRule type="notContainsBlanks" dxfId="714" priority="720">
      <formula>LEN(TRIM(AB1329))&gt;0</formula>
    </cfRule>
  </conditionalFormatting>
  <conditionalFormatting sqref="AB1329:AF1329">
    <cfRule type="notContainsBlanks" dxfId="713" priority="719">
      <formula>LEN(TRIM(AB1329))&gt;0</formula>
    </cfRule>
  </conditionalFormatting>
  <conditionalFormatting sqref="AB1329:AF1329">
    <cfRule type="notContainsBlanks" dxfId="712" priority="718">
      <formula>LEN(TRIM(AB1329))&gt;0</formula>
    </cfRule>
  </conditionalFormatting>
  <conditionalFormatting sqref="AB1329:AF1329">
    <cfRule type="notContainsBlanks" dxfId="711" priority="717">
      <formula>LEN(TRIM(AB1329))&gt;0</formula>
    </cfRule>
  </conditionalFormatting>
  <conditionalFormatting sqref="AB1329:AF1329">
    <cfRule type="notContainsBlanks" priority="716">
      <formula>LEN(TRIM(AB1329))&gt;0</formula>
    </cfRule>
  </conditionalFormatting>
  <conditionalFormatting sqref="AB1329:AF1329">
    <cfRule type="notContainsBlanks" dxfId="710" priority="715">
      <formula>LEN(TRIM(AB1329))&gt;0</formula>
    </cfRule>
  </conditionalFormatting>
  <conditionalFormatting sqref="AB1329:AF1329">
    <cfRule type="notContainsBlanks" dxfId="709" priority="714">
      <formula>LEN(TRIM(AB1329))&gt;0</formula>
    </cfRule>
  </conditionalFormatting>
  <conditionalFormatting sqref="AB1329:AF1329">
    <cfRule type="notContainsBlanks" dxfId="708" priority="713">
      <formula>LEN(TRIM(AB1329))&gt;0</formula>
    </cfRule>
  </conditionalFormatting>
  <conditionalFormatting sqref="AB1329:AF1329">
    <cfRule type="notContainsBlanks" dxfId="707" priority="712">
      <formula>LEN(TRIM(AB1329))&gt;0</formula>
    </cfRule>
  </conditionalFormatting>
  <conditionalFormatting sqref="AB1329:AF1329">
    <cfRule type="notContainsBlanks" dxfId="706" priority="711">
      <formula>LEN(TRIM(AB1329))&gt;0</formula>
    </cfRule>
  </conditionalFormatting>
  <conditionalFormatting sqref="AB430:AG432 AB434:AG445 AG433 AB447:AG458 AG446 AB460:AG471 AG459 AB473:AG484 AG472 AB486:AG497 AG485 AB499:AG510 AG498 AB512:AG523 AG511 AB525:AG536 AG524 AB538:AG549 AG537 AB551:AG562 AG550 AB564:AG575 AG563 AB577:AG588 AG576 AB590:AG601 AG589 AB603:AG614 AG602 AB616:AG627 AG615 AB629:AG640 AG628 AB642:AG653 AG641 AB655:AG666 AG654 AB668:AG679 AG667 AB681:AG691 AG680 AB694:AG705 AG692:AG693 AB707:AG718 AG706 AB720:AG731 AG719 AB733:AG744 AG732 AB746:AG757 AG745 AB759:AG770 AG758 AB772:AG783 AG771 AB785:AG796 AG784 AB798:AG809 AG797 AB811:AG822 AG810 AB824:AG835 AG823 AB837:AG848 AG836 AB850:AG861 AG849 AB863:AG874 AG862 AB876:AG887 AG875 AB889:AG900 AG888 AB902:AG913 AG901 AB915:AG926 AG914 AB928:AG939 AG927 AB941:AG952 AG940 AB954:AG965 AG953 AB967:AG978 AG966 AB980:AG991 AG979 AB993:AG1004 AG992 AB1007:AG1017 AG1005:AG1006 AB1019:AG1030 AG1018 AB1032:AG1043 AG1031 AB1045:AG1056 AG1044 AB1058:AG1069 AG1057 AB1071:AG1082 AG1070 AB1084:AG1095 AG1083 AB1097:AG1108 AG1096 AB1110:AG1121 AG1109 AB1123:AG1134 AG1122 AB1136:AG1147 AG1135 AB1149:AG1160 AG1148 AB1162:AG1173 AG1161 AB1175:AG1186 AG1174 AB1188:AG1199 AG1187 AB1201:AG1212 AG1200 AB1214:AG1225 AG1213 AB1227:AG1238 AG1226 AB1240:AG1251 AG1239 AB1253:AG1264 AG1252 AB1266:AG1277 AG1265 AB1279:AG1290 AG1278 AB1292:AG1303 AG1291 AB1305:AG1316 AG1304 AB1318:AG1329 AG1317 AB1331:AG1338 AG1330">
    <cfRule type="notContainsBlanks" dxfId="705" priority="710">
      <formula>LEN(TRIM(AB430))&gt;0</formula>
    </cfRule>
  </conditionalFormatting>
  <conditionalFormatting sqref="B131:E142">
    <cfRule type="notContainsBlanks" dxfId="704" priority="708">
      <formula>LEN(TRIM(B131))&gt;0</formula>
    </cfRule>
  </conditionalFormatting>
  <conditionalFormatting sqref="AB692:AF692">
    <cfRule type="notContainsBlanks" dxfId="703" priority="707">
      <formula>LEN(TRIM(AB692))&gt;0</formula>
    </cfRule>
  </conditionalFormatting>
  <conditionalFormatting sqref="AB692:AF692">
    <cfRule type="notContainsBlanks" dxfId="702" priority="706">
      <formula>LEN(TRIM(AB692))&gt;0</formula>
    </cfRule>
  </conditionalFormatting>
  <conditionalFormatting sqref="AB692:AF692">
    <cfRule type="notContainsBlanks" dxfId="701" priority="705">
      <formula>LEN(TRIM(AB692))&gt;0</formula>
    </cfRule>
  </conditionalFormatting>
  <conditionalFormatting sqref="AB692:AF692">
    <cfRule type="notContainsBlanks" dxfId="700" priority="704">
      <formula>LEN(TRIM(AB692))&gt;0</formula>
    </cfRule>
  </conditionalFormatting>
  <conditionalFormatting sqref="AB692:AF692">
    <cfRule type="notContainsBlanks" dxfId="699" priority="703">
      <formula>LEN(TRIM(AB692))&gt;0</formula>
    </cfRule>
  </conditionalFormatting>
  <conditionalFormatting sqref="AB692:AF692">
    <cfRule type="notContainsBlanks" dxfId="698" priority="702">
      <formula>LEN(TRIM(AB692))&gt;0</formula>
    </cfRule>
  </conditionalFormatting>
  <conditionalFormatting sqref="AB692:AF692">
    <cfRule type="notContainsBlanks" dxfId="697" priority="701">
      <formula>LEN(TRIM(AB692))&gt;0</formula>
    </cfRule>
  </conditionalFormatting>
  <conditionalFormatting sqref="AB692:AF692">
    <cfRule type="notContainsBlanks" dxfId="696" priority="700">
      <formula>LEN(TRIM(AB692))&gt;0</formula>
    </cfRule>
  </conditionalFormatting>
  <conditionalFormatting sqref="AB692:AF692">
    <cfRule type="notContainsBlanks" dxfId="695" priority="699">
      <formula>LEN(TRIM(AB692))&gt;0</formula>
    </cfRule>
  </conditionalFormatting>
  <conditionalFormatting sqref="AB692:AF692">
    <cfRule type="notContainsBlanks" dxfId="694" priority="697">
      <formula>LEN(TRIM(AB692))&gt;0</formula>
    </cfRule>
    <cfRule type="notContainsBlanks" dxfId="693" priority="698">
      <formula>LEN(TRIM(AB692))&gt;0</formula>
    </cfRule>
  </conditionalFormatting>
  <conditionalFormatting sqref="AB692:AF692">
    <cfRule type="notContainsBlanks" dxfId="692" priority="696">
      <formula>LEN(TRIM(AB692))&gt;0</formula>
    </cfRule>
  </conditionalFormatting>
  <conditionalFormatting sqref="AB692:AF692">
    <cfRule type="notContainsBlanks" dxfId="691" priority="695">
      <formula>LEN(TRIM(AB692))&gt;0</formula>
    </cfRule>
  </conditionalFormatting>
  <conditionalFormatting sqref="AB692:AF692">
    <cfRule type="notContainsBlanks" dxfId="690" priority="694">
      <formula>LEN(TRIM(AB692))&gt;0</formula>
    </cfRule>
  </conditionalFormatting>
  <conditionalFormatting sqref="AB692:AF692">
    <cfRule type="notContainsBlanks" dxfId="689" priority="693">
      <formula>LEN(TRIM(AB692))&gt;0</formula>
    </cfRule>
  </conditionalFormatting>
  <conditionalFormatting sqref="AB692:AF692">
    <cfRule type="notContainsBlanks" dxfId="688" priority="692">
      <formula>LEN(TRIM(AB692))&gt;0</formula>
    </cfRule>
  </conditionalFormatting>
  <conditionalFormatting sqref="AB692:AF692">
    <cfRule type="notContainsBlanks" dxfId="687" priority="691">
      <formula>LEN(TRIM(AB692))&gt;0</formula>
    </cfRule>
  </conditionalFormatting>
  <conditionalFormatting sqref="AB692:AF692">
    <cfRule type="notContainsBlanks" dxfId="686" priority="690">
      <formula>LEN(TRIM(AB692))&gt;0</formula>
    </cfRule>
  </conditionalFormatting>
  <conditionalFormatting sqref="AB692:AF692">
    <cfRule type="notContainsBlanks" dxfId="685" priority="689">
      <formula>LEN(TRIM(AB692))&gt;0</formula>
    </cfRule>
  </conditionalFormatting>
  <conditionalFormatting sqref="AB692:AF692">
    <cfRule type="notContainsBlanks" dxfId="684" priority="688">
      <formula>LEN(TRIM(AB692))&gt;0</formula>
    </cfRule>
  </conditionalFormatting>
  <conditionalFormatting sqref="AB692:AF692">
    <cfRule type="notContainsBlanks" priority="687">
      <formula>LEN(TRIM(AB692))&gt;0</formula>
    </cfRule>
  </conditionalFormatting>
  <conditionalFormatting sqref="AB692:AF692">
    <cfRule type="notContainsBlanks" dxfId="683" priority="686">
      <formula>LEN(TRIM(AB692))&gt;0</formula>
    </cfRule>
  </conditionalFormatting>
  <conditionalFormatting sqref="AB692:AF692">
    <cfRule type="notContainsBlanks" dxfId="682" priority="685">
      <formula>LEN(TRIM(AB692))&gt;0</formula>
    </cfRule>
  </conditionalFormatting>
  <conditionalFormatting sqref="AB692:AF692">
    <cfRule type="notContainsBlanks" dxfId="681" priority="684">
      <formula>LEN(TRIM(AB692))&gt;0</formula>
    </cfRule>
  </conditionalFormatting>
  <conditionalFormatting sqref="AB692:AF692">
    <cfRule type="notContainsBlanks" dxfId="680" priority="683">
      <formula>LEN(TRIM(AB692))&gt;0</formula>
    </cfRule>
  </conditionalFormatting>
  <conditionalFormatting sqref="AB692:AF692">
    <cfRule type="notContainsBlanks" dxfId="679" priority="682">
      <formula>LEN(TRIM(AB692))&gt;0</formula>
    </cfRule>
  </conditionalFormatting>
  <conditionalFormatting sqref="AB692:AF692">
    <cfRule type="notContainsBlanks" dxfId="678" priority="681">
      <formula>LEN(TRIM(AB692))&gt;0</formula>
    </cfRule>
  </conditionalFormatting>
  <conditionalFormatting sqref="AB1006:AF1006">
    <cfRule type="notContainsBlanks" dxfId="677" priority="680">
      <formula>LEN(TRIM(AB1006))&gt;0</formula>
    </cfRule>
  </conditionalFormatting>
  <conditionalFormatting sqref="G433:K433">
    <cfRule type="notContainsBlanks" dxfId="676" priority="679">
      <formula>LEN(TRIM(G433))&gt;0</formula>
    </cfRule>
  </conditionalFormatting>
  <conditionalFormatting sqref="G433:K433">
    <cfRule type="notContainsBlanks" dxfId="675" priority="678">
      <formula>LEN(TRIM(G433))&gt;0</formula>
    </cfRule>
  </conditionalFormatting>
  <conditionalFormatting sqref="N433:R433">
    <cfRule type="notContainsBlanks" dxfId="674" priority="677">
      <formula>LEN(TRIM(N433))&gt;0</formula>
    </cfRule>
  </conditionalFormatting>
  <conditionalFormatting sqref="N433:R433">
    <cfRule type="notContainsBlanks" dxfId="673" priority="676">
      <formula>LEN(TRIM(N433))&gt;0</formula>
    </cfRule>
  </conditionalFormatting>
  <conditionalFormatting sqref="U433:Y433">
    <cfRule type="notContainsBlanks" dxfId="672" priority="675">
      <formula>LEN(TRIM(U433))&gt;0</formula>
    </cfRule>
  </conditionalFormatting>
  <conditionalFormatting sqref="U433:Y433">
    <cfRule type="notContainsBlanks" dxfId="671" priority="674">
      <formula>LEN(TRIM(U433))&gt;0</formula>
    </cfRule>
  </conditionalFormatting>
  <conditionalFormatting sqref="AB433:AF433">
    <cfRule type="notContainsBlanks" dxfId="670" priority="673">
      <formula>LEN(TRIM(AB433))&gt;0</formula>
    </cfRule>
  </conditionalFormatting>
  <conditionalFormatting sqref="AB433:AF433">
    <cfRule type="notContainsBlanks" dxfId="669" priority="672">
      <formula>LEN(TRIM(AB433))&gt;0</formula>
    </cfRule>
  </conditionalFormatting>
  <conditionalFormatting sqref="G446:K446">
    <cfRule type="notContainsBlanks" dxfId="668" priority="671">
      <formula>LEN(TRIM(G446))&gt;0</formula>
    </cfRule>
  </conditionalFormatting>
  <conditionalFormatting sqref="G446:K446">
    <cfRule type="notContainsBlanks" dxfId="667" priority="670">
      <formula>LEN(TRIM(G446))&gt;0</formula>
    </cfRule>
  </conditionalFormatting>
  <conditionalFormatting sqref="N446:R446">
    <cfRule type="notContainsBlanks" dxfId="666" priority="669">
      <formula>LEN(TRIM(N446))&gt;0</formula>
    </cfRule>
  </conditionalFormatting>
  <conditionalFormatting sqref="N446:R446">
    <cfRule type="notContainsBlanks" dxfId="665" priority="668">
      <formula>LEN(TRIM(N446))&gt;0</formula>
    </cfRule>
  </conditionalFormatting>
  <conditionalFormatting sqref="U446:Y446">
    <cfRule type="notContainsBlanks" dxfId="664" priority="667">
      <formula>LEN(TRIM(U446))&gt;0</formula>
    </cfRule>
  </conditionalFormatting>
  <conditionalFormatting sqref="U446:Y446">
    <cfRule type="notContainsBlanks" dxfId="663" priority="666">
      <formula>LEN(TRIM(U446))&gt;0</formula>
    </cfRule>
  </conditionalFormatting>
  <conditionalFormatting sqref="AB446:AF446">
    <cfRule type="notContainsBlanks" dxfId="662" priority="665">
      <formula>LEN(TRIM(AB446))&gt;0</formula>
    </cfRule>
  </conditionalFormatting>
  <conditionalFormatting sqref="AB446:AF446">
    <cfRule type="notContainsBlanks" dxfId="661" priority="664">
      <formula>LEN(TRIM(AB446))&gt;0</formula>
    </cfRule>
  </conditionalFormatting>
  <conditionalFormatting sqref="G459:K459">
    <cfRule type="notContainsBlanks" dxfId="660" priority="663">
      <formula>LEN(TRIM(G459))&gt;0</formula>
    </cfRule>
  </conditionalFormatting>
  <conditionalFormatting sqref="G459:K459">
    <cfRule type="notContainsBlanks" dxfId="659" priority="662">
      <formula>LEN(TRIM(G459))&gt;0</formula>
    </cfRule>
  </conditionalFormatting>
  <conditionalFormatting sqref="N459:R459">
    <cfRule type="notContainsBlanks" dxfId="658" priority="661">
      <formula>LEN(TRIM(N459))&gt;0</formula>
    </cfRule>
  </conditionalFormatting>
  <conditionalFormatting sqref="N459:R459">
    <cfRule type="notContainsBlanks" dxfId="657" priority="660">
      <formula>LEN(TRIM(N459))&gt;0</formula>
    </cfRule>
  </conditionalFormatting>
  <conditionalFormatting sqref="U459:Y459">
    <cfRule type="notContainsBlanks" dxfId="656" priority="659">
      <formula>LEN(TRIM(U459))&gt;0</formula>
    </cfRule>
  </conditionalFormatting>
  <conditionalFormatting sqref="U459:Y459">
    <cfRule type="notContainsBlanks" dxfId="655" priority="658">
      <formula>LEN(TRIM(U459))&gt;0</formula>
    </cfRule>
  </conditionalFormatting>
  <conditionalFormatting sqref="AB459:AF459">
    <cfRule type="notContainsBlanks" dxfId="654" priority="657">
      <formula>LEN(TRIM(AB459))&gt;0</formula>
    </cfRule>
  </conditionalFormatting>
  <conditionalFormatting sqref="AB459:AF459">
    <cfRule type="notContainsBlanks" dxfId="653" priority="656">
      <formula>LEN(TRIM(AB459))&gt;0</formula>
    </cfRule>
  </conditionalFormatting>
  <conditionalFormatting sqref="G472:K472">
    <cfRule type="notContainsBlanks" dxfId="652" priority="655">
      <formula>LEN(TRIM(G472))&gt;0</formula>
    </cfRule>
  </conditionalFormatting>
  <conditionalFormatting sqref="G472:K472">
    <cfRule type="notContainsBlanks" dxfId="651" priority="654">
      <formula>LEN(TRIM(G472))&gt;0</formula>
    </cfRule>
  </conditionalFormatting>
  <conditionalFormatting sqref="N472:R472">
    <cfRule type="notContainsBlanks" dxfId="650" priority="653">
      <formula>LEN(TRIM(N472))&gt;0</formula>
    </cfRule>
  </conditionalFormatting>
  <conditionalFormatting sqref="N472:R472">
    <cfRule type="notContainsBlanks" dxfId="649" priority="652">
      <formula>LEN(TRIM(N472))&gt;0</formula>
    </cfRule>
  </conditionalFormatting>
  <conditionalFormatting sqref="U472:Y472">
    <cfRule type="notContainsBlanks" dxfId="648" priority="651">
      <formula>LEN(TRIM(U472))&gt;0</formula>
    </cfRule>
  </conditionalFormatting>
  <conditionalFormatting sqref="U472:Y472">
    <cfRule type="notContainsBlanks" dxfId="647" priority="650">
      <formula>LEN(TRIM(U472))&gt;0</formula>
    </cfRule>
  </conditionalFormatting>
  <conditionalFormatting sqref="AB472:AF472">
    <cfRule type="notContainsBlanks" dxfId="646" priority="649">
      <formula>LEN(TRIM(AB472))&gt;0</formula>
    </cfRule>
  </conditionalFormatting>
  <conditionalFormatting sqref="AB472:AF472">
    <cfRule type="notContainsBlanks" dxfId="645" priority="648">
      <formula>LEN(TRIM(AB472))&gt;0</formula>
    </cfRule>
  </conditionalFormatting>
  <conditionalFormatting sqref="G485:K485">
    <cfRule type="notContainsBlanks" dxfId="644" priority="647">
      <formula>LEN(TRIM(G485))&gt;0</formula>
    </cfRule>
  </conditionalFormatting>
  <conditionalFormatting sqref="G485:K485">
    <cfRule type="notContainsBlanks" dxfId="643" priority="646">
      <formula>LEN(TRIM(G485))&gt;0</formula>
    </cfRule>
  </conditionalFormatting>
  <conditionalFormatting sqref="N485:R485">
    <cfRule type="notContainsBlanks" dxfId="642" priority="645">
      <formula>LEN(TRIM(N485))&gt;0</formula>
    </cfRule>
  </conditionalFormatting>
  <conditionalFormatting sqref="N485:R485">
    <cfRule type="notContainsBlanks" dxfId="641" priority="644">
      <formula>LEN(TRIM(N485))&gt;0</formula>
    </cfRule>
  </conditionalFormatting>
  <conditionalFormatting sqref="U485:Y485">
    <cfRule type="notContainsBlanks" dxfId="640" priority="643">
      <formula>LEN(TRIM(U485))&gt;0</formula>
    </cfRule>
  </conditionalFormatting>
  <conditionalFormatting sqref="U485:Y485">
    <cfRule type="notContainsBlanks" dxfId="639" priority="642">
      <formula>LEN(TRIM(U485))&gt;0</formula>
    </cfRule>
  </conditionalFormatting>
  <conditionalFormatting sqref="AB485:AF485">
    <cfRule type="notContainsBlanks" dxfId="638" priority="641">
      <formula>LEN(TRIM(AB485))&gt;0</formula>
    </cfRule>
  </conditionalFormatting>
  <conditionalFormatting sqref="AB485:AF485">
    <cfRule type="notContainsBlanks" dxfId="637" priority="640">
      <formula>LEN(TRIM(AB485))&gt;0</formula>
    </cfRule>
  </conditionalFormatting>
  <conditionalFormatting sqref="G498:K498">
    <cfRule type="notContainsBlanks" dxfId="636" priority="639">
      <formula>LEN(TRIM(G498))&gt;0</formula>
    </cfRule>
  </conditionalFormatting>
  <conditionalFormatting sqref="G498:K498">
    <cfRule type="notContainsBlanks" dxfId="635" priority="638">
      <formula>LEN(TRIM(G498))&gt;0</formula>
    </cfRule>
  </conditionalFormatting>
  <conditionalFormatting sqref="N498:R498">
    <cfRule type="notContainsBlanks" dxfId="634" priority="637">
      <formula>LEN(TRIM(N498))&gt;0</formula>
    </cfRule>
  </conditionalFormatting>
  <conditionalFormatting sqref="N498:R498">
    <cfRule type="notContainsBlanks" dxfId="633" priority="636">
      <formula>LEN(TRIM(N498))&gt;0</formula>
    </cfRule>
  </conditionalFormatting>
  <conditionalFormatting sqref="U498:Y498">
    <cfRule type="notContainsBlanks" dxfId="632" priority="635">
      <formula>LEN(TRIM(U498))&gt;0</formula>
    </cfRule>
  </conditionalFormatting>
  <conditionalFormatting sqref="U498:Y498">
    <cfRule type="notContainsBlanks" dxfId="631" priority="634">
      <formula>LEN(TRIM(U498))&gt;0</formula>
    </cfRule>
  </conditionalFormatting>
  <conditionalFormatting sqref="AB498:AF498">
    <cfRule type="notContainsBlanks" dxfId="630" priority="633">
      <formula>LEN(TRIM(AB498))&gt;0</formula>
    </cfRule>
  </conditionalFormatting>
  <conditionalFormatting sqref="AB498:AF498">
    <cfRule type="notContainsBlanks" dxfId="629" priority="632">
      <formula>LEN(TRIM(AB498))&gt;0</formula>
    </cfRule>
  </conditionalFormatting>
  <conditionalFormatting sqref="G511:K511">
    <cfRule type="notContainsBlanks" dxfId="628" priority="631">
      <formula>LEN(TRIM(G511))&gt;0</formula>
    </cfRule>
  </conditionalFormatting>
  <conditionalFormatting sqref="G511:K511">
    <cfRule type="notContainsBlanks" dxfId="627" priority="630">
      <formula>LEN(TRIM(G511))&gt;0</formula>
    </cfRule>
  </conditionalFormatting>
  <conditionalFormatting sqref="N511:R511">
    <cfRule type="notContainsBlanks" dxfId="626" priority="629">
      <formula>LEN(TRIM(N511))&gt;0</formula>
    </cfRule>
  </conditionalFormatting>
  <conditionalFormatting sqref="N511:R511">
    <cfRule type="notContainsBlanks" dxfId="625" priority="628">
      <formula>LEN(TRIM(N511))&gt;0</formula>
    </cfRule>
  </conditionalFormatting>
  <conditionalFormatting sqref="U511:Y511">
    <cfRule type="notContainsBlanks" dxfId="624" priority="627">
      <formula>LEN(TRIM(U511))&gt;0</formula>
    </cfRule>
  </conditionalFormatting>
  <conditionalFormatting sqref="U511:Y511">
    <cfRule type="notContainsBlanks" dxfId="623" priority="626">
      <formula>LEN(TRIM(U511))&gt;0</formula>
    </cfRule>
  </conditionalFormatting>
  <conditionalFormatting sqref="AB511:AF511">
    <cfRule type="notContainsBlanks" dxfId="622" priority="625">
      <formula>LEN(TRIM(AB511))&gt;0</formula>
    </cfRule>
  </conditionalFormatting>
  <conditionalFormatting sqref="AB511:AF511">
    <cfRule type="notContainsBlanks" dxfId="621" priority="624">
      <formula>LEN(TRIM(AB511))&gt;0</formula>
    </cfRule>
  </conditionalFormatting>
  <conditionalFormatting sqref="G524:K524">
    <cfRule type="notContainsBlanks" dxfId="620" priority="623">
      <formula>LEN(TRIM(G524))&gt;0</formula>
    </cfRule>
  </conditionalFormatting>
  <conditionalFormatting sqref="G524:K524">
    <cfRule type="notContainsBlanks" dxfId="619" priority="622">
      <formula>LEN(TRIM(G524))&gt;0</formula>
    </cfRule>
  </conditionalFormatting>
  <conditionalFormatting sqref="N524:R524">
    <cfRule type="notContainsBlanks" dxfId="618" priority="621">
      <formula>LEN(TRIM(N524))&gt;0</formula>
    </cfRule>
  </conditionalFormatting>
  <conditionalFormatting sqref="N524:R524">
    <cfRule type="notContainsBlanks" dxfId="617" priority="620">
      <formula>LEN(TRIM(N524))&gt;0</formula>
    </cfRule>
  </conditionalFormatting>
  <conditionalFormatting sqref="U524:Y524">
    <cfRule type="notContainsBlanks" dxfId="616" priority="619">
      <formula>LEN(TRIM(U524))&gt;0</formula>
    </cfRule>
  </conditionalFormatting>
  <conditionalFormatting sqref="U524:Y524">
    <cfRule type="notContainsBlanks" dxfId="615" priority="618">
      <formula>LEN(TRIM(U524))&gt;0</formula>
    </cfRule>
  </conditionalFormatting>
  <conditionalFormatting sqref="AB524:AF524">
    <cfRule type="notContainsBlanks" dxfId="614" priority="617">
      <formula>LEN(TRIM(AB524))&gt;0</formula>
    </cfRule>
  </conditionalFormatting>
  <conditionalFormatting sqref="AB524:AF524">
    <cfRule type="notContainsBlanks" dxfId="613" priority="616">
      <formula>LEN(TRIM(AB524))&gt;0</formula>
    </cfRule>
  </conditionalFormatting>
  <conditionalFormatting sqref="G537:K537">
    <cfRule type="notContainsBlanks" dxfId="612" priority="615">
      <formula>LEN(TRIM(G537))&gt;0</formula>
    </cfRule>
  </conditionalFormatting>
  <conditionalFormatting sqref="G537:K537">
    <cfRule type="notContainsBlanks" dxfId="611" priority="614">
      <formula>LEN(TRIM(G537))&gt;0</formula>
    </cfRule>
  </conditionalFormatting>
  <conditionalFormatting sqref="N537:R537">
    <cfRule type="notContainsBlanks" dxfId="610" priority="613">
      <formula>LEN(TRIM(N537))&gt;0</formula>
    </cfRule>
  </conditionalFormatting>
  <conditionalFormatting sqref="N537:R537">
    <cfRule type="notContainsBlanks" dxfId="609" priority="612">
      <formula>LEN(TRIM(N537))&gt;0</formula>
    </cfRule>
  </conditionalFormatting>
  <conditionalFormatting sqref="U537:Y537">
    <cfRule type="notContainsBlanks" dxfId="608" priority="611">
      <formula>LEN(TRIM(U537))&gt;0</formula>
    </cfRule>
  </conditionalFormatting>
  <conditionalFormatting sqref="U537:Y537">
    <cfRule type="notContainsBlanks" dxfId="607" priority="610">
      <formula>LEN(TRIM(U537))&gt;0</formula>
    </cfRule>
  </conditionalFormatting>
  <conditionalFormatting sqref="AB537:AF537">
    <cfRule type="notContainsBlanks" dxfId="606" priority="609">
      <formula>LEN(TRIM(AB537))&gt;0</formula>
    </cfRule>
  </conditionalFormatting>
  <conditionalFormatting sqref="AB537:AF537">
    <cfRule type="notContainsBlanks" dxfId="605" priority="608">
      <formula>LEN(TRIM(AB537))&gt;0</formula>
    </cfRule>
  </conditionalFormatting>
  <conditionalFormatting sqref="G550:K550">
    <cfRule type="notContainsBlanks" dxfId="604" priority="607">
      <formula>LEN(TRIM(G550))&gt;0</formula>
    </cfRule>
  </conditionalFormatting>
  <conditionalFormatting sqref="G550:K550">
    <cfRule type="notContainsBlanks" dxfId="603" priority="606">
      <formula>LEN(TRIM(G550))&gt;0</formula>
    </cfRule>
  </conditionalFormatting>
  <conditionalFormatting sqref="N550:R550">
    <cfRule type="notContainsBlanks" dxfId="602" priority="605">
      <formula>LEN(TRIM(N550))&gt;0</formula>
    </cfRule>
  </conditionalFormatting>
  <conditionalFormatting sqref="N550:R550">
    <cfRule type="notContainsBlanks" dxfId="601" priority="604">
      <formula>LEN(TRIM(N550))&gt;0</formula>
    </cfRule>
  </conditionalFormatting>
  <conditionalFormatting sqref="U550:Y550">
    <cfRule type="notContainsBlanks" dxfId="600" priority="603">
      <formula>LEN(TRIM(U550))&gt;0</formula>
    </cfRule>
  </conditionalFormatting>
  <conditionalFormatting sqref="U550:Y550">
    <cfRule type="notContainsBlanks" dxfId="599" priority="602">
      <formula>LEN(TRIM(U550))&gt;0</formula>
    </cfRule>
  </conditionalFormatting>
  <conditionalFormatting sqref="AB550:AF550">
    <cfRule type="notContainsBlanks" dxfId="598" priority="601">
      <formula>LEN(TRIM(AB550))&gt;0</formula>
    </cfRule>
  </conditionalFormatting>
  <conditionalFormatting sqref="AB550:AF550">
    <cfRule type="notContainsBlanks" dxfId="597" priority="600">
      <formula>LEN(TRIM(AB550))&gt;0</formula>
    </cfRule>
  </conditionalFormatting>
  <conditionalFormatting sqref="G563:K563">
    <cfRule type="notContainsBlanks" dxfId="596" priority="599">
      <formula>LEN(TRIM(G563))&gt;0</formula>
    </cfRule>
  </conditionalFormatting>
  <conditionalFormatting sqref="G563:K563">
    <cfRule type="notContainsBlanks" dxfId="595" priority="598">
      <formula>LEN(TRIM(G563))&gt;0</formula>
    </cfRule>
  </conditionalFormatting>
  <conditionalFormatting sqref="N563:R563">
    <cfRule type="notContainsBlanks" dxfId="594" priority="597">
      <formula>LEN(TRIM(N563))&gt;0</formula>
    </cfRule>
  </conditionalFormatting>
  <conditionalFormatting sqref="N563:R563">
    <cfRule type="notContainsBlanks" dxfId="593" priority="596">
      <formula>LEN(TRIM(N563))&gt;0</formula>
    </cfRule>
  </conditionalFormatting>
  <conditionalFormatting sqref="U563:Y563">
    <cfRule type="notContainsBlanks" dxfId="592" priority="595">
      <formula>LEN(TRIM(U563))&gt;0</formula>
    </cfRule>
  </conditionalFormatting>
  <conditionalFormatting sqref="U563:Y563">
    <cfRule type="notContainsBlanks" dxfId="591" priority="594">
      <formula>LEN(TRIM(U563))&gt;0</formula>
    </cfRule>
  </conditionalFormatting>
  <conditionalFormatting sqref="AB563:AF563">
    <cfRule type="notContainsBlanks" dxfId="590" priority="593">
      <formula>LEN(TRIM(AB563))&gt;0</formula>
    </cfRule>
  </conditionalFormatting>
  <conditionalFormatting sqref="AB563:AF563">
    <cfRule type="notContainsBlanks" dxfId="589" priority="592">
      <formula>LEN(TRIM(AB563))&gt;0</formula>
    </cfRule>
  </conditionalFormatting>
  <conditionalFormatting sqref="G576:K576">
    <cfRule type="notContainsBlanks" dxfId="588" priority="591">
      <formula>LEN(TRIM(G576))&gt;0</formula>
    </cfRule>
  </conditionalFormatting>
  <conditionalFormatting sqref="G576:K576">
    <cfRule type="notContainsBlanks" dxfId="587" priority="590">
      <formula>LEN(TRIM(G576))&gt;0</formula>
    </cfRule>
  </conditionalFormatting>
  <conditionalFormatting sqref="N576:R576">
    <cfRule type="notContainsBlanks" dxfId="586" priority="589">
      <formula>LEN(TRIM(N576))&gt;0</formula>
    </cfRule>
  </conditionalFormatting>
  <conditionalFormatting sqref="N576:R576">
    <cfRule type="notContainsBlanks" dxfId="585" priority="588">
      <formula>LEN(TRIM(N576))&gt;0</formula>
    </cfRule>
  </conditionalFormatting>
  <conditionalFormatting sqref="U576:Y576">
    <cfRule type="notContainsBlanks" dxfId="584" priority="587">
      <formula>LEN(TRIM(U576))&gt;0</formula>
    </cfRule>
  </conditionalFormatting>
  <conditionalFormatting sqref="U576:Y576">
    <cfRule type="notContainsBlanks" dxfId="583" priority="586">
      <formula>LEN(TRIM(U576))&gt;0</formula>
    </cfRule>
  </conditionalFormatting>
  <conditionalFormatting sqref="AB576:AF576">
    <cfRule type="notContainsBlanks" dxfId="582" priority="585">
      <formula>LEN(TRIM(AB576))&gt;0</formula>
    </cfRule>
  </conditionalFormatting>
  <conditionalFormatting sqref="AB576:AF576">
    <cfRule type="notContainsBlanks" dxfId="581" priority="584">
      <formula>LEN(TRIM(AB576))&gt;0</formula>
    </cfRule>
  </conditionalFormatting>
  <conditionalFormatting sqref="G589:K589">
    <cfRule type="notContainsBlanks" dxfId="580" priority="583">
      <formula>LEN(TRIM(G589))&gt;0</formula>
    </cfRule>
  </conditionalFormatting>
  <conditionalFormatting sqref="G589:K589">
    <cfRule type="notContainsBlanks" dxfId="579" priority="582">
      <formula>LEN(TRIM(G589))&gt;0</formula>
    </cfRule>
  </conditionalFormatting>
  <conditionalFormatting sqref="N589:R589">
    <cfRule type="notContainsBlanks" dxfId="578" priority="581">
      <formula>LEN(TRIM(N589))&gt;0</formula>
    </cfRule>
  </conditionalFormatting>
  <conditionalFormatting sqref="N589:R589">
    <cfRule type="notContainsBlanks" dxfId="577" priority="580">
      <formula>LEN(TRIM(N589))&gt;0</formula>
    </cfRule>
  </conditionalFormatting>
  <conditionalFormatting sqref="U589:Y589">
    <cfRule type="notContainsBlanks" dxfId="576" priority="579">
      <formula>LEN(TRIM(U589))&gt;0</formula>
    </cfRule>
  </conditionalFormatting>
  <conditionalFormatting sqref="U589:Y589">
    <cfRule type="notContainsBlanks" dxfId="575" priority="578">
      <formula>LEN(TRIM(U589))&gt;0</formula>
    </cfRule>
  </conditionalFormatting>
  <conditionalFormatting sqref="AB589:AF589">
    <cfRule type="notContainsBlanks" dxfId="574" priority="577">
      <formula>LEN(TRIM(AB589))&gt;0</formula>
    </cfRule>
  </conditionalFormatting>
  <conditionalFormatting sqref="AB589:AF589">
    <cfRule type="notContainsBlanks" dxfId="573" priority="576">
      <formula>LEN(TRIM(AB589))&gt;0</formula>
    </cfRule>
  </conditionalFormatting>
  <conditionalFormatting sqref="G602:K602">
    <cfRule type="notContainsBlanks" dxfId="572" priority="575">
      <formula>LEN(TRIM(G602))&gt;0</formula>
    </cfRule>
  </conditionalFormatting>
  <conditionalFormatting sqref="G602:K602">
    <cfRule type="notContainsBlanks" dxfId="571" priority="574">
      <formula>LEN(TRIM(G602))&gt;0</formula>
    </cfRule>
  </conditionalFormatting>
  <conditionalFormatting sqref="N602:R602">
    <cfRule type="notContainsBlanks" dxfId="570" priority="573">
      <formula>LEN(TRIM(N602))&gt;0</formula>
    </cfRule>
  </conditionalFormatting>
  <conditionalFormatting sqref="N602:R602">
    <cfRule type="notContainsBlanks" dxfId="569" priority="572">
      <formula>LEN(TRIM(N602))&gt;0</formula>
    </cfRule>
  </conditionalFormatting>
  <conditionalFormatting sqref="U602:Y602">
    <cfRule type="notContainsBlanks" dxfId="568" priority="571">
      <formula>LEN(TRIM(U602))&gt;0</formula>
    </cfRule>
  </conditionalFormatting>
  <conditionalFormatting sqref="U602:Y602">
    <cfRule type="notContainsBlanks" dxfId="567" priority="570">
      <formula>LEN(TRIM(U602))&gt;0</formula>
    </cfRule>
  </conditionalFormatting>
  <conditionalFormatting sqref="AB602:AF602">
    <cfRule type="notContainsBlanks" dxfId="566" priority="569">
      <formula>LEN(TRIM(AB602))&gt;0</formula>
    </cfRule>
  </conditionalFormatting>
  <conditionalFormatting sqref="AB602:AF602">
    <cfRule type="notContainsBlanks" dxfId="565" priority="568">
      <formula>LEN(TRIM(AB602))&gt;0</formula>
    </cfRule>
  </conditionalFormatting>
  <conditionalFormatting sqref="G615:K615">
    <cfRule type="notContainsBlanks" dxfId="564" priority="567">
      <formula>LEN(TRIM(G615))&gt;0</formula>
    </cfRule>
  </conditionalFormatting>
  <conditionalFormatting sqref="G615:K615">
    <cfRule type="notContainsBlanks" dxfId="563" priority="566">
      <formula>LEN(TRIM(G615))&gt;0</formula>
    </cfRule>
  </conditionalFormatting>
  <conditionalFormatting sqref="N615:R615">
    <cfRule type="notContainsBlanks" dxfId="562" priority="565">
      <formula>LEN(TRIM(N615))&gt;0</formula>
    </cfRule>
  </conditionalFormatting>
  <conditionalFormatting sqref="N615:R615">
    <cfRule type="notContainsBlanks" dxfId="561" priority="564">
      <formula>LEN(TRIM(N615))&gt;0</formula>
    </cfRule>
  </conditionalFormatting>
  <conditionalFormatting sqref="U615:Y615">
    <cfRule type="notContainsBlanks" dxfId="560" priority="563">
      <formula>LEN(TRIM(U615))&gt;0</formula>
    </cfRule>
  </conditionalFormatting>
  <conditionalFormatting sqref="U615:Y615">
    <cfRule type="notContainsBlanks" dxfId="559" priority="562">
      <formula>LEN(TRIM(U615))&gt;0</formula>
    </cfRule>
  </conditionalFormatting>
  <conditionalFormatting sqref="AB615:AF615">
    <cfRule type="notContainsBlanks" dxfId="558" priority="561">
      <formula>LEN(TRIM(AB615))&gt;0</formula>
    </cfRule>
  </conditionalFormatting>
  <conditionalFormatting sqref="AB615:AF615">
    <cfRule type="notContainsBlanks" dxfId="557" priority="560">
      <formula>LEN(TRIM(AB615))&gt;0</formula>
    </cfRule>
  </conditionalFormatting>
  <conditionalFormatting sqref="G628:K628">
    <cfRule type="notContainsBlanks" dxfId="556" priority="559">
      <formula>LEN(TRIM(G628))&gt;0</formula>
    </cfRule>
  </conditionalFormatting>
  <conditionalFormatting sqref="G628:K628">
    <cfRule type="notContainsBlanks" dxfId="555" priority="558">
      <formula>LEN(TRIM(G628))&gt;0</formula>
    </cfRule>
  </conditionalFormatting>
  <conditionalFormatting sqref="N628:R628">
    <cfRule type="notContainsBlanks" dxfId="554" priority="557">
      <formula>LEN(TRIM(N628))&gt;0</formula>
    </cfRule>
  </conditionalFormatting>
  <conditionalFormatting sqref="N628:R628">
    <cfRule type="notContainsBlanks" dxfId="553" priority="556">
      <formula>LEN(TRIM(N628))&gt;0</formula>
    </cfRule>
  </conditionalFormatting>
  <conditionalFormatting sqref="U628:Y628">
    <cfRule type="notContainsBlanks" dxfId="552" priority="555">
      <formula>LEN(TRIM(U628))&gt;0</formula>
    </cfRule>
  </conditionalFormatting>
  <conditionalFormatting sqref="U628:Y628">
    <cfRule type="notContainsBlanks" dxfId="551" priority="554">
      <formula>LEN(TRIM(U628))&gt;0</formula>
    </cfRule>
  </conditionalFormatting>
  <conditionalFormatting sqref="AB628:AF628">
    <cfRule type="notContainsBlanks" dxfId="550" priority="553">
      <formula>LEN(TRIM(AB628))&gt;0</formula>
    </cfRule>
  </conditionalFormatting>
  <conditionalFormatting sqref="AB628:AF628">
    <cfRule type="notContainsBlanks" dxfId="549" priority="552">
      <formula>LEN(TRIM(AB628))&gt;0</formula>
    </cfRule>
  </conditionalFormatting>
  <conditionalFormatting sqref="G641:K641">
    <cfRule type="notContainsBlanks" dxfId="548" priority="551">
      <formula>LEN(TRIM(G641))&gt;0</formula>
    </cfRule>
  </conditionalFormatting>
  <conditionalFormatting sqref="G641:K641">
    <cfRule type="notContainsBlanks" dxfId="547" priority="550">
      <formula>LEN(TRIM(G641))&gt;0</formula>
    </cfRule>
  </conditionalFormatting>
  <conditionalFormatting sqref="N641:R641">
    <cfRule type="notContainsBlanks" dxfId="546" priority="549">
      <formula>LEN(TRIM(N641))&gt;0</formula>
    </cfRule>
  </conditionalFormatting>
  <conditionalFormatting sqref="N641:R641">
    <cfRule type="notContainsBlanks" dxfId="545" priority="548">
      <formula>LEN(TRIM(N641))&gt;0</formula>
    </cfRule>
  </conditionalFormatting>
  <conditionalFormatting sqref="U641:Y641">
    <cfRule type="notContainsBlanks" dxfId="544" priority="547">
      <formula>LEN(TRIM(U641))&gt;0</formula>
    </cfRule>
  </conditionalFormatting>
  <conditionalFormatting sqref="U641:Y641">
    <cfRule type="notContainsBlanks" dxfId="543" priority="546">
      <formula>LEN(TRIM(U641))&gt;0</formula>
    </cfRule>
  </conditionalFormatting>
  <conditionalFormatting sqref="AB641:AF641">
    <cfRule type="notContainsBlanks" dxfId="542" priority="545">
      <formula>LEN(TRIM(AB641))&gt;0</formula>
    </cfRule>
  </conditionalFormatting>
  <conditionalFormatting sqref="AB641:AF641">
    <cfRule type="notContainsBlanks" dxfId="541" priority="544">
      <formula>LEN(TRIM(AB641))&gt;0</formula>
    </cfRule>
  </conditionalFormatting>
  <conditionalFormatting sqref="G654:K654">
    <cfRule type="notContainsBlanks" dxfId="540" priority="543">
      <formula>LEN(TRIM(G654))&gt;0</formula>
    </cfRule>
  </conditionalFormatting>
  <conditionalFormatting sqref="G654:K654">
    <cfRule type="notContainsBlanks" dxfId="539" priority="542">
      <formula>LEN(TRIM(G654))&gt;0</formula>
    </cfRule>
  </conditionalFormatting>
  <conditionalFormatting sqref="N654:R654">
    <cfRule type="notContainsBlanks" dxfId="538" priority="541">
      <formula>LEN(TRIM(N654))&gt;0</formula>
    </cfRule>
  </conditionalFormatting>
  <conditionalFormatting sqref="N654:R654">
    <cfRule type="notContainsBlanks" dxfId="537" priority="540">
      <formula>LEN(TRIM(N654))&gt;0</formula>
    </cfRule>
  </conditionalFormatting>
  <conditionalFormatting sqref="U654:Y654">
    <cfRule type="notContainsBlanks" dxfId="536" priority="539">
      <formula>LEN(TRIM(U654))&gt;0</formula>
    </cfRule>
  </conditionalFormatting>
  <conditionalFormatting sqref="U654:Y654">
    <cfRule type="notContainsBlanks" dxfId="535" priority="538">
      <formula>LEN(TRIM(U654))&gt;0</formula>
    </cfRule>
  </conditionalFormatting>
  <conditionalFormatting sqref="AB654:AF654">
    <cfRule type="notContainsBlanks" dxfId="534" priority="537">
      <formula>LEN(TRIM(AB654))&gt;0</formula>
    </cfRule>
  </conditionalFormatting>
  <conditionalFormatting sqref="AB654:AF654">
    <cfRule type="notContainsBlanks" dxfId="533" priority="536">
      <formula>LEN(TRIM(AB654))&gt;0</formula>
    </cfRule>
  </conditionalFormatting>
  <conditionalFormatting sqref="G667:K667">
    <cfRule type="notContainsBlanks" dxfId="532" priority="535">
      <formula>LEN(TRIM(G667))&gt;0</formula>
    </cfRule>
  </conditionalFormatting>
  <conditionalFormatting sqref="G667:K667">
    <cfRule type="notContainsBlanks" dxfId="531" priority="534">
      <formula>LEN(TRIM(G667))&gt;0</formula>
    </cfRule>
  </conditionalFormatting>
  <conditionalFormatting sqref="N667:R667">
    <cfRule type="notContainsBlanks" dxfId="530" priority="533">
      <formula>LEN(TRIM(N667))&gt;0</formula>
    </cfRule>
  </conditionalFormatting>
  <conditionalFormatting sqref="N667:R667">
    <cfRule type="notContainsBlanks" dxfId="529" priority="532">
      <formula>LEN(TRIM(N667))&gt;0</formula>
    </cfRule>
  </conditionalFormatting>
  <conditionalFormatting sqref="U667:Y667">
    <cfRule type="notContainsBlanks" dxfId="528" priority="531">
      <formula>LEN(TRIM(U667))&gt;0</formula>
    </cfRule>
  </conditionalFormatting>
  <conditionalFormatting sqref="U667:Y667">
    <cfRule type="notContainsBlanks" dxfId="527" priority="530">
      <formula>LEN(TRIM(U667))&gt;0</formula>
    </cfRule>
  </conditionalFormatting>
  <conditionalFormatting sqref="AB667:AF667">
    <cfRule type="notContainsBlanks" dxfId="526" priority="529">
      <formula>LEN(TRIM(AB667))&gt;0</formula>
    </cfRule>
  </conditionalFormatting>
  <conditionalFormatting sqref="AB667:AF667">
    <cfRule type="notContainsBlanks" dxfId="525" priority="528">
      <formula>LEN(TRIM(AB667))&gt;0</formula>
    </cfRule>
  </conditionalFormatting>
  <conditionalFormatting sqref="G680:K680">
    <cfRule type="notContainsBlanks" dxfId="524" priority="527">
      <formula>LEN(TRIM(G680))&gt;0</formula>
    </cfRule>
  </conditionalFormatting>
  <conditionalFormatting sqref="G680:K680">
    <cfRule type="notContainsBlanks" dxfId="523" priority="526">
      <formula>LEN(TRIM(G680))&gt;0</formula>
    </cfRule>
  </conditionalFormatting>
  <conditionalFormatting sqref="N680:R680">
    <cfRule type="notContainsBlanks" dxfId="522" priority="525">
      <formula>LEN(TRIM(N680))&gt;0</formula>
    </cfRule>
  </conditionalFormatting>
  <conditionalFormatting sqref="N680:R680">
    <cfRule type="notContainsBlanks" dxfId="521" priority="524">
      <formula>LEN(TRIM(N680))&gt;0</formula>
    </cfRule>
  </conditionalFormatting>
  <conditionalFormatting sqref="U680:Y680">
    <cfRule type="notContainsBlanks" dxfId="520" priority="523">
      <formula>LEN(TRIM(U680))&gt;0</formula>
    </cfRule>
  </conditionalFormatting>
  <conditionalFormatting sqref="U680:Y680">
    <cfRule type="notContainsBlanks" dxfId="519" priority="522">
      <formula>LEN(TRIM(U680))&gt;0</formula>
    </cfRule>
  </conditionalFormatting>
  <conditionalFormatting sqref="AB680:AF680">
    <cfRule type="notContainsBlanks" dxfId="518" priority="521">
      <formula>LEN(TRIM(AB680))&gt;0</formula>
    </cfRule>
  </conditionalFormatting>
  <conditionalFormatting sqref="AB680:AF680">
    <cfRule type="notContainsBlanks" dxfId="517" priority="520">
      <formula>LEN(TRIM(AB680))&gt;0</formula>
    </cfRule>
  </conditionalFormatting>
  <conditionalFormatting sqref="G693:K693">
    <cfRule type="notContainsBlanks" dxfId="516" priority="519">
      <formula>LEN(TRIM(G693))&gt;0</formula>
    </cfRule>
  </conditionalFormatting>
  <conditionalFormatting sqref="G693:K693">
    <cfRule type="notContainsBlanks" dxfId="515" priority="518">
      <formula>LEN(TRIM(G693))&gt;0</formula>
    </cfRule>
  </conditionalFormatting>
  <conditionalFormatting sqref="N693:R693">
    <cfRule type="notContainsBlanks" dxfId="514" priority="517">
      <formula>LEN(TRIM(N693))&gt;0</formula>
    </cfRule>
  </conditionalFormatting>
  <conditionalFormatting sqref="N693:R693">
    <cfRule type="notContainsBlanks" dxfId="513" priority="516">
      <formula>LEN(TRIM(N693))&gt;0</formula>
    </cfRule>
  </conditionalFormatting>
  <conditionalFormatting sqref="U693:Y693">
    <cfRule type="notContainsBlanks" dxfId="512" priority="515">
      <formula>LEN(TRIM(U693))&gt;0</formula>
    </cfRule>
  </conditionalFormatting>
  <conditionalFormatting sqref="U693:Y693">
    <cfRule type="notContainsBlanks" dxfId="511" priority="514">
      <formula>LEN(TRIM(U693))&gt;0</formula>
    </cfRule>
  </conditionalFormatting>
  <conditionalFormatting sqref="AB693:AF693">
    <cfRule type="notContainsBlanks" dxfId="510" priority="513">
      <formula>LEN(TRIM(AB693))&gt;0</formula>
    </cfRule>
  </conditionalFormatting>
  <conditionalFormatting sqref="AB693:AF693">
    <cfRule type="notContainsBlanks" dxfId="509" priority="512">
      <formula>LEN(TRIM(AB693))&gt;0</formula>
    </cfRule>
  </conditionalFormatting>
  <conditionalFormatting sqref="G706:K706">
    <cfRule type="notContainsBlanks" dxfId="508" priority="511">
      <formula>LEN(TRIM(G706))&gt;0</formula>
    </cfRule>
  </conditionalFormatting>
  <conditionalFormatting sqref="G706:K706">
    <cfRule type="notContainsBlanks" dxfId="507" priority="510">
      <formula>LEN(TRIM(G706))&gt;0</formula>
    </cfRule>
  </conditionalFormatting>
  <conditionalFormatting sqref="N706:R706">
    <cfRule type="notContainsBlanks" dxfId="506" priority="509">
      <formula>LEN(TRIM(N706))&gt;0</formula>
    </cfRule>
  </conditionalFormatting>
  <conditionalFormatting sqref="N706:R706">
    <cfRule type="notContainsBlanks" dxfId="505" priority="508">
      <formula>LEN(TRIM(N706))&gt;0</formula>
    </cfRule>
  </conditionalFormatting>
  <conditionalFormatting sqref="U706:Y706">
    <cfRule type="notContainsBlanks" dxfId="504" priority="507">
      <formula>LEN(TRIM(U706))&gt;0</formula>
    </cfRule>
  </conditionalFormatting>
  <conditionalFormatting sqref="U706:Y706">
    <cfRule type="notContainsBlanks" dxfId="503" priority="506">
      <formula>LEN(TRIM(U706))&gt;0</formula>
    </cfRule>
  </conditionalFormatting>
  <conditionalFormatting sqref="AB706:AF706">
    <cfRule type="notContainsBlanks" dxfId="502" priority="505">
      <formula>LEN(TRIM(AB706))&gt;0</formula>
    </cfRule>
  </conditionalFormatting>
  <conditionalFormatting sqref="AB706:AF706">
    <cfRule type="notContainsBlanks" dxfId="501" priority="504">
      <formula>LEN(TRIM(AB706))&gt;0</formula>
    </cfRule>
  </conditionalFormatting>
  <conditionalFormatting sqref="G719:K719">
    <cfRule type="notContainsBlanks" dxfId="500" priority="503">
      <formula>LEN(TRIM(G719))&gt;0</formula>
    </cfRule>
  </conditionalFormatting>
  <conditionalFormatting sqref="G719:K719">
    <cfRule type="notContainsBlanks" dxfId="499" priority="502">
      <formula>LEN(TRIM(G719))&gt;0</formula>
    </cfRule>
  </conditionalFormatting>
  <conditionalFormatting sqref="N719:R719">
    <cfRule type="notContainsBlanks" dxfId="498" priority="501">
      <formula>LEN(TRIM(N719))&gt;0</formula>
    </cfRule>
  </conditionalFormatting>
  <conditionalFormatting sqref="N719:R719">
    <cfRule type="notContainsBlanks" dxfId="497" priority="500">
      <formula>LEN(TRIM(N719))&gt;0</formula>
    </cfRule>
  </conditionalFormatting>
  <conditionalFormatting sqref="U719:Y719">
    <cfRule type="notContainsBlanks" dxfId="496" priority="499">
      <formula>LEN(TRIM(U719))&gt;0</formula>
    </cfRule>
  </conditionalFormatting>
  <conditionalFormatting sqref="U719:Y719">
    <cfRule type="notContainsBlanks" dxfId="495" priority="498">
      <formula>LEN(TRIM(U719))&gt;0</formula>
    </cfRule>
  </conditionalFormatting>
  <conditionalFormatting sqref="AB719:AF719">
    <cfRule type="notContainsBlanks" dxfId="494" priority="497">
      <formula>LEN(TRIM(AB719))&gt;0</formula>
    </cfRule>
  </conditionalFormatting>
  <conditionalFormatting sqref="AB719:AF719">
    <cfRule type="notContainsBlanks" dxfId="493" priority="496">
      <formula>LEN(TRIM(AB719))&gt;0</formula>
    </cfRule>
  </conditionalFormatting>
  <conditionalFormatting sqref="G732:K732">
    <cfRule type="notContainsBlanks" dxfId="492" priority="495">
      <formula>LEN(TRIM(G732))&gt;0</formula>
    </cfRule>
  </conditionalFormatting>
  <conditionalFormatting sqref="G732:K732">
    <cfRule type="notContainsBlanks" dxfId="491" priority="494">
      <formula>LEN(TRIM(G732))&gt;0</formula>
    </cfRule>
  </conditionalFormatting>
  <conditionalFormatting sqref="N732:R732">
    <cfRule type="notContainsBlanks" dxfId="490" priority="493">
      <formula>LEN(TRIM(N732))&gt;0</formula>
    </cfRule>
  </conditionalFormatting>
  <conditionalFormatting sqref="N732:R732">
    <cfRule type="notContainsBlanks" dxfId="489" priority="492">
      <formula>LEN(TRIM(N732))&gt;0</formula>
    </cfRule>
  </conditionalFormatting>
  <conditionalFormatting sqref="U732:Y732">
    <cfRule type="notContainsBlanks" dxfId="488" priority="491">
      <formula>LEN(TRIM(U732))&gt;0</formula>
    </cfRule>
  </conditionalFormatting>
  <conditionalFormatting sqref="U732:Y732">
    <cfRule type="notContainsBlanks" dxfId="487" priority="490">
      <formula>LEN(TRIM(U732))&gt;0</formula>
    </cfRule>
  </conditionalFormatting>
  <conditionalFormatting sqref="AB732:AF732">
    <cfRule type="notContainsBlanks" dxfId="486" priority="489">
      <formula>LEN(TRIM(AB732))&gt;0</formula>
    </cfRule>
  </conditionalFormatting>
  <conditionalFormatting sqref="AB732:AF732">
    <cfRule type="notContainsBlanks" dxfId="485" priority="488">
      <formula>LEN(TRIM(AB732))&gt;0</formula>
    </cfRule>
  </conditionalFormatting>
  <conditionalFormatting sqref="G745:K745">
    <cfRule type="notContainsBlanks" dxfId="484" priority="487">
      <formula>LEN(TRIM(G745))&gt;0</formula>
    </cfRule>
  </conditionalFormatting>
  <conditionalFormatting sqref="G745:K745">
    <cfRule type="notContainsBlanks" dxfId="483" priority="486">
      <formula>LEN(TRIM(G745))&gt;0</formula>
    </cfRule>
  </conditionalFormatting>
  <conditionalFormatting sqref="N745:R745">
    <cfRule type="notContainsBlanks" dxfId="482" priority="485">
      <formula>LEN(TRIM(N745))&gt;0</formula>
    </cfRule>
  </conditionalFormatting>
  <conditionalFormatting sqref="N745:R745">
    <cfRule type="notContainsBlanks" dxfId="481" priority="484">
      <formula>LEN(TRIM(N745))&gt;0</formula>
    </cfRule>
  </conditionalFormatting>
  <conditionalFormatting sqref="U745:Y745">
    <cfRule type="notContainsBlanks" dxfId="480" priority="483">
      <formula>LEN(TRIM(U745))&gt;0</formula>
    </cfRule>
  </conditionalFormatting>
  <conditionalFormatting sqref="U745:Y745">
    <cfRule type="notContainsBlanks" dxfId="479" priority="482">
      <formula>LEN(TRIM(U745))&gt;0</formula>
    </cfRule>
  </conditionalFormatting>
  <conditionalFormatting sqref="AB745:AF745">
    <cfRule type="notContainsBlanks" dxfId="478" priority="481">
      <formula>LEN(TRIM(AB745))&gt;0</formula>
    </cfRule>
  </conditionalFormatting>
  <conditionalFormatting sqref="AB745:AF745">
    <cfRule type="notContainsBlanks" dxfId="477" priority="480">
      <formula>LEN(TRIM(AB745))&gt;0</formula>
    </cfRule>
  </conditionalFormatting>
  <conditionalFormatting sqref="G758:K758">
    <cfRule type="notContainsBlanks" dxfId="476" priority="479">
      <formula>LEN(TRIM(G758))&gt;0</formula>
    </cfRule>
  </conditionalFormatting>
  <conditionalFormatting sqref="G758:K758">
    <cfRule type="notContainsBlanks" dxfId="475" priority="478">
      <formula>LEN(TRIM(G758))&gt;0</formula>
    </cfRule>
  </conditionalFormatting>
  <conditionalFormatting sqref="N758:R758">
    <cfRule type="notContainsBlanks" dxfId="474" priority="477">
      <formula>LEN(TRIM(N758))&gt;0</formula>
    </cfRule>
  </conditionalFormatting>
  <conditionalFormatting sqref="N758:R758">
    <cfRule type="notContainsBlanks" dxfId="473" priority="476">
      <formula>LEN(TRIM(N758))&gt;0</formula>
    </cfRule>
  </conditionalFormatting>
  <conditionalFormatting sqref="U758:Y758">
    <cfRule type="notContainsBlanks" dxfId="472" priority="475">
      <formula>LEN(TRIM(U758))&gt;0</formula>
    </cfRule>
  </conditionalFormatting>
  <conditionalFormatting sqref="U758:Y758">
    <cfRule type="notContainsBlanks" dxfId="471" priority="474">
      <formula>LEN(TRIM(U758))&gt;0</formula>
    </cfRule>
  </conditionalFormatting>
  <conditionalFormatting sqref="AB758:AF758">
    <cfRule type="notContainsBlanks" dxfId="470" priority="473">
      <formula>LEN(TRIM(AB758))&gt;0</formula>
    </cfRule>
  </conditionalFormatting>
  <conditionalFormatting sqref="AB758:AF758">
    <cfRule type="notContainsBlanks" dxfId="469" priority="472">
      <formula>LEN(TRIM(AB758))&gt;0</formula>
    </cfRule>
  </conditionalFormatting>
  <conditionalFormatting sqref="G771:K771">
    <cfRule type="notContainsBlanks" dxfId="468" priority="471">
      <formula>LEN(TRIM(G771))&gt;0</formula>
    </cfRule>
  </conditionalFormatting>
  <conditionalFormatting sqref="G771:K771">
    <cfRule type="notContainsBlanks" dxfId="467" priority="470">
      <formula>LEN(TRIM(G771))&gt;0</formula>
    </cfRule>
  </conditionalFormatting>
  <conditionalFormatting sqref="N771:R771">
    <cfRule type="notContainsBlanks" dxfId="466" priority="469">
      <formula>LEN(TRIM(N771))&gt;0</formula>
    </cfRule>
  </conditionalFormatting>
  <conditionalFormatting sqref="N771:R771">
    <cfRule type="notContainsBlanks" dxfId="465" priority="468">
      <formula>LEN(TRIM(N771))&gt;0</formula>
    </cfRule>
  </conditionalFormatting>
  <conditionalFormatting sqref="U771:Y771">
    <cfRule type="notContainsBlanks" dxfId="464" priority="467">
      <formula>LEN(TRIM(U771))&gt;0</formula>
    </cfRule>
  </conditionalFormatting>
  <conditionalFormatting sqref="U771:Y771">
    <cfRule type="notContainsBlanks" dxfId="463" priority="466">
      <formula>LEN(TRIM(U771))&gt;0</formula>
    </cfRule>
  </conditionalFormatting>
  <conditionalFormatting sqref="AB771:AF771">
    <cfRule type="notContainsBlanks" dxfId="462" priority="465">
      <formula>LEN(TRIM(AB771))&gt;0</formula>
    </cfRule>
  </conditionalFormatting>
  <conditionalFormatting sqref="AB771:AF771">
    <cfRule type="notContainsBlanks" dxfId="461" priority="464">
      <formula>LEN(TRIM(AB771))&gt;0</formula>
    </cfRule>
  </conditionalFormatting>
  <conditionalFormatting sqref="G784:K784">
    <cfRule type="notContainsBlanks" dxfId="460" priority="463">
      <formula>LEN(TRIM(G784))&gt;0</formula>
    </cfRule>
  </conditionalFormatting>
  <conditionalFormatting sqref="G784:K784">
    <cfRule type="notContainsBlanks" dxfId="459" priority="462">
      <formula>LEN(TRIM(G784))&gt;0</formula>
    </cfRule>
  </conditionalFormatting>
  <conditionalFormatting sqref="N784:R784">
    <cfRule type="notContainsBlanks" dxfId="458" priority="461">
      <formula>LEN(TRIM(N784))&gt;0</formula>
    </cfRule>
  </conditionalFormatting>
  <conditionalFormatting sqref="N784:R784">
    <cfRule type="notContainsBlanks" dxfId="457" priority="460">
      <formula>LEN(TRIM(N784))&gt;0</formula>
    </cfRule>
  </conditionalFormatting>
  <conditionalFormatting sqref="U784:Y784">
    <cfRule type="notContainsBlanks" dxfId="456" priority="459">
      <formula>LEN(TRIM(U784))&gt;0</formula>
    </cfRule>
  </conditionalFormatting>
  <conditionalFormatting sqref="U784:Y784">
    <cfRule type="notContainsBlanks" dxfId="455" priority="458">
      <formula>LEN(TRIM(U784))&gt;0</formula>
    </cfRule>
  </conditionalFormatting>
  <conditionalFormatting sqref="AB784:AF784">
    <cfRule type="notContainsBlanks" dxfId="454" priority="457">
      <formula>LEN(TRIM(AB784))&gt;0</formula>
    </cfRule>
  </conditionalFormatting>
  <conditionalFormatting sqref="AB784:AF784">
    <cfRule type="notContainsBlanks" dxfId="453" priority="456">
      <formula>LEN(TRIM(AB784))&gt;0</formula>
    </cfRule>
  </conditionalFormatting>
  <conditionalFormatting sqref="G797:K797">
    <cfRule type="notContainsBlanks" dxfId="452" priority="455">
      <formula>LEN(TRIM(G797))&gt;0</formula>
    </cfRule>
  </conditionalFormatting>
  <conditionalFormatting sqref="G797:K797">
    <cfRule type="notContainsBlanks" dxfId="451" priority="454">
      <formula>LEN(TRIM(G797))&gt;0</formula>
    </cfRule>
  </conditionalFormatting>
  <conditionalFormatting sqref="N797:R797">
    <cfRule type="notContainsBlanks" dxfId="450" priority="453">
      <formula>LEN(TRIM(N797))&gt;0</formula>
    </cfRule>
  </conditionalFormatting>
  <conditionalFormatting sqref="N797:R797">
    <cfRule type="notContainsBlanks" dxfId="449" priority="452">
      <formula>LEN(TRIM(N797))&gt;0</formula>
    </cfRule>
  </conditionalFormatting>
  <conditionalFormatting sqref="U797:Y797">
    <cfRule type="notContainsBlanks" dxfId="448" priority="451">
      <formula>LEN(TRIM(U797))&gt;0</formula>
    </cfRule>
  </conditionalFormatting>
  <conditionalFormatting sqref="U797:Y797">
    <cfRule type="notContainsBlanks" dxfId="447" priority="450">
      <formula>LEN(TRIM(U797))&gt;0</formula>
    </cfRule>
  </conditionalFormatting>
  <conditionalFormatting sqref="AB797:AF797">
    <cfRule type="notContainsBlanks" dxfId="446" priority="449">
      <formula>LEN(TRIM(AB797))&gt;0</formula>
    </cfRule>
  </conditionalFormatting>
  <conditionalFormatting sqref="AB797:AF797">
    <cfRule type="notContainsBlanks" dxfId="445" priority="448">
      <formula>LEN(TRIM(AB797))&gt;0</formula>
    </cfRule>
  </conditionalFormatting>
  <conditionalFormatting sqref="G810:K810">
    <cfRule type="notContainsBlanks" dxfId="444" priority="447">
      <formula>LEN(TRIM(G810))&gt;0</formula>
    </cfRule>
  </conditionalFormatting>
  <conditionalFormatting sqref="G810:K810">
    <cfRule type="notContainsBlanks" dxfId="443" priority="446">
      <formula>LEN(TRIM(G810))&gt;0</formula>
    </cfRule>
  </conditionalFormatting>
  <conditionalFormatting sqref="N810:R810">
    <cfRule type="notContainsBlanks" dxfId="442" priority="445">
      <formula>LEN(TRIM(N810))&gt;0</formula>
    </cfRule>
  </conditionalFormatting>
  <conditionalFormatting sqref="N810:R810">
    <cfRule type="notContainsBlanks" dxfId="441" priority="444">
      <formula>LEN(TRIM(N810))&gt;0</formula>
    </cfRule>
  </conditionalFormatting>
  <conditionalFormatting sqref="U810:Y810">
    <cfRule type="notContainsBlanks" dxfId="440" priority="443">
      <formula>LEN(TRIM(U810))&gt;0</formula>
    </cfRule>
  </conditionalFormatting>
  <conditionalFormatting sqref="U810:Y810">
    <cfRule type="notContainsBlanks" dxfId="439" priority="442">
      <formula>LEN(TRIM(U810))&gt;0</formula>
    </cfRule>
  </conditionalFormatting>
  <conditionalFormatting sqref="AB810:AF810">
    <cfRule type="notContainsBlanks" dxfId="438" priority="441">
      <formula>LEN(TRIM(AB810))&gt;0</formula>
    </cfRule>
  </conditionalFormatting>
  <conditionalFormatting sqref="AB810:AF810">
    <cfRule type="notContainsBlanks" dxfId="437" priority="440">
      <formula>LEN(TRIM(AB810))&gt;0</formula>
    </cfRule>
  </conditionalFormatting>
  <conditionalFormatting sqref="G823:K823">
    <cfRule type="notContainsBlanks" dxfId="436" priority="439">
      <formula>LEN(TRIM(G823))&gt;0</formula>
    </cfRule>
  </conditionalFormatting>
  <conditionalFormatting sqref="G823:K823">
    <cfRule type="notContainsBlanks" dxfId="435" priority="438">
      <formula>LEN(TRIM(G823))&gt;0</formula>
    </cfRule>
  </conditionalFormatting>
  <conditionalFormatting sqref="N823:R823">
    <cfRule type="notContainsBlanks" dxfId="434" priority="437">
      <formula>LEN(TRIM(N823))&gt;0</formula>
    </cfRule>
  </conditionalFormatting>
  <conditionalFormatting sqref="N823:R823">
    <cfRule type="notContainsBlanks" dxfId="433" priority="436">
      <formula>LEN(TRIM(N823))&gt;0</formula>
    </cfRule>
  </conditionalFormatting>
  <conditionalFormatting sqref="U823:Y823">
    <cfRule type="notContainsBlanks" dxfId="432" priority="435">
      <formula>LEN(TRIM(U823))&gt;0</formula>
    </cfRule>
  </conditionalFormatting>
  <conditionalFormatting sqref="U823:Y823">
    <cfRule type="notContainsBlanks" dxfId="431" priority="434">
      <formula>LEN(TRIM(U823))&gt;0</formula>
    </cfRule>
  </conditionalFormatting>
  <conditionalFormatting sqref="AB823:AF823">
    <cfRule type="notContainsBlanks" dxfId="430" priority="433">
      <formula>LEN(TRIM(AB823))&gt;0</formula>
    </cfRule>
  </conditionalFormatting>
  <conditionalFormatting sqref="AB823:AF823">
    <cfRule type="notContainsBlanks" dxfId="429" priority="432">
      <formula>LEN(TRIM(AB823))&gt;0</formula>
    </cfRule>
  </conditionalFormatting>
  <conditionalFormatting sqref="G836:K836">
    <cfRule type="notContainsBlanks" dxfId="428" priority="431">
      <formula>LEN(TRIM(G836))&gt;0</formula>
    </cfRule>
  </conditionalFormatting>
  <conditionalFormatting sqref="G836:K836">
    <cfRule type="notContainsBlanks" dxfId="427" priority="430">
      <formula>LEN(TRIM(G836))&gt;0</formula>
    </cfRule>
  </conditionalFormatting>
  <conditionalFormatting sqref="N836:R836">
    <cfRule type="notContainsBlanks" dxfId="426" priority="429">
      <formula>LEN(TRIM(N836))&gt;0</formula>
    </cfRule>
  </conditionalFormatting>
  <conditionalFormatting sqref="N836:R836">
    <cfRule type="notContainsBlanks" dxfId="425" priority="428">
      <formula>LEN(TRIM(N836))&gt;0</formula>
    </cfRule>
  </conditionalFormatting>
  <conditionalFormatting sqref="U836:Y836">
    <cfRule type="notContainsBlanks" dxfId="424" priority="427">
      <formula>LEN(TRIM(U836))&gt;0</formula>
    </cfRule>
  </conditionalFormatting>
  <conditionalFormatting sqref="U836:Y836">
    <cfRule type="notContainsBlanks" dxfId="423" priority="426">
      <formula>LEN(TRIM(U836))&gt;0</formula>
    </cfRule>
  </conditionalFormatting>
  <conditionalFormatting sqref="AB836:AF836">
    <cfRule type="notContainsBlanks" dxfId="422" priority="425">
      <formula>LEN(TRIM(AB836))&gt;0</formula>
    </cfRule>
  </conditionalFormatting>
  <conditionalFormatting sqref="AB836:AF836">
    <cfRule type="notContainsBlanks" dxfId="421" priority="424">
      <formula>LEN(TRIM(AB836))&gt;0</formula>
    </cfRule>
  </conditionalFormatting>
  <conditionalFormatting sqref="G849:K849">
    <cfRule type="notContainsBlanks" dxfId="420" priority="423">
      <formula>LEN(TRIM(G849))&gt;0</formula>
    </cfRule>
  </conditionalFormatting>
  <conditionalFormatting sqref="G849:K849">
    <cfRule type="notContainsBlanks" dxfId="419" priority="422">
      <formula>LEN(TRIM(G849))&gt;0</formula>
    </cfRule>
  </conditionalFormatting>
  <conditionalFormatting sqref="N849:R849">
    <cfRule type="notContainsBlanks" dxfId="418" priority="421">
      <formula>LEN(TRIM(N849))&gt;0</formula>
    </cfRule>
  </conditionalFormatting>
  <conditionalFormatting sqref="N849:R849">
    <cfRule type="notContainsBlanks" dxfId="417" priority="420">
      <formula>LEN(TRIM(N849))&gt;0</formula>
    </cfRule>
  </conditionalFormatting>
  <conditionalFormatting sqref="U849:Y849">
    <cfRule type="notContainsBlanks" dxfId="416" priority="419">
      <formula>LEN(TRIM(U849))&gt;0</formula>
    </cfRule>
  </conditionalFormatting>
  <conditionalFormatting sqref="U849:Y849">
    <cfRule type="notContainsBlanks" dxfId="415" priority="418">
      <formula>LEN(TRIM(U849))&gt;0</formula>
    </cfRule>
  </conditionalFormatting>
  <conditionalFormatting sqref="AB849:AF849">
    <cfRule type="notContainsBlanks" dxfId="414" priority="417">
      <formula>LEN(TRIM(AB849))&gt;0</formula>
    </cfRule>
  </conditionalFormatting>
  <conditionalFormatting sqref="AB849:AF849">
    <cfRule type="notContainsBlanks" dxfId="413" priority="416">
      <formula>LEN(TRIM(AB849))&gt;0</formula>
    </cfRule>
  </conditionalFormatting>
  <conditionalFormatting sqref="G862:K862">
    <cfRule type="notContainsBlanks" dxfId="412" priority="415">
      <formula>LEN(TRIM(G862))&gt;0</formula>
    </cfRule>
  </conditionalFormatting>
  <conditionalFormatting sqref="G862:K862">
    <cfRule type="notContainsBlanks" dxfId="411" priority="414">
      <formula>LEN(TRIM(G862))&gt;0</formula>
    </cfRule>
  </conditionalFormatting>
  <conditionalFormatting sqref="N862:R862">
    <cfRule type="notContainsBlanks" dxfId="410" priority="413">
      <formula>LEN(TRIM(N862))&gt;0</formula>
    </cfRule>
  </conditionalFormatting>
  <conditionalFormatting sqref="N862:R862">
    <cfRule type="notContainsBlanks" dxfId="409" priority="412">
      <formula>LEN(TRIM(N862))&gt;0</formula>
    </cfRule>
  </conditionalFormatting>
  <conditionalFormatting sqref="U862:Y862">
    <cfRule type="notContainsBlanks" dxfId="408" priority="411">
      <formula>LEN(TRIM(U862))&gt;0</formula>
    </cfRule>
  </conditionalFormatting>
  <conditionalFormatting sqref="U862:Y862">
    <cfRule type="notContainsBlanks" dxfId="407" priority="410">
      <formula>LEN(TRIM(U862))&gt;0</formula>
    </cfRule>
  </conditionalFormatting>
  <conditionalFormatting sqref="AB862:AF862">
    <cfRule type="notContainsBlanks" dxfId="406" priority="409">
      <formula>LEN(TRIM(AB862))&gt;0</formula>
    </cfRule>
  </conditionalFormatting>
  <conditionalFormatting sqref="AB862:AF862">
    <cfRule type="notContainsBlanks" dxfId="405" priority="408">
      <formula>LEN(TRIM(AB862))&gt;0</formula>
    </cfRule>
  </conditionalFormatting>
  <conditionalFormatting sqref="G875:K875">
    <cfRule type="notContainsBlanks" dxfId="404" priority="407">
      <formula>LEN(TRIM(G875))&gt;0</formula>
    </cfRule>
  </conditionalFormatting>
  <conditionalFormatting sqref="G875:K875">
    <cfRule type="notContainsBlanks" dxfId="403" priority="406">
      <formula>LEN(TRIM(G875))&gt;0</formula>
    </cfRule>
  </conditionalFormatting>
  <conditionalFormatting sqref="N875:R875">
    <cfRule type="notContainsBlanks" dxfId="402" priority="405">
      <formula>LEN(TRIM(N875))&gt;0</formula>
    </cfRule>
  </conditionalFormatting>
  <conditionalFormatting sqref="N875:R875">
    <cfRule type="notContainsBlanks" dxfId="401" priority="404">
      <formula>LEN(TRIM(N875))&gt;0</formula>
    </cfRule>
  </conditionalFormatting>
  <conditionalFormatting sqref="U875:Y875">
    <cfRule type="notContainsBlanks" dxfId="400" priority="403">
      <formula>LEN(TRIM(U875))&gt;0</formula>
    </cfRule>
  </conditionalFormatting>
  <conditionalFormatting sqref="U875:Y875">
    <cfRule type="notContainsBlanks" dxfId="399" priority="402">
      <formula>LEN(TRIM(U875))&gt;0</formula>
    </cfRule>
  </conditionalFormatting>
  <conditionalFormatting sqref="AB875:AF875">
    <cfRule type="notContainsBlanks" dxfId="398" priority="401">
      <formula>LEN(TRIM(AB875))&gt;0</formula>
    </cfRule>
  </conditionalFormatting>
  <conditionalFormatting sqref="AB875:AF875">
    <cfRule type="notContainsBlanks" dxfId="397" priority="400">
      <formula>LEN(TRIM(AB875))&gt;0</formula>
    </cfRule>
  </conditionalFormatting>
  <conditionalFormatting sqref="G888:K888">
    <cfRule type="notContainsBlanks" dxfId="396" priority="399">
      <formula>LEN(TRIM(G888))&gt;0</formula>
    </cfRule>
  </conditionalFormatting>
  <conditionalFormatting sqref="G888:K888">
    <cfRule type="notContainsBlanks" dxfId="395" priority="398">
      <formula>LEN(TRIM(G888))&gt;0</formula>
    </cfRule>
  </conditionalFormatting>
  <conditionalFormatting sqref="N888:R888">
    <cfRule type="notContainsBlanks" dxfId="394" priority="397">
      <formula>LEN(TRIM(N888))&gt;0</formula>
    </cfRule>
  </conditionalFormatting>
  <conditionalFormatting sqref="N888:R888">
    <cfRule type="notContainsBlanks" dxfId="393" priority="396">
      <formula>LEN(TRIM(N888))&gt;0</formula>
    </cfRule>
  </conditionalFormatting>
  <conditionalFormatting sqref="U888:Y888">
    <cfRule type="notContainsBlanks" dxfId="392" priority="395">
      <formula>LEN(TRIM(U888))&gt;0</formula>
    </cfRule>
  </conditionalFormatting>
  <conditionalFormatting sqref="U888:Y888">
    <cfRule type="notContainsBlanks" dxfId="391" priority="394">
      <formula>LEN(TRIM(U888))&gt;0</formula>
    </cfRule>
  </conditionalFormatting>
  <conditionalFormatting sqref="AB888:AF888">
    <cfRule type="notContainsBlanks" dxfId="390" priority="393">
      <formula>LEN(TRIM(AB888))&gt;0</formula>
    </cfRule>
  </conditionalFormatting>
  <conditionalFormatting sqref="AB888:AF888">
    <cfRule type="notContainsBlanks" dxfId="389" priority="392">
      <formula>LEN(TRIM(AB888))&gt;0</formula>
    </cfRule>
  </conditionalFormatting>
  <conditionalFormatting sqref="G901:K901">
    <cfRule type="notContainsBlanks" dxfId="388" priority="391">
      <formula>LEN(TRIM(G901))&gt;0</formula>
    </cfRule>
  </conditionalFormatting>
  <conditionalFormatting sqref="G901:K901">
    <cfRule type="notContainsBlanks" dxfId="387" priority="390">
      <formula>LEN(TRIM(G901))&gt;0</formula>
    </cfRule>
  </conditionalFormatting>
  <conditionalFormatting sqref="N901:R901">
    <cfRule type="notContainsBlanks" dxfId="386" priority="389">
      <formula>LEN(TRIM(N901))&gt;0</formula>
    </cfRule>
  </conditionalFormatting>
  <conditionalFormatting sqref="N901:R901">
    <cfRule type="notContainsBlanks" dxfId="385" priority="388">
      <formula>LEN(TRIM(N901))&gt;0</formula>
    </cfRule>
  </conditionalFormatting>
  <conditionalFormatting sqref="U901:Y901">
    <cfRule type="notContainsBlanks" dxfId="384" priority="387">
      <formula>LEN(TRIM(U901))&gt;0</formula>
    </cfRule>
  </conditionalFormatting>
  <conditionalFormatting sqref="U901:Y901">
    <cfRule type="notContainsBlanks" dxfId="383" priority="386">
      <formula>LEN(TRIM(U901))&gt;0</formula>
    </cfRule>
  </conditionalFormatting>
  <conditionalFormatting sqref="AB901:AF901">
    <cfRule type="notContainsBlanks" dxfId="382" priority="385">
      <formula>LEN(TRIM(AB901))&gt;0</formula>
    </cfRule>
  </conditionalFormatting>
  <conditionalFormatting sqref="AB901:AF901">
    <cfRule type="notContainsBlanks" dxfId="381" priority="384">
      <formula>LEN(TRIM(AB901))&gt;0</formula>
    </cfRule>
  </conditionalFormatting>
  <conditionalFormatting sqref="G914:K914">
    <cfRule type="notContainsBlanks" dxfId="380" priority="383">
      <formula>LEN(TRIM(G914))&gt;0</formula>
    </cfRule>
  </conditionalFormatting>
  <conditionalFormatting sqref="G914:K914">
    <cfRule type="notContainsBlanks" dxfId="379" priority="382">
      <formula>LEN(TRIM(G914))&gt;0</formula>
    </cfRule>
  </conditionalFormatting>
  <conditionalFormatting sqref="N914:R914">
    <cfRule type="notContainsBlanks" dxfId="378" priority="381">
      <formula>LEN(TRIM(N914))&gt;0</formula>
    </cfRule>
  </conditionalFormatting>
  <conditionalFormatting sqref="N914:R914">
    <cfRule type="notContainsBlanks" dxfId="377" priority="380">
      <formula>LEN(TRIM(N914))&gt;0</formula>
    </cfRule>
  </conditionalFormatting>
  <conditionalFormatting sqref="U914:Y914">
    <cfRule type="notContainsBlanks" dxfId="376" priority="379">
      <formula>LEN(TRIM(U914))&gt;0</formula>
    </cfRule>
  </conditionalFormatting>
  <conditionalFormatting sqref="U914:Y914">
    <cfRule type="notContainsBlanks" dxfId="375" priority="378">
      <formula>LEN(TRIM(U914))&gt;0</formula>
    </cfRule>
  </conditionalFormatting>
  <conditionalFormatting sqref="AB914:AF914">
    <cfRule type="notContainsBlanks" dxfId="374" priority="377">
      <formula>LEN(TRIM(AB914))&gt;0</formula>
    </cfRule>
  </conditionalFormatting>
  <conditionalFormatting sqref="AB914:AF914">
    <cfRule type="notContainsBlanks" dxfId="373" priority="376">
      <formula>LEN(TRIM(AB914))&gt;0</formula>
    </cfRule>
  </conditionalFormatting>
  <conditionalFormatting sqref="G927:K927">
    <cfRule type="notContainsBlanks" dxfId="372" priority="375">
      <formula>LEN(TRIM(G927))&gt;0</formula>
    </cfRule>
  </conditionalFormatting>
  <conditionalFormatting sqref="G927:K927">
    <cfRule type="notContainsBlanks" dxfId="371" priority="374">
      <formula>LEN(TRIM(G927))&gt;0</formula>
    </cfRule>
  </conditionalFormatting>
  <conditionalFormatting sqref="N927:R927">
    <cfRule type="notContainsBlanks" dxfId="370" priority="373">
      <formula>LEN(TRIM(N927))&gt;0</formula>
    </cfRule>
  </conditionalFormatting>
  <conditionalFormatting sqref="N927:R927">
    <cfRule type="notContainsBlanks" dxfId="369" priority="372">
      <formula>LEN(TRIM(N927))&gt;0</formula>
    </cfRule>
  </conditionalFormatting>
  <conditionalFormatting sqref="U927:Y927">
    <cfRule type="notContainsBlanks" dxfId="368" priority="371">
      <formula>LEN(TRIM(U927))&gt;0</formula>
    </cfRule>
  </conditionalFormatting>
  <conditionalFormatting sqref="U927:Y927">
    <cfRule type="notContainsBlanks" dxfId="367" priority="370">
      <formula>LEN(TRIM(U927))&gt;0</formula>
    </cfRule>
  </conditionalFormatting>
  <conditionalFormatting sqref="AB927:AF927">
    <cfRule type="notContainsBlanks" dxfId="366" priority="369">
      <formula>LEN(TRIM(AB927))&gt;0</formula>
    </cfRule>
  </conditionalFormatting>
  <conditionalFormatting sqref="AB927:AF927">
    <cfRule type="notContainsBlanks" dxfId="365" priority="368">
      <formula>LEN(TRIM(AB927))&gt;0</formula>
    </cfRule>
  </conditionalFormatting>
  <conditionalFormatting sqref="G940:K940">
    <cfRule type="notContainsBlanks" dxfId="364" priority="367">
      <formula>LEN(TRIM(G940))&gt;0</formula>
    </cfRule>
  </conditionalFormatting>
  <conditionalFormatting sqref="G940:K940">
    <cfRule type="notContainsBlanks" dxfId="363" priority="366">
      <formula>LEN(TRIM(G940))&gt;0</formula>
    </cfRule>
  </conditionalFormatting>
  <conditionalFormatting sqref="N940:R940">
    <cfRule type="notContainsBlanks" dxfId="362" priority="365">
      <formula>LEN(TRIM(N940))&gt;0</formula>
    </cfRule>
  </conditionalFormatting>
  <conditionalFormatting sqref="N940:R940">
    <cfRule type="notContainsBlanks" dxfId="361" priority="364">
      <formula>LEN(TRIM(N940))&gt;0</formula>
    </cfRule>
  </conditionalFormatting>
  <conditionalFormatting sqref="U940:Y940">
    <cfRule type="notContainsBlanks" dxfId="360" priority="363">
      <formula>LEN(TRIM(U940))&gt;0</formula>
    </cfRule>
  </conditionalFormatting>
  <conditionalFormatting sqref="U940:Y940">
    <cfRule type="notContainsBlanks" dxfId="359" priority="362">
      <formula>LEN(TRIM(U940))&gt;0</formula>
    </cfRule>
  </conditionalFormatting>
  <conditionalFormatting sqref="AB940:AF940">
    <cfRule type="notContainsBlanks" dxfId="358" priority="361">
      <formula>LEN(TRIM(AB940))&gt;0</formula>
    </cfRule>
  </conditionalFormatting>
  <conditionalFormatting sqref="AB940:AF940">
    <cfRule type="notContainsBlanks" dxfId="357" priority="360">
      <formula>LEN(TRIM(AB940))&gt;0</formula>
    </cfRule>
  </conditionalFormatting>
  <conditionalFormatting sqref="G953:K953">
    <cfRule type="notContainsBlanks" dxfId="356" priority="359">
      <formula>LEN(TRIM(G953))&gt;0</formula>
    </cfRule>
  </conditionalFormatting>
  <conditionalFormatting sqref="G953:K953">
    <cfRule type="notContainsBlanks" dxfId="355" priority="358">
      <formula>LEN(TRIM(G953))&gt;0</formula>
    </cfRule>
  </conditionalFormatting>
  <conditionalFormatting sqref="N953:R953">
    <cfRule type="notContainsBlanks" dxfId="354" priority="357">
      <formula>LEN(TRIM(N953))&gt;0</formula>
    </cfRule>
  </conditionalFormatting>
  <conditionalFormatting sqref="N953:R953">
    <cfRule type="notContainsBlanks" dxfId="353" priority="356">
      <formula>LEN(TRIM(N953))&gt;0</formula>
    </cfRule>
  </conditionalFormatting>
  <conditionalFormatting sqref="U953:Y953">
    <cfRule type="notContainsBlanks" dxfId="352" priority="355">
      <formula>LEN(TRIM(U953))&gt;0</formula>
    </cfRule>
  </conditionalFormatting>
  <conditionalFormatting sqref="U953:Y953">
    <cfRule type="notContainsBlanks" dxfId="351" priority="354">
      <formula>LEN(TRIM(U953))&gt;0</formula>
    </cfRule>
  </conditionalFormatting>
  <conditionalFormatting sqref="AB953:AF953">
    <cfRule type="notContainsBlanks" dxfId="350" priority="353">
      <formula>LEN(TRIM(AB953))&gt;0</formula>
    </cfRule>
  </conditionalFormatting>
  <conditionalFormatting sqref="AB953:AF953">
    <cfRule type="notContainsBlanks" dxfId="349" priority="352">
      <formula>LEN(TRIM(AB953))&gt;0</formula>
    </cfRule>
  </conditionalFormatting>
  <conditionalFormatting sqref="G966:K966">
    <cfRule type="notContainsBlanks" dxfId="348" priority="351">
      <formula>LEN(TRIM(G966))&gt;0</formula>
    </cfRule>
  </conditionalFormatting>
  <conditionalFormatting sqref="G966:K966">
    <cfRule type="notContainsBlanks" dxfId="347" priority="350">
      <formula>LEN(TRIM(G966))&gt;0</formula>
    </cfRule>
  </conditionalFormatting>
  <conditionalFormatting sqref="N966:R966">
    <cfRule type="notContainsBlanks" dxfId="346" priority="349">
      <formula>LEN(TRIM(N966))&gt;0</formula>
    </cfRule>
  </conditionalFormatting>
  <conditionalFormatting sqref="N966:R966">
    <cfRule type="notContainsBlanks" dxfId="345" priority="348">
      <formula>LEN(TRIM(N966))&gt;0</formula>
    </cfRule>
  </conditionalFormatting>
  <conditionalFormatting sqref="U966:Y966">
    <cfRule type="notContainsBlanks" dxfId="344" priority="347">
      <formula>LEN(TRIM(U966))&gt;0</formula>
    </cfRule>
  </conditionalFormatting>
  <conditionalFormatting sqref="U966:Y966">
    <cfRule type="notContainsBlanks" dxfId="343" priority="346">
      <formula>LEN(TRIM(U966))&gt;0</formula>
    </cfRule>
  </conditionalFormatting>
  <conditionalFormatting sqref="AB966:AF966">
    <cfRule type="notContainsBlanks" dxfId="342" priority="345">
      <formula>LEN(TRIM(AB966))&gt;0</formula>
    </cfRule>
  </conditionalFormatting>
  <conditionalFormatting sqref="AB966:AF966">
    <cfRule type="notContainsBlanks" dxfId="341" priority="344">
      <formula>LEN(TRIM(AB966))&gt;0</formula>
    </cfRule>
  </conditionalFormatting>
  <conditionalFormatting sqref="G979:K979">
    <cfRule type="notContainsBlanks" dxfId="340" priority="343">
      <formula>LEN(TRIM(G979))&gt;0</formula>
    </cfRule>
  </conditionalFormatting>
  <conditionalFormatting sqref="G979:K979">
    <cfRule type="notContainsBlanks" dxfId="339" priority="342">
      <formula>LEN(TRIM(G979))&gt;0</formula>
    </cfRule>
  </conditionalFormatting>
  <conditionalFormatting sqref="N979:R979">
    <cfRule type="notContainsBlanks" dxfId="338" priority="341">
      <formula>LEN(TRIM(N979))&gt;0</formula>
    </cfRule>
  </conditionalFormatting>
  <conditionalFormatting sqref="N979:R979">
    <cfRule type="notContainsBlanks" dxfId="337" priority="340">
      <formula>LEN(TRIM(N979))&gt;0</formula>
    </cfRule>
  </conditionalFormatting>
  <conditionalFormatting sqref="U979:Y979">
    <cfRule type="notContainsBlanks" dxfId="336" priority="339">
      <formula>LEN(TRIM(U979))&gt;0</formula>
    </cfRule>
  </conditionalFormatting>
  <conditionalFormatting sqref="U979:Y979">
    <cfRule type="notContainsBlanks" dxfId="335" priority="338">
      <formula>LEN(TRIM(U979))&gt;0</formula>
    </cfRule>
  </conditionalFormatting>
  <conditionalFormatting sqref="AB979:AF979">
    <cfRule type="notContainsBlanks" dxfId="334" priority="337">
      <formula>LEN(TRIM(AB979))&gt;0</formula>
    </cfRule>
  </conditionalFormatting>
  <conditionalFormatting sqref="AB979:AF979">
    <cfRule type="notContainsBlanks" dxfId="333" priority="336">
      <formula>LEN(TRIM(AB979))&gt;0</formula>
    </cfRule>
  </conditionalFormatting>
  <conditionalFormatting sqref="G992:K992">
    <cfRule type="notContainsBlanks" dxfId="332" priority="335">
      <formula>LEN(TRIM(G992))&gt;0</formula>
    </cfRule>
  </conditionalFormatting>
  <conditionalFormatting sqref="G992:K992">
    <cfRule type="notContainsBlanks" dxfId="331" priority="334">
      <formula>LEN(TRIM(G992))&gt;0</formula>
    </cfRule>
  </conditionalFormatting>
  <conditionalFormatting sqref="N992:R992">
    <cfRule type="notContainsBlanks" dxfId="330" priority="333">
      <formula>LEN(TRIM(N992))&gt;0</formula>
    </cfRule>
  </conditionalFormatting>
  <conditionalFormatting sqref="N992:R992">
    <cfRule type="notContainsBlanks" dxfId="329" priority="332">
      <formula>LEN(TRIM(N992))&gt;0</formula>
    </cfRule>
  </conditionalFormatting>
  <conditionalFormatting sqref="U992:Y992">
    <cfRule type="notContainsBlanks" dxfId="328" priority="331">
      <formula>LEN(TRIM(U992))&gt;0</formula>
    </cfRule>
  </conditionalFormatting>
  <conditionalFormatting sqref="U992:Y992">
    <cfRule type="notContainsBlanks" dxfId="327" priority="330">
      <formula>LEN(TRIM(U992))&gt;0</formula>
    </cfRule>
  </conditionalFormatting>
  <conditionalFormatting sqref="AB992:AF992">
    <cfRule type="notContainsBlanks" dxfId="326" priority="329">
      <formula>LEN(TRIM(AB992))&gt;0</formula>
    </cfRule>
  </conditionalFormatting>
  <conditionalFormatting sqref="AB992:AF992">
    <cfRule type="notContainsBlanks" dxfId="325" priority="328">
      <formula>LEN(TRIM(AB992))&gt;0</formula>
    </cfRule>
  </conditionalFormatting>
  <conditionalFormatting sqref="G1005:K1005">
    <cfRule type="notContainsBlanks" dxfId="324" priority="327">
      <formula>LEN(TRIM(G1005))&gt;0</formula>
    </cfRule>
  </conditionalFormatting>
  <conditionalFormatting sqref="G1005:K1005">
    <cfRule type="notContainsBlanks" dxfId="323" priority="326">
      <formula>LEN(TRIM(G1005))&gt;0</formula>
    </cfRule>
  </conditionalFormatting>
  <conditionalFormatting sqref="N1005:R1005">
    <cfRule type="notContainsBlanks" dxfId="322" priority="325">
      <formula>LEN(TRIM(N1005))&gt;0</formula>
    </cfRule>
  </conditionalFormatting>
  <conditionalFormatting sqref="N1005:R1005">
    <cfRule type="notContainsBlanks" dxfId="321" priority="324">
      <formula>LEN(TRIM(N1005))&gt;0</formula>
    </cfRule>
  </conditionalFormatting>
  <conditionalFormatting sqref="U1005:Y1005">
    <cfRule type="notContainsBlanks" dxfId="320" priority="323">
      <formula>LEN(TRIM(U1005))&gt;0</formula>
    </cfRule>
  </conditionalFormatting>
  <conditionalFormatting sqref="U1005:Y1005">
    <cfRule type="notContainsBlanks" dxfId="319" priority="322">
      <formula>LEN(TRIM(U1005))&gt;0</formula>
    </cfRule>
  </conditionalFormatting>
  <conditionalFormatting sqref="AB1005:AF1005">
    <cfRule type="notContainsBlanks" dxfId="318" priority="321">
      <formula>LEN(TRIM(AB1005))&gt;0</formula>
    </cfRule>
  </conditionalFormatting>
  <conditionalFormatting sqref="AB1005:AF1005">
    <cfRule type="notContainsBlanks" dxfId="317" priority="320">
      <formula>LEN(TRIM(AB1005))&gt;0</formula>
    </cfRule>
  </conditionalFormatting>
  <conditionalFormatting sqref="G1018:K1018">
    <cfRule type="notContainsBlanks" dxfId="316" priority="319">
      <formula>LEN(TRIM(G1018))&gt;0</formula>
    </cfRule>
  </conditionalFormatting>
  <conditionalFormatting sqref="G1018:K1018">
    <cfRule type="notContainsBlanks" dxfId="315" priority="318">
      <formula>LEN(TRIM(G1018))&gt;0</formula>
    </cfRule>
  </conditionalFormatting>
  <conditionalFormatting sqref="N1018:R1018">
    <cfRule type="notContainsBlanks" dxfId="314" priority="317">
      <formula>LEN(TRIM(N1018))&gt;0</formula>
    </cfRule>
  </conditionalFormatting>
  <conditionalFormatting sqref="N1018:R1018">
    <cfRule type="notContainsBlanks" dxfId="313" priority="316">
      <formula>LEN(TRIM(N1018))&gt;0</formula>
    </cfRule>
  </conditionalFormatting>
  <conditionalFormatting sqref="U1018:Y1018">
    <cfRule type="notContainsBlanks" dxfId="312" priority="315">
      <formula>LEN(TRIM(U1018))&gt;0</formula>
    </cfRule>
  </conditionalFormatting>
  <conditionalFormatting sqref="U1018:Y1018">
    <cfRule type="notContainsBlanks" dxfId="311" priority="314">
      <formula>LEN(TRIM(U1018))&gt;0</formula>
    </cfRule>
  </conditionalFormatting>
  <conditionalFormatting sqref="AB1018:AF1018">
    <cfRule type="notContainsBlanks" dxfId="310" priority="313">
      <formula>LEN(TRIM(AB1018))&gt;0</formula>
    </cfRule>
  </conditionalFormatting>
  <conditionalFormatting sqref="AB1018:AF1018">
    <cfRule type="notContainsBlanks" dxfId="309" priority="312">
      <formula>LEN(TRIM(AB1018))&gt;0</formula>
    </cfRule>
  </conditionalFormatting>
  <conditionalFormatting sqref="G1031:K1031">
    <cfRule type="notContainsBlanks" dxfId="308" priority="311">
      <formula>LEN(TRIM(G1031))&gt;0</formula>
    </cfRule>
  </conditionalFormatting>
  <conditionalFormatting sqref="G1031:K1031">
    <cfRule type="notContainsBlanks" dxfId="307" priority="310">
      <formula>LEN(TRIM(G1031))&gt;0</formula>
    </cfRule>
  </conditionalFormatting>
  <conditionalFormatting sqref="N1031:R1031">
    <cfRule type="notContainsBlanks" dxfId="306" priority="309">
      <formula>LEN(TRIM(N1031))&gt;0</formula>
    </cfRule>
  </conditionalFormatting>
  <conditionalFormatting sqref="N1031:R1031">
    <cfRule type="notContainsBlanks" dxfId="305" priority="308">
      <formula>LEN(TRIM(N1031))&gt;0</formula>
    </cfRule>
  </conditionalFormatting>
  <conditionalFormatting sqref="U1031:Y1031">
    <cfRule type="notContainsBlanks" dxfId="304" priority="307">
      <formula>LEN(TRIM(U1031))&gt;0</formula>
    </cfRule>
  </conditionalFormatting>
  <conditionalFormatting sqref="U1031:Y1031">
    <cfRule type="notContainsBlanks" dxfId="303" priority="306">
      <formula>LEN(TRIM(U1031))&gt;0</formula>
    </cfRule>
  </conditionalFormatting>
  <conditionalFormatting sqref="AB1031:AF1031">
    <cfRule type="notContainsBlanks" dxfId="302" priority="305">
      <formula>LEN(TRIM(AB1031))&gt;0</formula>
    </cfRule>
  </conditionalFormatting>
  <conditionalFormatting sqref="AB1031:AF1031">
    <cfRule type="notContainsBlanks" dxfId="301" priority="304">
      <formula>LEN(TRIM(AB1031))&gt;0</formula>
    </cfRule>
  </conditionalFormatting>
  <conditionalFormatting sqref="G1044:K1044">
    <cfRule type="notContainsBlanks" dxfId="300" priority="303">
      <formula>LEN(TRIM(G1044))&gt;0</formula>
    </cfRule>
  </conditionalFormatting>
  <conditionalFormatting sqref="G1044:K1044">
    <cfRule type="notContainsBlanks" dxfId="299" priority="302">
      <formula>LEN(TRIM(G1044))&gt;0</formula>
    </cfRule>
  </conditionalFormatting>
  <conditionalFormatting sqref="N1044:R1044">
    <cfRule type="notContainsBlanks" dxfId="298" priority="301">
      <formula>LEN(TRIM(N1044))&gt;0</formula>
    </cfRule>
  </conditionalFormatting>
  <conditionalFormatting sqref="N1044:R1044">
    <cfRule type="notContainsBlanks" dxfId="297" priority="300">
      <formula>LEN(TRIM(N1044))&gt;0</formula>
    </cfRule>
  </conditionalFormatting>
  <conditionalFormatting sqref="U1044:Y1044">
    <cfRule type="notContainsBlanks" dxfId="296" priority="299">
      <formula>LEN(TRIM(U1044))&gt;0</formula>
    </cfRule>
  </conditionalFormatting>
  <conditionalFormatting sqref="U1044:Y1044">
    <cfRule type="notContainsBlanks" dxfId="295" priority="298">
      <formula>LEN(TRIM(U1044))&gt;0</formula>
    </cfRule>
  </conditionalFormatting>
  <conditionalFormatting sqref="AB1044:AF1044">
    <cfRule type="notContainsBlanks" dxfId="294" priority="297">
      <formula>LEN(TRIM(AB1044))&gt;0</formula>
    </cfRule>
  </conditionalFormatting>
  <conditionalFormatting sqref="AB1044:AF1044">
    <cfRule type="notContainsBlanks" dxfId="293" priority="296">
      <formula>LEN(TRIM(AB1044))&gt;0</formula>
    </cfRule>
  </conditionalFormatting>
  <conditionalFormatting sqref="G1057:K1057">
    <cfRule type="notContainsBlanks" dxfId="292" priority="295">
      <formula>LEN(TRIM(G1057))&gt;0</formula>
    </cfRule>
  </conditionalFormatting>
  <conditionalFormatting sqref="G1057:K1057">
    <cfRule type="notContainsBlanks" dxfId="291" priority="294">
      <formula>LEN(TRIM(G1057))&gt;0</formula>
    </cfRule>
  </conditionalFormatting>
  <conditionalFormatting sqref="N1057:R1057">
    <cfRule type="notContainsBlanks" dxfId="290" priority="293">
      <formula>LEN(TRIM(N1057))&gt;0</formula>
    </cfRule>
  </conditionalFormatting>
  <conditionalFormatting sqref="N1057:R1057">
    <cfRule type="notContainsBlanks" dxfId="289" priority="292">
      <formula>LEN(TRIM(N1057))&gt;0</formula>
    </cfRule>
  </conditionalFormatting>
  <conditionalFormatting sqref="U1057:Y1057">
    <cfRule type="notContainsBlanks" dxfId="288" priority="291">
      <formula>LEN(TRIM(U1057))&gt;0</formula>
    </cfRule>
  </conditionalFormatting>
  <conditionalFormatting sqref="U1057:Y1057">
    <cfRule type="notContainsBlanks" dxfId="287" priority="290">
      <formula>LEN(TRIM(U1057))&gt;0</formula>
    </cfRule>
  </conditionalFormatting>
  <conditionalFormatting sqref="AB1057:AF1057">
    <cfRule type="notContainsBlanks" dxfId="286" priority="289">
      <formula>LEN(TRIM(AB1057))&gt;0</formula>
    </cfRule>
  </conditionalFormatting>
  <conditionalFormatting sqref="AB1057:AF1057">
    <cfRule type="notContainsBlanks" dxfId="285" priority="288">
      <formula>LEN(TRIM(AB1057))&gt;0</formula>
    </cfRule>
  </conditionalFormatting>
  <conditionalFormatting sqref="G1070:K1070">
    <cfRule type="notContainsBlanks" dxfId="284" priority="287">
      <formula>LEN(TRIM(G1070))&gt;0</formula>
    </cfRule>
  </conditionalFormatting>
  <conditionalFormatting sqref="G1070:K1070">
    <cfRule type="notContainsBlanks" dxfId="283" priority="286">
      <formula>LEN(TRIM(G1070))&gt;0</formula>
    </cfRule>
  </conditionalFormatting>
  <conditionalFormatting sqref="N1070:R1070">
    <cfRule type="notContainsBlanks" dxfId="282" priority="285">
      <formula>LEN(TRIM(N1070))&gt;0</formula>
    </cfRule>
  </conditionalFormatting>
  <conditionalFormatting sqref="N1070:R1070">
    <cfRule type="notContainsBlanks" dxfId="281" priority="284">
      <formula>LEN(TRIM(N1070))&gt;0</formula>
    </cfRule>
  </conditionalFormatting>
  <conditionalFormatting sqref="U1070:Y1070">
    <cfRule type="notContainsBlanks" dxfId="280" priority="283">
      <formula>LEN(TRIM(U1070))&gt;0</formula>
    </cfRule>
  </conditionalFormatting>
  <conditionalFormatting sqref="U1070:Y1070">
    <cfRule type="notContainsBlanks" dxfId="279" priority="282">
      <formula>LEN(TRIM(U1070))&gt;0</formula>
    </cfRule>
  </conditionalFormatting>
  <conditionalFormatting sqref="AB1070:AF1070">
    <cfRule type="notContainsBlanks" dxfId="278" priority="281">
      <formula>LEN(TRIM(AB1070))&gt;0</formula>
    </cfRule>
  </conditionalFormatting>
  <conditionalFormatting sqref="AB1070:AF1070">
    <cfRule type="notContainsBlanks" dxfId="277" priority="280">
      <formula>LEN(TRIM(AB1070))&gt;0</formula>
    </cfRule>
  </conditionalFormatting>
  <conditionalFormatting sqref="G1083:K1083">
    <cfRule type="notContainsBlanks" dxfId="276" priority="279">
      <formula>LEN(TRIM(G1083))&gt;0</formula>
    </cfRule>
  </conditionalFormatting>
  <conditionalFormatting sqref="G1083:K1083">
    <cfRule type="notContainsBlanks" dxfId="275" priority="278">
      <formula>LEN(TRIM(G1083))&gt;0</formula>
    </cfRule>
  </conditionalFormatting>
  <conditionalFormatting sqref="N1083:R1083">
    <cfRule type="notContainsBlanks" dxfId="274" priority="277">
      <formula>LEN(TRIM(N1083))&gt;0</formula>
    </cfRule>
  </conditionalFormatting>
  <conditionalFormatting sqref="N1083:R1083">
    <cfRule type="notContainsBlanks" dxfId="273" priority="276">
      <formula>LEN(TRIM(N1083))&gt;0</formula>
    </cfRule>
  </conditionalFormatting>
  <conditionalFormatting sqref="U1083:Y1083">
    <cfRule type="notContainsBlanks" dxfId="272" priority="275">
      <formula>LEN(TRIM(U1083))&gt;0</formula>
    </cfRule>
  </conditionalFormatting>
  <conditionalFormatting sqref="U1083:Y1083">
    <cfRule type="notContainsBlanks" dxfId="271" priority="274">
      <formula>LEN(TRIM(U1083))&gt;0</formula>
    </cfRule>
  </conditionalFormatting>
  <conditionalFormatting sqref="AB1083:AF1083">
    <cfRule type="notContainsBlanks" dxfId="270" priority="273">
      <formula>LEN(TRIM(AB1083))&gt;0</formula>
    </cfRule>
  </conditionalFormatting>
  <conditionalFormatting sqref="AB1083:AF1083">
    <cfRule type="notContainsBlanks" dxfId="269" priority="272">
      <formula>LEN(TRIM(AB1083))&gt;0</formula>
    </cfRule>
  </conditionalFormatting>
  <conditionalFormatting sqref="G1096:K1096">
    <cfRule type="notContainsBlanks" dxfId="268" priority="271">
      <formula>LEN(TRIM(G1096))&gt;0</formula>
    </cfRule>
  </conditionalFormatting>
  <conditionalFormatting sqref="G1096:K1096">
    <cfRule type="notContainsBlanks" dxfId="267" priority="270">
      <formula>LEN(TRIM(G1096))&gt;0</formula>
    </cfRule>
  </conditionalFormatting>
  <conditionalFormatting sqref="N1096:R1096">
    <cfRule type="notContainsBlanks" dxfId="266" priority="269">
      <formula>LEN(TRIM(N1096))&gt;0</formula>
    </cfRule>
  </conditionalFormatting>
  <conditionalFormatting sqref="N1096:R1096">
    <cfRule type="notContainsBlanks" dxfId="265" priority="268">
      <formula>LEN(TRIM(N1096))&gt;0</formula>
    </cfRule>
  </conditionalFormatting>
  <conditionalFormatting sqref="U1096:Y1096">
    <cfRule type="notContainsBlanks" dxfId="264" priority="267">
      <formula>LEN(TRIM(U1096))&gt;0</formula>
    </cfRule>
  </conditionalFormatting>
  <conditionalFormatting sqref="U1096:Y1096">
    <cfRule type="notContainsBlanks" dxfId="263" priority="266">
      <formula>LEN(TRIM(U1096))&gt;0</formula>
    </cfRule>
  </conditionalFormatting>
  <conditionalFormatting sqref="AB1096:AF1096">
    <cfRule type="notContainsBlanks" dxfId="262" priority="265">
      <formula>LEN(TRIM(AB1096))&gt;0</formula>
    </cfRule>
  </conditionalFormatting>
  <conditionalFormatting sqref="AB1096:AF1096">
    <cfRule type="notContainsBlanks" dxfId="261" priority="264">
      <formula>LEN(TRIM(AB1096))&gt;0</formula>
    </cfRule>
  </conditionalFormatting>
  <conditionalFormatting sqref="G1109:K1109">
    <cfRule type="notContainsBlanks" dxfId="260" priority="263">
      <formula>LEN(TRIM(G1109))&gt;0</formula>
    </cfRule>
  </conditionalFormatting>
  <conditionalFormatting sqref="G1109:K1109">
    <cfRule type="notContainsBlanks" dxfId="259" priority="262">
      <formula>LEN(TRIM(G1109))&gt;0</formula>
    </cfRule>
  </conditionalFormatting>
  <conditionalFormatting sqref="N1109:R1109">
    <cfRule type="notContainsBlanks" dxfId="258" priority="261">
      <formula>LEN(TRIM(N1109))&gt;0</formula>
    </cfRule>
  </conditionalFormatting>
  <conditionalFormatting sqref="N1109:R1109">
    <cfRule type="notContainsBlanks" dxfId="257" priority="260">
      <formula>LEN(TRIM(N1109))&gt;0</formula>
    </cfRule>
  </conditionalFormatting>
  <conditionalFormatting sqref="U1109:Y1109">
    <cfRule type="notContainsBlanks" dxfId="256" priority="259">
      <formula>LEN(TRIM(U1109))&gt;0</formula>
    </cfRule>
  </conditionalFormatting>
  <conditionalFormatting sqref="U1109:Y1109">
    <cfRule type="notContainsBlanks" dxfId="255" priority="258">
      <formula>LEN(TRIM(U1109))&gt;0</formula>
    </cfRule>
  </conditionalFormatting>
  <conditionalFormatting sqref="AB1109:AF1109">
    <cfRule type="notContainsBlanks" dxfId="254" priority="257">
      <formula>LEN(TRIM(AB1109))&gt;0</formula>
    </cfRule>
  </conditionalFormatting>
  <conditionalFormatting sqref="AB1109:AF1109">
    <cfRule type="notContainsBlanks" dxfId="253" priority="256">
      <formula>LEN(TRIM(AB1109))&gt;0</formula>
    </cfRule>
  </conditionalFormatting>
  <conditionalFormatting sqref="G1122:K1122">
    <cfRule type="notContainsBlanks" dxfId="252" priority="255">
      <formula>LEN(TRIM(G1122))&gt;0</formula>
    </cfRule>
  </conditionalFormatting>
  <conditionalFormatting sqref="G1122:K1122">
    <cfRule type="notContainsBlanks" dxfId="251" priority="254">
      <formula>LEN(TRIM(G1122))&gt;0</formula>
    </cfRule>
  </conditionalFormatting>
  <conditionalFormatting sqref="N1122:R1122">
    <cfRule type="notContainsBlanks" dxfId="250" priority="253">
      <formula>LEN(TRIM(N1122))&gt;0</formula>
    </cfRule>
  </conditionalFormatting>
  <conditionalFormatting sqref="N1122:R1122">
    <cfRule type="notContainsBlanks" dxfId="249" priority="252">
      <formula>LEN(TRIM(N1122))&gt;0</formula>
    </cfRule>
  </conditionalFormatting>
  <conditionalFormatting sqref="U1122:Y1122">
    <cfRule type="notContainsBlanks" dxfId="248" priority="251">
      <formula>LEN(TRIM(U1122))&gt;0</formula>
    </cfRule>
  </conditionalFormatting>
  <conditionalFormatting sqref="U1122:Y1122">
    <cfRule type="notContainsBlanks" dxfId="247" priority="250">
      <formula>LEN(TRIM(U1122))&gt;0</formula>
    </cfRule>
  </conditionalFormatting>
  <conditionalFormatting sqref="AB1122:AF1122">
    <cfRule type="notContainsBlanks" dxfId="246" priority="249">
      <formula>LEN(TRIM(AB1122))&gt;0</formula>
    </cfRule>
  </conditionalFormatting>
  <conditionalFormatting sqref="AB1122:AF1122">
    <cfRule type="notContainsBlanks" dxfId="245" priority="248">
      <formula>LEN(TRIM(AB1122))&gt;0</formula>
    </cfRule>
  </conditionalFormatting>
  <conditionalFormatting sqref="G1135:K1135">
    <cfRule type="notContainsBlanks" dxfId="244" priority="247">
      <formula>LEN(TRIM(G1135))&gt;0</formula>
    </cfRule>
  </conditionalFormatting>
  <conditionalFormatting sqref="G1135:K1135">
    <cfRule type="notContainsBlanks" dxfId="243" priority="246">
      <formula>LEN(TRIM(G1135))&gt;0</formula>
    </cfRule>
  </conditionalFormatting>
  <conditionalFormatting sqref="N1135:R1135">
    <cfRule type="notContainsBlanks" dxfId="242" priority="245">
      <formula>LEN(TRIM(N1135))&gt;0</formula>
    </cfRule>
  </conditionalFormatting>
  <conditionalFormatting sqref="N1135:R1135">
    <cfRule type="notContainsBlanks" dxfId="241" priority="244">
      <formula>LEN(TRIM(N1135))&gt;0</formula>
    </cfRule>
  </conditionalFormatting>
  <conditionalFormatting sqref="U1135:Y1135">
    <cfRule type="notContainsBlanks" dxfId="240" priority="243">
      <formula>LEN(TRIM(U1135))&gt;0</formula>
    </cfRule>
  </conditionalFormatting>
  <conditionalFormatting sqref="U1135:Y1135">
    <cfRule type="notContainsBlanks" dxfId="239" priority="242">
      <formula>LEN(TRIM(U1135))&gt;0</formula>
    </cfRule>
  </conditionalFormatting>
  <conditionalFormatting sqref="AB1135:AF1135">
    <cfRule type="notContainsBlanks" dxfId="238" priority="241">
      <formula>LEN(TRIM(AB1135))&gt;0</formula>
    </cfRule>
  </conditionalFormatting>
  <conditionalFormatting sqref="AB1135:AF1135">
    <cfRule type="notContainsBlanks" dxfId="237" priority="240">
      <formula>LEN(TRIM(AB1135))&gt;0</formula>
    </cfRule>
  </conditionalFormatting>
  <conditionalFormatting sqref="G1148:K1148">
    <cfRule type="notContainsBlanks" dxfId="236" priority="239">
      <formula>LEN(TRIM(G1148))&gt;0</formula>
    </cfRule>
  </conditionalFormatting>
  <conditionalFormatting sqref="G1148:K1148">
    <cfRule type="notContainsBlanks" dxfId="235" priority="238">
      <formula>LEN(TRIM(G1148))&gt;0</formula>
    </cfRule>
  </conditionalFormatting>
  <conditionalFormatting sqref="N1148:R1148">
    <cfRule type="notContainsBlanks" dxfId="234" priority="237">
      <formula>LEN(TRIM(N1148))&gt;0</formula>
    </cfRule>
  </conditionalFormatting>
  <conditionalFormatting sqref="N1148:R1148">
    <cfRule type="notContainsBlanks" dxfId="233" priority="236">
      <formula>LEN(TRIM(N1148))&gt;0</formula>
    </cfRule>
  </conditionalFormatting>
  <conditionalFormatting sqref="U1148:Y1148">
    <cfRule type="notContainsBlanks" dxfId="232" priority="235">
      <formula>LEN(TRIM(U1148))&gt;0</formula>
    </cfRule>
  </conditionalFormatting>
  <conditionalFormatting sqref="U1148:Y1148">
    <cfRule type="notContainsBlanks" dxfId="231" priority="234">
      <formula>LEN(TRIM(U1148))&gt;0</formula>
    </cfRule>
  </conditionalFormatting>
  <conditionalFormatting sqref="AB1148:AF1148">
    <cfRule type="notContainsBlanks" dxfId="230" priority="233">
      <formula>LEN(TRIM(AB1148))&gt;0</formula>
    </cfRule>
  </conditionalFormatting>
  <conditionalFormatting sqref="AB1148:AF1148">
    <cfRule type="notContainsBlanks" dxfId="229" priority="232">
      <formula>LEN(TRIM(AB1148))&gt;0</formula>
    </cfRule>
  </conditionalFormatting>
  <conditionalFormatting sqref="G1161:K1161">
    <cfRule type="notContainsBlanks" dxfId="228" priority="231">
      <formula>LEN(TRIM(G1161))&gt;0</formula>
    </cfRule>
  </conditionalFormatting>
  <conditionalFormatting sqref="G1161:K1161">
    <cfRule type="notContainsBlanks" dxfId="227" priority="230">
      <formula>LEN(TRIM(G1161))&gt;0</formula>
    </cfRule>
  </conditionalFormatting>
  <conditionalFormatting sqref="N1161:R1161">
    <cfRule type="notContainsBlanks" dxfId="226" priority="229">
      <formula>LEN(TRIM(N1161))&gt;0</formula>
    </cfRule>
  </conditionalFormatting>
  <conditionalFormatting sqref="N1161:R1161">
    <cfRule type="notContainsBlanks" dxfId="225" priority="228">
      <formula>LEN(TRIM(N1161))&gt;0</formula>
    </cfRule>
  </conditionalFormatting>
  <conditionalFormatting sqref="U1161:Y1161">
    <cfRule type="notContainsBlanks" dxfId="224" priority="227">
      <formula>LEN(TRIM(U1161))&gt;0</formula>
    </cfRule>
  </conditionalFormatting>
  <conditionalFormatting sqref="U1161:Y1161">
    <cfRule type="notContainsBlanks" dxfId="223" priority="226">
      <formula>LEN(TRIM(U1161))&gt;0</formula>
    </cfRule>
  </conditionalFormatting>
  <conditionalFormatting sqref="AB1161:AF1161">
    <cfRule type="notContainsBlanks" dxfId="222" priority="225">
      <formula>LEN(TRIM(AB1161))&gt;0</formula>
    </cfRule>
  </conditionalFormatting>
  <conditionalFormatting sqref="AB1161:AF1161">
    <cfRule type="notContainsBlanks" dxfId="221" priority="224">
      <formula>LEN(TRIM(AB1161))&gt;0</formula>
    </cfRule>
  </conditionalFormatting>
  <conditionalFormatting sqref="G1174:K1174">
    <cfRule type="notContainsBlanks" dxfId="220" priority="223">
      <formula>LEN(TRIM(G1174))&gt;0</formula>
    </cfRule>
  </conditionalFormatting>
  <conditionalFormatting sqref="G1174:K1174">
    <cfRule type="notContainsBlanks" dxfId="219" priority="222">
      <formula>LEN(TRIM(G1174))&gt;0</formula>
    </cfRule>
  </conditionalFormatting>
  <conditionalFormatting sqref="N1174:R1174">
    <cfRule type="notContainsBlanks" dxfId="218" priority="221">
      <formula>LEN(TRIM(N1174))&gt;0</formula>
    </cfRule>
  </conditionalFormatting>
  <conditionalFormatting sqref="N1174:R1174">
    <cfRule type="notContainsBlanks" dxfId="217" priority="220">
      <formula>LEN(TRIM(N1174))&gt;0</formula>
    </cfRule>
  </conditionalFormatting>
  <conditionalFormatting sqref="U1174:Y1174">
    <cfRule type="notContainsBlanks" dxfId="216" priority="219">
      <formula>LEN(TRIM(U1174))&gt;0</formula>
    </cfRule>
  </conditionalFormatting>
  <conditionalFormatting sqref="U1174:Y1174">
    <cfRule type="notContainsBlanks" dxfId="215" priority="218">
      <formula>LEN(TRIM(U1174))&gt;0</formula>
    </cfRule>
  </conditionalFormatting>
  <conditionalFormatting sqref="AB1174:AF1174">
    <cfRule type="notContainsBlanks" dxfId="214" priority="217">
      <formula>LEN(TRIM(AB1174))&gt;0</formula>
    </cfRule>
  </conditionalFormatting>
  <conditionalFormatting sqref="AB1174:AF1174">
    <cfRule type="notContainsBlanks" dxfId="213" priority="216">
      <formula>LEN(TRIM(AB1174))&gt;0</formula>
    </cfRule>
  </conditionalFormatting>
  <conditionalFormatting sqref="G1187:K1187">
    <cfRule type="notContainsBlanks" dxfId="212" priority="215">
      <formula>LEN(TRIM(G1187))&gt;0</formula>
    </cfRule>
  </conditionalFormatting>
  <conditionalFormatting sqref="G1187:K1187">
    <cfRule type="notContainsBlanks" dxfId="211" priority="214">
      <formula>LEN(TRIM(G1187))&gt;0</formula>
    </cfRule>
  </conditionalFormatting>
  <conditionalFormatting sqref="N1187:R1187">
    <cfRule type="notContainsBlanks" dxfId="210" priority="213">
      <formula>LEN(TRIM(N1187))&gt;0</formula>
    </cfRule>
  </conditionalFormatting>
  <conditionalFormatting sqref="N1187:R1187">
    <cfRule type="notContainsBlanks" dxfId="209" priority="212">
      <formula>LEN(TRIM(N1187))&gt;0</formula>
    </cfRule>
  </conditionalFormatting>
  <conditionalFormatting sqref="U1187:Y1187">
    <cfRule type="notContainsBlanks" dxfId="208" priority="211">
      <formula>LEN(TRIM(U1187))&gt;0</formula>
    </cfRule>
  </conditionalFormatting>
  <conditionalFormatting sqref="U1187:Y1187">
    <cfRule type="notContainsBlanks" dxfId="207" priority="210">
      <formula>LEN(TRIM(U1187))&gt;0</formula>
    </cfRule>
  </conditionalFormatting>
  <conditionalFormatting sqref="AB1187:AF1187">
    <cfRule type="notContainsBlanks" dxfId="206" priority="209">
      <formula>LEN(TRIM(AB1187))&gt;0</formula>
    </cfRule>
  </conditionalFormatting>
  <conditionalFormatting sqref="AB1187:AF1187">
    <cfRule type="notContainsBlanks" dxfId="205" priority="208">
      <formula>LEN(TRIM(AB1187))&gt;0</formula>
    </cfRule>
  </conditionalFormatting>
  <conditionalFormatting sqref="G1200:K1200">
    <cfRule type="notContainsBlanks" dxfId="204" priority="207">
      <formula>LEN(TRIM(G1200))&gt;0</formula>
    </cfRule>
  </conditionalFormatting>
  <conditionalFormatting sqref="G1200:K1200">
    <cfRule type="notContainsBlanks" dxfId="203" priority="206">
      <formula>LEN(TRIM(G1200))&gt;0</formula>
    </cfRule>
  </conditionalFormatting>
  <conditionalFormatting sqref="N1200:R1200">
    <cfRule type="notContainsBlanks" dxfId="202" priority="205">
      <formula>LEN(TRIM(N1200))&gt;0</formula>
    </cfRule>
  </conditionalFormatting>
  <conditionalFormatting sqref="N1200:R1200">
    <cfRule type="notContainsBlanks" dxfId="201" priority="204">
      <formula>LEN(TRIM(N1200))&gt;0</formula>
    </cfRule>
  </conditionalFormatting>
  <conditionalFormatting sqref="U1200:Y1200">
    <cfRule type="notContainsBlanks" dxfId="200" priority="203">
      <formula>LEN(TRIM(U1200))&gt;0</formula>
    </cfRule>
  </conditionalFormatting>
  <conditionalFormatting sqref="U1200:Y1200">
    <cfRule type="notContainsBlanks" dxfId="199" priority="202">
      <formula>LEN(TRIM(U1200))&gt;0</formula>
    </cfRule>
  </conditionalFormatting>
  <conditionalFormatting sqref="AB1200:AF1200">
    <cfRule type="notContainsBlanks" dxfId="198" priority="201">
      <formula>LEN(TRIM(AB1200))&gt;0</formula>
    </cfRule>
  </conditionalFormatting>
  <conditionalFormatting sqref="AB1200:AF1200">
    <cfRule type="notContainsBlanks" dxfId="197" priority="200">
      <formula>LEN(TRIM(AB1200))&gt;0</formula>
    </cfRule>
  </conditionalFormatting>
  <conditionalFormatting sqref="G1213:K1213">
    <cfRule type="notContainsBlanks" dxfId="196" priority="199">
      <formula>LEN(TRIM(G1213))&gt;0</formula>
    </cfRule>
  </conditionalFormatting>
  <conditionalFormatting sqref="G1213:K1213">
    <cfRule type="notContainsBlanks" dxfId="195" priority="198">
      <formula>LEN(TRIM(G1213))&gt;0</formula>
    </cfRule>
  </conditionalFormatting>
  <conditionalFormatting sqref="N1213:R1213">
    <cfRule type="notContainsBlanks" dxfId="194" priority="197">
      <formula>LEN(TRIM(N1213))&gt;0</formula>
    </cfRule>
  </conditionalFormatting>
  <conditionalFormatting sqref="N1213:R1213">
    <cfRule type="notContainsBlanks" dxfId="193" priority="196">
      <formula>LEN(TRIM(N1213))&gt;0</formula>
    </cfRule>
  </conditionalFormatting>
  <conditionalFormatting sqref="U1213:Y1213">
    <cfRule type="notContainsBlanks" dxfId="192" priority="195">
      <formula>LEN(TRIM(U1213))&gt;0</formula>
    </cfRule>
  </conditionalFormatting>
  <conditionalFormatting sqref="U1213:Y1213">
    <cfRule type="notContainsBlanks" dxfId="191" priority="194">
      <formula>LEN(TRIM(U1213))&gt;0</formula>
    </cfRule>
  </conditionalFormatting>
  <conditionalFormatting sqref="AB1213:AF1213">
    <cfRule type="notContainsBlanks" dxfId="190" priority="193">
      <formula>LEN(TRIM(AB1213))&gt;0</formula>
    </cfRule>
  </conditionalFormatting>
  <conditionalFormatting sqref="AB1213:AF1213">
    <cfRule type="notContainsBlanks" dxfId="189" priority="192">
      <formula>LEN(TRIM(AB1213))&gt;0</formula>
    </cfRule>
  </conditionalFormatting>
  <conditionalFormatting sqref="G1226:K1226">
    <cfRule type="notContainsBlanks" dxfId="188" priority="191">
      <formula>LEN(TRIM(G1226))&gt;0</formula>
    </cfRule>
  </conditionalFormatting>
  <conditionalFormatting sqref="G1226:K1226">
    <cfRule type="notContainsBlanks" dxfId="187" priority="190">
      <formula>LEN(TRIM(G1226))&gt;0</formula>
    </cfRule>
  </conditionalFormatting>
  <conditionalFormatting sqref="N1226:R1226">
    <cfRule type="notContainsBlanks" dxfId="186" priority="189">
      <formula>LEN(TRIM(N1226))&gt;0</formula>
    </cfRule>
  </conditionalFormatting>
  <conditionalFormatting sqref="N1226:R1226">
    <cfRule type="notContainsBlanks" dxfId="185" priority="188">
      <formula>LEN(TRIM(N1226))&gt;0</formula>
    </cfRule>
  </conditionalFormatting>
  <conditionalFormatting sqref="U1226:Y1226">
    <cfRule type="notContainsBlanks" dxfId="184" priority="187">
      <formula>LEN(TRIM(U1226))&gt;0</formula>
    </cfRule>
  </conditionalFormatting>
  <conditionalFormatting sqref="U1226:Y1226">
    <cfRule type="notContainsBlanks" dxfId="183" priority="186">
      <formula>LEN(TRIM(U1226))&gt;0</formula>
    </cfRule>
  </conditionalFormatting>
  <conditionalFormatting sqref="AB1226:AF1226">
    <cfRule type="notContainsBlanks" dxfId="182" priority="185">
      <formula>LEN(TRIM(AB1226))&gt;0</formula>
    </cfRule>
  </conditionalFormatting>
  <conditionalFormatting sqref="AB1226:AF1226">
    <cfRule type="notContainsBlanks" dxfId="181" priority="184">
      <formula>LEN(TRIM(AB1226))&gt;0</formula>
    </cfRule>
  </conditionalFormatting>
  <conditionalFormatting sqref="G1239:K1239">
    <cfRule type="notContainsBlanks" dxfId="180" priority="183">
      <formula>LEN(TRIM(G1239))&gt;0</formula>
    </cfRule>
  </conditionalFormatting>
  <conditionalFormatting sqref="G1239:K1239">
    <cfRule type="notContainsBlanks" dxfId="179" priority="182">
      <formula>LEN(TRIM(G1239))&gt;0</formula>
    </cfRule>
  </conditionalFormatting>
  <conditionalFormatting sqref="N1239:R1239">
    <cfRule type="notContainsBlanks" dxfId="178" priority="181">
      <formula>LEN(TRIM(N1239))&gt;0</formula>
    </cfRule>
  </conditionalFormatting>
  <conditionalFormatting sqref="N1239:R1239">
    <cfRule type="notContainsBlanks" dxfId="177" priority="180">
      <formula>LEN(TRIM(N1239))&gt;0</formula>
    </cfRule>
  </conditionalFormatting>
  <conditionalFormatting sqref="U1239:Y1239">
    <cfRule type="notContainsBlanks" dxfId="176" priority="179">
      <formula>LEN(TRIM(U1239))&gt;0</formula>
    </cfRule>
  </conditionalFormatting>
  <conditionalFormatting sqref="U1239:Y1239">
    <cfRule type="notContainsBlanks" dxfId="175" priority="178">
      <formula>LEN(TRIM(U1239))&gt;0</formula>
    </cfRule>
  </conditionalFormatting>
  <conditionalFormatting sqref="AB1239:AF1239">
    <cfRule type="notContainsBlanks" dxfId="174" priority="177">
      <formula>LEN(TRIM(AB1239))&gt;0</formula>
    </cfRule>
  </conditionalFormatting>
  <conditionalFormatting sqref="AB1239:AF1239">
    <cfRule type="notContainsBlanks" dxfId="173" priority="176">
      <formula>LEN(TRIM(AB1239))&gt;0</formula>
    </cfRule>
  </conditionalFormatting>
  <conditionalFormatting sqref="G1252:K1252">
    <cfRule type="notContainsBlanks" dxfId="172" priority="175">
      <formula>LEN(TRIM(G1252))&gt;0</formula>
    </cfRule>
  </conditionalFormatting>
  <conditionalFormatting sqref="G1252:K1252">
    <cfRule type="notContainsBlanks" dxfId="171" priority="174">
      <formula>LEN(TRIM(G1252))&gt;0</formula>
    </cfRule>
  </conditionalFormatting>
  <conditionalFormatting sqref="N1252:R1252">
    <cfRule type="notContainsBlanks" dxfId="170" priority="173">
      <formula>LEN(TRIM(N1252))&gt;0</formula>
    </cfRule>
  </conditionalFormatting>
  <conditionalFormatting sqref="N1252:R1252">
    <cfRule type="notContainsBlanks" dxfId="169" priority="172">
      <formula>LEN(TRIM(N1252))&gt;0</formula>
    </cfRule>
  </conditionalFormatting>
  <conditionalFormatting sqref="U1252:Y1252">
    <cfRule type="notContainsBlanks" dxfId="168" priority="171">
      <formula>LEN(TRIM(U1252))&gt;0</formula>
    </cfRule>
  </conditionalFormatting>
  <conditionalFormatting sqref="U1252:Y1252">
    <cfRule type="notContainsBlanks" dxfId="167" priority="170">
      <formula>LEN(TRIM(U1252))&gt;0</formula>
    </cfRule>
  </conditionalFormatting>
  <conditionalFormatting sqref="AB1252:AF1252">
    <cfRule type="notContainsBlanks" dxfId="166" priority="169">
      <formula>LEN(TRIM(AB1252))&gt;0</formula>
    </cfRule>
  </conditionalFormatting>
  <conditionalFormatting sqref="AB1252:AF1252">
    <cfRule type="notContainsBlanks" dxfId="165" priority="168">
      <formula>LEN(TRIM(AB1252))&gt;0</formula>
    </cfRule>
  </conditionalFormatting>
  <conditionalFormatting sqref="G1265:K1265">
    <cfRule type="notContainsBlanks" dxfId="164" priority="167">
      <formula>LEN(TRIM(G1265))&gt;0</formula>
    </cfRule>
  </conditionalFormatting>
  <conditionalFormatting sqref="G1265:K1265">
    <cfRule type="notContainsBlanks" dxfId="163" priority="166">
      <formula>LEN(TRIM(G1265))&gt;0</formula>
    </cfRule>
  </conditionalFormatting>
  <conditionalFormatting sqref="N1265:R1265">
    <cfRule type="notContainsBlanks" dxfId="162" priority="165">
      <formula>LEN(TRIM(N1265))&gt;0</formula>
    </cfRule>
  </conditionalFormatting>
  <conditionalFormatting sqref="N1265:R1265">
    <cfRule type="notContainsBlanks" dxfId="161" priority="164">
      <formula>LEN(TRIM(N1265))&gt;0</formula>
    </cfRule>
  </conditionalFormatting>
  <conditionalFormatting sqref="U1265:Y1265">
    <cfRule type="notContainsBlanks" dxfId="160" priority="163">
      <formula>LEN(TRIM(U1265))&gt;0</formula>
    </cfRule>
  </conditionalFormatting>
  <conditionalFormatting sqref="U1265:Y1265">
    <cfRule type="notContainsBlanks" dxfId="159" priority="162">
      <formula>LEN(TRIM(U1265))&gt;0</formula>
    </cfRule>
  </conditionalFormatting>
  <conditionalFormatting sqref="AB1265:AF1265">
    <cfRule type="notContainsBlanks" dxfId="158" priority="161">
      <formula>LEN(TRIM(AB1265))&gt;0</formula>
    </cfRule>
  </conditionalFormatting>
  <conditionalFormatting sqref="AB1265:AF1265">
    <cfRule type="notContainsBlanks" dxfId="157" priority="160">
      <formula>LEN(TRIM(AB1265))&gt;0</formula>
    </cfRule>
  </conditionalFormatting>
  <conditionalFormatting sqref="G1278:K1278">
    <cfRule type="notContainsBlanks" dxfId="156" priority="159">
      <formula>LEN(TRIM(G1278))&gt;0</formula>
    </cfRule>
  </conditionalFormatting>
  <conditionalFormatting sqref="G1278:K1278">
    <cfRule type="notContainsBlanks" dxfId="155" priority="158">
      <formula>LEN(TRIM(G1278))&gt;0</formula>
    </cfRule>
  </conditionalFormatting>
  <conditionalFormatting sqref="N1278:R1278">
    <cfRule type="notContainsBlanks" dxfId="154" priority="157">
      <formula>LEN(TRIM(N1278))&gt;0</formula>
    </cfRule>
  </conditionalFormatting>
  <conditionalFormatting sqref="N1278:R1278">
    <cfRule type="notContainsBlanks" dxfId="153" priority="156">
      <formula>LEN(TRIM(N1278))&gt;0</formula>
    </cfRule>
  </conditionalFormatting>
  <conditionalFormatting sqref="U1278:Y1278">
    <cfRule type="notContainsBlanks" dxfId="152" priority="155">
      <formula>LEN(TRIM(U1278))&gt;0</formula>
    </cfRule>
  </conditionalFormatting>
  <conditionalFormatting sqref="U1278:Y1278">
    <cfRule type="notContainsBlanks" dxfId="151" priority="154">
      <formula>LEN(TRIM(U1278))&gt;0</formula>
    </cfRule>
  </conditionalFormatting>
  <conditionalFormatting sqref="AB1278:AF1278">
    <cfRule type="notContainsBlanks" dxfId="150" priority="153">
      <formula>LEN(TRIM(AB1278))&gt;0</formula>
    </cfRule>
  </conditionalFormatting>
  <conditionalFormatting sqref="AB1278:AF1278">
    <cfRule type="notContainsBlanks" dxfId="149" priority="152">
      <formula>LEN(TRIM(AB1278))&gt;0</formula>
    </cfRule>
  </conditionalFormatting>
  <conditionalFormatting sqref="G1291:K1291">
    <cfRule type="notContainsBlanks" dxfId="148" priority="151">
      <formula>LEN(TRIM(G1291))&gt;0</formula>
    </cfRule>
  </conditionalFormatting>
  <conditionalFormatting sqref="G1291:K1291">
    <cfRule type="notContainsBlanks" dxfId="147" priority="150">
      <formula>LEN(TRIM(G1291))&gt;0</formula>
    </cfRule>
  </conditionalFormatting>
  <conditionalFormatting sqref="N1291:R1291">
    <cfRule type="notContainsBlanks" dxfId="146" priority="149">
      <formula>LEN(TRIM(N1291))&gt;0</formula>
    </cfRule>
  </conditionalFormatting>
  <conditionalFormatting sqref="N1291:R1291">
    <cfRule type="notContainsBlanks" dxfId="145" priority="148">
      <formula>LEN(TRIM(N1291))&gt;0</formula>
    </cfRule>
  </conditionalFormatting>
  <conditionalFormatting sqref="U1291:Y1291">
    <cfRule type="notContainsBlanks" dxfId="144" priority="147">
      <formula>LEN(TRIM(U1291))&gt;0</formula>
    </cfRule>
  </conditionalFormatting>
  <conditionalFormatting sqref="U1291:Y1291">
    <cfRule type="notContainsBlanks" dxfId="143" priority="146">
      <formula>LEN(TRIM(U1291))&gt;0</formula>
    </cfRule>
  </conditionalFormatting>
  <conditionalFormatting sqref="AB1291:AF1291">
    <cfRule type="notContainsBlanks" dxfId="142" priority="145">
      <formula>LEN(TRIM(AB1291))&gt;0</formula>
    </cfRule>
  </conditionalFormatting>
  <conditionalFormatting sqref="AB1291:AF1291">
    <cfRule type="notContainsBlanks" dxfId="141" priority="144">
      <formula>LEN(TRIM(AB1291))&gt;0</formula>
    </cfRule>
  </conditionalFormatting>
  <conditionalFormatting sqref="G1304:K1304">
    <cfRule type="notContainsBlanks" dxfId="140" priority="143">
      <formula>LEN(TRIM(G1304))&gt;0</formula>
    </cfRule>
  </conditionalFormatting>
  <conditionalFormatting sqref="G1304:K1304">
    <cfRule type="notContainsBlanks" dxfId="139" priority="142">
      <formula>LEN(TRIM(G1304))&gt;0</formula>
    </cfRule>
  </conditionalFormatting>
  <conditionalFormatting sqref="N1304:R1304">
    <cfRule type="notContainsBlanks" dxfId="138" priority="141">
      <formula>LEN(TRIM(N1304))&gt;0</formula>
    </cfRule>
  </conditionalFormatting>
  <conditionalFormatting sqref="N1304:R1304">
    <cfRule type="notContainsBlanks" dxfId="137" priority="140">
      <formula>LEN(TRIM(N1304))&gt;0</formula>
    </cfRule>
  </conditionalFormatting>
  <conditionalFormatting sqref="U1304:Y1304">
    <cfRule type="notContainsBlanks" dxfId="136" priority="139">
      <formula>LEN(TRIM(U1304))&gt;0</formula>
    </cfRule>
  </conditionalFormatting>
  <conditionalFormatting sqref="U1304:Y1304">
    <cfRule type="notContainsBlanks" dxfId="135" priority="138">
      <formula>LEN(TRIM(U1304))&gt;0</formula>
    </cfRule>
  </conditionalFormatting>
  <conditionalFormatting sqref="AB1304:AF1304">
    <cfRule type="notContainsBlanks" dxfId="134" priority="137">
      <formula>LEN(TRIM(AB1304))&gt;0</formula>
    </cfRule>
  </conditionalFormatting>
  <conditionalFormatting sqref="AB1304:AF1304">
    <cfRule type="notContainsBlanks" dxfId="133" priority="136">
      <formula>LEN(TRIM(AB1304))&gt;0</formula>
    </cfRule>
  </conditionalFormatting>
  <conditionalFormatting sqref="G1317:K1317">
    <cfRule type="notContainsBlanks" dxfId="132" priority="135">
      <formula>LEN(TRIM(G1317))&gt;0</formula>
    </cfRule>
  </conditionalFormatting>
  <conditionalFormatting sqref="G1317:K1317">
    <cfRule type="notContainsBlanks" dxfId="131" priority="134">
      <formula>LEN(TRIM(G1317))&gt;0</formula>
    </cfRule>
  </conditionalFormatting>
  <conditionalFormatting sqref="N1317:R1317">
    <cfRule type="notContainsBlanks" dxfId="130" priority="133">
      <formula>LEN(TRIM(N1317))&gt;0</formula>
    </cfRule>
  </conditionalFormatting>
  <conditionalFormatting sqref="N1317:R1317">
    <cfRule type="notContainsBlanks" dxfId="129" priority="132">
      <formula>LEN(TRIM(N1317))&gt;0</formula>
    </cfRule>
  </conditionalFormatting>
  <conditionalFormatting sqref="U1317:Y1317">
    <cfRule type="notContainsBlanks" dxfId="128" priority="131">
      <formula>LEN(TRIM(U1317))&gt;0</formula>
    </cfRule>
  </conditionalFormatting>
  <conditionalFormatting sqref="U1317:Y1317">
    <cfRule type="notContainsBlanks" dxfId="127" priority="130">
      <formula>LEN(TRIM(U1317))&gt;0</formula>
    </cfRule>
  </conditionalFormatting>
  <conditionalFormatting sqref="AB1317:AF1317">
    <cfRule type="notContainsBlanks" dxfId="126" priority="129">
      <formula>LEN(TRIM(AB1317))&gt;0</formula>
    </cfRule>
  </conditionalFormatting>
  <conditionalFormatting sqref="AB1317:AF1317">
    <cfRule type="notContainsBlanks" dxfId="125" priority="128">
      <formula>LEN(TRIM(AB1317))&gt;0</formula>
    </cfRule>
  </conditionalFormatting>
  <conditionalFormatting sqref="G1330:K1330">
    <cfRule type="notContainsBlanks" dxfId="124" priority="127">
      <formula>LEN(TRIM(G1330))&gt;0</formula>
    </cfRule>
  </conditionalFormatting>
  <conditionalFormatting sqref="G1330:K1330">
    <cfRule type="notContainsBlanks" dxfId="123" priority="126">
      <formula>LEN(TRIM(G1330))&gt;0</formula>
    </cfRule>
  </conditionalFormatting>
  <conditionalFormatting sqref="N1330:R1330">
    <cfRule type="notContainsBlanks" dxfId="122" priority="125">
      <formula>LEN(TRIM(N1330))&gt;0</formula>
    </cfRule>
  </conditionalFormatting>
  <conditionalFormatting sqref="N1330:R1330">
    <cfRule type="notContainsBlanks" dxfId="121" priority="124">
      <formula>LEN(TRIM(N1330))&gt;0</formula>
    </cfRule>
  </conditionalFormatting>
  <conditionalFormatting sqref="U1330:Y1330">
    <cfRule type="notContainsBlanks" dxfId="120" priority="123">
      <formula>LEN(TRIM(U1330))&gt;0</formula>
    </cfRule>
  </conditionalFormatting>
  <conditionalFormatting sqref="U1330:Y1330">
    <cfRule type="notContainsBlanks" dxfId="119" priority="122">
      <formula>LEN(TRIM(U1330))&gt;0</formula>
    </cfRule>
  </conditionalFormatting>
  <conditionalFormatting sqref="AB1330:AF1330">
    <cfRule type="notContainsBlanks" dxfId="118" priority="121">
      <formula>LEN(TRIM(AB1330))&gt;0</formula>
    </cfRule>
  </conditionalFormatting>
  <conditionalFormatting sqref="AB1330:AF1330">
    <cfRule type="notContainsBlanks" dxfId="117" priority="120">
      <formula>LEN(TRIM(AB1330))&gt;0</formula>
    </cfRule>
  </conditionalFormatting>
  <conditionalFormatting sqref="Z40:Z41 AG40:AG41 S40:S41 L40:L41">
    <cfRule type="notContainsBlanks" dxfId="116" priority="119">
      <formula>LEN(TRIM(L40))&gt;0</formula>
    </cfRule>
  </conditionalFormatting>
  <conditionalFormatting sqref="Z53:Z54 AG53:AG55 S53:S55">
    <cfRule type="notContainsBlanks" dxfId="115" priority="118">
      <formula>LEN(TRIM(S53))&gt;0</formula>
    </cfRule>
  </conditionalFormatting>
  <conditionalFormatting sqref="L66:L67 S66:S67 Z66:Z67 AG66:AG68">
    <cfRule type="notContainsBlanks" dxfId="114" priority="117">
      <formula>LEN(TRIM(L66))&gt;0</formula>
    </cfRule>
  </conditionalFormatting>
  <conditionalFormatting sqref="L79:L80 S79:S80 Z79:Z80 AG79:AG81">
    <cfRule type="notContainsBlanks" dxfId="113" priority="116">
      <formula>LEN(TRIM(L79))&gt;0</formula>
    </cfRule>
  </conditionalFormatting>
  <conditionalFormatting sqref="L92:L94 S92:S94 Z92:Z94 AG92:AG94 L105:L107 S105:S106 Z105:Z107 AG105:AG107">
    <cfRule type="notContainsBlanks" dxfId="112" priority="115">
      <formula>LEN(TRIM(L92))&gt;0</formula>
    </cfRule>
  </conditionalFormatting>
  <conditionalFormatting sqref="S118:S119 L118:L120 Z118:Z120 AG118:AG120 L131:L132 S131:S133 Z131:Z133 AG131:AG133">
    <cfRule type="notContainsBlanks" dxfId="111" priority="114">
      <formula>LEN(TRIM(L118))&gt;0</formula>
    </cfRule>
  </conditionalFormatting>
  <conditionalFormatting sqref="L144:L146 S144:S146 Z144:Z146 AG144:AG146 L157:L159 S157:S159 Z157:Z159 AG157:AG159">
    <cfRule type="notContainsBlanks" dxfId="110" priority="113">
      <formula>LEN(TRIM(L144))&gt;0</formula>
    </cfRule>
  </conditionalFormatting>
  <conditionalFormatting sqref="L170:L171 L183:L184 S183:S184 S170:S171 Z170:Z171 AG170:AG171">
    <cfRule type="notContainsBlanks" dxfId="109" priority="112">
      <formula>LEN(TRIM(L170))&gt;0</formula>
    </cfRule>
  </conditionalFormatting>
  <conditionalFormatting sqref="L196:L197 L209:L210 S196:S197 S209:S210 Z209:Z210 Z196:Z197 AG196:AG197 AG209:AG210">
    <cfRule type="notContainsBlanks" dxfId="108" priority="111">
      <formula>LEN(TRIM(L196))&gt;0</formula>
    </cfRule>
  </conditionalFormatting>
  <conditionalFormatting sqref="Z222:Z223 L235:L237 S235:S237 Z235:Z237 AG235:AG237 L222:L223">
    <cfRule type="notContainsBlanks" dxfId="107" priority="110">
      <formula>LEN(TRIM(L222))&gt;0</formula>
    </cfRule>
  </conditionalFormatting>
  <conditionalFormatting sqref="AG248:AG250 L261:L262 S261:S262 Z261:Z262 AG261:AG262 L248:L250 S248:S250 Z248:Z249">
    <cfRule type="notContainsBlanks" dxfId="106" priority="109">
      <formula>LEN(TRIM(L248))&gt;0</formula>
    </cfRule>
  </conditionalFormatting>
  <conditionalFormatting sqref="L274:L275 S274:S275 Z274:Z275 AG274:AG275 L287:L289 S287:S288 Z287:Z289 AG287:AG289">
    <cfRule type="notContainsBlanks" dxfId="105" priority="108">
      <formula>LEN(TRIM(L274))&gt;0</formula>
    </cfRule>
  </conditionalFormatting>
  <conditionalFormatting sqref="L313:L314 S313:S314 AG313:AG314 Z313:Z314 L300:L302 S300:S302 Z300:Z302 AG300:AG301">
    <cfRule type="notContainsBlanks" dxfId="104" priority="107">
      <formula>LEN(TRIM(L300))&gt;0</formula>
    </cfRule>
  </conditionalFormatting>
  <conditionalFormatting sqref="L326:L327 L339:L340 S326:S327 S339:S340 Z326:Z327 Z339:Z340 AG326:AG327 AG339:AG340">
    <cfRule type="notContainsBlanks" dxfId="103" priority="106">
      <formula>LEN(TRIM(L326))&gt;0</formula>
    </cfRule>
  </conditionalFormatting>
  <conditionalFormatting sqref="L352:L353 L365:L366 S352:S353 S365:S366 Z352:Z353 Z365:Z366 AG352:AG353 AG365:AG366">
    <cfRule type="notContainsBlanks" dxfId="102" priority="105">
      <formula>LEN(TRIM(L352))&gt;0</formula>
    </cfRule>
  </conditionalFormatting>
  <conditionalFormatting sqref="L378:L379 L391:L392 S378:S379 S391:S392 Z378:Z379 Z391:Z392 AG378:AG379 AG391:AG392">
    <cfRule type="notContainsBlanks" dxfId="101" priority="104">
      <formula>LEN(TRIM(L378))&gt;0</formula>
    </cfRule>
  </conditionalFormatting>
  <conditionalFormatting sqref="L404:L405 L417:L418 S404:S405 S417:S418 Z404:Z405 Z417:Z418 AG404:AG405 AG417:AG418">
    <cfRule type="notContainsBlanks" dxfId="100" priority="103">
      <formula>LEN(TRIM(L404))&gt;0</formula>
    </cfRule>
  </conditionalFormatting>
  <conditionalFormatting sqref="L430:L431 L443:L444 S430:S431 S443:S444 Z430:Z431 Z443:Z444 AG430:AG431 AG443:AG444">
    <cfRule type="notContainsBlanks" dxfId="99" priority="102">
      <formula>LEN(TRIM(L430))&gt;0</formula>
    </cfRule>
  </conditionalFormatting>
  <conditionalFormatting sqref="L456:L457 L469:L470 S456:S457 S469:S470 Z456:Z457 Z469:Z470 AG456:AG457 AG469:AG470">
    <cfRule type="notContainsBlanks" dxfId="98" priority="101">
      <formula>LEN(TRIM(L456))&gt;0</formula>
    </cfRule>
  </conditionalFormatting>
  <conditionalFormatting sqref="L482:L483 L495:L496 S482:S483 S495:S496 Z482:Z483 Z495:Z496 AG482:AG483 AG495:AG496">
    <cfRule type="notContainsBlanks" dxfId="97" priority="100">
      <formula>LEN(TRIM(L482))&gt;0</formula>
    </cfRule>
  </conditionalFormatting>
  <conditionalFormatting sqref="L508:L509 L521:L522 S508:S509 S521:S522 Z508:Z509 Z521:Z522 AG508:AG509 AG521:AG522">
    <cfRule type="notContainsBlanks" dxfId="96" priority="99">
      <formula>LEN(TRIM(L508))&gt;0</formula>
    </cfRule>
  </conditionalFormatting>
  <conditionalFormatting sqref="L534:L535 L547:L548 S534:S535 S547:S548 Z534:Z535 Z547:Z548 AG534:AG535 AG547:AG548">
    <cfRule type="notContainsBlanks" dxfId="95" priority="98">
      <formula>LEN(TRIM(L534))&gt;0</formula>
    </cfRule>
  </conditionalFormatting>
  <conditionalFormatting sqref="L560:L561 L573:L574 S560:S561 S573:S574 Z560:Z561 Z573:Z574 AG560:AG561 AG573:AG574">
    <cfRule type="notContainsBlanks" dxfId="94" priority="97">
      <formula>LEN(TRIM(L560))&gt;0</formula>
    </cfRule>
  </conditionalFormatting>
  <conditionalFormatting sqref="L586:L587 S586:S587 Z586:Z587 AG586:AG587">
    <cfRule type="notContainsBlanks" dxfId="93" priority="96">
      <formula>LEN(TRIM(L586))&gt;0</formula>
    </cfRule>
  </conditionalFormatting>
  <conditionalFormatting sqref="L599:L600 S599:S600 Z599:Z600 AG599:AG600 AG612:AG613 Z612:Z613 S612:S613 L612:L613">
    <cfRule type="notContainsBlanks" dxfId="92" priority="95">
      <formula>LEN(TRIM(L599))&gt;0</formula>
    </cfRule>
  </conditionalFormatting>
  <conditionalFormatting sqref="L625:L626 L638:L639 S625:S626 S638:S639 Z625:Z626 Z638:Z639 AG625:AG626 AG638:AG639">
    <cfRule type="notContainsBlanks" dxfId="91" priority="94">
      <formula>LEN(TRIM(L625))&gt;0</formula>
    </cfRule>
  </conditionalFormatting>
  <conditionalFormatting sqref="L651:L652 L664:L665 S651:S652 S664:S665 Z651:Z652 Z664:Z665 AG651:AG652 AG664:AG665">
    <cfRule type="notContainsBlanks" dxfId="90" priority="93">
      <formula>LEN(TRIM(L651))&gt;0</formula>
    </cfRule>
  </conditionalFormatting>
  <conditionalFormatting sqref="L677:L678 L690:L691 S677:S678 S690:S691 Z677:Z678 Z690:Z691 AG677:AG678 AG690:AG691">
    <cfRule type="notContainsBlanks" dxfId="89" priority="92">
      <formula>LEN(TRIM(L677))&gt;0</formula>
    </cfRule>
  </conditionalFormatting>
  <conditionalFormatting sqref="L703:L704 L716:L717 S703:S704 S716:S717 Z703:Z704 Z716:Z717 AG703:AG704 AG716:AG717">
    <cfRule type="notContainsBlanks" dxfId="88" priority="91">
      <formula>LEN(TRIM(L703))&gt;0</formula>
    </cfRule>
  </conditionalFormatting>
  <conditionalFormatting sqref="S729:S730 L729:L730 L742:L743 S742:S743 Z729:Z730 Z742:Z743 AG729:AG730 AG742:AG743">
    <cfRule type="notContainsBlanks" dxfId="87" priority="90">
      <formula>LEN(TRIM(L729))&gt;0</formula>
    </cfRule>
  </conditionalFormatting>
  <conditionalFormatting sqref="L755:L756 L768:L769 S755:S756 S768:S769 Z755:Z756 Z768:Z769 AG755:AG756 AG768:AG769">
    <cfRule type="notContainsBlanks" dxfId="86" priority="89">
      <formula>LEN(TRIM(L755))&gt;0</formula>
    </cfRule>
  </conditionalFormatting>
  <conditionalFormatting sqref="L781:L782 S781:S782 Z781:Z782 L794:L795 S794:S795 Z794:Z795 AG794:AG795">
    <cfRule type="notContainsBlanks" dxfId="85" priority="88">
      <formula>LEN(TRIM(L781))&gt;0</formula>
    </cfRule>
  </conditionalFormatting>
  <conditionalFormatting sqref="L807:L808 L820:L821 S807:S808 S820:S821 Z807:Z808 Z820:Z821 AG807:AG808 AG820:AG821">
    <cfRule type="notContainsBlanks" dxfId="84" priority="87">
      <formula>LEN(TRIM(L807))&gt;0</formula>
    </cfRule>
  </conditionalFormatting>
  <conditionalFormatting sqref="L833:L834 L846:L847 S833:S834 S846:S847 Z846:Z847 Z833:Z834 AG833:AG834 AG846:AG847">
    <cfRule type="notContainsBlanks" dxfId="83" priority="86">
      <formula>LEN(TRIM(L833))&gt;0</formula>
    </cfRule>
  </conditionalFormatting>
  <conditionalFormatting sqref="L859:L860 L872:L873 S859:S860 S872:S873 Z859:Z860 Z872:Z873 AG859:AG860 AG872:AG873">
    <cfRule type="notContainsBlanks" dxfId="82" priority="85">
      <formula>LEN(TRIM(L859))&gt;0</formula>
    </cfRule>
  </conditionalFormatting>
  <conditionalFormatting sqref="L885:L886 L898:L899 S885:S886 S898:S899 Z885:Z886 Z898:Z899 AG885:AG886 AG898:AG899">
    <cfRule type="notContainsBlanks" dxfId="81" priority="84">
      <formula>LEN(TRIM(L885))&gt;0</formula>
    </cfRule>
  </conditionalFormatting>
  <conditionalFormatting sqref="L911:L912 L924:L925 S911:S912 S924:S925 Z911:Z912 Z924:Z925 AG911:AG912 AG924:AG925">
    <cfRule type="notContainsBlanks" dxfId="80" priority="83">
      <formula>LEN(TRIM(L911))&gt;0</formula>
    </cfRule>
  </conditionalFormatting>
  <conditionalFormatting sqref="L937:L938 L950:L951 S937:S938 S950:S951 Z937:Z938 Z950:Z951 AG937:AG938 AG950:AG951">
    <cfRule type="notContainsBlanks" dxfId="79" priority="82">
      <formula>LEN(TRIM(L937))&gt;0</formula>
    </cfRule>
  </conditionalFormatting>
  <conditionalFormatting sqref="L963:L964 L976:L977 S963:S964 S976:S977 Z963:Z964 Z976:Z977 AG963:AG964 AG976:AG977">
    <cfRule type="notContainsBlanks" dxfId="78" priority="81">
      <formula>LEN(TRIM(L963))&gt;0</formula>
    </cfRule>
  </conditionalFormatting>
  <conditionalFormatting sqref="L989:L990 L1002:L1003 S989:S990 S1002:S1003 Z989:Z990 Z1002:Z1003 AG989:AG990 AG1002:AG1003">
    <cfRule type="notContainsBlanks" dxfId="77" priority="80">
      <formula>LEN(TRIM(L989))&gt;0</formula>
    </cfRule>
  </conditionalFormatting>
  <conditionalFormatting sqref="L1015:L1016 L1028:L1029 S1015:S1016 S1028:S1029 Z1015:Z1016 Z1028:Z1029 AG1015:AG1016 AG1028:AG1029">
    <cfRule type="notContainsBlanks" dxfId="76" priority="79">
      <formula>LEN(TRIM(L1015))&gt;0</formula>
    </cfRule>
  </conditionalFormatting>
  <conditionalFormatting sqref="L1041:L1042 L1054:L1055 S1041:S1042 S1054:S1055 Z1041:Z1042 Z1054:Z1055 AG1041:AG1042 AG1054:AG1055">
    <cfRule type="notContainsBlanks" dxfId="75" priority="78">
      <formula>LEN(TRIM(L1041))&gt;0</formula>
    </cfRule>
  </conditionalFormatting>
  <conditionalFormatting sqref="L1067:L1068 L1080:L1081 S1067:S1068 S1080:S1081 Z1067:Z1068 Z1080:Z1081 AG1067:AG1068 AG1080:AG1081">
    <cfRule type="notContainsBlanks" dxfId="74" priority="77">
      <formula>LEN(TRIM(L1067))&gt;0</formula>
    </cfRule>
  </conditionalFormatting>
  <conditionalFormatting sqref="L1093:L1094 S1093:S1094 Z1093:Z1094 AG1093:AG1094 L1106:L1107 S1106:S1107 Z1106:Z1107 AG1106:AG1107">
    <cfRule type="notContainsBlanks" dxfId="73" priority="76">
      <formula>LEN(TRIM(L1093))&gt;0</formula>
    </cfRule>
  </conditionalFormatting>
  <conditionalFormatting sqref="L1119:L1120 L1132:L1133 S1119:S1120 S1132:S1133 Z1119:Z1120 Z1132:Z1133 AG1119:AG1120 AG1132:AG1133">
    <cfRule type="notContainsBlanks" dxfId="72" priority="75">
      <formula>LEN(TRIM(L1119))&gt;0</formula>
    </cfRule>
  </conditionalFormatting>
  <conditionalFormatting sqref="L1145:L1146 L1158:L1159 S1145:S1146 S1158:S1159 Z1145:Z1146 Z1158:Z1159 AG1145:AG1146 AG1158:AG1159">
    <cfRule type="notContainsBlanks" dxfId="71" priority="74">
      <formula>LEN(TRIM(L1145))&gt;0</formula>
    </cfRule>
  </conditionalFormatting>
  <conditionalFormatting sqref="L1171:L1172 L1184:L1185 S1171:S1172 S1184:S1185 AA1170 Z1171:Z1172 AG1171:AG1172 Z1184:Z1185 AG1184:AG1185">
    <cfRule type="notContainsBlanks" dxfId="70" priority="73">
      <formula>LEN(TRIM(L1170))&gt;0</formula>
    </cfRule>
  </conditionalFormatting>
  <conditionalFormatting sqref="L1197:L1198 L1210:L1211 L1223:L1224 S1197:S1198 S1210:S1211 S1223:S1224 Z1197:Z1198 Z1210:Z1211 Z1223:Z1224 AG1197:AG1198 AG1210:AG1211 AG1223:AG1224">
    <cfRule type="notContainsBlanks" dxfId="69" priority="72">
      <formula>LEN(TRIM(L1197))&gt;0</formula>
    </cfRule>
  </conditionalFormatting>
  <conditionalFormatting sqref="L1236:L1237 L1249:L1250 L1262:L1263 S1236:S1237 S1249:S1250 S1262:S1263 Z1236:Z1237 Z1249:Z1250 Z1262:Z1263 AG1236:AG1237 AG1249:AG1250 AG1262:AG1263">
    <cfRule type="notContainsBlanks" dxfId="68" priority="71">
      <formula>LEN(TRIM(L1236))&gt;0</formula>
    </cfRule>
  </conditionalFormatting>
  <conditionalFormatting sqref="L1275:L1276 L1288:L1289 L1301:L1302 S1275:S1276 S1288:S1289 S1301:S1302 Z1275:Z1276 Z1288:Z1289 Z1301:Z1302 AG1275:AG1276 AG1288:AG1289 AG1301:AG1302">
    <cfRule type="notContainsBlanks" dxfId="67" priority="70">
      <formula>LEN(TRIM(L1275))&gt;0</formula>
    </cfRule>
  </conditionalFormatting>
  <conditionalFormatting sqref="L1314:L1315 L1327:L1328 S1314:S1315 S1327:S1328 Z1314:Z1315 Z1327:Z1328 AG1314:AG1315 AG1327:AG1328">
    <cfRule type="notContainsBlanks" dxfId="66" priority="69">
      <formula>LEN(TRIM(L1314))&gt;0</formula>
    </cfRule>
  </conditionalFormatting>
  <conditionalFormatting sqref="Z183:Z185">
    <cfRule type="notContainsBlanks" dxfId="65" priority="61">
      <formula>LEN(TRIM(Z183))&gt;0</formula>
    </cfRule>
  </conditionalFormatting>
  <conditionalFormatting sqref="Z183:Z185">
    <cfRule type="notContainsBlanks" dxfId="64" priority="60">
      <formula>LEN(TRIM(Z183))&gt;0</formula>
    </cfRule>
  </conditionalFormatting>
  <conditionalFormatting sqref="AG183:AG185">
    <cfRule type="notContainsBlanks" dxfId="63" priority="52">
      <formula>LEN(TRIM(AG183))&gt;0</formula>
    </cfRule>
  </conditionalFormatting>
  <conditionalFormatting sqref="AG183:AG185">
    <cfRule type="notContainsBlanks" dxfId="62" priority="51">
      <formula>LEN(TRIM(AG183))&gt;0</formula>
    </cfRule>
  </conditionalFormatting>
  <conditionalFormatting sqref="I42:K42">
    <cfRule type="notContainsBlanks" dxfId="61" priority="50">
      <formula>LEN(TRIM(I42))&gt;0</formula>
    </cfRule>
  </conditionalFormatting>
  <conditionalFormatting sqref="D1357:G1357">
    <cfRule type="notContainsBlanks" dxfId="60" priority="2">
      <formula>LEN(TRIM(D1357))&gt;0</formula>
    </cfRule>
  </conditionalFormatting>
  <conditionalFormatting sqref="D1358:G1358">
    <cfRule type="notContainsBlanks" dxfId="59" priority="1">
      <formula>LEN(TRIM(D1358))&gt;0</formula>
    </cfRule>
  </conditionalFormatting>
  <dataValidations count="1">
    <dataValidation type="list" allowBlank="1" showInputMessage="1" showErrorMessage="1" sqref="B40 B53 B66 B79 B92 B105 B118 B131 B144 B157 B170 B183 B196 B209 B222 B235 B248 B261 B274 B287 B300 B313 B326 B339 B352 B365 B378 B391 B404 B417 B430 B443 B456 B469 B482 B495 B508 B521 B534 B547 B560 B573 B586 B599 B612 B625 B638 B651 B664 B677 B690 B703 B716 B729 B742 B755 B768 B781 B794 B807 B820 B833 B846 B859 B872 B885 B898 B911 B924 B937 B950 B963 B976 B989 B1002 B1015 B1028 B1041 B1054 B1067 B1080 B1093 B1106 B1119 B1132 B1145 B1158 B1171 B1184 B1197 B1210 B1223 B1236 B1249 B1262 B1275 B1288 B1301 B1314 B1327">
      <formula1>$P$23:$P$25</formula1>
    </dataValidation>
  </dataValidations>
  <hyperlinks>
    <hyperlink ref="I11" location="'01_Доходи'!A31" display="зелений список"/>
    <hyperlink ref="I13" location="'01_Доходи'!A1347" display="інші доходи"/>
  </hyperlinks>
  <pageMargins left="0.7" right="0.7" top="0.75" bottom="0.75" header="0.3" footer="0.3"/>
  <pageSetup paperSize="9" orientation="portrait" r:id="rId1"/>
  <ignoredErrors>
    <ignoredError sqref="G47:K47 G46:K46 H33:J33 Q33" evalError="1"/>
    <ignoredError sqref="G25:H25 E25" unlockedFormula="1"/>
    <ignoredError sqref="F25" evalError="1" unlockedFormula="1"/>
  </ignoredErrors>
  <drawing r:id="rId2"/>
  <legacyDrawing r:id="rId3"/>
</worksheet>
</file>

<file path=xl/worksheets/sheet6.xml><?xml version="1.0" encoding="utf-8"?>
<worksheet xmlns="http://schemas.openxmlformats.org/spreadsheetml/2006/main" xmlns:r="http://schemas.openxmlformats.org/officeDocument/2006/relationships">
  <dimension ref="A1:BL207"/>
  <sheetViews>
    <sheetView showGridLines="0" view="pageBreakPreview" topLeftCell="A171" zoomScale="60" zoomScaleNormal="55" workbookViewId="0">
      <selection activeCell="J136" sqref="J136"/>
    </sheetView>
  </sheetViews>
  <sheetFormatPr defaultRowHeight="20.25"/>
  <cols>
    <col min="1" max="2" width="5.7109375" style="63" customWidth="1"/>
    <col min="3" max="3" width="28.140625" style="63" customWidth="1"/>
    <col min="4" max="4" width="37" style="63" customWidth="1"/>
    <col min="5" max="5" width="17.7109375" style="63" customWidth="1"/>
    <col min="6" max="6" width="16.7109375" style="63" customWidth="1"/>
    <col min="7" max="7" width="24.7109375" style="63" customWidth="1"/>
    <col min="8" max="8" width="20.85546875" style="63" customWidth="1"/>
    <col min="9" max="11" width="13.140625" style="63" customWidth="1"/>
    <col min="12" max="12" width="14.85546875" style="63" customWidth="1"/>
    <col min="13" max="13" width="14.7109375" style="63" customWidth="1"/>
    <col min="14" max="14" width="17.28515625" style="63" customWidth="1"/>
    <col min="15" max="15" width="15.7109375" style="63" customWidth="1"/>
    <col min="16" max="16" width="14.42578125" style="63" customWidth="1"/>
    <col min="17" max="17" width="16" style="276" customWidth="1"/>
    <col min="18" max="18" width="14.28515625" style="63" customWidth="1"/>
    <col min="19" max="21" width="13.140625" style="63" customWidth="1"/>
    <col min="22" max="22" width="15.5703125" style="276" customWidth="1"/>
    <col min="23" max="26" width="13.140625" style="339" customWidth="1"/>
    <col min="27" max="27" width="14.85546875" style="276" customWidth="1"/>
    <col min="28" max="31" width="13.140625" style="63" customWidth="1"/>
    <col min="32" max="32" width="13.140625" style="276" customWidth="1"/>
    <col min="33" max="36" width="13.140625" style="63" customWidth="1"/>
    <col min="37" max="37" width="13.140625" style="276" customWidth="1"/>
    <col min="38" max="41" width="13.140625" style="63" customWidth="1"/>
    <col min="42" max="42" width="17.42578125" style="276" customWidth="1"/>
    <col min="43" max="43" width="17" style="783" customWidth="1"/>
    <col min="44" max="46" width="20.42578125" style="63" customWidth="1"/>
    <col min="47" max="47" width="15" style="276" customWidth="1"/>
    <col min="48" max="49" width="12.85546875" style="353" customWidth="1"/>
    <col min="50" max="50" width="15.85546875" style="353" customWidth="1"/>
    <col min="51" max="51" width="12.85546875" style="353" customWidth="1"/>
    <col min="52" max="52" width="12.28515625" style="276" customWidth="1"/>
    <col min="53" max="53" width="10.5703125" style="63" customWidth="1"/>
    <col min="54" max="57" width="16.7109375" style="63" customWidth="1"/>
    <col min="58" max="58" width="16.7109375" style="276" customWidth="1"/>
    <col min="59" max="59" width="7.5703125" style="63" customWidth="1"/>
    <col min="60" max="64" width="19.42578125" style="63" customWidth="1"/>
    <col min="65" max="65" width="11.85546875" style="63" customWidth="1"/>
    <col min="66" max="66" width="15" style="63" customWidth="1"/>
    <col min="67" max="67" width="14.5703125" style="63" customWidth="1"/>
    <col min="68" max="85" width="14" style="63" customWidth="1"/>
    <col min="86" max="86" width="14.140625" style="63" customWidth="1"/>
    <col min="87" max="87" width="15.140625" style="63" customWidth="1"/>
    <col min="88" max="88" width="18.85546875" style="63" customWidth="1"/>
    <col min="89" max="89" width="24.28515625" style="63" customWidth="1"/>
    <col min="90" max="94" width="17.85546875" style="63" customWidth="1"/>
    <col min="95" max="95" width="15.85546875" style="63" customWidth="1"/>
    <col min="96" max="97" width="19.7109375" style="63" customWidth="1"/>
    <col min="98" max="98" width="23.42578125" style="63" customWidth="1"/>
    <col min="99" max="99" width="11.85546875" style="63" customWidth="1"/>
    <col min="100" max="100" width="16.28515625" style="63" customWidth="1"/>
    <col min="101" max="103" width="11.85546875" style="63" customWidth="1"/>
    <col min="104" max="104" width="17" style="63" customWidth="1"/>
    <col min="105" max="105" width="16.5703125" style="63" customWidth="1"/>
    <col min="106" max="107" width="11.85546875" style="63" customWidth="1"/>
    <col min="108" max="108" width="23.28515625" style="63" customWidth="1"/>
    <col min="109" max="109" width="22.28515625" style="63" customWidth="1"/>
    <col min="110" max="110" width="26.28515625" style="63" customWidth="1"/>
    <col min="111" max="111" width="16.140625" style="63" customWidth="1"/>
    <col min="112" max="112" width="11.85546875" style="63" customWidth="1"/>
    <col min="113" max="113" width="19.140625" style="63" customWidth="1"/>
    <col min="114" max="114" width="21" style="63" customWidth="1"/>
    <col min="115" max="115" width="16.7109375" style="63" customWidth="1"/>
    <col min="116" max="116" width="19.5703125" style="63" customWidth="1"/>
    <col min="117" max="117" width="11.85546875" style="63" customWidth="1"/>
    <col min="118" max="118" width="20.42578125" style="63" customWidth="1"/>
    <col min="119" max="119" width="16.7109375" style="63" customWidth="1"/>
    <col min="120" max="140" width="19" style="63" customWidth="1"/>
    <col min="141" max="145" width="11.85546875" style="63" customWidth="1"/>
    <col min="146" max="146" width="18.7109375" style="63" customWidth="1"/>
    <col min="147" max="16384" width="9.140625" style="63"/>
  </cols>
  <sheetData>
    <row r="1" spans="1:64" s="60" customFormat="1">
      <c r="Q1" s="350"/>
      <c r="V1" s="350"/>
      <c r="W1" s="768"/>
      <c r="X1" s="768"/>
      <c r="Y1" s="768"/>
      <c r="Z1" s="768"/>
      <c r="AA1" s="350"/>
      <c r="AF1" s="350"/>
      <c r="AK1" s="350"/>
      <c r="AP1" s="350"/>
      <c r="AQ1" s="783"/>
      <c r="AU1" s="350"/>
      <c r="AV1" s="61"/>
      <c r="AW1" s="61"/>
      <c r="AX1" s="61"/>
      <c r="AY1" s="61"/>
      <c r="AZ1" s="350"/>
      <c r="BF1" s="350"/>
    </row>
    <row r="2" spans="1:64" ht="25.5">
      <c r="A2" s="1127" t="s">
        <v>759</v>
      </c>
      <c r="B2" s="1127"/>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c r="AM2" s="62"/>
      <c r="AN2" s="62"/>
      <c r="AO2" s="62"/>
      <c r="AP2" s="351"/>
      <c r="AQ2" s="784"/>
      <c r="AR2" s="62"/>
      <c r="AS2" s="62"/>
      <c r="AT2" s="62"/>
      <c r="AU2" s="351"/>
      <c r="AV2" s="62"/>
      <c r="AW2" s="62"/>
      <c r="AX2" s="62"/>
      <c r="AY2" s="62"/>
    </row>
    <row r="3" spans="1:64" ht="26.25" thickBot="1">
      <c r="J3" s="139"/>
      <c r="K3" s="139"/>
      <c r="L3" s="139"/>
      <c r="M3" s="139"/>
      <c r="N3" s="139"/>
      <c r="O3" s="139"/>
      <c r="P3" s="139"/>
      <c r="Q3" s="352"/>
      <c r="R3" s="139"/>
      <c r="S3" s="139"/>
      <c r="T3" s="139"/>
      <c r="U3" s="139"/>
      <c r="V3" s="352"/>
      <c r="W3" s="668"/>
      <c r="X3" s="668"/>
      <c r="Y3" s="668"/>
      <c r="Z3" s="668"/>
      <c r="AA3" s="352"/>
      <c r="AB3" s="139"/>
      <c r="AC3" s="139"/>
      <c r="AD3" s="139"/>
      <c r="AE3" s="139"/>
      <c r="AF3" s="352"/>
    </row>
    <row r="4" spans="1:64" ht="46.5" thickTop="1" thickBot="1">
      <c r="C4" s="1128" t="s">
        <v>591</v>
      </c>
      <c r="D4" s="1129"/>
      <c r="E4" s="1129"/>
      <c r="F4" s="1129"/>
      <c r="G4" s="1129"/>
      <c r="H4" s="1129"/>
      <c r="I4" s="1130"/>
      <c r="J4" s="113"/>
      <c r="K4" s="113"/>
    </row>
    <row r="5" spans="1:64" ht="24" thickTop="1" thickBot="1">
      <c r="C5" s="113"/>
      <c r="D5" s="113"/>
      <c r="E5" s="113"/>
      <c r="F5" s="113"/>
      <c r="G5" s="113"/>
      <c r="H5" s="113"/>
      <c r="I5" s="354"/>
      <c r="J5" s="354"/>
      <c r="K5" s="354"/>
      <c r="L5" s="354"/>
      <c r="M5" s="354"/>
      <c r="N5" s="354"/>
      <c r="O5" s="354"/>
      <c r="P5" s="354"/>
      <c r="Q5" s="355"/>
      <c r="R5" s="354"/>
      <c r="S5" s="354"/>
      <c r="T5" s="354"/>
      <c r="U5" s="354"/>
      <c r="V5" s="355"/>
      <c r="W5" s="769"/>
      <c r="X5" s="769"/>
      <c r="Y5" s="769"/>
      <c r="Z5" s="769"/>
      <c r="AA5" s="355"/>
      <c r="AB5" s="354"/>
      <c r="AC5" s="354"/>
      <c r="AD5" s="354"/>
      <c r="AE5" s="354"/>
      <c r="AF5" s="355"/>
    </row>
    <row r="6" spans="1:64" ht="27" customHeight="1">
      <c r="C6" s="1131" t="str">
        <f ca="1">'0_Загальне'!B11</f>
        <v>Офіційна повна назва надавача ПМД:</v>
      </c>
      <c r="D6" s="1132"/>
      <c r="E6" s="1132"/>
      <c r="F6" s="1135" t="str">
        <f ca="1">'0_Загальне'!C11</f>
        <v>Комунальне некомерційне підприємство "Рожищнський центр первинної медико-санітарної допомоги" Рожищенської міської ради</v>
      </c>
      <c r="G6" s="1135"/>
      <c r="H6" s="1136"/>
      <c r="I6" s="354"/>
      <c r="J6" s="354"/>
      <c r="K6" s="354"/>
      <c r="L6" s="354"/>
      <c r="M6" s="354"/>
      <c r="N6" s="354"/>
      <c r="O6" s="354"/>
      <c r="P6" s="354"/>
      <c r="Q6" s="355"/>
      <c r="R6" s="354"/>
      <c r="S6" s="354"/>
      <c r="T6" s="354"/>
      <c r="U6" s="354"/>
      <c r="V6" s="355"/>
      <c r="W6" s="769"/>
      <c r="X6" s="769"/>
      <c r="Y6" s="769"/>
      <c r="Z6" s="769"/>
      <c r="AA6" s="355"/>
      <c r="AB6" s="354"/>
      <c r="AC6" s="354"/>
      <c r="AD6" s="354"/>
      <c r="AE6" s="354"/>
      <c r="AF6" s="355"/>
    </row>
    <row r="7" spans="1:64" ht="25.15" customHeight="1">
      <c r="C7" s="1133" t="str">
        <f ca="1">'0_Загальне'!B32</f>
        <v>Плановий період (рік):</v>
      </c>
      <c r="D7" s="1134"/>
      <c r="E7" s="1134"/>
      <c r="F7" s="1137">
        <f ca="1">'0_Загальне'!C32</f>
        <v>2022</v>
      </c>
      <c r="G7" s="1137"/>
      <c r="H7" s="1138"/>
      <c r="I7" s="354"/>
      <c r="J7" s="354"/>
      <c r="K7" s="354"/>
      <c r="L7" s="354"/>
      <c r="M7" s="354"/>
      <c r="N7" s="354"/>
      <c r="O7" s="354"/>
      <c r="P7" s="354"/>
      <c r="Q7" s="355"/>
      <c r="R7" s="354"/>
      <c r="S7" s="354"/>
      <c r="T7" s="354"/>
      <c r="U7" s="354"/>
      <c r="V7" s="355"/>
      <c r="W7" s="769"/>
      <c r="X7" s="769"/>
      <c r="Y7" s="769"/>
      <c r="Z7" s="769"/>
      <c r="AA7" s="355"/>
      <c r="AB7" s="354"/>
      <c r="AC7" s="354"/>
      <c r="AD7" s="354"/>
      <c r="AE7" s="354"/>
      <c r="AF7" s="355"/>
    </row>
    <row r="8" spans="1:64" ht="25.15" customHeight="1" thickBot="1">
      <c r="C8" s="1158" t="s">
        <v>671</v>
      </c>
      <c r="D8" s="1159"/>
      <c r="E8" s="1159"/>
      <c r="F8" s="1160" t="str">
        <f ca="1">'0_Загальне'!C34</f>
        <v>01.11.2021</v>
      </c>
      <c r="G8" s="1160"/>
      <c r="H8" s="1161"/>
      <c r="I8" s="354"/>
      <c r="J8" s="354"/>
      <c r="K8" s="354"/>
      <c r="L8" s="354"/>
      <c r="M8" s="354"/>
      <c r="N8" s="354"/>
      <c r="O8" s="354"/>
      <c r="P8" s="354"/>
      <c r="Q8" s="355"/>
      <c r="R8" s="354"/>
      <c r="S8" s="354"/>
      <c r="T8" s="354"/>
      <c r="U8" s="354"/>
      <c r="V8" s="355"/>
      <c r="W8" s="769"/>
      <c r="X8" s="769"/>
      <c r="Y8" s="769"/>
      <c r="Z8" s="769"/>
      <c r="AA8" s="355"/>
      <c r="AB8" s="354"/>
      <c r="AC8" s="354"/>
      <c r="AD8" s="354"/>
      <c r="AE8" s="354"/>
      <c r="AF8" s="355"/>
    </row>
    <row r="9" spans="1:64" ht="21" thickBot="1">
      <c r="C9" s="358"/>
      <c r="D9" s="358"/>
      <c r="E9" s="358"/>
      <c r="F9" s="358"/>
      <c r="G9" s="358"/>
      <c r="H9" s="542"/>
      <c r="I9" s="354"/>
      <c r="J9" s="354"/>
      <c r="K9" s="354"/>
      <c r="L9" s="354"/>
      <c r="M9" s="354"/>
      <c r="N9" s="354"/>
      <c r="O9" s="354"/>
      <c r="P9" s="354"/>
      <c r="Q9" s="355"/>
      <c r="R9" s="354"/>
      <c r="S9" s="354"/>
      <c r="T9" s="354"/>
      <c r="U9" s="354"/>
      <c r="V9" s="355"/>
      <c r="W9" s="769"/>
      <c r="X9" s="769"/>
      <c r="Y9" s="769"/>
      <c r="Z9" s="769"/>
      <c r="AA9" s="355"/>
      <c r="AB9" s="354"/>
      <c r="AC9" s="354"/>
      <c r="AD9" s="354"/>
      <c r="AE9" s="354"/>
      <c r="AF9" s="355"/>
      <c r="AG9" s="354"/>
      <c r="AH9" s="354"/>
      <c r="AI9" s="354"/>
      <c r="AJ9" s="354"/>
      <c r="AK9" s="355"/>
    </row>
    <row r="10" spans="1:64" ht="42" customHeight="1">
      <c r="C10" s="1150" t="s">
        <v>611</v>
      </c>
      <c r="D10" s="1151"/>
      <c r="E10" s="1152"/>
      <c r="F10" s="354"/>
      <c r="G10" s="1139" t="s">
        <v>590</v>
      </c>
      <c r="H10" s="543" t="s">
        <v>458</v>
      </c>
      <c r="I10" s="354"/>
      <c r="J10" s="354"/>
      <c r="K10" s="354"/>
      <c r="L10" s="354"/>
      <c r="M10" s="354"/>
      <c r="N10" s="354"/>
      <c r="O10" s="354"/>
      <c r="P10" s="354"/>
      <c r="Q10" s="355"/>
      <c r="R10" s="354"/>
      <c r="S10" s="354"/>
      <c r="T10" s="354"/>
      <c r="U10" s="354"/>
      <c r="V10" s="355"/>
      <c r="W10" s="769"/>
      <c r="X10" s="769"/>
      <c r="Y10" s="769"/>
      <c r="Z10" s="769"/>
      <c r="AA10" s="355"/>
      <c r="AB10" s="354"/>
      <c r="AC10" s="354"/>
      <c r="AD10" s="354"/>
      <c r="AE10" s="354"/>
      <c r="AF10" s="355"/>
      <c r="AG10" s="354"/>
      <c r="AH10" s="354"/>
      <c r="AI10" s="354"/>
      <c r="AJ10" s="354"/>
      <c r="AK10" s="355"/>
    </row>
    <row r="11" spans="1:64" ht="55.15" customHeight="1">
      <c r="C11" s="1153" t="s">
        <v>782</v>
      </c>
      <c r="D11" s="1154"/>
      <c r="E11" s="1155"/>
      <c r="F11" s="354"/>
      <c r="G11" s="1140"/>
      <c r="H11" s="544" t="s">
        <v>459</v>
      </c>
      <c r="I11" s="354"/>
      <c r="J11" s="354"/>
      <c r="K11" s="354"/>
      <c r="L11" s="354"/>
      <c r="M11" s="354"/>
      <c r="N11" s="354"/>
      <c r="O11" s="354"/>
      <c r="P11" s="354"/>
      <c r="Q11" s="355"/>
      <c r="R11" s="354"/>
      <c r="S11" s="354"/>
      <c r="T11" s="354"/>
      <c r="U11" s="354"/>
      <c r="V11" s="355"/>
      <c r="W11" s="769"/>
      <c r="X11" s="769"/>
      <c r="Y11" s="769"/>
      <c r="Z11" s="769"/>
      <c r="AA11" s="355"/>
      <c r="AB11" s="354"/>
      <c r="AC11" s="354"/>
      <c r="AD11" s="354"/>
      <c r="AE11" s="354"/>
      <c r="AF11" s="355"/>
      <c r="AG11" s="354"/>
      <c r="AH11" s="354"/>
      <c r="AI11" s="354"/>
      <c r="AJ11" s="354"/>
      <c r="AK11" s="355"/>
    </row>
    <row r="12" spans="1:64" ht="47.25" customHeight="1" thickBot="1">
      <c r="C12" s="1142" t="s">
        <v>690</v>
      </c>
      <c r="D12" s="1143"/>
      <c r="E12" s="1144"/>
      <c r="F12" s="349"/>
      <c r="G12" s="1141"/>
      <c r="H12" s="545" t="s">
        <v>460</v>
      </c>
      <c r="I12" s="354"/>
      <c r="J12" s="354"/>
      <c r="K12" s="354"/>
      <c r="L12" s="354"/>
      <c r="M12" s="354"/>
      <c r="N12" s="354"/>
      <c r="O12" s="354"/>
      <c r="P12" s="354"/>
      <c r="Q12" s="355"/>
      <c r="R12" s="354"/>
      <c r="S12" s="354"/>
      <c r="T12" s="354"/>
      <c r="U12" s="354"/>
      <c r="V12" s="355"/>
      <c r="W12" s="769"/>
      <c r="X12" s="769"/>
      <c r="Y12" s="769"/>
      <c r="Z12" s="769"/>
      <c r="AA12" s="355"/>
      <c r="AB12" s="354"/>
      <c r="AC12" s="354"/>
      <c r="AD12" s="354"/>
      <c r="AE12" s="354"/>
      <c r="AF12" s="355"/>
      <c r="AG12" s="354"/>
      <c r="AH12" s="354"/>
      <c r="AI12" s="354"/>
      <c r="AJ12" s="354"/>
      <c r="AK12" s="355"/>
    </row>
    <row r="13" spans="1:64" ht="31.5" customHeight="1" thickBot="1">
      <c r="C13" s="1145" t="s">
        <v>691</v>
      </c>
      <c r="D13" s="1146"/>
      <c r="E13" s="1147"/>
      <c r="F13" s="45"/>
      <c r="G13" s="45"/>
      <c r="H13" s="45"/>
      <c r="I13" s="354"/>
      <c r="J13" s="354"/>
      <c r="K13" s="354"/>
      <c r="L13" s="354"/>
      <c r="M13" s="354"/>
      <c r="N13" s="354"/>
      <c r="O13" s="354"/>
      <c r="P13" s="354"/>
      <c r="Q13" s="355"/>
      <c r="R13" s="354"/>
      <c r="S13" s="354"/>
      <c r="T13" s="354"/>
      <c r="U13" s="354"/>
      <c r="V13" s="355"/>
      <c r="W13" s="769"/>
      <c r="X13" s="769"/>
      <c r="Y13" s="769"/>
      <c r="Z13" s="769"/>
      <c r="AA13" s="355"/>
      <c r="AB13" s="354"/>
      <c r="AC13" s="354"/>
      <c r="AD13" s="354"/>
      <c r="AE13" s="354"/>
      <c r="AF13" s="355"/>
      <c r="AG13" s="354"/>
      <c r="AH13" s="354"/>
      <c r="AI13" s="354"/>
      <c r="AJ13" s="354"/>
      <c r="AK13" s="355"/>
    </row>
    <row r="14" spans="1:64" hidden="1">
      <c r="C14" s="349"/>
      <c r="D14" s="349"/>
      <c r="E14" s="349"/>
      <c r="F14" s="349"/>
      <c r="G14" s="349"/>
      <c r="H14" s="349"/>
      <c r="I14" s="354"/>
      <c r="J14" s="354"/>
      <c r="K14" s="354"/>
      <c r="L14" s="354"/>
      <c r="M14" s="354"/>
      <c r="N14" s="354"/>
      <c r="O14" s="354"/>
      <c r="P14" s="354"/>
      <c r="Q14" s="355"/>
      <c r="R14" s="354"/>
      <c r="S14" s="354"/>
      <c r="T14" s="354"/>
      <c r="U14" s="354"/>
      <c r="V14" s="355"/>
      <c r="W14" s="769"/>
      <c r="X14" s="769"/>
      <c r="Y14" s="769"/>
      <c r="Z14" s="769"/>
      <c r="AA14" s="355"/>
      <c r="AB14" s="354"/>
      <c r="AC14" s="354"/>
      <c r="AD14" s="354"/>
      <c r="AE14" s="354"/>
      <c r="AF14" s="355"/>
      <c r="AG14" s="354"/>
      <c r="AH14" s="354"/>
      <c r="AI14" s="354"/>
      <c r="AJ14" s="354"/>
      <c r="AK14" s="355"/>
    </row>
    <row r="15" spans="1:64" ht="22.5" hidden="1">
      <c r="C15" s="1107" t="s">
        <v>446</v>
      </c>
      <c r="D15" s="1107"/>
      <c r="E15" s="1107"/>
      <c r="F15" s="349"/>
      <c r="G15" s="349"/>
      <c r="H15" s="349"/>
      <c r="I15" s="354"/>
      <c r="J15" s="354"/>
      <c r="K15" s="354"/>
      <c r="L15" s="354"/>
      <c r="M15" s="359"/>
      <c r="N15" s="354"/>
      <c r="O15" s="354"/>
      <c r="P15" s="354"/>
      <c r="Q15" s="355"/>
      <c r="R15" s="354"/>
      <c r="S15" s="354"/>
      <c r="T15" s="354"/>
      <c r="U15" s="354"/>
      <c r="V15" s="355"/>
      <c r="W15" s="769"/>
      <c r="X15" s="769"/>
      <c r="Y15" s="769"/>
      <c r="Z15" s="769"/>
      <c r="AA15" s="355"/>
      <c r="AB15" s="354"/>
      <c r="AC15" s="354"/>
      <c r="AD15" s="354"/>
      <c r="AE15" s="354"/>
      <c r="AF15" s="355"/>
      <c r="AG15" s="354"/>
      <c r="AH15" s="354"/>
      <c r="AI15" s="354"/>
      <c r="AJ15" s="354"/>
      <c r="AK15" s="355"/>
      <c r="BJ15" s="360"/>
    </row>
    <row r="16" spans="1:64" ht="21" hidden="1" thickBot="1">
      <c r="C16" s="361"/>
      <c r="D16" s="361"/>
      <c r="E16" s="361"/>
      <c r="F16" s="349"/>
      <c r="G16" s="349"/>
      <c r="H16" s="349"/>
      <c r="I16" s="354"/>
      <c r="J16" s="354"/>
      <c r="K16" s="354"/>
      <c r="L16" s="354"/>
      <c r="M16" s="354"/>
      <c r="N16" s="354"/>
      <c r="O16" s="354"/>
      <c r="P16" s="354"/>
      <c r="Q16" s="355"/>
      <c r="R16" s="354"/>
      <c r="S16" s="354"/>
      <c r="T16" s="354"/>
      <c r="U16" s="354"/>
      <c r="V16" s="355"/>
      <c r="W16" s="769"/>
      <c r="X16" s="769"/>
      <c r="Y16" s="769"/>
      <c r="Z16" s="769"/>
      <c r="AA16" s="355"/>
      <c r="AG16" s="354"/>
      <c r="AH16" s="354"/>
      <c r="AI16" s="354"/>
      <c r="AJ16" s="354"/>
      <c r="AK16" s="355"/>
      <c r="AV16" s="362"/>
      <c r="AW16" s="362"/>
      <c r="AX16" s="362"/>
      <c r="AY16" s="362"/>
      <c r="AZ16" s="362"/>
      <c r="BA16" s="339"/>
      <c r="BB16" s="1124"/>
      <c r="BC16" s="1124"/>
      <c r="BD16" s="1124"/>
      <c r="BE16" s="1124"/>
      <c r="BF16" s="1124"/>
      <c r="BG16" s="335"/>
      <c r="BH16" s="363"/>
      <c r="BI16" s="363"/>
      <c r="BJ16" s="363"/>
      <c r="BK16" s="363"/>
      <c r="BL16" s="363"/>
    </row>
    <row r="17" spans="1:64" s="272" customFormat="1" ht="67.150000000000006" hidden="1" customHeight="1">
      <c r="C17" s="1148" t="s">
        <v>427</v>
      </c>
      <c r="D17" s="1149"/>
      <c r="E17" s="1070" t="s">
        <v>432</v>
      </c>
      <c r="F17" s="1072"/>
      <c r="G17" s="1072"/>
      <c r="H17" s="1123"/>
      <c r="I17" s="1070" t="s">
        <v>496</v>
      </c>
      <c r="J17" s="1072"/>
      <c r="K17" s="1072"/>
      <c r="L17" s="1123"/>
      <c r="M17" s="1070" t="s">
        <v>672</v>
      </c>
      <c r="N17" s="1072"/>
      <c r="O17" s="1072"/>
      <c r="P17" s="1072"/>
      <c r="Q17" s="1123"/>
      <c r="R17" s="1070" t="s">
        <v>144</v>
      </c>
      <c r="S17" s="1072"/>
      <c r="T17" s="1072"/>
      <c r="U17" s="1072"/>
      <c r="V17" s="1123"/>
      <c r="W17" s="1070" t="s">
        <v>673</v>
      </c>
      <c r="X17" s="1072"/>
      <c r="Y17" s="1072"/>
      <c r="Z17" s="1072"/>
      <c r="AA17" s="1123"/>
      <c r="AB17" s="1070" t="s">
        <v>162</v>
      </c>
      <c r="AC17" s="1072"/>
      <c r="AD17" s="1072"/>
      <c r="AE17" s="1072"/>
      <c r="AF17" s="1123"/>
      <c r="AG17" s="1070" t="s">
        <v>674</v>
      </c>
      <c r="AH17" s="1072"/>
      <c r="AI17" s="1072"/>
      <c r="AJ17" s="1072"/>
      <c r="AK17" s="1123"/>
      <c r="AL17" s="1070" t="s">
        <v>675</v>
      </c>
      <c r="AM17" s="1072"/>
      <c r="AN17" s="1072"/>
      <c r="AO17" s="1072"/>
      <c r="AP17" s="1123"/>
      <c r="AQ17" s="1070" t="s">
        <v>676</v>
      </c>
      <c r="AR17" s="1072"/>
      <c r="AS17" s="1072"/>
      <c r="AT17" s="1072"/>
      <c r="AU17" s="1123"/>
      <c r="AV17" s="1066" t="s">
        <v>677</v>
      </c>
      <c r="AW17" s="1072"/>
      <c r="AX17" s="1072"/>
      <c r="AY17" s="1072"/>
      <c r="AZ17" s="1123"/>
      <c r="BA17" s="364"/>
      <c r="BB17" s="1070" t="s">
        <v>678</v>
      </c>
      <c r="BC17" s="1072"/>
      <c r="BD17" s="1072"/>
      <c r="BE17" s="1072"/>
      <c r="BF17" s="1123"/>
      <c r="BG17" s="365"/>
      <c r="BH17" s="1070" t="s">
        <v>679</v>
      </c>
      <c r="BI17" s="1072"/>
      <c r="BJ17" s="1072"/>
      <c r="BK17" s="1072"/>
      <c r="BL17" s="1123"/>
    </row>
    <row r="18" spans="1:64" s="335" customFormat="1" ht="25.15" hidden="1" customHeight="1" thickBot="1">
      <c r="C18" s="366" t="s">
        <v>429</v>
      </c>
      <c r="D18" s="367" t="s">
        <v>428</v>
      </c>
      <c r="E18" s="368" t="s">
        <v>332</v>
      </c>
      <c r="F18" s="369" t="s">
        <v>333</v>
      </c>
      <c r="G18" s="369" t="s">
        <v>334</v>
      </c>
      <c r="H18" s="370" t="s">
        <v>335</v>
      </c>
      <c r="I18" s="368" t="s">
        <v>332</v>
      </c>
      <c r="J18" s="369" t="s">
        <v>333</v>
      </c>
      <c r="K18" s="369" t="s">
        <v>334</v>
      </c>
      <c r="L18" s="370" t="s">
        <v>335</v>
      </c>
      <c r="M18" s="368" t="s">
        <v>332</v>
      </c>
      <c r="N18" s="369" t="s">
        <v>333</v>
      </c>
      <c r="O18" s="369" t="s">
        <v>334</v>
      </c>
      <c r="P18" s="369" t="s">
        <v>335</v>
      </c>
      <c r="Q18" s="371" t="s">
        <v>413</v>
      </c>
      <c r="R18" s="368" t="s">
        <v>332</v>
      </c>
      <c r="S18" s="369" t="s">
        <v>333</v>
      </c>
      <c r="T18" s="369" t="s">
        <v>334</v>
      </c>
      <c r="U18" s="369" t="s">
        <v>335</v>
      </c>
      <c r="V18" s="371" t="s">
        <v>413</v>
      </c>
      <c r="W18" s="368" t="s">
        <v>332</v>
      </c>
      <c r="X18" s="369" t="s">
        <v>333</v>
      </c>
      <c r="Y18" s="369" t="s">
        <v>334</v>
      </c>
      <c r="Z18" s="369" t="s">
        <v>335</v>
      </c>
      <c r="AA18" s="371" t="s">
        <v>413</v>
      </c>
      <c r="AB18" s="368" t="s">
        <v>332</v>
      </c>
      <c r="AC18" s="369" t="s">
        <v>333</v>
      </c>
      <c r="AD18" s="369" t="s">
        <v>334</v>
      </c>
      <c r="AE18" s="369" t="s">
        <v>335</v>
      </c>
      <c r="AF18" s="371" t="s">
        <v>413</v>
      </c>
      <c r="AG18" s="368" t="s">
        <v>332</v>
      </c>
      <c r="AH18" s="369" t="s">
        <v>333</v>
      </c>
      <c r="AI18" s="369" t="s">
        <v>334</v>
      </c>
      <c r="AJ18" s="369" t="s">
        <v>335</v>
      </c>
      <c r="AK18" s="371" t="s">
        <v>413</v>
      </c>
      <c r="AL18" s="368" t="s">
        <v>332</v>
      </c>
      <c r="AM18" s="369" t="s">
        <v>333</v>
      </c>
      <c r="AN18" s="369" t="s">
        <v>334</v>
      </c>
      <c r="AO18" s="369" t="s">
        <v>335</v>
      </c>
      <c r="AP18" s="371" t="s">
        <v>413</v>
      </c>
      <c r="AQ18" s="785" t="s">
        <v>332</v>
      </c>
      <c r="AR18" s="372" t="s">
        <v>333</v>
      </c>
      <c r="AS18" s="372" t="s">
        <v>334</v>
      </c>
      <c r="AT18" s="372" t="s">
        <v>335</v>
      </c>
      <c r="AU18" s="373" t="s">
        <v>413</v>
      </c>
      <c r="AV18" s="374" t="s">
        <v>332</v>
      </c>
      <c r="AW18" s="369" t="s">
        <v>333</v>
      </c>
      <c r="AX18" s="369" t="s">
        <v>334</v>
      </c>
      <c r="AY18" s="369" t="s">
        <v>335</v>
      </c>
      <c r="AZ18" s="371" t="s">
        <v>413</v>
      </c>
      <c r="BA18" s="375"/>
      <c r="BB18" s="376" t="s">
        <v>332</v>
      </c>
      <c r="BC18" s="377" t="s">
        <v>333</v>
      </c>
      <c r="BD18" s="377" t="s">
        <v>334</v>
      </c>
      <c r="BE18" s="377" t="s">
        <v>335</v>
      </c>
      <c r="BF18" s="378" t="s">
        <v>413</v>
      </c>
      <c r="BG18" s="379"/>
      <c r="BH18" s="368" t="s">
        <v>332</v>
      </c>
      <c r="BI18" s="369" t="s">
        <v>333</v>
      </c>
      <c r="BJ18" s="369" t="s">
        <v>334</v>
      </c>
      <c r="BK18" s="369" t="s">
        <v>335</v>
      </c>
      <c r="BL18" s="380" t="s">
        <v>413</v>
      </c>
    </row>
    <row r="19" spans="1:64" s="335" customFormat="1" ht="75.599999999999994" hidden="1" customHeight="1">
      <c r="C19" s="1111" t="s">
        <v>488</v>
      </c>
      <c r="D19" s="129" t="s">
        <v>431</v>
      </c>
      <c r="E19" s="381">
        <v>0.22</v>
      </c>
      <c r="F19" s="382">
        <v>0.22</v>
      </c>
      <c r="G19" s="382">
        <v>0.22</v>
      </c>
      <c r="H19" s="382">
        <v>0.22</v>
      </c>
      <c r="I19" s="384">
        <v>1</v>
      </c>
      <c r="J19" s="384">
        <v>1</v>
      </c>
      <c r="K19" s="384">
        <v>1</v>
      </c>
      <c r="L19" s="384">
        <v>1</v>
      </c>
      <c r="M19" s="384">
        <f>36800*3</f>
        <v>110400</v>
      </c>
      <c r="N19" s="384">
        <f>36800*3</f>
        <v>110400</v>
      </c>
      <c r="O19" s="384">
        <f>36800*3</f>
        <v>110400</v>
      </c>
      <c r="P19" s="384">
        <f>36800*3</f>
        <v>110400</v>
      </c>
      <c r="Q19" s="387">
        <f>SUM(M19:P19)</f>
        <v>441600</v>
      </c>
      <c r="R19" s="384">
        <v>0</v>
      </c>
      <c r="S19" s="385">
        <v>0</v>
      </c>
      <c r="T19" s="385">
        <v>0</v>
      </c>
      <c r="U19" s="385">
        <v>0</v>
      </c>
      <c r="V19" s="387">
        <f>SUM(R19:U19)</f>
        <v>0</v>
      </c>
      <c r="W19" s="770">
        <v>0</v>
      </c>
      <c r="X19" s="770">
        <v>0</v>
      </c>
      <c r="Y19" s="770">
        <v>0</v>
      </c>
      <c r="Z19" s="770">
        <v>0</v>
      </c>
      <c r="AA19" s="387">
        <f>SUM(W19:Z19)</f>
        <v>0</v>
      </c>
      <c r="AB19" s="384">
        <v>0</v>
      </c>
      <c r="AC19" s="385">
        <v>0</v>
      </c>
      <c r="AD19" s="385">
        <v>0</v>
      </c>
      <c r="AE19" s="385">
        <v>0</v>
      </c>
      <c r="AF19" s="387">
        <f>SUM(AB19:AE19)</f>
        <v>0</v>
      </c>
      <c r="AG19" s="384">
        <f t="shared" ref="AG19:AJ21" si="0">M19*0.5</f>
        <v>55200</v>
      </c>
      <c r="AH19" s="384">
        <f t="shared" si="0"/>
        <v>55200</v>
      </c>
      <c r="AI19" s="384">
        <f t="shared" si="0"/>
        <v>55200</v>
      </c>
      <c r="AJ19" s="384">
        <f t="shared" si="0"/>
        <v>55200</v>
      </c>
      <c r="AK19" s="387">
        <f>SUM(AG19:AJ19)</f>
        <v>220800</v>
      </c>
      <c r="AL19" s="384">
        <v>0</v>
      </c>
      <c r="AM19" s="385">
        <v>0</v>
      </c>
      <c r="AN19" s="385">
        <v>0</v>
      </c>
      <c r="AO19" s="385">
        <v>0</v>
      </c>
      <c r="AP19" s="388">
        <f>SUM(AL19:AO19)</f>
        <v>0</v>
      </c>
      <c r="AQ19" s="786">
        <f>M19+R19+W19+AB19+AG19+AL19</f>
        <v>165600</v>
      </c>
      <c r="AR19" s="390">
        <f>N19+S19+X19+AC19+AH19+AM19</f>
        <v>165600</v>
      </c>
      <c r="AS19" s="390">
        <f t="shared" ref="AR19:AU29" si="1">O19+T19+Y19+AD19+AI19+AN19</f>
        <v>165600</v>
      </c>
      <c r="AT19" s="390">
        <f t="shared" si="1"/>
        <v>165600</v>
      </c>
      <c r="AU19" s="391">
        <f t="shared" si="1"/>
        <v>662400</v>
      </c>
      <c r="AV19" s="392" t="s">
        <v>348</v>
      </c>
      <c r="AW19" s="392" t="s">
        <v>348</v>
      </c>
      <c r="AX19" s="392" t="s">
        <v>348</v>
      </c>
      <c r="AY19" s="392" t="s">
        <v>348</v>
      </c>
      <c r="AZ19" s="387" t="s">
        <v>348</v>
      </c>
      <c r="BA19" s="393"/>
      <c r="BB19" s="389">
        <f>AQ19*E19/100%</f>
        <v>36432</v>
      </c>
      <c r="BC19" s="390">
        <f t="shared" ref="BC19:BC27" si="2">AR19*F19/100%</f>
        <v>36432</v>
      </c>
      <c r="BD19" s="390">
        <f t="shared" ref="BD19:BD27" si="3">AS19*G19/100%</f>
        <v>36432</v>
      </c>
      <c r="BE19" s="390">
        <f t="shared" ref="BE19:BE27" si="4">AT19*H19/100%</f>
        <v>36432</v>
      </c>
      <c r="BF19" s="394">
        <f>SUM(BB19:BE19)</f>
        <v>145728</v>
      </c>
      <c r="BG19" s="395"/>
      <c r="BH19" s="396">
        <f>AQ19*(18%+1.5%)/100%</f>
        <v>32292</v>
      </c>
      <c r="BI19" s="397">
        <f>AR19*(18%+1.5%)/100%</f>
        <v>32292</v>
      </c>
      <c r="BJ19" s="397">
        <f>AS19*(18%+1.5%)/100%</f>
        <v>32292</v>
      </c>
      <c r="BK19" s="397">
        <f>AT19*(18%+1.5%)/100%</f>
        <v>32292</v>
      </c>
      <c r="BL19" s="398">
        <f>SUM(BH19:BK19)</f>
        <v>129168</v>
      </c>
    </row>
    <row r="20" spans="1:64" s="335" customFormat="1" ht="26.45" hidden="1" customHeight="1">
      <c r="C20" s="1112"/>
      <c r="D20" s="399" t="s">
        <v>434</v>
      </c>
      <c r="E20" s="381">
        <v>0.22</v>
      </c>
      <c r="F20" s="381">
        <v>0.22</v>
      </c>
      <c r="G20" s="381">
        <v>0.22</v>
      </c>
      <c r="H20" s="381">
        <v>0.22</v>
      </c>
      <c r="I20" s="384">
        <v>1</v>
      </c>
      <c r="J20" s="384">
        <v>1</v>
      </c>
      <c r="K20" s="384">
        <v>1</v>
      </c>
      <c r="L20" s="384">
        <v>1</v>
      </c>
      <c r="M20" s="403">
        <f>15000*3</f>
        <v>45000</v>
      </c>
      <c r="N20" s="403">
        <f>15000*3</f>
        <v>45000</v>
      </c>
      <c r="O20" s="403">
        <f>15000*3</f>
        <v>45000</v>
      </c>
      <c r="P20" s="403">
        <f>15000*3</f>
        <v>45000</v>
      </c>
      <c r="Q20" s="404">
        <f t="shared" ref="Q20:Q27" si="5">SUM(M20:P20)</f>
        <v>180000</v>
      </c>
      <c r="R20" s="384">
        <v>0</v>
      </c>
      <c r="S20" s="385">
        <v>0</v>
      </c>
      <c r="T20" s="385">
        <v>0</v>
      </c>
      <c r="U20" s="385">
        <v>0</v>
      </c>
      <c r="V20" s="404">
        <f t="shared" ref="V20:V27" si="6">SUM(R20:U20)</f>
        <v>0</v>
      </c>
      <c r="W20" s="770">
        <f>M20*0.3</f>
        <v>13500</v>
      </c>
      <c r="X20" s="770">
        <f t="shared" ref="X20:Z21" si="7">N20*0.3</f>
        <v>13500</v>
      </c>
      <c r="Y20" s="770">
        <f t="shared" si="7"/>
        <v>13500</v>
      </c>
      <c r="Z20" s="770">
        <f t="shared" si="7"/>
        <v>13500</v>
      </c>
      <c r="AA20" s="404">
        <f t="shared" ref="AA20:AA27" si="8">SUM(W20:Z20)</f>
        <v>54000</v>
      </c>
      <c r="AB20" s="384">
        <v>0</v>
      </c>
      <c r="AC20" s="385">
        <v>0</v>
      </c>
      <c r="AD20" s="385">
        <v>0</v>
      </c>
      <c r="AE20" s="385">
        <v>0</v>
      </c>
      <c r="AF20" s="404">
        <f t="shared" ref="AF20:AF27" si="9">SUM(AB20:AE20)</f>
        <v>0</v>
      </c>
      <c r="AG20" s="384">
        <f t="shared" si="0"/>
        <v>22500</v>
      </c>
      <c r="AH20" s="384">
        <f t="shared" si="0"/>
        <v>22500</v>
      </c>
      <c r="AI20" s="384">
        <f t="shared" si="0"/>
        <v>22500</v>
      </c>
      <c r="AJ20" s="384">
        <f t="shared" si="0"/>
        <v>22500</v>
      </c>
      <c r="AK20" s="404">
        <f t="shared" ref="AK20:AK27" si="10">SUM(AG20:AJ20)</f>
        <v>90000</v>
      </c>
      <c r="AL20" s="384">
        <v>0</v>
      </c>
      <c r="AM20" s="385">
        <v>0</v>
      </c>
      <c r="AN20" s="385">
        <v>0</v>
      </c>
      <c r="AO20" s="385">
        <v>0</v>
      </c>
      <c r="AP20" s="405">
        <f t="shared" ref="AP20:AP27" si="11">SUM(AL20:AO20)</f>
        <v>0</v>
      </c>
      <c r="AQ20" s="787">
        <f t="shared" ref="AQ20:AQ27" si="12">M20+R20+W20+AB20+AG20+AL20</f>
        <v>81000</v>
      </c>
      <c r="AR20" s="407">
        <f t="shared" si="1"/>
        <v>81000</v>
      </c>
      <c r="AS20" s="407">
        <f t="shared" si="1"/>
        <v>81000</v>
      </c>
      <c r="AT20" s="407">
        <f t="shared" si="1"/>
        <v>81000</v>
      </c>
      <c r="AU20" s="408">
        <f t="shared" si="1"/>
        <v>324000</v>
      </c>
      <c r="AV20" s="392" t="s">
        <v>348</v>
      </c>
      <c r="AW20" s="392" t="s">
        <v>348</v>
      </c>
      <c r="AX20" s="392" t="s">
        <v>348</v>
      </c>
      <c r="AY20" s="392" t="s">
        <v>348</v>
      </c>
      <c r="AZ20" s="387" t="s">
        <v>348</v>
      </c>
      <c r="BA20" s="343"/>
      <c r="BB20" s="406">
        <f t="shared" ref="BB20:BB26" si="13">AQ20*E20/100%</f>
        <v>17820</v>
      </c>
      <c r="BC20" s="407">
        <f t="shared" si="2"/>
        <v>17820</v>
      </c>
      <c r="BD20" s="407">
        <f t="shared" si="3"/>
        <v>17820</v>
      </c>
      <c r="BE20" s="407">
        <f t="shared" si="4"/>
        <v>17820</v>
      </c>
      <c r="BF20" s="404">
        <f t="shared" ref="BF20:BF27" si="14">SUM(BB20:BE20)</f>
        <v>71280</v>
      </c>
      <c r="BG20" s="343"/>
      <c r="BH20" s="406">
        <f t="shared" ref="BH20:BH27" si="15">AQ20*(18%+1.5%)/100%</f>
        <v>15795</v>
      </c>
      <c r="BI20" s="407">
        <f t="shared" ref="BI20:BI27" si="16">AR20*(18%+1.5%)/100%</f>
        <v>15795</v>
      </c>
      <c r="BJ20" s="407">
        <f t="shared" ref="BJ20:BJ27" si="17">AS20*(18%+1.5%)/100%</f>
        <v>15795</v>
      </c>
      <c r="BK20" s="407">
        <f t="shared" ref="BK20:BK27" si="18">AT20*(18%+1.5%)/100%</f>
        <v>15795</v>
      </c>
      <c r="BL20" s="408">
        <f t="shared" ref="BL20:BL27" si="19">SUM(BH20:BK20)</f>
        <v>63180</v>
      </c>
    </row>
    <row r="21" spans="1:64" s="335" customFormat="1" ht="24" hidden="1" customHeight="1">
      <c r="C21" s="1112"/>
      <c r="D21" s="409" t="s">
        <v>435</v>
      </c>
      <c r="E21" s="381">
        <v>0.22</v>
      </c>
      <c r="F21" s="381">
        <v>0.22</v>
      </c>
      <c r="G21" s="381">
        <v>0.22</v>
      </c>
      <c r="H21" s="381">
        <v>0.22</v>
      </c>
      <c r="I21" s="384">
        <v>1</v>
      </c>
      <c r="J21" s="384">
        <v>1</v>
      </c>
      <c r="K21" s="384">
        <v>1</v>
      </c>
      <c r="L21" s="384">
        <v>1</v>
      </c>
      <c r="M21" s="403">
        <f>28000*3</f>
        <v>84000</v>
      </c>
      <c r="N21" s="403">
        <f>28000*3</f>
        <v>84000</v>
      </c>
      <c r="O21" s="403">
        <f>28000*3</f>
        <v>84000</v>
      </c>
      <c r="P21" s="403">
        <f>28000*3</f>
        <v>84000</v>
      </c>
      <c r="Q21" s="404">
        <f t="shared" si="5"/>
        <v>336000</v>
      </c>
      <c r="R21" s="384">
        <v>0</v>
      </c>
      <c r="S21" s="385">
        <v>0</v>
      </c>
      <c r="T21" s="385">
        <v>0</v>
      </c>
      <c r="U21" s="385">
        <v>0</v>
      </c>
      <c r="V21" s="404">
        <f t="shared" si="6"/>
        <v>0</v>
      </c>
      <c r="W21" s="770">
        <f>M21*0.3</f>
        <v>25200</v>
      </c>
      <c r="X21" s="770">
        <f t="shared" si="7"/>
        <v>25200</v>
      </c>
      <c r="Y21" s="770">
        <f t="shared" si="7"/>
        <v>25200</v>
      </c>
      <c r="Z21" s="770">
        <f t="shared" si="7"/>
        <v>25200</v>
      </c>
      <c r="AA21" s="404">
        <f t="shared" si="8"/>
        <v>100800</v>
      </c>
      <c r="AB21" s="384">
        <v>0</v>
      </c>
      <c r="AC21" s="385">
        <v>0</v>
      </c>
      <c r="AD21" s="385">
        <v>0</v>
      </c>
      <c r="AE21" s="385">
        <v>0</v>
      </c>
      <c r="AF21" s="404">
        <f t="shared" si="9"/>
        <v>0</v>
      </c>
      <c r="AG21" s="384">
        <f t="shared" si="0"/>
        <v>42000</v>
      </c>
      <c r="AH21" s="384">
        <f t="shared" si="0"/>
        <v>42000</v>
      </c>
      <c r="AI21" s="384">
        <f t="shared" si="0"/>
        <v>42000</v>
      </c>
      <c r="AJ21" s="384">
        <f t="shared" si="0"/>
        <v>42000</v>
      </c>
      <c r="AK21" s="404">
        <f t="shared" si="10"/>
        <v>168000</v>
      </c>
      <c r="AL21" s="384">
        <v>0</v>
      </c>
      <c r="AM21" s="385">
        <v>0</v>
      </c>
      <c r="AN21" s="385">
        <v>0</v>
      </c>
      <c r="AO21" s="385">
        <v>0</v>
      </c>
      <c r="AP21" s="405">
        <f t="shared" si="11"/>
        <v>0</v>
      </c>
      <c r="AQ21" s="787">
        <f t="shared" si="12"/>
        <v>151200</v>
      </c>
      <c r="AR21" s="407">
        <f t="shared" si="1"/>
        <v>151200</v>
      </c>
      <c r="AS21" s="407">
        <f t="shared" si="1"/>
        <v>151200</v>
      </c>
      <c r="AT21" s="407">
        <f t="shared" si="1"/>
        <v>151200</v>
      </c>
      <c r="AU21" s="408">
        <f t="shared" si="1"/>
        <v>604800</v>
      </c>
      <c r="AV21" s="392" t="s">
        <v>348</v>
      </c>
      <c r="AW21" s="392" t="s">
        <v>348</v>
      </c>
      <c r="AX21" s="392" t="s">
        <v>348</v>
      </c>
      <c r="AY21" s="392" t="s">
        <v>348</v>
      </c>
      <c r="AZ21" s="387" t="s">
        <v>348</v>
      </c>
      <c r="BA21" s="343"/>
      <c r="BB21" s="406">
        <f t="shared" si="13"/>
        <v>33264</v>
      </c>
      <c r="BC21" s="407">
        <f>AR21*F21/100%</f>
        <v>33264</v>
      </c>
      <c r="BD21" s="407">
        <f t="shared" si="3"/>
        <v>33264</v>
      </c>
      <c r="BE21" s="407">
        <f t="shared" si="4"/>
        <v>33264</v>
      </c>
      <c r="BF21" s="404">
        <f t="shared" si="14"/>
        <v>133056</v>
      </c>
      <c r="BG21" s="343"/>
      <c r="BH21" s="406">
        <f t="shared" si="15"/>
        <v>29484</v>
      </c>
      <c r="BI21" s="407">
        <f>AR21*(18%+1.5%)/100%</f>
        <v>29484</v>
      </c>
      <c r="BJ21" s="407">
        <f t="shared" si="17"/>
        <v>29484</v>
      </c>
      <c r="BK21" s="407">
        <f t="shared" si="18"/>
        <v>29484</v>
      </c>
      <c r="BL21" s="408">
        <f t="shared" si="19"/>
        <v>117936</v>
      </c>
    </row>
    <row r="22" spans="1:64" s="335" customFormat="1" ht="24.6" hidden="1" customHeight="1">
      <c r="C22" s="1112"/>
      <c r="D22" s="409" t="s">
        <v>433</v>
      </c>
      <c r="E22" s="381">
        <v>0.22</v>
      </c>
      <c r="F22" s="381">
        <v>0.22</v>
      </c>
      <c r="G22" s="381">
        <v>0.22</v>
      </c>
      <c r="H22" s="381">
        <v>0.22</v>
      </c>
      <c r="I22" s="384">
        <v>1</v>
      </c>
      <c r="J22" s="384">
        <v>1</v>
      </c>
      <c r="K22" s="384">
        <v>1</v>
      </c>
      <c r="L22" s="384">
        <v>1</v>
      </c>
      <c r="M22" s="403">
        <f>9000*3</f>
        <v>27000</v>
      </c>
      <c r="N22" s="403">
        <f>9000*3</f>
        <v>27000</v>
      </c>
      <c r="O22" s="403">
        <f>9000*3</f>
        <v>27000</v>
      </c>
      <c r="P22" s="403">
        <f>9000*3</f>
        <v>27000</v>
      </c>
      <c r="Q22" s="404">
        <f t="shared" si="5"/>
        <v>108000</v>
      </c>
      <c r="R22" s="384">
        <v>0</v>
      </c>
      <c r="S22" s="385">
        <v>0</v>
      </c>
      <c r="T22" s="385">
        <v>0</v>
      </c>
      <c r="U22" s="385">
        <v>0</v>
      </c>
      <c r="V22" s="404">
        <f t="shared" si="6"/>
        <v>0</v>
      </c>
      <c r="W22" s="770">
        <v>0</v>
      </c>
      <c r="X22" s="770">
        <v>0</v>
      </c>
      <c r="Y22" s="770">
        <v>0</v>
      </c>
      <c r="Z22" s="770">
        <v>0</v>
      </c>
      <c r="AA22" s="404">
        <f t="shared" si="8"/>
        <v>0</v>
      </c>
      <c r="AB22" s="384">
        <v>0</v>
      </c>
      <c r="AC22" s="385">
        <v>0</v>
      </c>
      <c r="AD22" s="385">
        <v>0</v>
      </c>
      <c r="AE22" s="385">
        <v>0</v>
      </c>
      <c r="AF22" s="404">
        <f t="shared" si="9"/>
        <v>0</v>
      </c>
      <c r="AG22" s="384">
        <v>0</v>
      </c>
      <c r="AH22" s="384">
        <v>0</v>
      </c>
      <c r="AI22" s="384">
        <v>0</v>
      </c>
      <c r="AJ22" s="384">
        <v>0</v>
      </c>
      <c r="AK22" s="404">
        <f t="shared" si="10"/>
        <v>0</v>
      </c>
      <c r="AL22" s="384">
        <v>0</v>
      </c>
      <c r="AM22" s="385">
        <v>0</v>
      </c>
      <c r="AN22" s="385">
        <v>0</v>
      </c>
      <c r="AO22" s="385">
        <v>0</v>
      </c>
      <c r="AP22" s="405">
        <f t="shared" si="11"/>
        <v>0</v>
      </c>
      <c r="AQ22" s="787">
        <f t="shared" si="12"/>
        <v>27000</v>
      </c>
      <c r="AR22" s="407">
        <f t="shared" si="1"/>
        <v>27000</v>
      </c>
      <c r="AS22" s="407">
        <f t="shared" si="1"/>
        <v>27000</v>
      </c>
      <c r="AT22" s="407">
        <f t="shared" si="1"/>
        <v>27000</v>
      </c>
      <c r="AU22" s="408">
        <f t="shared" si="1"/>
        <v>108000</v>
      </c>
      <c r="AV22" s="392" t="s">
        <v>348</v>
      </c>
      <c r="AW22" s="392" t="s">
        <v>348</v>
      </c>
      <c r="AX22" s="392" t="s">
        <v>348</v>
      </c>
      <c r="AY22" s="392" t="s">
        <v>348</v>
      </c>
      <c r="AZ22" s="387" t="s">
        <v>348</v>
      </c>
      <c r="BA22" s="343"/>
      <c r="BB22" s="406">
        <f t="shared" si="13"/>
        <v>5940</v>
      </c>
      <c r="BC22" s="407">
        <f t="shared" si="2"/>
        <v>5940</v>
      </c>
      <c r="BD22" s="407">
        <f t="shared" si="3"/>
        <v>5940</v>
      </c>
      <c r="BE22" s="407">
        <f t="shared" si="4"/>
        <v>5940</v>
      </c>
      <c r="BF22" s="404">
        <f t="shared" si="14"/>
        <v>23760</v>
      </c>
      <c r="BG22" s="343"/>
      <c r="BH22" s="406">
        <f t="shared" si="15"/>
        <v>5265</v>
      </c>
      <c r="BI22" s="407">
        <f t="shared" si="16"/>
        <v>5265</v>
      </c>
      <c r="BJ22" s="407">
        <f t="shared" si="17"/>
        <v>5265</v>
      </c>
      <c r="BK22" s="407">
        <f t="shared" si="18"/>
        <v>5265</v>
      </c>
      <c r="BL22" s="408">
        <f t="shared" si="19"/>
        <v>21060</v>
      </c>
    </row>
    <row r="23" spans="1:64" s="335" customFormat="1" ht="24" hidden="1" customHeight="1">
      <c r="C23" s="1112"/>
      <c r="D23" s="409" t="s">
        <v>445</v>
      </c>
      <c r="E23" s="381">
        <v>0.22</v>
      </c>
      <c r="F23" s="381">
        <v>0.22</v>
      </c>
      <c r="G23" s="381">
        <v>0.22</v>
      </c>
      <c r="H23" s="381">
        <v>0.22</v>
      </c>
      <c r="I23" s="384">
        <v>1</v>
      </c>
      <c r="J23" s="384">
        <v>1</v>
      </c>
      <c r="K23" s="384">
        <v>1</v>
      </c>
      <c r="L23" s="384">
        <v>1</v>
      </c>
      <c r="M23" s="403">
        <f>(12000*3)*0.5</f>
        <v>18000</v>
      </c>
      <c r="N23" s="403">
        <f>(12000*3)*0.5</f>
        <v>18000</v>
      </c>
      <c r="O23" s="403">
        <f>(12000*3)*0.5</f>
        <v>18000</v>
      </c>
      <c r="P23" s="403">
        <f>(12000*3)*0.5</f>
        <v>18000</v>
      </c>
      <c r="Q23" s="404">
        <f t="shared" si="5"/>
        <v>72000</v>
      </c>
      <c r="R23" s="384">
        <v>0</v>
      </c>
      <c r="S23" s="385">
        <v>0</v>
      </c>
      <c r="T23" s="385">
        <v>0</v>
      </c>
      <c r="U23" s="385">
        <v>0</v>
      </c>
      <c r="V23" s="404">
        <f t="shared" si="6"/>
        <v>0</v>
      </c>
      <c r="W23" s="770">
        <v>0</v>
      </c>
      <c r="X23" s="771">
        <v>0</v>
      </c>
      <c r="Y23" s="771">
        <v>0</v>
      </c>
      <c r="Z23" s="771">
        <v>0</v>
      </c>
      <c r="AA23" s="404">
        <f t="shared" si="8"/>
        <v>0</v>
      </c>
      <c r="AB23" s="403">
        <f>M23*0.1</f>
        <v>1800</v>
      </c>
      <c r="AC23" s="403">
        <f>N23*0.1</f>
        <v>1800</v>
      </c>
      <c r="AD23" s="403">
        <f>O23*0.1</f>
        <v>1800</v>
      </c>
      <c r="AE23" s="403">
        <f>P23*0.1</f>
        <v>1800</v>
      </c>
      <c r="AF23" s="404">
        <f t="shared" si="9"/>
        <v>7200</v>
      </c>
      <c r="AG23" s="384">
        <v>0</v>
      </c>
      <c r="AH23" s="384">
        <v>0</v>
      </c>
      <c r="AI23" s="384">
        <v>0</v>
      </c>
      <c r="AJ23" s="384">
        <v>0</v>
      </c>
      <c r="AK23" s="404">
        <f t="shared" si="10"/>
        <v>0</v>
      </c>
      <c r="AL23" s="384">
        <v>0</v>
      </c>
      <c r="AM23" s="385">
        <v>0</v>
      </c>
      <c r="AN23" s="385">
        <v>0</v>
      </c>
      <c r="AO23" s="385">
        <v>0</v>
      </c>
      <c r="AP23" s="405">
        <f t="shared" si="11"/>
        <v>0</v>
      </c>
      <c r="AQ23" s="787">
        <f t="shared" si="12"/>
        <v>19800</v>
      </c>
      <c r="AR23" s="407">
        <f t="shared" si="1"/>
        <v>19800</v>
      </c>
      <c r="AS23" s="407">
        <f t="shared" si="1"/>
        <v>19800</v>
      </c>
      <c r="AT23" s="407">
        <f t="shared" si="1"/>
        <v>19800</v>
      </c>
      <c r="AU23" s="408">
        <f t="shared" si="1"/>
        <v>79200</v>
      </c>
      <c r="AV23" s="392" t="s">
        <v>348</v>
      </c>
      <c r="AW23" s="392" t="s">
        <v>348</v>
      </c>
      <c r="AX23" s="392" t="s">
        <v>348</v>
      </c>
      <c r="AY23" s="392" t="s">
        <v>348</v>
      </c>
      <c r="AZ23" s="387" t="s">
        <v>348</v>
      </c>
      <c r="BA23" s="343"/>
      <c r="BB23" s="406">
        <f t="shared" si="13"/>
        <v>4356</v>
      </c>
      <c r="BC23" s="407">
        <f t="shared" si="2"/>
        <v>4356</v>
      </c>
      <c r="BD23" s="407">
        <f t="shared" si="3"/>
        <v>4356</v>
      </c>
      <c r="BE23" s="407">
        <f t="shared" si="4"/>
        <v>4356</v>
      </c>
      <c r="BF23" s="404">
        <f t="shared" si="14"/>
        <v>17424</v>
      </c>
      <c r="BG23" s="343"/>
      <c r="BH23" s="406">
        <f t="shared" si="15"/>
        <v>3861</v>
      </c>
      <c r="BI23" s="407">
        <f t="shared" si="16"/>
        <v>3861</v>
      </c>
      <c r="BJ23" s="407">
        <f t="shared" si="17"/>
        <v>3861</v>
      </c>
      <c r="BK23" s="407">
        <f t="shared" si="18"/>
        <v>3861</v>
      </c>
      <c r="BL23" s="408">
        <f t="shared" si="19"/>
        <v>15444</v>
      </c>
    </row>
    <row r="24" spans="1:64" s="335" customFormat="1" ht="17.45" hidden="1" customHeight="1">
      <c r="C24" s="1112"/>
      <c r="D24" s="410"/>
      <c r="E24" s="400"/>
      <c r="F24" s="401"/>
      <c r="G24" s="401"/>
      <c r="H24" s="402"/>
      <c r="I24" s="384"/>
      <c r="J24" s="385"/>
      <c r="K24" s="385"/>
      <c r="L24" s="386"/>
      <c r="M24" s="403"/>
      <c r="N24" s="338"/>
      <c r="O24" s="338"/>
      <c r="P24" s="338"/>
      <c r="Q24" s="404">
        <f t="shared" si="5"/>
        <v>0</v>
      </c>
      <c r="R24" s="403"/>
      <c r="S24" s="338"/>
      <c r="T24" s="338"/>
      <c r="U24" s="338"/>
      <c r="V24" s="404">
        <f t="shared" si="6"/>
        <v>0</v>
      </c>
      <c r="W24" s="428"/>
      <c r="X24" s="429"/>
      <c r="Y24" s="429"/>
      <c r="Z24" s="429"/>
      <c r="AA24" s="404">
        <f t="shared" si="8"/>
        <v>0</v>
      </c>
      <c r="AB24" s="403"/>
      <c r="AC24" s="338"/>
      <c r="AD24" s="338"/>
      <c r="AE24" s="338"/>
      <c r="AF24" s="404">
        <f t="shared" si="9"/>
        <v>0</v>
      </c>
      <c r="AG24" s="403"/>
      <c r="AH24" s="338"/>
      <c r="AI24" s="338"/>
      <c r="AJ24" s="338"/>
      <c r="AK24" s="404">
        <f t="shared" si="10"/>
        <v>0</v>
      </c>
      <c r="AL24" s="403"/>
      <c r="AM24" s="338"/>
      <c r="AN24" s="338"/>
      <c r="AO24" s="338"/>
      <c r="AP24" s="405">
        <f t="shared" si="11"/>
        <v>0</v>
      </c>
      <c r="AQ24" s="787">
        <f t="shared" si="12"/>
        <v>0</v>
      </c>
      <c r="AR24" s="407">
        <f t="shared" si="1"/>
        <v>0</v>
      </c>
      <c r="AS24" s="407">
        <f t="shared" si="1"/>
        <v>0</v>
      </c>
      <c r="AT24" s="407">
        <f t="shared" si="1"/>
        <v>0</v>
      </c>
      <c r="AU24" s="408">
        <f t="shared" si="1"/>
        <v>0</v>
      </c>
      <c r="AV24" s="392" t="s">
        <v>348</v>
      </c>
      <c r="AW24" s="392" t="s">
        <v>348</v>
      </c>
      <c r="AX24" s="392" t="s">
        <v>348</v>
      </c>
      <c r="AY24" s="392" t="s">
        <v>348</v>
      </c>
      <c r="AZ24" s="387" t="s">
        <v>348</v>
      </c>
      <c r="BA24" s="343"/>
      <c r="BB24" s="406">
        <f t="shared" si="13"/>
        <v>0</v>
      </c>
      <c r="BC24" s="407">
        <f t="shared" si="2"/>
        <v>0</v>
      </c>
      <c r="BD24" s="407">
        <f t="shared" si="3"/>
        <v>0</v>
      </c>
      <c r="BE24" s="407">
        <f t="shared" si="4"/>
        <v>0</v>
      </c>
      <c r="BF24" s="404">
        <f t="shared" si="14"/>
        <v>0</v>
      </c>
      <c r="BG24" s="343"/>
      <c r="BH24" s="406">
        <f t="shared" si="15"/>
        <v>0</v>
      </c>
      <c r="BI24" s="407">
        <f t="shared" si="16"/>
        <v>0</v>
      </c>
      <c r="BJ24" s="407">
        <f t="shared" si="17"/>
        <v>0</v>
      </c>
      <c r="BK24" s="407">
        <f t="shared" si="18"/>
        <v>0</v>
      </c>
      <c r="BL24" s="408">
        <f t="shared" si="19"/>
        <v>0</v>
      </c>
    </row>
    <row r="25" spans="1:64" s="335" customFormat="1" ht="23.45" hidden="1" customHeight="1">
      <c r="C25" s="1112"/>
      <c r="D25" s="410"/>
      <c r="E25" s="400"/>
      <c r="F25" s="401"/>
      <c r="G25" s="401"/>
      <c r="H25" s="402"/>
      <c r="I25" s="403"/>
      <c r="J25" s="338"/>
      <c r="K25" s="338"/>
      <c r="L25" s="411"/>
      <c r="M25" s="403"/>
      <c r="N25" s="338"/>
      <c r="O25" s="338"/>
      <c r="P25" s="338"/>
      <c r="Q25" s="404">
        <f t="shared" si="5"/>
        <v>0</v>
      </c>
      <c r="R25" s="403"/>
      <c r="S25" s="338"/>
      <c r="T25" s="338"/>
      <c r="U25" s="338"/>
      <c r="V25" s="404">
        <f t="shared" si="6"/>
        <v>0</v>
      </c>
      <c r="W25" s="428"/>
      <c r="X25" s="429"/>
      <c r="Y25" s="429"/>
      <c r="Z25" s="429"/>
      <c r="AA25" s="404">
        <f t="shared" si="8"/>
        <v>0</v>
      </c>
      <c r="AB25" s="403"/>
      <c r="AC25" s="338"/>
      <c r="AD25" s="338"/>
      <c r="AE25" s="338"/>
      <c r="AF25" s="404">
        <f t="shared" si="9"/>
        <v>0</v>
      </c>
      <c r="AG25" s="403"/>
      <c r="AH25" s="338"/>
      <c r="AI25" s="338"/>
      <c r="AJ25" s="338"/>
      <c r="AK25" s="404">
        <f t="shared" si="10"/>
        <v>0</v>
      </c>
      <c r="AL25" s="403"/>
      <c r="AM25" s="338"/>
      <c r="AN25" s="338"/>
      <c r="AO25" s="338"/>
      <c r="AP25" s="405">
        <f t="shared" si="11"/>
        <v>0</v>
      </c>
      <c r="AQ25" s="787">
        <f t="shared" si="12"/>
        <v>0</v>
      </c>
      <c r="AR25" s="407">
        <f t="shared" si="1"/>
        <v>0</v>
      </c>
      <c r="AS25" s="407">
        <f t="shared" si="1"/>
        <v>0</v>
      </c>
      <c r="AT25" s="407">
        <f t="shared" si="1"/>
        <v>0</v>
      </c>
      <c r="AU25" s="408">
        <f t="shared" si="1"/>
        <v>0</v>
      </c>
      <c r="AV25" s="392" t="s">
        <v>348</v>
      </c>
      <c r="AW25" s="392" t="s">
        <v>348</v>
      </c>
      <c r="AX25" s="392" t="s">
        <v>348</v>
      </c>
      <c r="AY25" s="392" t="s">
        <v>348</v>
      </c>
      <c r="AZ25" s="387" t="s">
        <v>348</v>
      </c>
      <c r="BA25" s="343"/>
      <c r="BB25" s="406">
        <f t="shared" si="13"/>
        <v>0</v>
      </c>
      <c r="BC25" s="407">
        <f t="shared" si="2"/>
        <v>0</v>
      </c>
      <c r="BD25" s="407">
        <f t="shared" si="3"/>
        <v>0</v>
      </c>
      <c r="BE25" s="407">
        <f t="shared" si="4"/>
        <v>0</v>
      </c>
      <c r="BF25" s="404">
        <f t="shared" si="14"/>
        <v>0</v>
      </c>
      <c r="BG25" s="343"/>
      <c r="BH25" s="406">
        <f t="shared" si="15"/>
        <v>0</v>
      </c>
      <c r="BI25" s="407">
        <f t="shared" si="16"/>
        <v>0</v>
      </c>
      <c r="BJ25" s="407">
        <f t="shared" si="17"/>
        <v>0</v>
      </c>
      <c r="BK25" s="407">
        <f t="shared" si="18"/>
        <v>0</v>
      </c>
      <c r="BL25" s="408">
        <f t="shared" si="19"/>
        <v>0</v>
      </c>
    </row>
    <row r="26" spans="1:64" s="335" customFormat="1" ht="23.45" hidden="1" customHeight="1">
      <c r="C26" s="1112"/>
      <c r="D26" s="410"/>
      <c r="E26" s="400"/>
      <c r="F26" s="401"/>
      <c r="G26" s="401"/>
      <c r="H26" s="402"/>
      <c r="I26" s="403"/>
      <c r="J26" s="338"/>
      <c r="K26" s="338"/>
      <c r="L26" s="411"/>
      <c r="M26" s="403"/>
      <c r="N26" s="338"/>
      <c r="O26" s="338"/>
      <c r="P26" s="338"/>
      <c r="Q26" s="404">
        <f t="shared" si="5"/>
        <v>0</v>
      </c>
      <c r="R26" s="403"/>
      <c r="S26" s="338"/>
      <c r="T26" s="338"/>
      <c r="U26" s="338"/>
      <c r="V26" s="404">
        <f>SUM(R26:U26)</f>
        <v>0</v>
      </c>
      <c r="W26" s="428"/>
      <c r="X26" s="429"/>
      <c r="Y26" s="429"/>
      <c r="Z26" s="429"/>
      <c r="AA26" s="404">
        <f t="shared" si="8"/>
        <v>0</v>
      </c>
      <c r="AB26" s="403"/>
      <c r="AC26" s="338"/>
      <c r="AD26" s="338"/>
      <c r="AE26" s="338"/>
      <c r="AF26" s="404">
        <f t="shared" si="9"/>
        <v>0</v>
      </c>
      <c r="AG26" s="403"/>
      <c r="AH26" s="338"/>
      <c r="AI26" s="338"/>
      <c r="AJ26" s="338"/>
      <c r="AK26" s="404">
        <f t="shared" si="10"/>
        <v>0</v>
      </c>
      <c r="AL26" s="403"/>
      <c r="AM26" s="338"/>
      <c r="AN26" s="338"/>
      <c r="AO26" s="338"/>
      <c r="AP26" s="405">
        <f t="shared" si="11"/>
        <v>0</v>
      </c>
      <c r="AQ26" s="787">
        <f t="shared" si="12"/>
        <v>0</v>
      </c>
      <c r="AR26" s="407">
        <f t="shared" si="1"/>
        <v>0</v>
      </c>
      <c r="AS26" s="407">
        <f t="shared" si="1"/>
        <v>0</v>
      </c>
      <c r="AT26" s="407">
        <f t="shared" si="1"/>
        <v>0</v>
      </c>
      <c r="AU26" s="408">
        <f t="shared" si="1"/>
        <v>0</v>
      </c>
      <c r="AV26" s="392" t="s">
        <v>348</v>
      </c>
      <c r="AW26" s="392" t="s">
        <v>348</v>
      </c>
      <c r="AX26" s="392" t="s">
        <v>348</v>
      </c>
      <c r="AY26" s="392" t="s">
        <v>348</v>
      </c>
      <c r="AZ26" s="387" t="s">
        <v>348</v>
      </c>
      <c r="BA26" s="343"/>
      <c r="BB26" s="406">
        <f t="shared" si="13"/>
        <v>0</v>
      </c>
      <c r="BC26" s="407">
        <f t="shared" si="2"/>
        <v>0</v>
      </c>
      <c r="BD26" s="407">
        <f t="shared" si="3"/>
        <v>0</v>
      </c>
      <c r="BE26" s="407">
        <f t="shared" si="4"/>
        <v>0</v>
      </c>
      <c r="BF26" s="404">
        <f t="shared" si="14"/>
        <v>0</v>
      </c>
      <c r="BG26" s="343"/>
      <c r="BH26" s="406">
        <f t="shared" si="15"/>
        <v>0</v>
      </c>
      <c r="BI26" s="407">
        <f t="shared" si="16"/>
        <v>0</v>
      </c>
      <c r="BJ26" s="407">
        <f t="shared" si="17"/>
        <v>0</v>
      </c>
      <c r="BK26" s="407">
        <f t="shared" si="18"/>
        <v>0</v>
      </c>
      <c r="BL26" s="408">
        <f t="shared" si="19"/>
        <v>0</v>
      </c>
    </row>
    <row r="27" spans="1:64" s="335" customFormat="1" ht="23.45" hidden="1" customHeight="1">
      <c r="C27" s="1112"/>
      <c r="D27" s="410"/>
      <c r="E27" s="400"/>
      <c r="F27" s="401"/>
      <c r="G27" s="401"/>
      <c r="H27" s="402"/>
      <c r="I27" s="403"/>
      <c r="J27" s="338"/>
      <c r="K27" s="338"/>
      <c r="L27" s="411"/>
      <c r="M27" s="403"/>
      <c r="N27" s="338"/>
      <c r="O27" s="338"/>
      <c r="P27" s="338"/>
      <c r="Q27" s="404">
        <f t="shared" si="5"/>
        <v>0</v>
      </c>
      <c r="R27" s="403"/>
      <c r="S27" s="338"/>
      <c r="T27" s="338"/>
      <c r="U27" s="338"/>
      <c r="V27" s="404">
        <f t="shared" si="6"/>
        <v>0</v>
      </c>
      <c r="W27" s="428"/>
      <c r="X27" s="429"/>
      <c r="Y27" s="429"/>
      <c r="Z27" s="429"/>
      <c r="AA27" s="404">
        <f t="shared" si="8"/>
        <v>0</v>
      </c>
      <c r="AB27" s="403"/>
      <c r="AC27" s="338"/>
      <c r="AD27" s="338"/>
      <c r="AE27" s="338"/>
      <c r="AF27" s="404">
        <f t="shared" si="9"/>
        <v>0</v>
      </c>
      <c r="AG27" s="403"/>
      <c r="AH27" s="338"/>
      <c r="AI27" s="338"/>
      <c r="AJ27" s="338"/>
      <c r="AK27" s="404">
        <f t="shared" si="10"/>
        <v>0</v>
      </c>
      <c r="AL27" s="403"/>
      <c r="AM27" s="338"/>
      <c r="AN27" s="338"/>
      <c r="AO27" s="338"/>
      <c r="AP27" s="405">
        <f t="shared" si="11"/>
        <v>0</v>
      </c>
      <c r="AQ27" s="787">
        <f t="shared" si="12"/>
        <v>0</v>
      </c>
      <c r="AR27" s="407">
        <f t="shared" si="1"/>
        <v>0</v>
      </c>
      <c r="AS27" s="407">
        <f t="shared" si="1"/>
        <v>0</v>
      </c>
      <c r="AT27" s="407">
        <f t="shared" si="1"/>
        <v>0</v>
      </c>
      <c r="AU27" s="408">
        <f t="shared" si="1"/>
        <v>0</v>
      </c>
      <c r="AV27" s="392" t="s">
        <v>348</v>
      </c>
      <c r="AW27" s="392" t="s">
        <v>348</v>
      </c>
      <c r="AX27" s="392" t="s">
        <v>348</v>
      </c>
      <c r="AY27" s="392" t="s">
        <v>348</v>
      </c>
      <c r="AZ27" s="387" t="s">
        <v>348</v>
      </c>
      <c r="BA27" s="343"/>
      <c r="BB27" s="406">
        <f>AQ27*E27/100%</f>
        <v>0</v>
      </c>
      <c r="BC27" s="407">
        <f t="shared" si="2"/>
        <v>0</v>
      </c>
      <c r="BD27" s="407">
        <f t="shared" si="3"/>
        <v>0</v>
      </c>
      <c r="BE27" s="407">
        <f t="shared" si="4"/>
        <v>0</v>
      </c>
      <c r="BF27" s="404">
        <f t="shared" si="14"/>
        <v>0</v>
      </c>
      <c r="BG27" s="343"/>
      <c r="BH27" s="406">
        <f t="shared" si="15"/>
        <v>0</v>
      </c>
      <c r="BI27" s="407">
        <f t="shared" si="16"/>
        <v>0</v>
      </c>
      <c r="BJ27" s="407">
        <f t="shared" si="17"/>
        <v>0</v>
      </c>
      <c r="BK27" s="407">
        <f t="shared" si="18"/>
        <v>0</v>
      </c>
      <c r="BL27" s="408">
        <f t="shared" si="19"/>
        <v>0</v>
      </c>
    </row>
    <row r="28" spans="1:64" s="412" customFormat="1" ht="33.75" hidden="1" customHeight="1" thickBot="1">
      <c r="C28" s="1113"/>
      <c r="D28" s="413" t="s">
        <v>430</v>
      </c>
      <c r="E28" s="414" t="s">
        <v>346</v>
      </c>
      <c r="F28" s="415" t="s">
        <v>346</v>
      </c>
      <c r="G28" s="415" t="s">
        <v>346</v>
      </c>
      <c r="H28" s="416" t="s">
        <v>346</v>
      </c>
      <c r="I28" s="414">
        <f t="shared" ref="I28:AP28" si="20">SUM(I19:I27)</f>
        <v>5</v>
      </c>
      <c r="J28" s="415">
        <f t="shared" si="20"/>
        <v>5</v>
      </c>
      <c r="K28" s="415">
        <f t="shared" si="20"/>
        <v>5</v>
      </c>
      <c r="L28" s="416">
        <f t="shared" si="20"/>
        <v>5</v>
      </c>
      <c r="M28" s="414">
        <f>SUM(M19:M27)</f>
        <v>284400</v>
      </c>
      <c r="N28" s="415">
        <f>SUM(N19:N27)</f>
        <v>284400</v>
      </c>
      <c r="O28" s="415">
        <f>SUM(O19:O27)</f>
        <v>284400</v>
      </c>
      <c r="P28" s="415">
        <f>SUM(P19:P27)</f>
        <v>284400</v>
      </c>
      <c r="Q28" s="416">
        <f t="shared" si="20"/>
        <v>1137600</v>
      </c>
      <c r="R28" s="417">
        <f t="shared" si="20"/>
        <v>0</v>
      </c>
      <c r="S28" s="418">
        <f t="shared" si="20"/>
        <v>0</v>
      </c>
      <c r="T28" s="418">
        <f t="shared" si="20"/>
        <v>0</v>
      </c>
      <c r="U28" s="418">
        <f t="shared" si="20"/>
        <v>0</v>
      </c>
      <c r="V28" s="419">
        <f t="shared" si="20"/>
        <v>0</v>
      </c>
      <c r="W28" s="772">
        <f t="shared" si="20"/>
        <v>38700</v>
      </c>
      <c r="X28" s="773">
        <f t="shared" si="20"/>
        <v>38700</v>
      </c>
      <c r="Y28" s="773">
        <f t="shared" si="20"/>
        <v>38700</v>
      </c>
      <c r="Z28" s="773">
        <f t="shared" si="20"/>
        <v>38700</v>
      </c>
      <c r="AA28" s="416">
        <f t="shared" si="20"/>
        <v>154800</v>
      </c>
      <c r="AB28" s="414">
        <f t="shared" si="20"/>
        <v>1800</v>
      </c>
      <c r="AC28" s="415">
        <f t="shared" si="20"/>
        <v>1800</v>
      </c>
      <c r="AD28" s="415">
        <f t="shared" si="20"/>
        <v>1800</v>
      </c>
      <c r="AE28" s="415">
        <f t="shared" si="20"/>
        <v>1800</v>
      </c>
      <c r="AF28" s="416">
        <f t="shared" si="20"/>
        <v>7200</v>
      </c>
      <c r="AG28" s="414">
        <f t="shared" si="20"/>
        <v>119700</v>
      </c>
      <c r="AH28" s="415">
        <f t="shared" si="20"/>
        <v>119700</v>
      </c>
      <c r="AI28" s="415">
        <f t="shared" si="20"/>
        <v>119700</v>
      </c>
      <c r="AJ28" s="415">
        <f t="shared" si="20"/>
        <v>119700</v>
      </c>
      <c r="AK28" s="416">
        <f t="shared" si="20"/>
        <v>478800</v>
      </c>
      <c r="AL28" s="414">
        <f t="shared" si="20"/>
        <v>0</v>
      </c>
      <c r="AM28" s="415">
        <f t="shared" si="20"/>
        <v>0</v>
      </c>
      <c r="AN28" s="415">
        <f t="shared" si="20"/>
        <v>0</v>
      </c>
      <c r="AO28" s="415">
        <f t="shared" si="20"/>
        <v>0</v>
      </c>
      <c r="AP28" s="420">
        <f t="shared" si="20"/>
        <v>0</v>
      </c>
      <c r="AQ28" s="797">
        <f>M28+R28+W28+AB28+AG28+AL28</f>
        <v>444600</v>
      </c>
      <c r="AR28" s="421">
        <f t="shared" si="1"/>
        <v>444600</v>
      </c>
      <c r="AS28" s="421">
        <f t="shared" si="1"/>
        <v>444600</v>
      </c>
      <c r="AT28" s="421">
        <f t="shared" si="1"/>
        <v>444600</v>
      </c>
      <c r="AU28" s="422">
        <f>Q28+V28+AA28+AF28+AK28+AP28</f>
        <v>1778400</v>
      </c>
      <c r="AV28" s="423">
        <v>900</v>
      </c>
      <c r="AW28" s="423">
        <v>900</v>
      </c>
      <c r="AX28" s="423">
        <v>900</v>
      </c>
      <c r="AY28" s="423">
        <v>900</v>
      </c>
      <c r="AZ28" s="416">
        <v>0</v>
      </c>
      <c r="BA28" s="261"/>
      <c r="BB28" s="414">
        <f>SUM(BB19:BB27)</f>
        <v>97812</v>
      </c>
      <c r="BC28" s="415">
        <f>SUM(BC19:BC27)</f>
        <v>97812</v>
      </c>
      <c r="BD28" s="415">
        <f>SUM(BD19:BD27)</f>
        <v>97812</v>
      </c>
      <c r="BE28" s="415">
        <f>SUM(BE19:BE27)</f>
        <v>97812</v>
      </c>
      <c r="BF28" s="416">
        <f>SUM(BF19:BF27)</f>
        <v>391248</v>
      </c>
      <c r="BG28" s="261"/>
      <c r="BH28" s="417">
        <f>SUM(BH19:BH27)</f>
        <v>86697</v>
      </c>
      <c r="BI28" s="418">
        <f>SUM(BI19:BI27)</f>
        <v>86697</v>
      </c>
      <c r="BJ28" s="418">
        <f>SUM(BJ19:BJ27)</f>
        <v>86697</v>
      </c>
      <c r="BK28" s="418">
        <f>SUM(BK19:BK27)</f>
        <v>86697</v>
      </c>
      <c r="BL28" s="419">
        <f>SUM(BL19:BL27)</f>
        <v>346788</v>
      </c>
    </row>
    <row r="29" spans="1:64" s="335" customFormat="1" ht="49.5" hidden="1" customHeight="1" thickBot="1">
      <c r="A29" s="714"/>
      <c r="B29" s="714"/>
      <c r="C29" s="1165" t="s">
        <v>489</v>
      </c>
      <c r="D29" s="693" t="s">
        <v>91</v>
      </c>
      <c r="E29" s="694">
        <v>0.22</v>
      </c>
      <c r="F29" s="695">
        <v>0.22</v>
      </c>
      <c r="G29" s="695">
        <v>0.22</v>
      </c>
      <c r="H29" s="696">
        <v>0.22</v>
      </c>
      <c r="I29" s="744">
        <v>2.5</v>
      </c>
      <c r="J29" s="744">
        <v>2.5</v>
      </c>
      <c r="K29" s="744">
        <v>2.5</v>
      </c>
      <c r="L29" s="744">
        <v>2.5</v>
      </c>
      <c r="M29" s="697">
        <f>(9800*2.5)*3</f>
        <v>73500</v>
      </c>
      <c r="N29" s="697">
        <f>(9800*2.5)*3</f>
        <v>73500</v>
      </c>
      <c r="O29" s="697">
        <f>(9800*2.5)*3</f>
        <v>73500</v>
      </c>
      <c r="P29" s="697">
        <f>(9800*2.5)*3</f>
        <v>73500</v>
      </c>
      <c r="Q29" s="699">
        <f>SUM(M29:P29)</f>
        <v>294000</v>
      </c>
      <c r="R29" s="697">
        <f>30000*3</f>
        <v>90000</v>
      </c>
      <c r="S29" s="697">
        <f>30000*3</f>
        <v>90000</v>
      </c>
      <c r="T29" s="697">
        <f>30000*3</f>
        <v>90000</v>
      </c>
      <c r="U29" s="697">
        <f>30000*3</f>
        <v>90000</v>
      </c>
      <c r="V29" s="700">
        <f>SUM(R29:U29)</f>
        <v>360000</v>
      </c>
      <c r="W29" s="774">
        <f>M29*0.6</f>
        <v>44100</v>
      </c>
      <c r="X29" s="774">
        <f>N29*0.5</f>
        <v>36750</v>
      </c>
      <c r="Y29" s="774">
        <f>O29*0.6</f>
        <v>44100</v>
      </c>
      <c r="Z29" s="774">
        <f>P29*0.8</f>
        <v>58800</v>
      </c>
      <c r="AA29" s="700">
        <f>SUM(W29:Z29)</f>
        <v>183750</v>
      </c>
      <c r="AB29" s="701">
        <v>0</v>
      </c>
      <c r="AC29" s="702">
        <v>0</v>
      </c>
      <c r="AD29" s="702">
        <v>0</v>
      </c>
      <c r="AE29" s="702">
        <v>0</v>
      </c>
      <c r="AF29" s="700">
        <f>SUM(AB29:AE29)</f>
        <v>0</v>
      </c>
      <c r="AG29" s="697">
        <v>0</v>
      </c>
      <c r="AH29" s="697">
        <v>0</v>
      </c>
      <c r="AI29" s="697">
        <v>0</v>
      </c>
      <c r="AJ29" s="697">
        <v>0</v>
      </c>
      <c r="AK29" s="700">
        <f>SUM(AG29:AJ29)</f>
        <v>0</v>
      </c>
      <c r="AL29" s="697">
        <v>0</v>
      </c>
      <c r="AM29" s="698">
        <v>0</v>
      </c>
      <c r="AN29" s="698">
        <v>0</v>
      </c>
      <c r="AO29" s="698">
        <v>0</v>
      </c>
      <c r="AP29" s="699">
        <f>SUM(AL29:AO29)</f>
        <v>0</v>
      </c>
      <c r="AQ29" s="788">
        <f>M29+R29+W29+AB29+AG29+AL29</f>
        <v>207600</v>
      </c>
      <c r="AR29" s="704">
        <f t="shared" si="1"/>
        <v>200250</v>
      </c>
      <c r="AS29" s="704">
        <f t="shared" si="1"/>
        <v>207600</v>
      </c>
      <c r="AT29" s="704">
        <f t="shared" si="1"/>
        <v>222300</v>
      </c>
      <c r="AU29" s="705">
        <f t="shared" si="1"/>
        <v>837750</v>
      </c>
      <c r="AV29" s="706" t="s">
        <v>348</v>
      </c>
      <c r="AW29" s="706" t="s">
        <v>348</v>
      </c>
      <c r="AX29" s="706" t="s">
        <v>348</v>
      </c>
      <c r="AY29" s="706" t="s">
        <v>348</v>
      </c>
      <c r="AZ29" s="707" t="s">
        <v>348</v>
      </c>
      <c r="BA29" s="343"/>
      <c r="BB29" s="708">
        <f t="shared" ref="BB29:BB43" si="21">AQ29*E29/100%</f>
        <v>45672</v>
      </c>
      <c r="BC29" s="709">
        <f t="shared" ref="BC29:BC43" si="22">AR29*F29/100%</f>
        <v>44055</v>
      </c>
      <c r="BD29" s="709">
        <f t="shared" ref="BD29:BD43" si="23">AS29*G29/100%</f>
        <v>45672</v>
      </c>
      <c r="BE29" s="709">
        <f t="shared" ref="BE29:BE43" si="24">AT29*H29/100%</f>
        <v>48906</v>
      </c>
      <c r="BF29" s="707">
        <f>SUM(BB29:BE29)</f>
        <v>184305</v>
      </c>
      <c r="BG29" s="343"/>
      <c r="BH29" s="703">
        <f>AQ29*(18%+1.5%)/100%</f>
        <v>40482</v>
      </c>
      <c r="BI29" s="704">
        <f>AR29*(18%+1.5%)/100%</f>
        <v>39048.75</v>
      </c>
      <c r="BJ29" s="704">
        <f>AS29*(18%+1.5%)/100%</f>
        <v>40482</v>
      </c>
      <c r="BK29" s="704">
        <f>AT29*(18%+1.5%)/100%</f>
        <v>43348.5</v>
      </c>
      <c r="BL29" s="705">
        <f>SUM(BH29:BK29)</f>
        <v>163361.25</v>
      </c>
    </row>
    <row r="30" spans="1:64" s="711" customFormat="1" ht="54" hidden="1" customHeight="1" thickBot="1">
      <c r="A30" s="714"/>
      <c r="B30" s="714"/>
      <c r="C30" s="1165"/>
      <c r="D30" s="689" t="s">
        <v>142</v>
      </c>
      <c r="E30" s="401">
        <v>0.22</v>
      </c>
      <c r="F30" s="401">
        <v>0.22</v>
      </c>
      <c r="G30" s="401">
        <v>0.22</v>
      </c>
      <c r="H30" s="401">
        <v>0.22</v>
      </c>
      <c r="I30" s="688">
        <v>12</v>
      </c>
      <c r="J30" s="688">
        <v>12</v>
      </c>
      <c r="K30" s="688">
        <v>12</v>
      </c>
      <c r="L30" s="688">
        <v>12</v>
      </c>
      <c r="M30" s="697">
        <f>(9800*12)*3</f>
        <v>352800</v>
      </c>
      <c r="N30" s="697">
        <f>(9800*12)*3</f>
        <v>352800</v>
      </c>
      <c r="O30" s="697">
        <f>(9800*12)*3</f>
        <v>352800</v>
      </c>
      <c r="P30" s="697">
        <f>(9800*12)*3</f>
        <v>352800</v>
      </c>
      <c r="Q30" s="699">
        <f t="shared" ref="Q30:Q39" si="25">SUM(M30:P30)</f>
        <v>1411200</v>
      </c>
      <c r="R30" s="338">
        <f>127000*3</f>
        <v>381000</v>
      </c>
      <c r="S30" s="338">
        <f>127000*3</f>
        <v>381000</v>
      </c>
      <c r="T30" s="338">
        <f>127000*3</f>
        <v>381000</v>
      </c>
      <c r="U30" s="338">
        <f>127000*3</f>
        <v>381000</v>
      </c>
      <c r="V30" s="712">
        <f t="shared" ref="V30:V87" si="26">SUM(R30:U30)</f>
        <v>1524000</v>
      </c>
      <c r="W30" s="774">
        <f>M30*0.6</f>
        <v>211680</v>
      </c>
      <c r="X30" s="774">
        <f>N30*0.5</f>
        <v>176400</v>
      </c>
      <c r="Y30" s="774">
        <f>O30*0.6</f>
        <v>211680</v>
      </c>
      <c r="Z30" s="774">
        <f>P30*0.8</f>
        <v>282240</v>
      </c>
      <c r="AA30" s="712">
        <f t="shared" ref="AA30:AA43" si="27">SUM(W30:Z30)</f>
        <v>882000</v>
      </c>
      <c r="AB30" s="701">
        <v>0</v>
      </c>
      <c r="AC30" s="702">
        <v>0</v>
      </c>
      <c r="AD30" s="702">
        <v>0</v>
      </c>
      <c r="AE30" s="702">
        <v>0</v>
      </c>
      <c r="AF30" s="712">
        <f t="shared" ref="AF30:AF43" si="28">SUM(AB30:AE30)</f>
        <v>0</v>
      </c>
      <c r="AG30" s="697">
        <v>0</v>
      </c>
      <c r="AH30" s="697">
        <v>0</v>
      </c>
      <c r="AI30" s="697">
        <v>0</v>
      </c>
      <c r="AJ30" s="697">
        <v>0</v>
      </c>
      <c r="AK30" s="712">
        <f t="shared" ref="AK30:AK43" si="29">SUM(AG30:AJ30)</f>
        <v>0</v>
      </c>
      <c r="AL30" s="697">
        <v>0</v>
      </c>
      <c r="AM30" s="698">
        <v>0</v>
      </c>
      <c r="AN30" s="698">
        <v>0</v>
      </c>
      <c r="AO30" s="698">
        <v>0</v>
      </c>
      <c r="AP30" s="712">
        <f t="shared" ref="AP30:AP43" si="30">SUM(AL30:AO30)</f>
        <v>0</v>
      </c>
      <c r="AQ30" s="789">
        <f>M30+R30+W30+AB30+AG30+AL30</f>
        <v>945480</v>
      </c>
      <c r="AR30" s="407">
        <f t="shared" ref="AR30:AR43" si="31">N30+S30+X30+AC30+AH30+AM30</f>
        <v>910200</v>
      </c>
      <c r="AS30" s="407">
        <f t="shared" ref="AS30:AS43" si="32">O30+T30+Y30+AD30+AI30+AN30</f>
        <v>945480</v>
      </c>
      <c r="AT30" s="407">
        <f t="shared" ref="AT30:AU43" si="33">P30+U30+Z30+AE30+AJ30+AO30</f>
        <v>1016040</v>
      </c>
      <c r="AU30" s="713">
        <f t="shared" si="33"/>
        <v>3817200</v>
      </c>
      <c r="AV30" s="338" t="s">
        <v>348</v>
      </c>
      <c r="AW30" s="338" t="s">
        <v>348</v>
      </c>
      <c r="AX30" s="338" t="s">
        <v>348</v>
      </c>
      <c r="AY30" s="338" t="s">
        <v>348</v>
      </c>
      <c r="AZ30" s="712" t="s">
        <v>348</v>
      </c>
      <c r="BA30" s="340"/>
      <c r="BB30" s="407">
        <f t="shared" si="21"/>
        <v>208005.6</v>
      </c>
      <c r="BC30" s="407">
        <f t="shared" si="22"/>
        <v>200244</v>
      </c>
      <c r="BD30" s="407">
        <f t="shared" si="23"/>
        <v>208005.6</v>
      </c>
      <c r="BE30" s="407">
        <f t="shared" si="24"/>
        <v>223528.8</v>
      </c>
      <c r="BF30" s="712">
        <f t="shared" ref="BF30:BF59" si="34">SUM(BB30:BE30)</f>
        <v>839784</v>
      </c>
      <c r="BG30" s="340"/>
      <c r="BH30" s="407">
        <f t="shared" ref="BH30:BH43" si="35">AQ30*(18%+1.5%)/100%</f>
        <v>184368.6</v>
      </c>
      <c r="BI30" s="407">
        <f t="shared" ref="BI30:BI43" si="36">AR30*(18%+1.5%)/100%</f>
        <v>177489</v>
      </c>
      <c r="BJ30" s="407">
        <f t="shared" ref="BJ30:BJ43" si="37">AS30*(18%+1.5%)/100%</f>
        <v>184368.6</v>
      </c>
      <c r="BK30" s="407">
        <f t="shared" ref="BK30:BK43" si="38">AT30*(18%+1.5%)/100%</f>
        <v>198127.80000000002</v>
      </c>
      <c r="BL30" s="713">
        <f t="shared" ref="BL30:BL43" si="39">SUM(BH30:BK30)</f>
        <v>744354</v>
      </c>
    </row>
    <row r="31" spans="1:64" s="335" customFormat="1" ht="42.75" hidden="1" customHeight="1" thickBot="1">
      <c r="C31" s="1165"/>
      <c r="D31" s="129" t="s">
        <v>143</v>
      </c>
      <c r="E31" s="381">
        <v>0.22</v>
      </c>
      <c r="F31" s="382">
        <v>0.22</v>
      </c>
      <c r="G31" s="382">
        <v>0.22</v>
      </c>
      <c r="H31" s="383">
        <v>0.22</v>
      </c>
      <c r="I31" s="710">
        <v>2.5</v>
      </c>
      <c r="J31" s="710">
        <v>2.5</v>
      </c>
      <c r="K31" s="710">
        <v>2.5</v>
      </c>
      <c r="L31" s="710">
        <v>2.5</v>
      </c>
      <c r="M31" s="697">
        <f>(9800*2.5)*3</f>
        <v>73500</v>
      </c>
      <c r="N31" s="697">
        <f>(9800*2.5)*3</f>
        <v>73500</v>
      </c>
      <c r="O31" s="697">
        <f>(9800*2.5)*3</f>
        <v>73500</v>
      </c>
      <c r="P31" s="697">
        <f>(9800*2.5)*3</f>
        <v>73500</v>
      </c>
      <c r="Q31" s="699">
        <f t="shared" si="25"/>
        <v>294000</v>
      </c>
      <c r="R31" s="338">
        <f>30000*3</f>
        <v>90000</v>
      </c>
      <c r="S31" s="338">
        <f>30000*3</f>
        <v>90000</v>
      </c>
      <c r="T31" s="338">
        <f>30000*3</f>
        <v>90000</v>
      </c>
      <c r="U31" s="338">
        <f>30000*3</f>
        <v>90000</v>
      </c>
      <c r="V31" s="387">
        <f>SUM(R31:U31)</f>
        <v>360000</v>
      </c>
      <c r="W31" s="774">
        <f>M31*0.6</f>
        <v>44100</v>
      </c>
      <c r="X31" s="774">
        <f>N31*0.5</f>
        <v>36750</v>
      </c>
      <c r="Y31" s="774">
        <f>O31*0.6</f>
        <v>44100</v>
      </c>
      <c r="Z31" s="774">
        <f>P31*0.8</f>
        <v>58800</v>
      </c>
      <c r="AA31" s="387">
        <f t="shared" si="27"/>
        <v>183750</v>
      </c>
      <c r="AB31" s="701">
        <v>0</v>
      </c>
      <c r="AC31" s="702">
        <v>0</v>
      </c>
      <c r="AD31" s="702">
        <v>0</v>
      </c>
      <c r="AE31" s="702">
        <v>0</v>
      </c>
      <c r="AF31" s="387">
        <f>SUM(AB31:AE31)</f>
        <v>0</v>
      </c>
      <c r="AG31" s="697">
        <v>0</v>
      </c>
      <c r="AH31" s="697">
        <v>0</v>
      </c>
      <c r="AI31" s="697">
        <v>0</v>
      </c>
      <c r="AJ31" s="697">
        <v>0</v>
      </c>
      <c r="AK31" s="387">
        <f t="shared" si="29"/>
        <v>0</v>
      </c>
      <c r="AL31" s="697">
        <v>0</v>
      </c>
      <c r="AM31" s="698">
        <v>0</v>
      </c>
      <c r="AN31" s="698">
        <v>0</v>
      </c>
      <c r="AO31" s="698">
        <v>0</v>
      </c>
      <c r="AP31" s="388">
        <f t="shared" si="30"/>
        <v>0</v>
      </c>
      <c r="AQ31" s="790">
        <f t="shared" ref="AQ31:AQ43" si="40">M31+R31+W31+AB31+AG31+AL31</f>
        <v>207600</v>
      </c>
      <c r="AR31" s="397">
        <f t="shared" si="31"/>
        <v>200250</v>
      </c>
      <c r="AS31" s="397">
        <f t="shared" si="32"/>
        <v>207600</v>
      </c>
      <c r="AT31" s="397">
        <f t="shared" si="33"/>
        <v>222300</v>
      </c>
      <c r="AU31" s="398">
        <f t="shared" si="33"/>
        <v>837750</v>
      </c>
      <c r="AV31" s="392" t="s">
        <v>348</v>
      </c>
      <c r="AW31" s="392" t="s">
        <v>348</v>
      </c>
      <c r="AX31" s="392" t="s">
        <v>348</v>
      </c>
      <c r="AY31" s="392" t="s">
        <v>348</v>
      </c>
      <c r="AZ31" s="387" t="s">
        <v>348</v>
      </c>
      <c r="BA31" s="343"/>
      <c r="BB31" s="396">
        <f t="shared" si="21"/>
        <v>45672</v>
      </c>
      <c r="BC31" s="397">
        <f t="shared" si="22"/>
        <v>44055</v>
      </c>
      <c r="BD31" s="397">
        <f t="shared" si="23"/>
        <v>45672</v>
      </c>
      <c r="BE31" s="397">
        <f t="shared" si="24"/>
        <v>48906</v>
      </c>
      <c r="BF31" s="387">
        <f t="shared" si="34"/>
        <v>184305</v>
      </c>
      <c r="BG31" s="343"/>
      <c r="BH31" s="396">
        <f t="shared" si="35"/>
        <v>40482</v>
      </c>
      <c r="BI31" s="397">
        <f t="shared" si="36"/>
        <v>39048.75</v>
      </c>
      <c r="BJ31" s="397">
        <f t="shared" si="37"/>
        <v>40482</v>
      </c>
      <c r="BK31" s="397">
        <f t="shared" si="38"/>
        <v>43348.5</v>
      </c>
      <c r="BL31" s="398">
        <f t="shared" si="39"/>
        <v>163361.25</v>
      </c>
    </row>
    <row r="32" spans="1:64" s="335" customFormat="1" ht="37.5" hidden="1" customHeight="1" thickBot="1">
      <c r="C32" s="1165"/>
      <c r="D32" s="430"/>
      <c r="E32" s="400"/>
      <c r="F32" s="401"/>
      <c r="G32" s="401"/>
      <c r="H32" s="402"/>
      <c r="I32" s="692"/>
      <c r="J32" s="692"/>
      <c r="K32" s="692"/>
      <c r="L32" s="692"/>
      <c r="M32" s="403"/>
      <c r="N32" s="403"/>
      <c r="O32" s="403"/>
      <c r="P32" s="403"/>
      <c r="Q32" s="699">
        <f t="shared" si="25"/>
        <v>0</v>
      </c>
      <c r="R32" s="338"/>
      <c r="S32" s="403"/>
      <c r="T32" s="403"/>
      <c r="U32" s="403"/>
      <c r="V32" s="404">
        <f t="shared" si="26"/>
        <v>0</v>
      </c>
      <c r="W32" s="774">
        <v>0</v>
      </c>
      <c r="X32" s="774">
        <v>0</v>
      </c>
      <c r="Y32" s="774">
        <v>0</v>
      </c>
      <c r="Z32" s="774">
        <v>0</v>
      </c>
      <c r="AA32" s="404">
        <f t="shared" si="27"/>
        <v>0</v>
      </c>
      <c r="AB32" s="701">
        <v>0</v>
      </c>
      <c r="AC32" s="702">
        <v>0</v>
      </c>
      <c r="AD32" s="702">
        <v>0</v>
      </c>
      <c r="AE32" s="702">
        <v>0</v>
      </c>
      <c r="AF32" s="404">
        <f t="shared" si="28"/>
        <v>0</v>
      </c>
      <c r="AG32" s="697">
        <v>0</v>
      </c>
      <c r="AH32" s="697">
        <v>0</v>
      </c>
      <c r="AI32" s="697">
        <v>0</v>
      </c>
      <c r="AJ32" s="697">
        <v>0</v>
      </c>
      <c r="AK32" s="404">
        <f t="shared" si="29"/>
        <v>0</v>
      </c>
      <c r="AL32" s="697">
        <v>0</v>
      </c>
      <c r="AM32" s="698">
        <v>0</v>
      </c>
      <c r="AN32" s="698">
        <v>0</v>
      </c>
      <c r="AO32" s="698">
        <v>0</v>
      </c>
      <c r="AP32" s="405">
        <f t="shared" si="30"/>
        <v>0</v>
      </c>
      <c r="AQ32" s="787">
        <f t="shared" si="40"/>
        <v>0</v>
      </c>
      <c r="AR32" s="407">
        <f t="shared" si="31"/>
        <v>0</v>
      </c>
      <c r="AS32" s="407">
        <f t="shared" si="32"/>
        <v>0</v>
      </c>
      <c r="AT32" s="407">
        <f t="shared" si="33"/>
        <v>0</v>
      </c>
      <c r="AU32" s="408">
        <f t="shared" si="33"/>
        <v>0</v>
      </c>
      <c r="AV32" s="392" t="s">
        <v>348</v>
      </c>
      <c r="AW32" s="392" t="s">
        <v>348</v>
      </c>
      <c r="AX32" s="392" t="s">
        <v>348</v>
      </c>
      <c r="AY32" s="392" t="s">
        <v>348</v>
      </c>
      <c r="AZ32" s="387" t="s">
        <v>348</v>
      </c>
      <c r="BA32" s="343"/>
      <c r="BB32" s="406">
        <f t="shared" si="21"/>
        <v>0</v>
      </c>
      <c r="BC32" s="407">
        <f t="shared" si="22"/>
        <v>0</v>
      </c>
      <c r="BD32" s="407">
        <f t="shared" si="23"/>
        <v>0</v>
      </c>
      <c r="BE32" s="407">
        <f t="shared" si="24"/>
        <v>0</v>
      </c>
      <c r="BF32" s="404">
        <f t="shared" si="34"/>
        <v>0</v>
      </c>
      <c r="BG32" s="343"/>
      <c r="BH32" s="406">
        <f t="shared" si="35"/>
        <v>0</v>
      </c>
      <c r="BI32" s="407">
        <f t="shared" si="36"/>
        <v>0</v>
      </c>
      <c r="BJ32" s="407">
        <f t="shared" si="37"/>
        <v>0</v>
      </c>
      <c r="BK32" s="407">
        <f t="shared" si="38"/>
        <v>0</v>
      </c>
      <c r="BL32" s="408">
        <f t="shared" si="39"/>
        <v>0</v>
      </c>
    </row>
    <row r="33" spans="3:64" s="335" customFormat="1" ht="36" hidden="1" customHeight="1" thickBot="1">
      <c r="C33" s="1165"/>
      <c r="D33" s="430"/>
      <c r="E33" s="400"/>
      <c r="F33" s="401"/>
      <c r="G33" s="401"/>
      <c r="H33" s="402"/>
      <c r="I33" s="692"/>
      <c r="J33" s="692"/>
      <c r="K33" s="692"/>
      <c r="L33" s="692"/>
      <c r="M33" s="403"/>
      <c r="N33" s="403"/>
      <c r="O33" s="403"/>
      <c r="P33" s="403"/>
      <c r="Q33" s="699">
        <f t="shared" si="25"/>
        <v>0</v>
      </c>
      <c r="R33" s="338"/>
      <c r="S33" s="338"/>
      <c r="T33" s="338"/>
      <c r="U33" s="338"/>
      <c r="V33" s="404">
        <f t="shared" si="26"/>
        <v>0</v>
      </c>
      <c r="W33" s="774">
        <v>0</v>
      </c>
      <c r="X33" s="774">
        <v>0</v>
      </c>
      <c r="Y33" s="774">
        <v>0</v>
      </c>
      <c r="Z33" s="774">
        <v>0</v>
      </c>
      <c r="AA33" s="404">
        <f t="shared" si="27"/>
        <v>0</v>
      </c>
      <c r="AB33" s="701">
        <v>0</v>
      </c>
      <c r="AC33" s="702">
        <v>0</v>
      </c>
      <c r="AD33" s="702">
        <v>0</v>
      </c>
      <c r="AE33" s="702">
        <v>0</v>
      </c>
      <c r="AF33" s="404">
        <f t="shared" si="28"/>
        <v>0</v>
      </c>
      <c r="AG33" s="697">
        <v>0</v>
      </c>
      <c r="AH33" s="697">
        <v>0</v>
      </c>
      <c r="AI33" s="697">
        <v>0</v>
      </c>
      <c r="AJ33" s="697">
        <v>0</v>
      </c>
      <c r="AK33" s="404">
        <f t="shared" si="29"/>
        <v>0</v>
      </c>
      <c r="AL33" s="697">
        <v>0</v>
      </c>
      <c r="AM33" s="698">
        <v>0</v>
      </c>
      <c r="AN33" s="698">
        <v>0</v>
      </c>
      <c r="AO33" s="698">
        <v>0</v>
      </c>
      <c r="AP33" s="405">
        <f t="shared" si="30"/>
        <v>0</v>
      </c>
      <c r="AQ33" s="787">
        <f t="shared" si="40"/>
        <v>0</v>
      </c>
      <c r="AR33" s="407">
        <f t="shared" si="31"/>
        <v>0</v>
      </c>
      <c r="AS33" s="407">
        <f t="shared" si="32"/>
        <v>0</v>
      </c>
      <c r="AT33" s="407">
        <f t="shared" si="33"/>
        <v>0</v>
      </c>
      <c r="AU33" s="408">
        <f t="shared" si="33"/>
        <v>0</v>
      </c>
      <c r="AV33" s="392" t="s">
        <v>348</v>
      </c>
      <c r="AW33" s="392" t="s">
        <v>348</v>
      </c>
      <c r="AX33" s="392" t="s">
        <v>348</v>
      </c>
      <c r="AY33" s="392" t="s">
        <v>348</v>
      </c>
      <c r="AZ33" s="387" t="s">
        <v>348</v>
      </c>
      <c r="BA33" s="343"/>
      <c r="BB33" s="406">
        <f t="shared" si="21"/>
        <v>0</v>
      </c>
      <c r="BC33" s="407">
        <f t="shared" si="22"/>
        <v>0</v>
      </c>
      <c r="BD33" s="407">
        <f t="shared" si="23"/>
        <v>0</v>
      </c>
      <c r="BE33" s="407">
        <f t="shared" si="24"/>
        <v>0</v>
      </c>
      <c r="BF33" s="404">
        <f t="shared" si="34"/>
        <v>0</v>
      </c>
      <c r="BG33" s="343"/>
      <c r="BH33" s="406">
        <f t="shared" si="35"/>
        <v>0</v>
      </c>
      <c r="BI33" s="407">
        <f t="shared" si="36"/>
        <v>0</v>
      </c>
      <c r="BJ33" s="407">
        <f t="shared" si="37"/>
        <v>0</v>
      </c>
      <c r="BK33" s="407">
        <f t="shared" si="38"/>
        <v>0</v>
      </c>
      <c r="BL33" s="408">
        <f t="shared" si="39"/>
        <v>0</v>
      </c>
    </row>
    <row r="34" spans="3:64" s="335" customFormat="1" ht="44.25" hidden="1" customHeight="1" thickBot="1">
      <c r="C34" s="1165"/>
      <c r="D34" s="430"/>
      <c r="E34" s="400"/>
      <c r="F34" s="401"/>
      <c r="G34" s="401"/>
      <c r="H34" s="402"/>
      <c r="I34" s="403"/>
      <c r="J34" s="403"/>
      <c r="K34" s="403"/>
      <c r="L34" s="403"/>
      <c r="M34" s="403"/>
      <c r="N34" s="403"/>
      <c r="O34" s="403"/>
      <c r="P34" s="403"/>
      <c r="Q34" s="699">
        <f t="shared" si="25"/>
        <v>0</v>
      </c>
      <c r="R34" s="338"/>
      <c r="S34" s="403"/>
      <c r="T34" s="403"/>
      <c r="U34" s="403"/>
      <c r="V34" s="404">
        <f t="shared" si="26"/>
        <v>0</v>
      </c>
      <c r="W34" s="774">
        <v>0</v>
      </c>
      <c r="X34" s="774">
        <v>0</v>
      </c>
      <c r="Y34" s="774">
        <v>0</v>
      </c>
      <c r="Z34" s="774">
        <v>0</v>
      </c>
      <c r="AA34" s="404">
        <f t="shared" si="27"/>
        <v>0</v>
      </c>
      <c r="AB34" s="701">
        <v>0</v>
      </c>
      <c r="AC34" s="702">
        <v>0</v>
      </c>
      <c r="AD34" s="702">
        <v>0</v>
      </c>
      <c r="AE34" s="702">
        <v>0</v>
      </c>
      <c r="AF34" s="404">
        <f t="shared" si="28"/>
        <v>0</v>
      </c>
      <c r="AG34" s="697">
        <v>0</v>
      </c>
      <c r="AH34" s="697">
        <v>0</v>
      </c>
      <c r="AI34" s="697">
        <v>0</v>
      </c>
      <c r="AJ34" s="697">
        <v>0</v>
      </c>
      <c r="AK34" s="404">
        <f t="shared" si="29"/>
        <v>0</v>
      </c>
      <c r="AL34" s="697">
        <v>0</v>
      </c>
      <c r="AM34" s="698">
        <v>0</v>
      </c>
      <c r="AN34" s="698">
        <v>0</v>
      </c>
      <c r="AO34" s="698">
        <v>0</v>
      </c>
      <c r="AP34" s="405">
        <f t="shared" si="30"/>
        <v>0</v>
      </c>
      <c r="AQ34" s="787">
        <f t="shared" si="40"/>
        <v>0</v>
      </c>
      <c r="AR34" s="407">
        <f>N34+S34+X34+AC34+AH34+AM34</f>
        <v>0</v>
      </c>
      <c r="AS34" s="407">
        <f t="shared" si="32"/>
        <v>0</v>
      </c>
      <c r="AT34" s="407">
        <f t="shared" si="33"/>
        <v>0</v>
      </c>
      <c r="AU34" s="408">
        <f t="shared" si="33"/>
        <v>0</v>
      </c>
      <c r="AV34" s="392" t="s">
        <v>348</v>
      </c>
      <c r="AW34" s="392" t="s">
        <v>348</v>
      </c>
      <c r="AX34" s="392" t="s">
        <v>348</v>
      </c>
      <c r="AY34" s="392" t="s">
        <v>348</v>
      </c>
      <c r="AZ34" s="387" t="s">
        <v>348</v>
      </c>
      <c r="BA34" s="343"/>
      <c r="BB34" s="406">
        <f t="shared" si="21"/>
        <v>0</v>
      </c>
      <c r="BC34" s="407">
        <f t="shared" si="22"/>
        <v>0</v>
      </c>
      <c r="BD34" s="407">
        <f t="shared" si="23"/>
        <v>0</v>
      </c>
      <c r="BE34" s="407">
        <f t="shared" si="24"/>
        <v>0</v>
      </c>
      <c r="BF34" s="404">
        <f t="shared" si="34"/>
        <v>0</v>
      </c>
      <c r="BG34" s="343"/>
      <c r="BH34" s="406">
        <f t="shared" si="35"/>
        <v>0</v>
      </c>
      <c r="BI34" s="407">
        <f t="shared" si="36"/>
        <v>0</v>
      </c>
      <c r="BJ34" s="407">
        <f t="shared" si="37"/>
        <v>0</v>
      </c>
      <c r="BK34" s="407">
        <f t="shared" si="38"/>
        <v>0</v>
      </c>
      <c r="BL34" s="408">
        <f t="shared" si="39"/>
        <v>0</v>
      </c>
    </row>
    <row r="35" spans="3:64" s="335" customFormat="1" ht="63" hidden="1" customHeight="1" thickBot="1">
      <c r="C35" s="1165"/>
      <c r="D35" s="430"/>
      <c r="E35" s="400"/>
      <c r="F35" s="401"/>
      <c r="G35" s="401"/>
      <c r="H35" s="402"/>
      <c r="I35" s="692"/>
      <c r="J35" s="692"/>
      <c r="K35" s="692"/>
      <c r="L35" s="692"/>
      <c r="M35" s="403"/>
      <c r="N35" s="403"/>
      <c r="O35" s="403"/>
      <c r="P35" s="403"/>
      <c r="Q35" s="699">
        <f t="shared" si="25"/>
        <v>0</v>
      </c>
      <c r="R35" s="338"/>
      <c r="S35" s="403"/>
      <c r="T35" s="403"/>
      <c r="U35" s="403"/>
      <c r="V35" s="404">
        <f t="shared" si="26"/>
        <v>0</v>
      </c>
      <c r="W35" s="774">
        <v>0</v>
      </c>
      <c r="X35" s="774">
        <v>0</v>
      </c>
      <c r="Y35" s="774">
        <v>0</v>
      </c>
      <c r="Z35" s="774">
        <v>0</v>
      </c>
      <c r="AA35" s="404">
        <f t="shared" si="27"/>
        <v>0</v>
      </c>
      <c r="AB35" s="701">
        <v>0</v>
      </c>
      <c r="AC35" s="702">
        <v>0</v>
      </c>
      <c r="AD35" s="702">
        <v>0</v>
      </c>
      <c r="AE35" s="702">
        <v>0</v>
      </c>
      <c r="AF35" s="404">
        <f t="shared" si="28"/>
        <v>0</v>
      </c>
      <c r="AG35" s="697">
        <v>0</v>
      </c>
      <c r="AH35" s="697">
        <v>0</v>
      </c>
      <c r="AI35" s="697">
        <v>0</v>
      </c>
      <c r="AJ35" s="697">
        <v>0</v>
      </c>
      <c r="AK35" s="404">
        <f t="shared" si="29"/>
        <v>0</v>
      </c>
      <c r="AL35" s="697">
        <v>0</v>
      </c>
      <c r="AM35" s="698">
        <v>0</v>
      </c>
      <c r="AN35" s="698">
        <v>0</v>
      </c>
      <c r="AO35" s="698">
        <v>0</v>
      </c>
      <c r="AP35" s="405">
        <f t="shared" si="30"/>
        <v>0</v>
      </c>
      <c r="AQ35" s="787">
        <f t="shared" si="40"/>
        <v>0</v>
      </c>
      <c r="AR35" s="407">
        <f t="shared" si="31"/>
        <v>0</v>
      </c>
      <c r="AS35" s="407">
        <f t="shared" si="32"/>
        <v>0</v>
      </c>
      <c r="AT35" s="407">
        <f t="shared" si="33"/>
        <v>0</v>
      </c>
      <c r="AU35" s="408">
        <f t="shared" si="33"/>
        <v>0</v>
      </c>
      <c r="AV35" s="392" t="s">
        <v>348</v>
      </c>
      <c r="AW35" s="392" t="s">
        <v>348</v>
      </c>
      <c r="AX35" s="392" t="s">
        <v>348</v>
      </c>
      <c r="AY35" s="392" t="s">
        <v>348</v>
      </c>
      <c r="AZ35" s="387" t="s">
        <v>348</v>
      </c>
      <c r="BA35" s="343"/>
      <c r="BB35" s="406">
        <f t="shared" si="21"/>
        <v>0</v>
      </c>
      <c r="BC35" s="407">
        <f t="shared" si="22"/>
        <v>0</v>
      </c>
      <c r="BD35" s="407">
        <f t="shared" si="23"/>
        <v>0</v>
      </c>
      <c r="BE35" s="407">
        <f t="shared" si="24"/>
        <v>0</v>
      </c>
      <c r="BF35" s="404">
        <f t="shared" si="34"/>
        <v>0</v>
      </c>
      <c r="BG35" s="343"/>
      <c r="BH35" s="406">
        <f t="shared" si="35"/>
        <v>0</v>
      </c>
      <c r="BI35" s="407">
        <f t="shared" si="36"/>
        <v>0</v>
      </c>
      <c r="BJ35" s="407">
        <f t="shared" si="37"/>
        <v>0</v>
      </c>
      <c r="BK35" s="407">
        <f t="shared" si="38"/>
        <v>0</v>
      </c>
      <c r="BL35" s="408">
        <f t="shared" si="39"/>
        <v>0</v>
      </c>
    </row>
    <row r="36" spans="3:64" s="335" customFormat="1" ht="58.5" hidden="1" customHeight="1" thickBot="1">
      <c r="C36" s="1165"/>
      <c r="D36" s="430"/>
      <c r="E36" s="400"/>
      <c r="F36" s="401"/>
      <c r="G36" s="401"/>
      <c r="H36" s="402"/>
      <c r="I36" s="403"/>
      <c r="J36" s="403"/>
      <c r="K36" s="403"/>
      <c r="L36" s="403"/>
      <c r="M36" s="403"/>
      <c r="N36" s="403"/>
      <c r="O36" s="403"/>
      <c r="P36" s="403"/>
      <c r="Q36" s="699">
        <f t="shared" si="25"/>
        <v>0</v>
      </c>
      <c r="R36" s="338"/>
      <c r="S36" s="403"/>
      <c r="T36" s="403"/>
      <c r="U36" s="403"/>
      <c r="V36" s="404">
        <f>SUM(R36:U36)</f>
        <v>0</v>
      </c>
      <c r="W36" s="774">
        <v>0</v>
      </c>
      <c r="X36" s="774">
        <v>0</v>
      </c>
      <c r="Y36" s="774">
        <v>0</v>
      </c>
      <c r="Z36" s="774">
        <v>0</v>
      </c>
      <c r="AA36" s="404">
        <f t="shared" si="27"/>
        <v>0</v>
      </c>
      <c r="AB36" s="701">
        <v>0</v>
      </c>
      <c r="AC36" s="702">
        <v>0</v>
      </c>
      <c r="AD36" s="702">
        <v>0</v>
      </c>
      <c r="AE36" s="702">
        <v>0</v>
      </c>
      <c r="AF36" s="404">
        <f t="shared" si="28"/>
        <v>0</v>
      </c>
      <c r="AG36" s="697">
        <v>0</v>
      </c>
      <c r="AH36" s="697">
        <v>0</v>
      </c>
      <c r="AI36" s="697">
        <v>0</v>
      </c>
      <c r="AJ36" s="697">
        <v>0</v>
      </c>
      <c r="AK36" s="404">
        <f t="shared" si="29"/>
        <v>0</v>
      </c>
      <c r="AL36" s="697">
        <v>0</v>
      </c>
      <c r="AM36" s="698">
        <v>0</v>
      </c>
      <c r="AN36" s="698">
        <v>0</v>
      </c>
      <c r="AO36" s="698">
        <v>0</v>
      </c>
      <c r="AP36" s="405">
        <f t="shared" si="30"/>
        <v>0</v>
      </c>
      <c r="AQ36" s="787">
        <f t="shared" si="40"/>
        <v>0</v>
      </c>
      <c r="AR36" s="407">
        <f t="shared" si="31"/>
        <v>0</v>
      </c>
      <c r="AS36" s="407">
        <f t="shared" si="32"/>
        <v>0</v>
      </c>
      <c r="AT36" s="407">
        <f t="shared" si="33"/>
        <v>0</v>
      </c>
      <c r="AU36" s="408">
        <f t="shared" si="33"/>
        <v>0</v>
      </c>
      <c r="AV36" s="392" t="s">
        <v>348</v>
      </c>
      <c r="AW36" s="392" t="s">
        <v>348</v>
      </c>
      <c r="AX36" s="392" t="s">
        <v>348</v>
      </c>
      <c r="AY36" s="392" t="s">
        <v>348</v>
      </c>
      <c r="AZ36" s="387" t="s">
        <v>348</v>
      </c>
      <c r="BA36" s="343"/>
      <c r="BB36" s="406">
        <f t="shared" si="21"/>
        <v>0</v>
      </c>
      <c r="BC36" s="407">
        <f t="shared" si="22"/>
        <v>0</v>
      </c>
      <c r="BD36" s="407">
        <f t="shared" si="23"/>
        <v>0</v>
      </c>
      <c r="BE36" s="407">
        <f t="shared" si="24"/>
        <v>0</v>
      </c>
      <c r="BF36" s="404">
        <f t="shared" si="34"/>
        <v>0</v>
      </c>
      <c r="BG36" s="343"/>
      <c r="BH36" s="406">
        <f t="shared" si="35"/>
        <v>0</v>
      </c>
      <c r="BI36" s="407">
        <f t="shared" si="36"/>
        <v>0</v>
      </c>
      <c r="BJ36" s="407">
        <f t="shared" si="37"/>
        <v>0</v>
      </c>
      <c r="BK36" s="407">
        <f t="shared" si="38"/>
        <v>0</v>
      </c>
      <c r="BL36" s="408">
        <f t="shared" si="39"/>
        <v>0</v>
      </c>
    </row>
    <row r="37" spans="3:64" s="335" customFormat="1" ht="56.25" hidden="1" customHeight="1" thickBot="1">
      <c r="C37" s="1165"/>
      <c r="D37" s="430"/>
      <c r="E37" s="400"/>
      <c r="F37" s="400"/>
      <c r="G37" s="400"/>
      <c r="H37" s="400"/>
      <c r="I37" s="403"/>
      <c r="J37" s="403"/>
      <c r="K37" s="403"/>
      <c r="L37" s="403"/>
      <c r="M37" s="403"/>
      <c r="N37" s="403"/>
      <c r="O37" s="403"/>
      <c r="P37" s="403"/>
      <c r="Q37" s="699">
        <f t="shared" si="25"/>
        <v>0</v>
      </c>
      <c r="R37" s="338"/>
      <c r="S37" s="403"/>
      <c r="T37" s="403"/>
      <c r="U37" s="403"/>
      <c r="V37" s="404">
        <f t="shared" si="26"/>
        <v>0</v>
      </c>
      <c r="W37" s="428">
        <v>0</v>
      </c>
      <c r="X37" s="428">
        <v>0</v>
      </c>
      <c r="Y37" s="428">
        <v>0</v>
      </c>
      <c r="Z37" s="428">
        <v>0</v>
      </c>
      <c r="AA37" s="404">
        <f t="shared" si="27"/>
        <v>0</v>
      </c>
      <c r="AB37" s="701">
        <v>0</v>
      </c>
      <c r="AC37" s="702">
        <v>0</v>
      </c>
      <c r="AD37" s="702">
        <v>0</v>
      </c>
      <c r="AE37" s="702">
        <v>0</v>
      </c>
      <c r="AF37" s="404">
        <f t="shared" si="28"/>
        <v>0</v>
      </c>
      <c r="AG37" s="697">
        <v>0</v>
      </c>
      <c r="AH37" s="697">
        <v>0</v>
      </c>
      <c r="AI37" s="697">
        <v>0</v>
      </c>
      <c r="AJ37" s="697">
        <v>0</v>
      </c>
      <c r="AK37" s="404">
        <f t="shared" si="29"/>
        <v>0</v>
      </c>
      <c r="AL37" s="697">
        <v>0</v>
      </c>
      <c r="AM37" s="698">
        <v>0</v>
      </c>
      <c r="AN37" s="698">
        <v>0</v>
      </c>
      <c r="AO37" s="698">
        <v>0</v>
      </c>
      <c r="AP37" s="405">
        <f t="shared" si="30"/>
        <v>0</v>
      </c>
      <c r="AQ37" s="787">
        <f t="shared" si="40"/>
        <v>0</v>
      </c>
      <c r="AR37" s="407">
        <f t="shared" si="31"/>
        <v>0</v>
      </c>
      <c r="AS37" s="407">
        <f t="shared" si="32"/>
        <v>0</v>
      </c>
      <c r="AT37" s="407">
        <f t="shared" si="33"/>
        <v>0</v>
      </c>
      <c r="AU37" s="408">
        <f t="shared" si="33"/>
        <v>0</v>
      </c>
      <c r="AV37" s="392" t="s">
        <v>348</v>
      </c>
      <c r="AW37" s="392" t="s">
        <v>348</v>
      </c>
      <c r="AX37" s="392" t="s">
        <v>348</v>
      </c>
      <c r="AY37" s="392" t="s">
        <v>348</v>
      </c>
      <c r="AZ37" s="387" t="s">
        <v>348</v>
      </c>
      <c r="BA37" s="343"/>
      <c r="BB37" s="406">
        <f t="shared" si="21"/>
        <v>0</v>
      </c>
      <c r="BC37" s="407">
        <f t="shared" si="22"/>
        <v>0</v>
      </c>
      <c r="BD37" s="407">
        <f t="shared" si="23"/>
        <v>0</v>
      </c>
      <c r="BE37" s="407">
        <f t="shared" si="24"/>
        <v>0</v>
      </c>
      <c r="BF37" s="404">
        <f t="shared" si="34"/>
        <v>0</v>
      </c>
      <c r="BG37" s="343"/>
      <c r="BH37" s="406">
        <f t="shared" si="35"/>
        <v>0</v>
      </c>
      <c r="BI37" s="407">
        <f t="shared" si="36"/>
        <v>0</v>
      </c>
      <c r="BJ37" s="407">
        <f t="shared" si="37"/>
        <v>0</v>
      </c>
      <c r="BK37" s="407">
        <f t="shared" si="38"/>
        <v>0</v>
      </c>
      <c r="BL37" s="408">
        <f t="shared" si="39"/>
        <v>0</v>
      </c>
    </row>
    <row r="38" spans="3:64" s="335" customFormat="1" ht="54.75" hidden="1" customHeight="1" thickBot="1">
      <c r="C38" s="1165"/>
      <c r="D38" s="430"/>
      <c r="E38" s="400"/>
      <c r="F38" s="400"/>
      <c r="G38" s="400"/>
      <c r="H38" s="400"/>
      <c r="I38" s="403"/>
      <c r="J38" s="403"/>
      <c r="K38" s="403"/>
      <c r="L38" s="403"/>
      <c r="M38" s="403"/>
      <c r="N38" s="403"/>
      <c r="O38" s="403"/>
      <c r="P38" s="403"/>
      <c r="Q38" s="699">
        <f t="shared" si="25"/>
        <v>0</v>
      </c>
      <c r="R38" s="338"/>
      <c r="S38" s="403"/>
      <c r="T38" s="403"/>
      <c r="U38" s="403"/>
      <c r="V38" s="404">
        <f t="shared" si="26"/>
        <v>0</v>
      </c>
      <c r="W38" s="428">
        <v>0</v>
      </c>
      <c r="X38" s="429">
        <v>0</v>
      </c>
      <c r="Y38" s="429">
        <v>0</v>
      </c>
      <c r="Z38" s="429">
        <v>0</v>
      </c>
      <c r="AA38" s="404">
        <f t="shared" si="27"/>
        <v>0</v>
      </c>
      <c r="AB38" s="701">
        <v>0</v>
      </c>
      <c r="AC38" s="702">
        <v>0</v>
      </c>
      <c r="AD38" s="702">
        <v>0</v>
      </c>
      <c r="AE38" s="702">
        <v>0</v>
      </c>
      <c r="AF38" s="404">
        <f t="shared" si="28"/>
        <v>0</v>
      </c>
      <c r="AG38" s="697">
        <v>0</v>
      </c>
      <c r="AH38" s="697">
        <v>0</v>
      </c>
      <c r="AI38" s="697">
        <v>0</v>
      </c>
      <c r="AJ38" s="697">
        <v>0</v>
      </c>
      <c r="AK38" s="404">
        <f t="shared" si="29"/>
        <v>0</v>
      </c>
      <c r="AL38" s="697">
        <v>0</v>
      </c>
      <c r="AM38" s="698">
        <v>0</v>
      </c>
      <c r="AN38" s="698">
        <v>0</v>
      </c>
      <c r="AO38" s="698">
        <v>0</v>
      </c>
      <c r="AP38" s="405">
        <f t="shared" si="30"/>
        <v>0</v>
      </c>
      <c r="AQ38" s="787">
        <f t="shared" si="40"/>
        <v>0</v>
      </c>
      <c r="AR38" s="407">
        <f t="shared" si="31"/>
        <v>0</v>
      </c>
      <c r="AS38" s="407">
        <f t="shared" si="32"/>
        <v>0</v>
      </c>
      <c r="AT38" s="407">
        <f t="shared" si="33"/>
        <v>0</v>
      </c>
      <c r="AU38" s="408">
        <f t="shared" si="33"/>
        <v>0</v>
      </c>
      <c r="AV38" s="392" t="s">
        <v>348</v>
      </c>
      <c r="AW38" s="392" t="s">
        <v>348</v>
      </c>
      <c r="AX38" s="392" t="s">
        <v>348</v>
      </c>
      <c r="AY38" s="392" t="s">
        <v>348</v>
      </c>
      <c r="AZ38" s="387" t="s">
        <v>348</v>
      </c>
      <c r="BA38" s="343"/>
      <c r="BB38" s="406">
        <f t="shared" si="21"/>
        <v>0</v>
      </c>
      <c r="BC38" s="407">
        <f t="shared" si="22"/>
        <v>0</v>
      </c>
      <c r="BD38" s="407">
        <f t="shared" si="23"/>
        <v>0</v>
      </c>
      <c r="BE38" s="407">
        <f t="shared" si="24"/>
        <v>0</v>
      </c>
      <c r="BF38" s="404">
        <f t="shared" si="34"/>
        <v>0</v>
      </c>
      <c r="BG38" s="343"/>
      <c r="BH38" s="406">
        <f t="shared" si="35"/>
        <v>0</v>
      </c>
      <c r="BI38" s="407">
        <f t="shared" si="36"/>
        <v>0</v>
      </c>
      <c r="BJ38" s="407">
        <f t="shared" si="37"/>
        <v>0</v>
      </c>
      <c r="BK38" s="407">
        <f t="shared" si="38"/>
        <v>0</v>
      </c>
      <c r="BL38" s="408">
        <f t="shared" si="39"/>
        <v>0</v>
      </c>
    </row>
    <row r="39" spans="3:64" s="335" customFormat="1" ht="30" hidden="1" customHeight="1" thickBot="1">
      <c r="C39" s="1165"/>
      <c r="D39" s="430" t="s">
        <v>145</v>
      </c>
      <c r="E39" s="400">
        <v>0.22</v>
      </c>
      <c r="F39" s="401">
        <v>0.22</v>
      </c>
      <c r="G39" s="401">
        <v>0.22</v>
      </c>
      <c r="H39" s="402">
        <v>0.22</v>
      </c>
      <c r="I39" s="403">
        <v>2</v>
      </c>
      <c r="J39" s="338">
        <v>2</v>
      </c>
      <c r="K39" s="338">
        <v>2</v>
      </c>
      <c r="L39" s="411">
        <v>2</v>
      </c>
      <c r="M39" s="403">
        <f t="shared" ref="M39:P40" si="41">20000*3</f>
        <v>60000</v>
      </c>
      <c r="N39" s="403">
        <f t="shared" si="41"/>
        <v>60000</v>
      </c>
      <c r="O39" s="403">
        <f t="shared" si="41"/>
        <v>60000</v>
      </c>
      <c r="P39" s="403">
        <f t="shared" si="41"/>
        <v>60000</v>
      </c>
      <c r="Q39" s="699">
        <f t="shared" si="25"/>
        <v>240000</v>
      </c>
      <c r="R39" s="403">
        <v>0</v>
      </c>
      <c r="S39" s="338">
        <v>0</v>
      </c>
      <c r="T39" s="338">
        <v>0</v>
      </c>
      <c r="U39" s="338">
        <v>0</v>
      </c>
      <c r="V39" s="404">
        <f t="shared" si="26"/>
        <v>0</v>
      </c>
      <c r="W39" s="428">
        <v>0</v>
      </c>
      <c r="X39" s="429">
        <v>0</v>
      </c>
      <c r="Y39" s="429">
        <v>0</v>
      </c>
      <c r="Z39" s="429">
        <v>0</v>
      </c>
      <c r="AA39" s="404">
        <f t="shared" si="27"/>
        <v>0</v>
      </c>
      <c r="AB39" s="701">
        <v>0</v>
      </c>
      <c r="AC39" s="702">
        <v>0</v>
      </c>
      <c r="AD39" s="702">
        <v>0</v>
      </c>
      <c r="AE39" s="702">
        <v>0</v>
      </c>
      <c r="AF39" s="404">
        <f t="shared" si="28"/>
        <v>0</v>
      </c>
      <c r="AG39" s="697">
        <v>0</v>
      </c>
      <c r="AH39" s="697">
        <v>0</v>
      </c>
      <c r="AI39" s="697">
        <v>0</v>
      </c>
      <c r="AJ39" s="697">
        <v>0</v>
      </c>
      <c r="AK39" s="404">
        <f t="shared" si="29"/>
        <v>0</v>
      </c>
      <c r="AL39" s="697">
        <v>0</v>
      </c>
      <c r="AM39" s="698">
        <v>0</v>
      </c>
      <c r="AN39" s="698">
        <v>0</v>
      </c>
      <c r="AO39" s="698">
        <v>0</v>
      </c>
      <c r="AP39" s="405">
        <f t="shared" si="30"/>
        <v>0</v>
      </c>
      <c r="AQ39" s="787">
        <f t="shared" si="40"/>
        <v>60000</v>
      </c>
      <c r="AR39" s="407">
        <f t="shared" si="31"/>
        <v>60000</v>
      </c>
      <c r="AS39" s="407">
        <f t="shared" si="32"/>
        <v>60000</v>
      </c>
      <c r="AT39" s="407">
        <f t="shared" si="33"/>
        <v>60000</v>
      </c>
      <c r="AU39" s="408">
        <f t="shared" si="33"/>
        <v>240000</v>
      </c>
      <c r="AV39" s="392" t="s">
        <v>348</v>
      </c>
      <c r="AW39" s="392" t="s">
        <v>348</v>
      </c>
      <c r="AX39" s="392" t="s">
        <v>348</v>
      </c>
      <c r="AY39" s="392" t="s">
        <v>348</v>
      </c>
      <c r="AZ39" s="387" t="s">
        <v>348</v>
      </c>
      <c r="BA39" s="343"/>
      <c r="BB39" s="406">
        <f t="shared" si="21"/>
        <v>13200</v>
      </c>
      <c r="BC39" s="407">
        <f t="shared" si="22"/>
        <v>13200</v>
      </c>
      <c r="BD39" s="407">
        <f t="shared" si="23"/>
        <v>13200</v>
      </c>
      <c r="BE39" s="407">
        <f t="shared" si="24"/>
        <v>13200</v>
      </c>
      <c r="BF39" s="404">
        <f t="shared" si="34"/>
        <v>52800</v>
      </c>
      <c r="BG39" s="343"/>
      <c r="BH39" s="406">
        <f t="shared" si="35"/>
        <v>11700</v>
      </c>
      <c r="BI39" s="407">
        <f t="shared" si="36"/>
        <v>11700</v>
      </c>
      <c r="BJ39" s="407">
        <f t="shared" si="37"/>
        <v>11700</v>
      </c>
      <c r="BK39" s="407">
        <f t="shared" si="38"/>
        <v>11700</v>
      </c>
      <c r="BL39" s="408">
        <f t="shared" si="39"/>
        <v>46800</v>
      </c>
    </row>
    <row r="40" spans="3:64" s="335" customFormat="1" ht="36.75" hidden="1" customHeight="1">
      <c r="C40" s="1165"/>
      <c r="D40" s="430" t="s">
        <v>442</v>
      </c>
      <c r="E40" s="716">
        <v>0.22</v>
      </c>
      <c r="F40" s="716">
        <v>0.22</v>
      </c>
      <c r="G40" s="716">
        <v>0.22</v>
      </c>
      <c r="H40" s="716">
        <v>0.22</v>
      </c>
      <c r="I40" s="717">
        <v>1</v>
      </c>
      <c r="J40" s="717">
        <v>1</v>
      </c>
      <c r="K40" s="717">
        <v>1</v>
      </c>
      <c r="L40" s="717">
        <v>1</v>
      </c>
      <c r="M40" s="457">
        <f t="shared" si="41"/>
        <v>60000</v>
      </c>
      <c r="N40" s="457">
        <f t="shared" si="41"/>
        <v>60000</v>
      </c>
      <c r="O40" s="457">
        <f t="shared" si="41"/>
        <v>60000</v>
      </c>
      <c r="P40" s="457">
        <f t="shared" si="41"/>
        <v>60000</v>
      </c>
      <c r="Q40" s="405">
        <f t="shared" ref="Q40:Q87" si="42">SUM(M40:P40)</f>
        <v>240000</v>
      </c>
      <c r="R40" s="403">
        <v>0</v>
      </c>
      <c r="S40" s="338">
        <v>0</v>
      </c>
      <c r="T40" s="338">
        <v>0</v>
      </c>
      <c r="U40" s="338">
        <v>0</v>
      </c>
      <c r="V40" s="404">
        <f t="shared" si="26"/>
        <v>0</v>
      </c>
      <c r="W40" s="428">
        <v>0</v>
      </c>
      <c r="X40" s="428">
        <v>0</v>
      </c>
      <c r="Y40" s="428">
        <v>0</v>
      </c>
      <c r="Z40" s="428">
        <v>0</v>
      </c>
      <c r="AA40" s="404">
        <f t="shared" si="27"/>
        <v>0</v>
      </c>
      <c r="AB40" s="701">
        <v>0</v>
      </c>
      <c r="AC40" s="702">
        <v>0</v>
      </c>
      <c r="AD40" s="702">
        <v>0</v>
      </c>
      <c r="AE40" s="702">
        <v>0</v>
      </c>
      <c r="AF40" s="404">
        <f t="shared" si="28"/>
        <v>0</v>
      </c>
      <c r="AG40" s="697">
        <v>0</v>
      </c>
      <c r="AH40" s="697">
        <v>0</v>
      </c>
      <c r="AI40" s="697">
        <v>0</v>
      </c>
      <c r="AJ40" s="697">
        <v>0</v>
      </c>
      <c r="AK40" s="404">
        <f t="shared" si="29"/>
        <v>0</v>
      </c>
      <c r="AL40" s="697">
        <v>0</v>
      </c>
      <c r="AM40" s="698">
        <v>0</v>
      </c>
      <c r="AN40" s="698">
        <v>0</v>
      </c>
      <c r="AO40" s="698">
        <v>0</v>
      </c>
      <c r="AP40" s="405">
        <f t="shared" si="30"/>
        <v>0</v>
      </c>
      <c r="AQ40" s="787">
        <f t="shared" si="40"/>
        <v>60000</v>
      </c>
      <c r="AR40" s="407">
        <f t="shared" si="31"/>
        <v>60000</v>
      </c>
      <c r="AS40" s="407">
        <f t="shared" si="32"/>
        <v>60000</v>
      </c>
      <c r="AT40" s="407">
        <f t="shared" si="33"/>
        <v>60000</v>
      </c>
      <c r="AU40" s="408">
        <f t="shared" si="33"/>
        <v>240000</v>
      </c>
      <c r="AV40" s="392" t="s">
        <v>348</v>
      </c>
      <c r="AW40" s="392" t="s">
        <v>348</v>
      </c>
      <c r="AX40" s="392" t="s">
        <v>348</v>
      </c>
      <c r="AY40" s="392" t="s">
        <v>348</v>
      </c>
      <c r="AZ40" s="387" t="s">
        <v>348</v>
      </c>
      <c r="BA40" s="343"/>
      <c r="BB40" s="406">
        <f t="shared" si="21"/>
        <v>13200</v>
      </c>
      <c r="BC40" s="407">
        <f t="shared" si="22"/>
        <v>13200</v>
      </c>
      <c r="BD40" s="407">
        <f t="shared" si="23"/>
        <v>13200</v>
      </c>
      <c r="BE40" s="407">
        <f t="shared" si="24"/>
        <v>13200</v>
      </c>
      <c r="BF40" s="404">
        <f t="shared" si="34"/>
        <v>52800</v>
      </c>
      <c r="BG40" s="343"/>
      <c r="BH40" s="406">
        <f t="shared" si="35"/>
        <v>11700</v>
      </c>
      <c r="BI40" s="407">
        <f t="shared" si="36"/>
        <v>11700</v>
      </c>
      <c r="BJ40" s="407">
        <f t="shared" si="37"/>
        <v>11700</v>
      </c>
      <c r="BK40" s="407">
        <f t="shared" si="38"/>
        <v>11700</v>
      </c>
      <c r="BL40" s="408">
        <f t="shared" si="39"/>
        <v>46800</v>
      </c>
    </row>
    <row r="41" spans="3:64" s="335" customFormat="1" ht="22.15" hidden="1" customHeight="1">
      <c r="C41" s="1165"/>
      <c r="D41" s="430"/>
      <c r="E41" s="400"/>
      <c r="F41" s="401"/>
      <c r="G41" s="401"/>
      <c r="H41" s="402"/>
      <c r="I41" s="403"/>
      <c r="J41" s="338"/>
      <c r="K41" s="338"/>
      <c r="L41" s="411"/>
      <c r="M41" s="403"/>
      <c r="N41" s="338"/>
      <c r="O41" s="338"/>
      <c r="P41" s="338"/>
      <c r="Q41" s="405">
        <f t="shared" si="42"/>
        <v>0</v>
      </c>
      <c r="R41" s="403"/>
      <c r="S41" s="338"/>
      <c r="T41" s="338"/>
      <c r="U41" s="338"/>
      <c r="V41" s="404">
        <f t="shared" si="26"/>
        <v>0</v>
      </c>
      <c r="W41" s="428"/>
      <c r="X41" s="429"/>
      <c r="Y41" s="429"/>
      <c r="Z41" s="429"/>
      <c r="AA41" s="404">
        <f t="shared" si="27"/>
        <v>0</v>
      </c>
      <c r="AB41" s="701">
        <v>0</v>
      </c>
      <c r="AC41" s="702">
        <v>0</v>
      </c>
      <c r="AD41" s="702">
        <v>0</v>
      </c>
      <c r="AE41" s="702">
        <v>0</v>
      </c>
      <c r="AF41" s="404">
        <f t="shared" si="28"/>
        <v>0</v>
      </c>
      <c r="AG41" s="403"/>
      <c r="AH41" s="338"/>
      <c r="AI41" s="338"/>
      <c r="AJ41" s="338"/>
      <c r="AK41" s="404">
        <f t="shared" si="29"/>
        <v>0</v>
      </c>
      <c r="AL41" s="403"/>
      <c r="AM41" s="338"/>
      <c r="AN41" s="338"/>
      <c r="AO41" s="338"/>
      <c r="AP41" s="405">
        <f t="shared" si="30"/>
        <v>0</v>
      </c>
      <c r="AQ41" s="787">
        <f t="shared" si="40"/>
        <v>0</v>
      </c>
      <c r="AR41" s="407">
        <f t="shared" si="31"/>
        <v>0</v>
      </c>
      <c r="AS41" s="407">
        <f t="shared" si="32"/>
        <v>0</v>
      </c>
      <c r="AT41" s="407">
        <f t="shared" si="33"/>
        <v>0</v>
      </c>
      <c r="AU41" s="408">
        <f t="shared" si="33"/>
        <v>0</v>
      </c>
      <c r="AV41" s="392" t="s">
        <v>348</v>
      </c>
      <c r="AW41" s="392" t="s">
        <v>348</v>
      </c>
      <c r="AX41" s="392" t="s">
        <v>348</v>
      </c>
      <c r="AY41" s="392" t="s">
        <v>348</v>
      </c>
      <c r="AZ41" s="387" t="s">
        <v>348</v>
      </c>
      <c r="BA41" s="343"/>
      <c r="BB41" s="406">
        <f t="shared" si="21"/>
        <v>0</v>
      </c>
      <c r="BC41" s="407">
        <f t="shared" si="22"/>
        <v>0</v>
      </c>
      <c r="BD41" s="407">
        <f t="shared" si="23"/>
        <v>0</v>
      </c>
      <c r="BE41" s="407">
        <f t="shared" si="24"/>
        <v>0</v>
      </c>
      <c r="BF41" s="404">
        <f t="shared" si="34"/>
        <v>0</v>
      </c>
      <c r="BG41" s="343"/>
      <c r="BH41" s="406">
        <f t="shared" si="35"/>
        <v>0</v>
      </c>
      <c r="BI41" s="407">
        <f t="shared" si="36"/>
        <v>0</v>
      </c>
      <c r="BJ41" s="407">
        <f t="shared" si="37"/>
        <v>0</v>
      </c>
      <c r="BK41" s="407">
        <f t="shared" si="38"/>
        <v>0</v>
      </c>
      <c r="BL41" s="408">
        <f t="shared" si="39"/>
        <v>0</v>
      </c>
    </row>
    <row r="42" spans="3:64" s="335" customFormat="1" ht="22.15" hidden="1" customHeight="1">
      <c r="C42" s="1165"/>
      <c r="D42" s="430"/>
      <c r="E42" s="400"/>
      <c r="F42" s="401"/>
      <c r="G42" s="401"/>
      <c r="H42" s="402"/>
      <c r="I42" s="403"/>
      <c r="J42" s="338"/>
      <c r="K42" s="338"/>
      <c r="L42" s="411"/>
      <c r="M42" s="403"/>
      <c r="N42" s="338"/>
      <c r="O42" s="338"/>
      <c r="P42" s="338"/>
      <c r="Q42" s="405">
        <f t="shared" si="42"/>
        <v>0</v>
      </c>
      <c r="R42" s="403"/>
      <c r="S42" s="338"/>
      <c r="T42" s="338"/>
      <c r="U42" s="338"/>
      <c r="V42" s="404">
        <f t="shared" si="26"/>
        <v>0</v>
      </c>
      <c r="W42" s="428"/>
      <c r="X42" s="429"/>
      <c r="Y42" s="429"/>
      <c r="Z42" s="429"/>
      <c r="AA42" s="404">
        <f t="shared" si="27"/>
        <v>0</v>
      </c>
      <c r="AB42" s="701">
        <v>0</v>
      </c>
      <c r="AC42" s="702">
        <v>0</v>
      </c>
      <c r="AD42" s="702">
        <v>0</v>
      </c>
      <c r="AE42" s="702">
        <v>0</v>
      </c>
      <c r="AF42" s="404">
        <f t="shared" si="28"/>
        <v>0</v>
      </c>
      <c r="AG42" s="403"/>
      <c r="AH42" s="338"/>
      <c r="AI42" s="338"/>
      <c r="AJ42" s="338"/>
      <c r="AK42" s="404">
        <f t="shared" si="29"/>
        <v>0</v>
      </c>
      <c r="AL42" s="403"/>
      <c r="AM42" s="338"/>
      <c r="AN42" s="338"/>
      <c r="AO42" s="338"/>
      <c r="AP42" s="405">
        <f t="shared" si="30"/>
        <v>0</v>
      </c>
      <c r="AQ42" s="787">
        <f t="shared" si="40"/>
        <v>0</v>
      </c>
      <c r="AR42" s="407">
        <f t="shared" si="31"/>
        <v>0</v>
      </c>
      <c r="AS42" s="407">
        <f t="shared" si="32"/>
        <v>0</v>
      </c>
      <c r="AT42" s="407">
        <f t="shared" si="33"/>
        <v>0</v>
      </c>
      <c r="AU42" s="408">
        <f t="shared" si="33"/>
        <v>0</v>
      </c>
      <c r="AV42" s="392" t="s">
        <v>348</v>
      </c>
      <c r="AW42" s="392" t="s">
        <v>348</v>
      </c>
      <c r="AX42" s="392" t="s">
        <v>348</v>
      </c>
      <c r="AY42" s="392" t="s">
        <v>348</v>
      </c>
      <c r="AZ42" s="387" t="s">
        <v>348</v>
      </c>
      <c r="BA42" s="343"/>
      <c r="BB42" s="406">
        <f t="shared" si="21"/>
        <v>0</v>
      </c>
      <c r="BC42" s="407">
        <f t="shared" si="22"/>
        <v>0</v>
      </c>
      <c r="BD42" s="407">
        <f t="shared" si="23"/>
        <v>0</v>
      </c>
      <c r="BE42" s="407">
        <f t="shared" si="24"/>
        <v>0</v>
      </c>
      <c r="BF42" s="404">
        <f t="shared" si="34"/>
        <v>0</v>
      </c>
      <c r="BG42" s="343"/>
      <c r="BH42" s="406">
        <f t="shared" si="35"/>
        <v>0</v>
      </c>
      <c r="BI42" s="407">
        <f t="shared" si="36"/>
        <v>0</v>
      </c>
      <c r="BJ42" s="407">
        <f t="shared" si="37"/>
        <v>0</v>
      </c>
      <c r="BK42" s="407">
        <f t="shared" si="38"/>
        <v>0</v>
      </c>
      <c r="BL42" s="408">
        <f t="shared" si="39"/>
        <v>0</v>
      </c>
    </row>
    <row r="43" spans="3:64" s="335" customFormat="1" ht="22.15" hidden="1" customHeight="1">
      <c r="C43" s="1165"/>
      <c r="D43" s="430"/>
      <c r="E43" s="400"/>
      <c r="F43" s="401"/>
      <c r="G43" s="401"/>
      <c r="H43" s="402"/>
      <c r="I43" s="403"/>
      <c r="J43" s="338"/>
      <c r="K43" s="338"/>
      <c r="L43" s="411"/>
      <c r="M43" s="403"/>
      <c r="N43" s="338"/>
      <c r="O43" s="338"/>
      <c r="P43" s="338"/>
      <c r="Q43" s="405">
        <f t="shared" si="42"/>
        <v>0</v>
      </c>
      <c r="R43" s="403"/>
      <c r="S43" s="338"/>
      <c r="T43" s="338"/>
      <c r="U43" s="338"/>
      <c r="V43" s="404">
        <f t="shared" si="26"/>
        <v>0</v>
      </c>
      <c r="W43" s="428"/>
      <c r="X43" s="429"/>
      <c r="Y43" s="429"/>
      <c r="Z43" s="429"/>
      <c r="AA43" s="404">
        <f t="shared" si="27"/>
        <v>0</v>
      </c>
      <c r="AB43" s="701">
        <v>0</v>
      </c>
      <c r="AC43" s="702">
        <v>0</v>
      </c>
      <c r="AD43" s="702">
        <v>0</v>
      </c>
      <c r="AE43" s="702">
        <v>0</v>
      </c>
      <c r="AF43" s="404">
        <f t="shared" si="28"/>
        <v>0</v>
      </c>
      <c r="AG43" s="403"/>
      <c r="AH43" s="338"/>
      <c r="AI43" s="338"/>
      <c r="AJ43" s="338"/>
      <c r="AK43" s="404">
        <f t="shared" si="29"/>
        <v>0</v>
      </c>
      <c r="AL43" s="403"/>
      <c r="AM43" s="338"/>
      <c r="AN43" s="338"/>
      <c r="AO43" s="338"/>
      <c r="AP43" s="405">
        <f t="shared" si="30"/>
        <v>0</v>
      </c>
      <c r="AQ43" s="787">
        <f t="shared" si="40"/>
        <v>0</v>
      </c>
      <c r="AR43" s="407">
        <f t="shared" si="31"/>
        <v>0</v>
      </c>
      <c r="AS43" s="407">
        <f t="shared" si="32"/>
        <v>0</v>
      </c>
      <c r="AT43" s="407">
        <f t="shared" si="33"/>
        <v>0</v>
      </c>
      <c r="AU43" s="408">
        <f t="shared" si="33"/>
        <v>0</v>
      </c>
      <c r="AV43" s="392" t="s">
        <v>348</v>
      </c>
      <c r="AW43" s="392" t="s">
        <v>348</v>
      </c>
      <c r="AX43" s="392" t="s">
        <v>348</v>
      </c>
      <c r="AY43" s="392" t="s">
        <v>348</v>
      </c>
      <c r="AZ43" s="387" t="s">
        <v>348</v>
      </c>
      <c r="BA43" s="343"/>
      <c r="BB43" s="406">
        <f t="shared" si="21"/>
        <v>0</v>
      </c>
      <c r="BC43" s="407">
        <f t="shared" si="22"/>
        <v>0</v>
      </c>
      <c r="BD43" s="407">
        <f t="shared" si="23"/>
        <v>0</v>
      </c>
      <c r="BE43" s="407">
        <f t="shared" si="24"/>
        <v>0</v>
      </c>
      <c r="BF43" s="404">
        <f t="shared" si="34"/>
        <v>0</v>
      </c>
      <c r="BG43" s="343"/>
      <c r="BH43" s="406">
        <f t="shared" si="35"/>
        <v>0</v>
      </c>
      <c r="BI43" s="407">
        <f t="shared" si="36"/>
        <v>0</v>
      </c>
      <c r="BJ43" s="407">
        <f t="shared" si="37"/>
        <v>0</v>
      </c>
      <c r="BK43" s="407">
        <f t="shared" si="38"/>
        <v>0</v>
      </c>
      <c r="BL43" s="408">
        <f t="shared" si="39"/>
        <v>0</v>
      </c>
    </row>
    <row r="44" spans="3:64" s="431" customFormat="1" ht="30.75" hidden="1" customHeight="1" thickBot="1">
      <c r="C44" s="1165"/>
      <c r="D44" s="720" t="s">
        <v>430</v>
      </c>
      <c r="E44" s="417" t="s">
        <v>346</v>
      </c>
      <c r="F44" s="418" t="s">
        <v>346</v>
      </c>
      <c r="G44" s="418" t="s">
        <v>346</v>
      </c>
      <c r="H44" s="419" t="s">
        <v>346</v>
      </c>
      <c r="I44" s="414">
        <f t="shared" ref="I44:Q44" si="43">SUM(I29:I43)</f>
        <v>20</v>
      </c>
      <c r="J44" s="415">
        <f t="shared" si="43"/>
        <v>20</v>
      </c>
      <c r="K44" s="415">
        <f t="shared" si="43"/>
        <v>20</v>
      </c>
      <c r="L44" s="416">
        <f t="shared" si="43"/>
        <v>20</v>
      </c>
      <c r="M44" s="414">
        <f t="shared" si="43"/>
        <v>619800</v>
      </c>
      <c r="N44" s="414">
        <f t="shared" si="43"/>
        <v>619800</v>
      </c>
      <c r="O44" s="414">
        <f t="shared" si="43"/>
        <v>619800</v>
      </c>
      <c r="P44" s="414">
        <f t="shared" si="43"/>
        <v>619800</v>
      </c>
      <c r="Q44" s="420">
        <f t="shared" si="43"/>
        <v>2479200</v>
      </c>
      <c r="R44" s="414">
        <f>R29+R30+R31</f>
        <v>561000</v>
      </c>
      <c r="S44" s="414">
        <f>S29+S30+S31</f>
        <v>561000</v>
      </c>
      <c r="T44" s="414">
        <f>T29+T30+T31</f>
        <v>561000</v>
      </c>
      <c r="U44" s="414">
        <f>U29+U30+U31</f>
        <v>561000</v>
      </c>
      <c r="V44" s="404">
        <f t="shared" si="26"/>
        <v>2244000</v>
      </c>
      <c r="W44" s="772">
        <f>W29+W30+W31+W39</f>
        <v>299880</v>
      </c>
      <c r="X44" s="772">
        <f>X29+X30+X31+X39</f>
        <v>249900</v>
      </c>
      <c r="Y44" s="772">
        <f>Y29+Y30+Y31+Y39</f>
        <v>299880</v>
      </c>
      <c r="Z44" s="772">
        <f>Z29+Z30+Z31+Z39</f>
        <v>399840</v>
      </c>
      <c r="AA44" s="416">
        <f t="shared" ref="AA44:AT44" si="44">SUM(AA29:AA43)</f>
        <v>1249500</v>
      </c>
      <c r="AB44" s="414">
        <f t="shared" si="44"/>
        <v>0</v>
      </c>
      <c r="AC44" s="415">
        <f t="shared" si="44"/>
        <v>0</v>
      </c>
      <c r="AD44" s="415">
        <f t="shared" si="44"/>
        <v>0</v>
      </c>
      <c r="AE44" s="415">
        <f t="shared" si="44"/>
        <v>0</v>
      </c>
      <c r="AF44" s="416">
        <f t="shared" si="44"/>
        <v>0</v>
      </c>
      <c r="AG44" s="414">
        <f t="shared" si="44"/>
        <v>0</v>
      </c>
      <c r="AH44" s="415">
        <f t="shared" si="44"/>
        <v>0</v>
      </c>
      <c r="AI44" s="415">
        <f t="shared" si="44"/>
        <v>0</v>
      </c>
      <c r="AJ44" s="415">
        <f t="shared" si="44"/>
        <v>0</v>
      </c>
      <c r="AK44" s="416">
        <f t="shared" si="44"/>
        <v>0</v>
      </c>
      <c r="AL44" s="414">
        <f t="shared" si="44"/>
        <v>0</v>
      </c>
      <c r="AM44" s="415">
        <f t="shared" si="44"/>
        <v>0</v>
      </c>
      <c r="AN44" s="415">
        <f t="shared" si="44"/>
        <v>0</v>
      </c>
      <c r="AO44" s="415">
        <f t="shared" si="44"/>
        <v>0</v>
      </c>
      <c r="AP44" s="420">
        <f t="shared" si="44"/>
        <v>0</v>
      </c>
      <c r="AQ44" s="795">
        <f t="shared" si="44"/>
        <v>1480680</v>
      </c>
      <c r="AR44" s="415">
        <f t="shared" si="44"/>
        <v>1430700</v>
      </c>
      <c r="AS44" s="415">
        <f t="shared" si="44"/>
        <v>1480680</v>
      </c>
      <c r="AT44" s="415">
        <f t="shared" si="44"/>
        <v>1580640</v>
      </c>
      <c r="AU44" s="416">
        <f>SUM(AQ44:AT44)</f>
        <v>5972700</v>
      </c>
      <c r="AV44" s="423">
        <f>900*3*3</f>
        <v>8100</v>
      </c>
      <c r="AW44" s="423">
        <f>900*3*3</f>
        <v>8100</v>
      </c>
      <c r="AX44" s="423">
        <f>900*3*3</f>
        <v>8100</v>
      </c>
      <c r="AY44" s="423">
        <f>900*3*3</f>
        <v>8100</v>
      </c>
      <c r="AZ44" s="416">
        <f>AV44+AW44+AX44+AY44</f>
        <v>32400</v>
      </c>
      <c r="BA44" s="260"/>
      <c r="BB44" s="414">
        <f>SUM(BB29:BB43)</f>
        <v>325749.59999999998</v>
      </c>
      <c r="BC44" s="415">
        <f>SUM(BC29:BC43)</f>
        <v>314754</v>
      </c>
      <c r="BD44" s="415">
        <f>SUM(BD29:BD43)</f>
        <v>325749.59999999998</v>
      </c>
      <c r="BE44" s="415">
        <f>SUM(BE29:BE43)</f>
        <v>347740.8</v>
      </c>
      <c r="BF44" s="416">
        <f>SUM(BF29:BF43)</f>
        <v>1313994</v>
      </c>
      <c r="BG44" s="260"/>
      <c r="BH44" s="414">
        <f>SUM(BH29:BH43)</f>
        <v>288732.59999999998</v>
      </c>
      <c r="BI44" s="415">
        <f>SUM(BI29:BI43)</f>
        <v>278986.5</v>
      </c>
      <c r="BJ44" s="415">
        <f>SUM(BJ29:BJ43)</f>
        <v>288732.59999999998</v>
      </c>
      <c r="BK44" s="415">
        <f>SUM(BK29:BK43)</f>
        <v>308224.80000000005</v>
      </c>
      <c r="BL44" s="416">
        <f>SUM(BL29:BL43)</f>
        <v>1164676.5</v>
      </c>
    </row>
    <row r="45" spans="3:64" s="433" customFormat="1" ht="54" hidden="1" customHeight="1" thickBot="1">
      <c r="C45" s="1111" t="s">
        <v>490</v>
      </c>
      <c r="D45" s="689" t="s">
        <v>440</v>
      </c>
      <c r="E45" s="401">
        <v>0.22</v>
      </c>
      <c r="F45" s="401">
        <v>0.22</v>
      </c>
      <c r="G45" s="401">
        <v>0.22</v>
      </c>
      <c r="H45" s="401">
        <v>0.22</v>
      </c>
      <c r="I45" s="746">
        <v>20</v>
      </c>
      <c r="J45" s="746">
        <v>20</v>
      </c>
      <c r="K45" s="746">
        <v>20</v>
      </c>
      <c r="L45" s="746">
        <v>20</v>
      </c>
      <c r="M45" s="434">
        <f>(13500*20)*3</f>
        <v>810000</v>
      </c>
      <c r="N45" s="434">
        <f>(13500*20)*3</f>
        <v>810000</v>
      </c>
      <c r="O45" s="434">
        <f>(13500*20)*3</f>
        <v>810000</v>
      </c>
      <c r="P45" s="434">
        <f>(13500*20)*3</f>
        <v>810000</v>
      </c>
      <c r="Q45" s="394">
        <f t="shared" si="42"/>
        <v>3240000</v>
      </c>
      <c r="R45" s="434">
        <f>54000*3</f>
        <v>162000</v>
      </c>
      <c r="S45" s="434">
        <f>54000*3</f>
        <v>162000</v>
      </c>
      <c r="T45" s="434">
        <f>54000*3</f>
        <v>162000</v>
      </c>
      <c r="U45" s="434">
        <f>54000*3</f>
        <v>162000</v>
      </c>
      <c r="V45" s="404">
        <f t="shared" si="26"/>
        <v>648000</v>
      </c>
      <c r="W45" s="775">
        <f t="shared" ref="W45:Z46" si="45">M45*0.2</f>
        <v>162000</v>
      </c>
      <c r="X45" s="775">
        <f t="shared" si="45"/>
        <v>162000</v>
      </c>
      <c r="Y45" s="775">
        <f t="shared" si="45"/>
        <v>162000</v>
      </c>
      <c r="Z45" s="775">
        <f t="shared" si="45"/>
        <v>162000</v>
      </c>
      <c r="AA45" s="394">
        <f>Z45+Y45+X45+W45</f>
        <v>648000</v>
      </c>
      <c r="AB45" s="428">
        <v>0</v>
      </c>
      <c r="AC45" s="428">
        <v>0</v>
      </c>
      <c r="AD45" s="428">
        <v>0</v>
      </c>
      <c r="AE45" s="428">
        <v>0</v>
      </c>
      <c r="AF45" s="394">
        <f t="shared" ref="AF45:AF59" si="46">SUM(AB45:AE45)</f>
        <v>0</v>
      </c>
      <c r="AG45" s="428">
        <v>0</v>
      </c>
      <c r="AH45" s="429">
        <v>0</v>
      </c>
      <c r="AI45" s="429">
        <v>0</v>
      </c>
      <c r="AJ45" s="429">
        <v>0</v>
      </c>
      <c r="AK45" s="394">
        <f t="shared" ref="AK45:AK59" si="47">SUM(AG45:AJ45)</f>
        <v>0</v>
      </c>
      <c r="AL45" s="434">
        <v>0</v>
      </c>
      <c r="AM45" s="435">
        <v>0</v>
      </c>
      <c r="AN45" s="435">
        <v>0</v>
      </c>
      <c r="AO45" s="435">
        <v>0</v>
      </c>
      <c r="AP45" s="427">
        <f t="shared" ref="AP45:AP59" si="48">SUM(AL45:AO45)</f>
        <v>0</v>
      </c>
      <c r="AQ45" s="787">
        <f>M45+R45+W45+AB45+AG45+AL45</f>
        <v>1134000</v>
      </c>
      <c r="AR45" s="407">
        <f>N45+S45+X45+AC45+AH45+AM45</f>
        <v>1134000</v>
      </c>
      <c r="AS45" s="407">
        <f>O45+T45+Y45+AD45+AI45+AN45</f>
        <v>1134000</v>
      </c>
      <c r="AT45" s="407">
        <f>P45+U45+Z45+AE45+AJ45+AO45</f>
        <v>1134000</v>
      </c>
      <c r="AU45" s="408">
        <f>Q45+V45+AA45+AF45+AK45+AP45</f>
        <v>4536000</v>
      </c>
      <c r="AV45" s="392" t="s">
        <v>348</v>
      </c>
      <c r="AW45" s="392" t="s">
        <v>348</v>
      </c>
      <c r="AX45" s="392" t="s">
        <v>348</v>
      </c>
      <c r="AY45" s="392" t="s">
        <v>348</v>
      </c>
      <c r="AZ45" s="387" t="s">
        <v>348</v>
      </c>
      <c r="BA45" s="395"/>
      <c r="BB45" s="396">
        <f t="shared" ref="BB45:BB59" si="49">AQ45*E45/100%</f>
        <v>249480</v>
      </c>
      <c r="BC45" s="397">
        <f t="shared" ref="BC45:BC59" si="50">AR45*F45/100%</f>
        <v>249480</v>
      </c>
      <c r="BD45" s="397">
        <f t="shared" ref="BD45:BD59" si="51">AS45*G45/100%</f>
        <v>249480</v>
      </c>
      <c r="BE45" s="397">
        <f t="shared" ref="BE45:BE59" si="52">AT45*H45/100%</f>
        <v>249480</v>
      </c>
      <c r="BF45" s="387">
        <f t="shared" si="34"/>
        <v>997920</v>
      </c>
      <c r="BG45" s="395"/>
      <c r="BH45" s="396">
        <f>AQ45*(18%+1.5%)/100%</f>
        <v>221130</v>
      </c>
      <c r="BI45" s="397">
        <f>AR45*(18%+1.5%)/100%</f>
        <v>221130</v>
      </c>
      <c r="BJ45" s="397">
        <f>AS45*(18%+1.5%)/100%</f>
        <v>221130</v>
      </c>
      <c r="BK45" s="397">
        <f>AT45*(18%+1.5%)/100%</f>
        <v>221130</v>
      </c>
      <c r="BL45" s="398">
        <f>SUM(BH45:BK45)</f>
        <v>884520</v>
      </c>
    </row>
    <row r="46" spans="3:64" s="433" customFormat="1" ht="54" hidden="1" customHeight="1" thickBot="1">
      <c r="C46" s="1112"/>
      <c r="D46" s="689" t="s">
        <v>440</v>
      </c>
      <c r="E46" s="401">
        <v>0.22</v>
      </c>
      <c r="F46" s="401">
        <v>0.22</v>
      </c>
      <c r="G46" s="401">
        <v>0.22</v>
      </c>
      <c r="H46" s="401">
        <v>0.22</v>
      </c>
      <c r="I46" s="747">
        <v>16.5</v>
      </c>
      <c r="J46" s="747">
        <v>16.5</v>
      </c>
      <c r="K46" s="747">
        <v>16.5</v>
      </c>
      <c r="L46" s="747">
        <v>16.5</v>
      </c>
      <c r="M46" s="434">
        <f>(13500*16.5)*3</f>
        <v>668250</v>
      </c>
      <c r="N46" s="434">
        <f>(13500*16.5)*3</f>
        <v>668250</v>
      </c>
      <c r="O46" s="434">
        <f>(13500*16.5)*3</f>
        <v>668250</v>
      </c>
      <c r="P46" s="434">
        <f>(13500*16.5)*3</f>
        <v>668250</v>
      </c>
      <c r="Q46" s="404">
        <f t="shared" si="42"/>
        <v>2673000</v>
      </c>
      <c r="R46" s="428">
        <v>0</v>
      </c>
      <c r="S46" s="429">
        <v>0</v>
      </c>
      <c r="T46" s="429">
        <v>0</v>
      </c>
      <c r="U46" s="429">
        <v>0</v>
      </c>
      <c r="V46" s="404">
        <f t="shared" si="26"/>
        <v>0</v>
      </c>
      <c r="W46" s="775">
        <f t="shared" si="45"/>
        <v>133650</v>
      </c>
      <c r="X46" s="775">
        <f t="shared" si="45"/>
        <v>133650</v>
      </c>
      <c r="Y46" s="775">
        <f t="shared" si="45"/>
        <v>133650</v>
      </c>
      <c r="Z46" s="775">
        <f t="shared" si="45"/>
        <v>133650</v>
      </c>
      <c r="AA46" s="394">
        <f>Z46+Y46+X46+W46</f>
        <v>534600</v>
      </c>
      <c r="AB46" s="428">
        <v>0</v>
      </c>
      <c r="AC46" s="428">
        <v>0</v>
      </c>
      <c r="AD46" s="428">
        <v>0</v>
      </c>
      <c r="AE46" s="428">
        <v>0</v>
      </c>
      <c r="AF46" s="404">
        <f t="shared" si="46"/>
        <v>0</v>
      </c>
      <c r="AG46" s="428">
        <v>0</v>
      </c>
      <c r="AH46" s="429">
        <v>0</v>
      </c>
      <c r="AI46" s="429">
        <v>0</v>
      </c>
      <c r="AJ46" s="429">
        <v>0</v>
      </c>
      <c r="AK46" s="404">
        <f t="shared" si="47"/>
        <v>0</v>
      </c>
      <c r="AL46" s="434">
        <v>0</v>
      </c>
      <c r="AM46" s="435">
        <v>0</v>
      </c>
      <c r="AN46" s="435">
        <v>0</v>
      </c>
      <c r="AO46" s="435">
        <v>0</v>
      </c>
      <c r="AP46" s="405">
        <f t="shared" si="48"/>
        <v>0</v>
      </c>
      <c r="AQ46" s="787">
        <f t="shared" ref="AQ46:AQ59" si="53">M46+R46+W46+AB46+AG46+AL46</f>
        <v>801900</v>
      </c>
      <c r="AR46" s="407">
        <f t="shared" ref="AR46:AR59" si="54">N46+S46+X46+AC46+AH46+AM46</f>
        <v>801900</v>
      </c>
      <c r="AS46" s="407">
        <f t="shared" ref="AS46:AS59" si="55">O46+T46+Y46+AD46+AI46+AN46</f>
        <v>801900</v>
      </c>
      <c r="AT46" s="407">
        <f t="shared" ref="AT46:AT59" si="56">P46+U46+Z46+AE46+AJ46+AO46</f>
        <v>801900</v>
      </c>
      <c r="AU46" s="408">
        <f t="shared" ref="AU46:AU59" si="57">Q46+V46+AA46+AF46+AK46+AP46</f>
        <v>3207600</v>
      </c>
      <c r="AV46" s="392" t="s">
        <v>348</v>
      </c>
      <c r="AW46" s="392" t="s">
        <v>348</v>
      </c>
      <c r="AX46" s="392" t="s">
        <v>348</v>
      </c>
      <c r="AY46" s="392" t="s">
        <v>348</v>
      </c>
      <c r="AZ46" s="387" t="s">
        <v>348</v>
      </c>
      <c r="BA46" s="395"/>
      <c r="BB46" s="406">
        <f t="shared" si="49"/>
        <v>176418</v>
      </c>
      <c r="BC46" s="407">
        <f t="shared" si="50"/>
        <v>176418</v>
      </c>
      <c r="BD46" s="407">
        <f t="shared" si="51"/>
        <v>176418</v>
      </c>
      <c r="BE46" s="407">
        <f t="shared" si="52"/>
        <v>176418</v>
      </c>
      <c r="BF46" s="404">
        <f t="shared" si="34"/>
        <v>705672</v>
      </c>
      <c r="BG46" s="395"/>
      <c r="BH46" s="406">
        <f t="shared" ref="BH46:BH59" si="58">AQ46*(18%+1.5%)/100%</f>
        <v>156370.5</v>
      </c>
      <c r="BI46" s="407">
        <f t="shared" ref="BI46:BI59" si="59">AR46*(18%+1.5%)/100%</f>
        <v>156370.5</v>
      </c>
      <c r="BJ46" s="407">
        <f t="shared" ref="BJ46:BJ59" si="60">AS46*(18%+1.5%)/100%</f>
        <v>156370.5</v>
      </c>
      <c r="BK46" s="407">
        <f t="shared" ref="BK46:BK59" si="61">AT46*(18%+1.5%)/100%</f>
        <v>156370.5</v>
      </c>
      <c r="BL46" s="408">
        <f t="shared" ref="BL46:BL59" si="62">SUM(BH46:BK46)</f>
        <v>625482</v>
      </c>
    </row>
    <row r="47" spans="3:64" s="433" customFormat="1" ht="54.75" hidden="1" customHeight="1" thickBot="1">
      <c r="C47" s="1112"/>
      <c r="D47" s="689" t="s">
        <v>146</v>
      </c>
      <c r="E47" s="401">
        <v>0.22</v>
      </c>
      <c r="F47" s="401">
        <v>0.22</v>
      </c>
      <c r="G47" s="401">
        <v>0.22</v>
      </c>
      <c r="H47" s="401">
        <v>0.22</v>
      </c>
      <c r="I47" s="747">
        <v>10.5</v>
      </c>
      <c r="J47" s="747">
        <v>10.5</v>
      </c>
      <c r="K47" s="747">
        <v>10.5</v>
      </c>
      <c r="L47" s="747">
        <v>10.5</v>
      </c>
      <c r="M47" s="434">
        <f>(13500*9.5)*3</f>
        <v>384750</v>
      </c>
      <c r="N47" s="434">
        <f>(13500*9.5)*3</f>
        <v>384750</v>
      </c>
      <c r="O47" s="434">
        <f>(13500*9.5)*3</f>
        <v>384750</v>
      </c>
      <c r="P47" s="434">
        <f>(13500*9.5)*3</f>
        <v>384750</v>
      </c>
      <c r="Q47" s="404">
        <f t="shared" si="42"/>
        <v>1539000</v>
      </c>
      <c r="R47" s="428">
        <v>0</v>
      </c>
      <c r="S47" s="429">
        <v>0</v>
      </c>
      <c r="T47" s="429">
        <v>0</v>
      </c>
      <c r="U47" s="429">
        <v>0</v>
      </c>
      <c r="V47" s="404">
        <f t="shared" si="26"/>
        <v>0</v>
      </c>
      <c r="W47" s="775">
        <f>M47*0.1</f>
        <v>38475</v>
      </c>
      <c r="X47" s="775">
        <f>N47*0.1</f>
        <v>38475</v>
      </c>
      <c r="Y47" s="775">
        <f>O47*0.1</f>
        <v>38475</v>
      </c>
      <c r="Z47" s="775">
        <f>P47*0.1</f>
        <v>38475</v>
      </c>
      <c r="AA47" s="394">
        <f>Z47+Y47+X47+W47</f>
        <v>153900</v>
      </c>
      <c r="AB47" s="428">
        <v>0</v>
      </c>
      <c r="AC47" s="428">
        <v>0</v>
      </c>
      <c r="AD47" s="428">
        <v>0</v>
      </c>
      <c r="AE47" s="428">
        <v>0</v>
      </c>
      <c r="AF47" s="404">
        <f t="shared" si="46"/>
        <v>0</v>
      </c>
      <c r="AG47" s="428">
        <v>0</v>
      </c>
      <c r="AH47" s="429">
        <v>0</v>
      </c>
      <c r="AI47" s="429">
        <v>0</v>
      </c>
      <c r="AJ47" s="429">
        <v>0</v>
      </c>
      <c r="AK47" s="404">
        <f t="shared" si="47"/>
        <v>0</v>
      </c>
      <c r="AL47" s="434">
        <v>0</v>
      </c>
      <c r="AM47" s="435">
        <v>0</v>
      </c>
      <c r="AN47" s="435">
        <v>0</v>
      </c>
      <c r="AO47" s="435">
        <v>0</v>
      </c>
      <c r="AP47" s="405">
        <f t="shared" si="48"/>
        <v>0</v>
      </c>
      <c r="AQ47" s="787">
        <f t="shared" si="53"/>
        <v>423225</v>
      </c>
      <c r="AR47" s="407">
        <f t="shared" si="54"/>
        <v>423225</v>
      </c>
      <c r="AS47" s="407">
        <f t="shared" si="55"/>
        <v>423225</v>
      </c>
      <c r="AT47" s="407">
        <f t="shared" si="56"/>
        <v>423225</v>
      </c>
      <c r="AU47" s="408">
        <f t="shared" si="57"/>
        <v>1692900</v>
      </c>
      <c r="AV47" s="392" t="s">
        <v>348</v>
      </c>
      <c r="AW47" s="392" t="s">
        <v>348</v>
      </c>
      <c r="AX47" s="392" t="s">
        <v>348</v>
      </c>
      <c r="AY47" s="392" t="s">
        <v>348</v>
      </c>
      <c r="AZ47" s="387" t="s">
        <v>348</v>
      </c>
      <c r="BA47" s="395"/>
      <c r="BB47" s="406">
        <f t="shared" si="49"/>
        <v>93109.5</v>
      </c>
      <c r="BC47" s="407">
        <f t="shared" si="50"/>
        <v>93109.5</v>
      </c>
      <c r="BD47" s="407">
        <f t="shared" si="51"/>
        <v>93109.5</v>
      </c>
      <c r="BE47" s="407">
        <f t="shared" si="52"/>
        <v>93109.5</v>
      </c>
      <c r="BF47" s="404">
        <f t="shared" si="34"/>
        <v>372438</v>
      </c>
      <c r="BG47" s="395"/>
      <c r="BH47" s="406">
        <f t="shared" si="58"/>
        <v>82528.875</v>
      </c>
      <c r="BI47" s="407">
        <f t="shared" si="59"/>
        <v>82528.875</v>
      </c>
      <c r="BJ47" s="407">
        <f t="shared" si="60"/>
        <v>82528.875</v>
      </c>
      <c r="BK47" s="407">
        <f t="shared" si="61"/>
        <v>82528.875</v>
      </c>
      <c r="BL47" s="408">
        <f t="shared" si="62"/>
        <v>330115.5</v>
      </c>
    </row>
    <row r="48" spans="3:64" s="433" customFormat="1" ht="63" hidden="1" customHeight="1">
      <c r="C48" s="1112"/>
      <c r="D48" s="430" t="s">
        <v>101</v>
      </c>
      <c r="E48" s="401">
        <v>0.22</v>
      </c>
      <c r="F48" s="401">
        <v>0.22</v>
      </c>
      <c r="G48" s="401">
        <v>0.22</v>
      </c>
      <c r="H48" s="401">
        <v>0.22</v>
      </c>
      <c r="I48" s="717">
        <v>2</v>
      </c>
      <c r="J48" s="717">
        <v>2</v>
      </c>
      <c r="K48" s="717">
        <v>2</v>
      </c>
      <c r="L48" s="717">
        <v>2</v>
      </c>
      <c r="M48" s="457">
        <f>13500*2*3</f>
        <v>81000</v>
      </c>
      <c r="N48" s="457">
        <f>13500*2*3</f>
        <v>81000</v>
      </c>
      <c r="O48" s="457">
        <f>13500*2*3</f>
        <v>81000</v>
      </c>
      <c r="P48" s="457">
        <f>13500*2*3</f>
        <v>81000</v>
      </c>
      <c r="Q48" s="404">
        <f t="shared" si="42"/>
        <v>324000</v>
      </c>
      <c r="R48" s="428">
        <v>0</v>
      </c>
      <c r="S48" s="429">
        <v>0</v>
      </c>
      <c r="T48" s="429">
        <v>0</v>
      </c>
      <c r="U48" s="429">
        <v>0</v>
      </c>
      <c r="V48" s="404">
        <f t="shared" si="26"/>
        <v>0</v>
      </c>
      <c r="W48" s="775">
        <f>M48*0.3</f>
        <v>24300</v>
      </c>
      <c r="X48" s="775">
        <f>N48*0.2</f>
        <v>16200</v>
      </c>
      <c r="Y48" s="775">
        <f>O48*0.2</f>
        <v>16200</v>
      </c>
      <c r="Z48" s="775">
        <f>P48*0.2</f>
        <v>16200</v>
      </c>
      <c r="AA48" s="394">
        <f>Z48+Y48+X48+W48</f>
        <v>72900</v>
      </c>
      <c r="AB48" s="428">
        <v>0</v>
      </c>
      <c r="AC48" s="428">
        <v>0</v>
      </c>
      <c r="AD48" s="428">
        <v>0</v>
      </c>
      <c r="AE48" s="428">
        <v>0</v>
      </c>
      <c r="AF48" s="404">
        <f t="shared" si="46"/>
        <v>0</v>
      </c>
      <c r="AG48" s="428">
        <v>0</v>
      </c>
      <c r="AH48" s="429">
        <v>0</v>
      </c>
      <c r="AI48" s="429">
        <v>0</v>
      </c>
      <c r="AJ48" s="429">
        <v>0</v>
      </c>
      <c r="AK48" s="404">
        <f t="shared" si="47"/>
        <v>0</v>
      </c>
      <c r="AL48" s="434">
        <v>0</v>
      </c>
      <c r="AM48" s="435">
        <v>0</v>
      </c>
      <c r="AN48" s="435">
        <v>0</v>
      </c>
      <c r="AO48" s="435">
        <v>0</v>
      </c>
      <c r="AP48" s="405">
        <f t="shared" si="48"/>
        <v>0</v>
      </c>
      <c r="AQ48" s="787">
        <f t="shared" si="53"/>
        <v>105300</v>
      </c>
      <c r="AR48" s="407">
        <f t="shared" si="54"/>
        <v>97200</v>
      </c>
      <c r="AS48" s="407">
        <f t="shared" si="55"/>
        <v>97200</v>
      </c>
      <c r="AT48" s="407">
        <f t="shared" si="56"/>
        <v>97200</v>
      </c>
      <c r="AU48" s="408">
        <f t="shared" si="57"/>
        <v>396900</v>
      </c>
      <c r="AV48" s="392" t="s">
        <v>348</v>
      </c>
      <c r="AW48" s="392" t="s">
        <v>348</v>
      </c>
      <c r="AX48" s="392" t="s">
        <v>348</v>
      </c>
      <c r="AY48" s="392" t="s">
        <v>348</v>
      </c>
      <c r="AZ48" s="387" t="s">
        <v>348</v>
      </c>
      <c r="BA48" s="395"/>
      <c r="BB48" s="406">
        <f t="shared" si="49"/>
        <v>23166</v>
      </c>
      <c r="BC48" s="407">
        <f t="shared" si="50"/>
        <v>21384</v>
      </c>
      <c r="BD48" s="407">
        <f t="shared" si="51"/>
        <v>21384</v>
      </c>
      <c r="BE48" s="407">
        <f t="shared" si="52"/>
        <v>21384</v>
      </c>
      <c r="BF48" s="404">
        <f t="shared" si="34"/>
        <v>87318</v>
      </c>
      <c r="BG48" s="395"/>
      <c r="BH48" s="406">
        <f t="shared" si="58"/>
        <v>20533.5</v>
      </c>
      <c r="BI48" s="407">
        <f t="shared" si="59"/>
        <v>18954</v>
      </c>
      <c r="BJ48" s="407">
        <f t="shared" si="60"/>
        <v>18954</v>
      </c>
      <c r="BK48" s="407">
        <f t="shared" si="61"/>
        <v>18954</v>
      </c>
      <c r="BL48" s="408">
        <f t="shared" si="62"/>
        <v>77395.5</v>
      </c>
    </row>
    <row r="49" spans="3:64" s="433" customFormat="1" ht="39.75" hidden="1" customHeight="1">
      <c r="C49" s="1112"/>
      <c r="D49" s="718"/>
      <c r="E49" s="401"/>
      <c r="F49" s="401"/>
      <c r="G49" s="401"/>
      <c r="H49" s="401"/>
      <c r="I49" s="719"/>
      <c r="J49" s="719"/>
      <c r="K49" s="719"/>
      <c r="L49" s="719"/>
      <c r="M49" s="428"/>
      <c r="N49" s="428"/>
      <c r="O49" s="428"/>
      <c r="P49" s="428"/>
      <c r="Q49" s="404">
        <f t="shared" si="42"/>
        <v>0</v>
      </c>
      <c r="R49" s="428"/>
      <c r="S49" s="429"/>
      <c r="T49" s="429"/>
      <c r="U49" s="429"/>
      <c r="V49" s="404">
        <f t="shared" si="26"/>
        <v>0</v>
      </c>
      <c r="W49" s="775">
        <v>0</v>
      </c>
      <c r="X49" s="776">
        <v>0</v>
      </c>
      <c r="Y49" s="776">
        <v>0</v>
      </c>
      <c r="Z49" s="776">
        <v>0</v>
      </c>
      <c r="AA49" s="404">
        <f t="shared" ref="AA49:AA59" si="63">SUM(W49:Z49)</f>
        <v>0</v>
      </c>
      <c r="AB49" s="428">
        <v>0</v>
      </c>
      <c r="AC49" s="429">
        <v>0</v>
      </c>
      <c r="AD49" s="429">
        <v>0</v>
      </c>
      <c r="AE49" s="429">
        <v>0</v>
      </c>
      <c r="AF49" s="404">
        <f t="shared" si="46"/>
        <v>0</v>
      </c>
      <c r="AG49" s="428">
        <v>0</v>
      </c>
      <c r="AH49" s="429">
        <v>0</v>
      </c>
      <c r="AI49" s="429">
        <v>0</v>
      </c>
      <c r="AJ49" s="429">
        <v>0</v>
      </c>
      <c r="AK49" s="404">
        <f t="shared" si="47"/>
        <v>0</v>
      </c>
      <c r="AL49" s="428">
        <v>0</v>
      </c>
      <c r="AM49" s="429">
        <v>0</v>
      </c>
      <c r="AN49" s="429">
        <v>0</v>
      </c>
      <c r="AO49" s="429">
        <v>0</v>
      </c>
      <c r="AP49" s="405">
        <f t="shared" si="48"/>
        <v>0</v>
      </c>
      <c r="AQ49" s="787">
        <f t="shared" si="53"/>
        <v>0</v>
      </c>
      <c r="AR49" s="407">
        <f t="shared" si="54"/>
        <v>0</v>
      </c>
      <c r="AS49" s="407">
        <f t="shared" si="55"/>
        <v>0</v>
      </c>
      <c r="AT49" s="407">
        <f t="shared" si="56"/>
        <v>0</v>
      </c>
      <c r="AU49" s="408">
        <f t="shared" si="57"/>
        <v>0</v>
      </c>
      <c r="AV49" s="392" t="s">
        <v>348</v>
      </c>
      <c r="AW49" s="392" t="s">
        <v>348</v>
      </c>
      <c r="AX49" s="392" t="s">
        <v>348</v>
      </c>
      <c r="AY49" s="392" t="s">
        <v>348</v>
      </c>
      <c r="AZ49" s="387" t="s">
        <v>348</v>
      </c>
      <c r="BA49" s="395"/>
      <c r="BB49" s="406">
        <f t="shared" si="49"/>
        <v>0</v>
      </c>
      <c r="BC49" s="407">
        <f t="shared" si="50"/>
        <v>0</v>
      </c>
      <c r="BD49" s="407">
        <f t="shared" si="51"/>
        <v>0</v>
      </c>
      <c r="BE49" s="407">
        <f t="shared" si="52"/>
        <v>0</v>
      </c>
      <c r="BF49" s="404">
        <f t="shared" si="34"/>
        <v>0</v>
      </c>
      <c r="BG49" s="395"/>
      <c r="BH49" s="406">
        <f t="shared" si="58"/>
        <v>0</v>
      </c>
      <c r="BI49" s="407">
        <f t="shared" si="59"/>
        <v>0</v>
      </c>
      <c r="BJ49" s="407">
        <f t="shared" si="60"/>
        <v>0</v>
      </c>
      <c r="BK49" s="407">
        <f t="shared" si="61"/>
        <v>0</v>
      </c>
      <c r="BL49" s="408">
        <f t="shared" si="62"/>
        <v>0</v>
      </c>
    </row>
    <row r="50" spans="3:64" s="433" customFormat="1" ht="37.5" hidden="1" customHeight="1">
      <c r="C50" s="1112"/>
      <c r="D50" s="718"/>
      <c r="E50" s="401"/>
      <c r="F50" s="401"/>
      <c r="G50" s="401"/>
      <c r="H50" s="401"/>
      <c r="I50" s="719"/>
      <c r="J50" s="719"/>
      <c r="K50" s="719"/>
      <c r="L50" s="719"/>
      <c r="M50" s="428"/>
      <c r="N50" s="428"/>
      <c r="O50" s="428"/>
      <c r="P50" s="428"/>
      <c r="Q50" s="404">
        <f t="shared" si="42"/>
        <v>0</v>
      </c>
      <c r="R50" s="428"/>
      <c r="S50" s="429"/>
      <c r="T50" s="429"/>
      <c r="U50" s="429"/>
      <c r="V50" s="404">
        <f t="shared" si="26"/>
        <v>0</v>
      </c>
      <c r="W50" s="775">
        <v>0</v>
      </c>
      <c r="X50" s="776">
        <v>0</v>
      </c>
      <c r="Y50" s="776">
        <v>0</v>
      </c>
      <c r="Z50" s="776">
        <v>0</v>
      </c>
      <c r="AA50" s="404">
        <f t="shared" si="63"/>
        <v>0</v>
      </c>
      <c r="AB50" s="428">
        <v>0</v>
      </c>
      <c r="AC50" s="429">
        <v>0</v>
      </c>
      <c r="AD50" s="429">
        <v>0</v>
      </c>
      <c r="AE50" s="429">
        <v>0</v>
      </c>
      <c r="AF50" s="404">
        <f t="shared" si="46"/>
        <v>0</v>
      </c>
      <c r="AG50" s="428">
        <v>0</v>
      </c>
      <c r="AH50" s="429">
        <v>0</v>
      </c>
      <c r="AI50" s="429">
        <v>0</v>
      </c>
      <c r="AJ50" s="429">
        <v>0</v>
      </c>
      <c r="AK50" s="404">
        <f t="shared" si="47"/>
        <v>0</v>
      </c>
      <c r="AL50" s="428">
        <v>0</v>
      </c>
      <c r="AM50" s="429">
        <v>0</v>
      </c>
      <c r="AN50" s="429">
        <v>0</v>
      </c>
      <c r="AO50" s="429">
        <v>0</v>
      </c>
      <c r="AP50" s="405">
        <f t="shared" si="48"/>
        <v>0</v>
      </c>
      <c r="AQ50" s="787">
        <f t="shared" si="53"/>
        <v>0</v>
      </c>
      <c r="AR50" s="407">
        <f t="shared" si="54"/>
        <v>0</v>
      </c>
      <c r="AS50" s="407">
        <f t="shared" si="55"/>
        <v>0</v>
      </c>
      <c r="AT50" s="407">
        <f t="shared" si="56"/>
        <v>0</v>
      </c>
      <c r="AU50" s="408">
        <f t="shared" si="57"/>
        <v>0</v>
      </c>
      <c r="AV50" s="392" t="s">
        <v>348</v>
      </c>
      <c r="AW50" s="392" t="s">
        <v>348</v>
      </c>
      <c r="AX50" s="392" t="s">
        <v>348</v>
      </c>
      <c r="AY50" s="392" t="s">
        <v>348</v>
      </c>
      <c r="AZ50" s="387" t="s">
        <v>348</v>
      </c>
      <c r="BA50" s="395"/>
      <c r="BB50" s="406">
        <f t="shared" si="49"/>
        <v>0</v>
      </c>
      <c r="BC50" s="407">
        <f t="shared" si="50"/>
        <v>0</v>
      </c>
      <c r="BD50" s="407">
        <f t="shared" si="51"/>
        <v>0</v>
      </c>
      <c r="BE50" s="407">
        <f t="shared" si="52"/>
        <v>0</v>
      </c>
      <c r="BF50" s="404">
        <f t="shared" si="34"/>
        <v>0</v>
      </c>
      <c r="BG50" s="395"/>
      <c r="BH50" s="406">
        <f t="shared" si="58"/>
        <v>0</v>
      </c>
      <c r="BI50" s="407">
        <f t="shared" si="59"/>
        <v>0</v>
      </c>
      <c r="BJ50" s="407">
        <f t="shared" si="60"/>
        <v>0</v>
      </c>
      <c r="BK50" s="407">
        <f t="shared" si="61"/>
        <v>0</v>
      </c>
      <c r="BL50" s="408">
        <f t="shared" si="62"/>
        <v>0</v>
      </c>
    </row>
    <row r="51" spans="3:64" s="433" customFormat="1" ht="43.5" hidden="1" customHeight="1">
      <c r="C51" s="1112"/>
      <c r="D51" s="718"/>
      <c r="E51" s="401"/>
      <c r="F51" s="401"/>
      <c r="G51" s="401"/>
      <c r="H51" s="401"/>
      <c r="I51" s="719"/>
      <c r="J51" s="719"/>
      <c r="K51" s="719"/>
      <c r="L51" s="719"/>
      <c r="M51" s="428"/>
      <c r="N51" s="428"/>
      <c r="O51" s="428"/>
      <c r="P51" s="428"/>
      <c r="Q51" s="404">
        <f t="shared" si="42"/>
        <v>0</v>
      </c>
      <c r="R51" s="428"/>
      <c r="S51" s="429"/>
      <c r="T51" s="429"/>
      <c r="U51" s="429"/>
      <c r="V51" s="404">
        <f t="shared" si="26"/>
        <v>0</v>
      </c>
      <c r="W51" s="775">
        <v>0</v>
      </c>
      <c r="X51" s="776">
        <v>0</v>
      </c>
      <c r="Y51" s="776">
        <v>0</v>
      </c>
      <c r="Z51" s="776">
        <v>0</v>
      </c>
      <c r="AA51" s="404">
        <f t="shared" si="63"/>
        <v>0</v>
      </c>
      <c r="AB51" s="428">
        <v>0</v>
      </c>
      <c r="AC51" s="429">
        <v>0</v>
      </c>
      <c r="AD51" s="429">
        <v>0</v>
      </c>
      <c r="AE51" s="429">
        <v>0</v>
      </c>
      <c r="AF51" s="404">
        <f>SUM(AB51:AE51)</f>
        <v>0</v>
      </c>
      <c r="AG51" s="428">
        <v>0</v>
      </c>
      <c r="AH51" s="429">
        <v>0</v>
      </c>
      <c r="AI51" s="429">
        <v>0</v>
      </c>
      <c r="AJ51" s="429">
        <v>0</v>
      </c>
      <c r="AK51" s="404">
        <f t="shared" si="47"/>
        <v>0</v>
      </c>
      <c r="AL51" s="428">
        <v>0</v>
      </c>
      <c r="AM51" s="429">
        <v>0</v>
      </c>
      <c r="AN51" s="429">
        <v>0</v>
      </c>
      <c r="AO51" s="429">
        <v>0</v>
      </c>
      <c r="AP51" s="405">
        <f t="shared" si="48"/>
        <v>0</v>
      </c>
      <c r="AQ51" s="787">
        <f t="shared" si="53"/>
        <v>0</v>
      </c>
      <c r="AR51" s="407">
        <f t="shared" si="54"/>
        <v>0</v>
      </c>
      <c r="AS51" s="407">
        <f t="shared" si="55"/>
        <v>0</v>
      </c>
      <c r="AT51" s="407">
        <f t="shared" si="56"/>
        <v>0</v>
      </c>
      <c r="AU51" s="408">
        <f t="shared" si="57"/>
        <v>0</v>
      </c>
      <c r="AV51" s="392" t="s">
        <v>348</v>
      </c>
      <c r="AW51" s="392" t="s">
        <v>348</v>
      </c>
      <c r="AX51" s="392" t="s">
        <v>348</v>
      </c>
      <c r="AY51" s="392" t="s">
        <v>348</v>
      </c>
      <c r="AZ51" s="387" t="s">
        <v>348</v>
      </c>
      <c r="BA51" s="395"/>
      <c r="BB51" s="406">
        <f t="shared" si="49"/>
        <v>0</v>
      </c>
      <c r="BC51" s="407">
        <f t="shared" si="50"/>
        <v>0</v>
      </c>
      <c r="BD51" s="407">
        <f t="shared" si="51"/>
        <v>0</v>
      </c>
      <c r="BE51" s="407">
        <f t="shared" si="52"/>
        <v>0</v>
      </c>
      <c r="BF51" s="404">
        <f t="shared" si="34"/>
        <v>0</v>
      </c>
      <c r="BG51" s="395"/>
      <c r="BH51" s="406">
        <f t="shared" si="58"/>
        <v>0</v>
      </c>
      <c r="BI51" s="407">
        <f t="shared" si="59"/>
        <v>0</v>
      </c>
      <c r="BJ51" s="407">
        <f t="shared" si="60"/>
        <v>0</v>
      </c>
      <c r="BK51" s="407">
        <f t="shared" si="61"/>
        <v>0</v>
      </c>
      <c r="BL51" s="408">
        <f t="shared" si="62"/>
        <v>0</v>
      </c>
    </row>
    <row r="52" spans="3:64" s="433" customFormat="1" ht="38.25" hidden="1" customHeight="1">
      <c r="C52" s="1112"/>
      <c r="D52" s="718"/>
      <c r="E52" s="401"/>
      <c r="F52" s="401"/>
      <c r="G52" s="401"/>
      <c r="H52" s="401"/>
      <c r="I52" s="719"/>
      <c r="J52" s="429"/>
      <c r="K52" s="429"/>
      <c r="L52" s="438"/>
      <c r="M52" s="428"/>
      <c r="N52" s="429"/>
      <c r="O52" s="429"/>
      <c r="P52" s="429"/>
      <c r="Q52" s="404">
        <f t="shared" si="42"/>
        <v>0</v>
      </c>
      <c r="R52" s="428"/>
      <c r="S52" s="429"/>
      <c r="T52" s="429"/>
      <c r="U52" s="429"/>
      <c r="V52" s="404">
        <f t="shared" si="26"/>
        <v>0</v>
      </c>
      <c r="W52" s="777"/>
      <c r="X52" s="778"/>
      <c r="Y52" s="778"/>
      <c r="Z52" s="778"/>
      <c r="AA52" s="404">
        <f t="shared" si="63"/>
        <v>0</v>
      </c>
      <c r="AB52" s="442"/>
      <c r="AC52" s="443"/>
      <c r="AD52" s="443"/>
      <c r="AE52" s="443"/>
      <c r="AF52" s="404">
        <f t="shared" si="46"/>
        <v>0</v>
      </c>
      <c r="AG52" s="442"/>
      <c r="AH52" s="443"/>
      <c r="AI52" s="443"/>
      <c r="AJ52" s="443"/>
      <c r="AK52" s="404">
        <f t="shared" si="47"/>
        <v>0</v>
      </c>
      <c r="AL52" s="428"/>
      <c r="AM52" s="429"/>
      <c r="AN52" s="429"/>
      <c r="AO52" s="429"/>
      <c r="AP52" s="405">
        <f t="shared" si="48"/>
        <v>0</v>
      </c>
      <c r="AQ52" s="787">
        <f t="shared" si="53"/>
        <v>0</v>
      </c>
      <c r="AR52" s="407">
        <f t="shared" si="54"/>
        <v>0</v>
      </c>
      <c r="AS52" s="407">
        <f t="shared" si="55"/>
        <v>0</v>
      </c>
      <c r="AT52" s="407">
        <f t="shared" si="56"/>
        <v>0</v>
      </c>
      <c r="AU52" s="408">
        <f t="shared" si="57"/>
        <v>0</v>
      </c>
      <c r="AV52" s="392" t="s">
        <v>348</v>
      </c>
      <c r="AW52" s="392" t="s">
        <v>348</v>
      </c>
      <c r="AX52" s="392" t="s">
        <v>348</v>
      </c>
      <c r="AY52" s="392" t="s">
        <v>348</v>
      </c>
      <c r="AZ52" s="387" t="s">
        <v>348</v>
      </c>
      <c r="BA52" s="395"/>
      <c r="BB52" s="406">
        <f t="shared" si="49"/>
        <v>0</v>
      </c>
      <c r="BC52" s="407">
        <f t="shared" si="50"/>
        <v>0</v>
      </c>
      <c r="BD52" s="407">
        <f t="shared" si="51"/>
        <v>0</v>
      </c>
      <c r="BE52" s="407">
        <f t="shared" si="52"/>
        <v>0</v>
      </c>
      <c r="BF52" s="404">
        <f t="shared" si="34"/>
        <v>0</v>
      </c>
      <c r="BG52" s="395"/>
      <c r="BH52" s="406">
        <f t="shared" si="58"/>
        <v>0</v>
      </c>
      <c r="BI52" s="407">
        <f t="shared" si="59"/>
        <v>0</v>
      </c>
      <c r="BJ52" s="407">
        <f t="shared" si="60"/>
        <v>0</v>
      </c>
      <c r="BK52" s="407">
        <f t="shared" si="61"/>
        <v>0</v>
      </c>
      <c r="BL52" s="408">
        <f t="shared" si="62"/>
        <v>0</v>
      </c>
    </row>
    <row r="53" spans="3:64" s="433" customFormat="1" ht="43.5" hidden="1" customHeight="1">
      <c r="C53" s="1112"/>
      <c r="D53" s="718"/>
      <c r="E53" s="401"/>
      <c r="F53" s="401"/>
      <c r="G53" s="401"/>
      <c r="H53" s="401"/>
      <c r="I53" s="719"/>
      <c r="J53" s="429"/>
      <c r="K53" s="429"/>
      <c r="L53" s="438"/>
      <c r="M53" s="428"/>
      <c r="N53" s="429"/>
      <c r="O53" s="429"/>
      <c r="P53" s="429"/>
      <c r="Q53" s="404">
        <f t="shared" si="42"/>
        <v>0</v>
      </c>
      <c r="R53" s="428"/>
      <c r="S53" s="429"/>
      <c r="T53" s="429"/>
      <c r="U53" s="429"/>
      <c r="V53" s="404">
        <f t="shared" si="26"/>
        <v>0</v>
      </c>
      <c r="W53" s="777"/>
      <c r="X53" s="778"/>
      <c r="Y53" s="778"/>
      <c r="Z53" s="778"/>
      <c r="AA53" s="404">
        <f t="shared" si="63"/>
        <v>0</v>
      </c>
      <c r="AB53" s="442"/>
      <c r="AC53" s="443"/>
      <c r="AD53" s="443"/>
      <c r="AE53" s="443"/>
      <c r="AF53" s="404">
        <f t="shared" si="46"/>
        <v>0</v>
      </c>
      <c r="AG53" s="442"/>
      <c r="AH53" s="443"/>
      <c r="AI53" s="443"/>
      <c r="AJ53" s="443"/>
      <c r="AK53" s="404">
        <f t="shared" si="47"/>
        <v>0</v>
      </c>
      <c r="AL53" s="428"/>
      <c r="AM53" s="429"/>
      <c r="AN53" s="429"/>
      <c r="AO53" s="429"/>
      <c r="AP53" s="405">
        <f t="shared" si="48"/>
        <v>0</v>
      </c>
      <c r="AQ53" s="787">
        <f t="shared" si="53"/>
        <v>0</v>
      </c>
      <c r="AR53" s="407">
        <f t="shared" si="54"/>
        <v>0</v>
      </c>
      <c r="AS53" s="407">
        <f>O53+T53+Y53+AD53+AI53+AN53</f>
        <v>0</v>
      </c>
      <c r="AT53" s="407">
        <f t="shared" si="56"/>
        <v>0</v>
      </c>
      <c r="AU53" s="408">
        <f>Q53+V53+AA53+AF53+AK53+AP53</f>
        <v>0</v>
      </c>
      <c r="AV53" s="392" t="s">
        <v>348</v>
      </c>
      <c r="AW53" s="392" t="s">
        <v>348</v>
      </c>
      <c r="AX53" s="392" t="s">
        <v>348</v>
      </c>
      <c r="AY53" s="392" t="s">
        <v>348</v>
      </c>
      <c r="AZ53" s="387" t="s">
        <v>348</v>
      </c>
      <c r="BA53" s="395"/>
      <c r="BB53" s="406">
        <f t="shared" si="49"/>
        <v>0</v>
      </c>
      <c r="BC53" s="407">
        <f t="shared" si="50"/>
        <v>0</v>
      </c>
      <c r="BD53" s="407">
        <f t="shared" si="51"/>
        <v>0</v>
      </c>
      <c r="BE53" s="407">
        <f t="shared" si="52"/>
        <v>0</v>
      </c>
      <c r="BF53" s="404">
        <f t="shared" si="34"/>
        <v>0</v>
      </c>
      <c r="BG53" s="395"/>
      <c r="BH53" s="406">
        <f t="shared" si="58"/>
        <v>0</v>
      </c>
      <c r="BI53" s="407">
        <f t="shared" si="59"/>
        <v>0</v>
      </c>
      <c r="BJ53" s="407">
        <f t="shared" si="60"/>
        <v>0</v>
      </c>
      <c r="BK53" s="407">
        <f t="shared" si="61"/>
        <v>0</v>
      </c>
      <c r="BL53" s="408">
        <f t="shared" si="62"/>
        <v>0</v>
      </c>
    </row>
    <row r="54" spans="3:64" s="433" customFormat="1" ht="17.45" hidden="1" customHeight="1">
      <c r="C54" s="1112"/>
      <c r="D54" s="430"/>
      <c r="E54" s="401"/>
      <c r="F54" s="401"/>
      <c r="G54" s="401"/>
      <c r="H54" s="401"/>
      <c r="I54" s="719"/>
      <c r="J54" s="429"/>
      <c r="K54" s="429"/>
      <c r="L54" s="438"/>
      <c r="M54" s="428"/>
      <c r="N54" s="429"/>
      <c r="O54" s="429"/>
      <c r="P54" s="429"/>
      <c r="Q54" s="404">
        <f t="shared" si="42"/>
        <v>0</v>
      </c>
      <c r="R54" s="428"/>
      <c r="S54" s="429"/>
      <c r="T54" s="429"/>
      <c r="U54" s="429"/>
      <c r="V54" s="404">
        <f t="shared" si="26"/>
        <v>0</v>
      </c>
      <c r="W54" s="777"/>
      <c r="X54" s="778"/>
      <c r="Y54" s="778"/>
      <c r="Z54" s="778"/>
      <c r="AA54" s="404">
        <f t="shared" si="63"/>
        <v>0</v>
      </c>
      <c r="AB54" s="442"/>
      <c r="AC54" s="443"/>
      <c r="AD54" s="443"/>
      <c r="AE54" s="443"/>
      <c r="AF54" s="404">
        <f t="shared" si="46"/>
        <v>0</v>
      </c>
      <c r="AG54" s="442"/>
      <c r="AH54" s="443"/>
      <c r="AI54" s="443"/>
      <c r="AJ54" s="443"/>
      <c r="AK54" s="404">
        <f t="shared" si="47"/>
        <v>0</v>
      </c>
      <c r="AL54" s="428"/>
      <c r="AM54" s="429"/>
      <c r="AN54" s="429"/>
      <c r="AO54" s="429"/>
      <c r="AP54" s="405">
        <f t="shared" si="48"/>
        <v>0</v>
      </c>
      <c r="AQ54" s="787">
        <f t="shared" si="53"/>
        <v>0</v>
      </c>
      <c r="AR54" s="407">
        <f>N54+S54+X54+AC54+AH54+AM54</f>
        <v>0</v>
      </c>
      <c r="AS54" s="407">
        <f t="shared" si="55"/>
        <v>0</v>
      </c>
      <c r="AT54" s="407">
        <f t="shared" si="56"/>
        <v>0</v>
      </c>
      <c r="AU54" s="408">
        <f t="shared" si="57"/>
        <v>0</v>
      </c>
      <c r="AV54" s="392" t="s">
        <v>348</v>
      </c>
      <c r="AW54" s="392" t="s">
        <v>348</v>
      </c>
      <c r="AX54" s="392" t="s">
        <v>348</v>
      </c>
      <c r="AY54" s="392" t="s">
        <v>348</v>
      </c>
      <c r="AZ54" s="387" t="s">
        <v>348</v>
      </c>
      <c r="BA54" s="395"/>
      <c r="BB54" s="406">
        <f t="shared" si="49"/>
        <v>0</v>
      </c>
      <c r="BC54" s="407">
        <f t="shared" si="50"/>
        <v>0</v>
      </c>
      <c r="BD54" s="407">
        <f t="shared" si="51"/>
        <v>0</v>
      </c>
      <c r="BE54" s="407">
        <f t="shared" si="52"/>
        <v>0</v>
      </c>
      <c r="BF54" s="404">
        <f t="shared" si="34"/>
        <v>0</v>
      </c>
      <c r="BG54" s="395"/>
      <c r="BH54" s="406">
        <f t="shared" si="58"/>
        <v>0</v>
      </c>
      <c r="BI54" s="407">
        <f t="shared" si="59"/>
        <v>0</v>
      </c>
      <c r="BJ54" s="407">
        <f t="shared" si="60"/>
        <v>0</v>
      </c>
      <c r="BK54" s="407">
        <f t="shared" si="61"/>
        <v>0</v>
      </c>
      <c r="BL54" s="408">
        <f t="shared" si="62"/>
        <v>0</v>
      </c>
    </row>
    <row r="55" spans="3:64" s="433" customFormat="1" ht="17.45" hidden="1" customHeight="1">
      <c r="C55" s="1112"/>
      <c r="D55" s="430"/>
      <c r="E55" s="401"/>
      <c r="F55" s="401"/>
      <c r="G55" s="401"/>
      <c r="H55" s="401"/>
      <c r="I55" s="719"/>
      <c r="J55" s="429"/>
      <c r="K55" s="429"/>
      <c r="L55" s="438"/>
      <c r="M55" s="428"/>
      <c r="N55" s="429"/>
      <c r="O55" s="429"/>
      <c r="P55" s="429"/>
      <c r="Q55" s="404">
        <f t="shared" si="42"/>
        <v>0</v>
      </c>
      <c r="R55" s="428"/>
      <c r="S55" s="429"/>
      <c r="T55" s="429"/>
      <c r="U55" s="429"/>
      <c r="V55" s="404">
        <f t="shared" si="26"/>
        <v>0</v>
      </c>
      <c r="W55" s="777"/>
      <c r="X55" s="778"/>
      <c r="Y55" s="778"/>
      <c r="Z55" s="778"/>
      <c r="AA55" s="404">
        <f t="shared" si="63"/>
        <v>0</v>
      </c>
      <c r="AB55" s="442"/>
      <c r="AC55" s="443"/>
      <c r="AD55" s="443"/>
      <c r="AE55" s="443"/>
      <c r="AF55" s="404">
        <f t="shared" si="46"/>
        <v>0</v>
      </c>
      <c r="AG55" s="442"/>
      <c r="AH55" s="443"/>
      <c r="AI55" s="443"/>
      <c r="AJ55" s="443"/>
      <c r="AK55" s="404">
        <f t="shared" si="47"/>
        <v>0</v>
      </c>
      <c r="AL55" s="428"/>
      <c r="AM55" s="429"/>
      <c r="AN55" s="429"/>
      <c r="AO55" s="429"/>
      <c r="AP55" s="405">
        <f t="shared" si="48"/>
        <v>0</v>
      </c>
      <c r="AQ55" s="787">
        <f t="shared" si="53"/>
        <v>0</v>
      </c>
      <c r="AR55" s="407">
        <f t="shared" si="54"/>
        <v>0</v>
      </c>
      <c r="AS55" s="407">
        <f t="shared" si="55"/>
        <v>0</v>
      </c>
      <c r="AT55" s="407">
        <f t="shared" si="56"/>
        <v>0</v>
      </c>
      <c r="AU55" s="408">
        <f t="shared" si="57"/>
        <v>0</v>
      </c>
      <c r="AV55" s="392" t="s">
        <v>348</v>
      </c>
      <c r="AW55" s="392" t="s">
        <v>348</v>
      </c>
      <c r="AX55" s="392" t="s">
        <v>348</v>
      </c>
      <c r="AY55" s="392" t="s">
        <v>348</v>
      </c>
      <c r="AZ55" s="387" t="s">
        <v>348</v>
      </c>
      <c r="BA55" s="395"/>
      <c r="BB55" s="406">
        <f t="shared" si="49"/>
        <v>0</v>
      </c>
      <c r="BC55" s="407">
        <f t="shared" si="50"/>
        <v>0</v>
      </c>
      <c r="BD55" s="407">
        <f t="shared" si="51"/>
        <v>0</v>
      </c>
      <c r="BE55" s="407">
        <f t="shared" si="52"/>
        <v>0</v>
      </c>
      <c r="BF55" s="404">
        <f t="shared" si="34"/>
        <v>0</v>
      </c>
      <c r="BG55" s="395"/>
      <c r="BH55" s="406">
        <f t="shared" si="58"/>
        <v>0</v>
      </c>
      <c r="BI55" s="407">
        <f t="shared" si="59"/>
        <v>0</v>
      </c>
      <c r="BJ55" s="407">
        <f t="shared" si="60"/>
        <v>0</v>
      </c>
      <c r="BK55" s="407">
        <f t="shared" si="61"/>
        <v>0</v>
      </c>
      <c r="BL55" s="408">
        <f t="shared" si="62"/>
        <v>0</v>
      </c>
    </row>
    <row r="56" spans="3:64" s="433" customFormat="1" ht="17.45" hidden="1" customHeight="1">
      <c r="C56" s="1112"/>
      <c r="D56" s="430"/>
      <c r="E56" s="401"/>
      <c r="F56" s="401"/>
      <c r="G56" s="401"/>
      <c r="H56" s="401"/>
      <c r="I56" s="719"/>
      <c r="J56" s="429"/>
      <c r="K56" s="429"/>
      <c r="L56" s="438"/>
      <c r="M56" s="428"/>
      <c r="N56" s="429"/>
      <c r="O56" s="429"/>
      <c r="P56" s="429"/>
      <c r="Q56" s="404">
        <f t="shared" si="42"/>
        <v>0</v>
      </c>
      <c r="R56" s="428"/>
      <c r="S56" s="429"/>
      <c r="T56" s="429"/>
      <c r="U56" s="429"/>
      <c r="V56" s="404">
        <f t="shared" si="26"/>
        <v>0</v>
      </c>
      <c r="W56" s="777"/>
      <c r="X56" s="778"/>
      <c r="Y56" s="778"/>
      <c r="Z56" s="778"/>
      <c r="AA56" s="404">
        <f t="shared" si="63"/>
        <v>0</v>
      </c>
      <c r="AB56" s="442"/>
      <c r="AC56" s="443"/>
      <c r="AD56" s="443"/>
      <c r="AE56" s="443"/>
      <c r="AF56" s="404">
        <f t="shared" si="46"/>
        <v>0</v>
      </c>
      <c r="AG56" s="442"/>
      <c r="AH56" s="443"/>
      <c r="AI56" s="443"/>
      <c r="AJ56" s="443"/>
      <c r="AK56" s="404">
        <f t="shared" si="47"/>
        <v>0</v>
      </c>
      <c r="AL56" s="428"/>
      <c r="AM56" s="429"/>
      <c r="AN56" s="429"/>
      <c r="AO56" s="429"/>
      <c r="AP56" s="405">
        <f t="shared" si="48"/>
        <v>0</v>
      </c>
      <c r="AQ56" s="787">
        <f t="shared" si="53"/>
        <v>0</v>
      </c>
      <c r="AR56" s="407">
        <f t="shared" si="54"/>
        <v>0</v>
      </c>
      <c r="AS56" s="407">
        <f t="shared" si="55"/>
        <v>0</v>
      </c>
      <c r="AT56" s="407">
        <f t="shared" si="56"/>
        <v>0</v>
      </c>
      <c r="AU56" s="408">
        <f t="shared" si="57"/>
        <v>0</v>
      </c>
      <c r="AV56" s="392" t="s">
        <v>348</v>
      </c>
      <c r="AW56" s="392" t="s">
        <v>348</v>
      </c>
      <c r="AX56" s="392" t="s">
        <v>348</v>
      </c>
      <c r="AY56" s="392" t="s">
        <v>348</v>
      </c>
      <c r="AZ56" s="387" t="s">
        <v>348</v>
      </c>
      <c r="BA56" s="395"/>
      <c r="BB56" s="406">
        <f t="shared" si="49"/>
        <v>0</v>
      </c>
      <c r="BC56" s="407">
        <f t="shared" si="50"/>
        <v>0</v>
      </c>
      <c r="BD56" s="407">
        <f t="shared" si="51"/>
        <v>0</v>
      </c>
      <c r="BE56" s="407">
        <f t="shared" si="52"/>
        <v>0</v>
      </c>
      <c r="BF56" s="404">
        <f t="shared" si="34"/>
        <v>0</v>
      </c>
      <c r="BG56" s="395"/>
      <c r="BH56" s="406">
        <f t="shared" si="58"/>
        <v>0</v>
      </c>
      <c r="BI56" s="407">
        <f t="shared" si="59"/>
        <v>0</v>
      </c>
      <c r="BJ56" s="407">
        <f t="shared" si="60"/>
        <v>0</v>
      </c>
      <c r="BK56" s="407">
        <f t="shared" si="61"/>
        <v>0</v>
      </c>
      <c r="BL56" s="408">
        <f t="shared" si="62"/>
        <v>0</v>
      </c>
    </row>
    <row r="57" spans="3:64" s="433" customFormat="1" ht="17.45" hidden="1" customHeight="1">
      <c r="C57" s="1112"/>
      <c r="D57" s="430"/>
      <c r="E57" s="401"/>
      <c r="F57" s="401"/>
      <c r="G57" s="401"/>
      <c r="H57" s="401"/>
      <c r="I57" s="719"/>
      <c r="J57" s="429"/>
      <c r="K57" s="429"/>
      <c r="L57" s="438"/>
      <c r="M57" s="428"/>
      <c r="N57" s="429"/>
      <c r="O57" s="429"/>
      <c r="P57" s="429"/>
      <c r="Q57" s="404">
        <f t="shared" si="42"/>
        <v>0</v>
      </c>
      <c r="R57" s="428"/>
      <c r="S57" s="429"/>
      <c r="T57" s="429"/>
      <c r="U57" s="429"/>
      <c r="V57" s="404">
        <f t="shared" si="26"/>
        <v>0</v>
      </c>
      <c r="W57" s="777"/>
      <c r="X57" s="778"/>
      <c r="Y57" s="778"/>
      <c r="Z57" s="778"/>
      <c r="AA57" s="404">
        <f t="shared" si="63"/>
        <v>0</v>
      </c>
      <c r="AB57" s="442"/>
      <c r="AC57" s="443"/>
      <c r="AD57" s="443"/>
      <c r="AE57" s="443"/>
      <c r="AF57" s="404">
        <f t="shared" si="46"/>
        <v>0</v>
      </c>
      <c r="AG57" s="442"/>
      <c r="AH57" s="443"/>
      <c r="AI57" s="443"/>
      <c r="AJ57" s="443"/>
      <c r="AK57" s="404">
        <f t="shared" si="47"/>
        <v>0</v>
      </c>
      <c r="AL57" s="428"/>
      <c r="AM57" s="429"/>
      <c r="AN57" s="429"/>
      <c r="AO57" s="429"/>
      <c r="AP57" s="405">
        <f t="shared" si="48"/>
        <v>0</v>
      </c>
      <c r="AQ57" s="787">
        <f t="shared" si="53"/>
        <v>0</v>
      </c>
      <c r="AR57" s="407">
        <f t="shared" si="54"/>
        <v>0</v>
      </c>
      <c r="AS57" s="407">
        <f t="shared" si="55"/>
        <v>0</v>
      </c>
      <c r="AT57" s="407">
        <f t="shared" si="56"/>
        <v>0</v>
      </c>
      <c r="AU57" s="408">
        <f t="shared" si="57"/>
        <v>0</v>
      </c>
      <c r="AV57" s="392" t="s">
        <v>348</v>
      </c>
      <c r="AW57" s="392" t="s">
        <v>348</v>
      </c>
      <c r="AX57" s="392" t="s">
        <v>348</v>
      </c>
      <c r="AY57" s="392" t="s">
        <v>348</v>
      </c>
      <c r="AZ57" s="387" t="s">
        <v>348</v>
      </c>
      <c r="BA57" s="395"/>
      <c r="BB57" s="406">
        <f t="shared" si="49"/>
        <v>0</v>
      </c>
      <c r="BC57" s="407">
        <f t="shared" si="50"/>
        <v>0</v>
      </c>
      <c r="BD57" s="407">
        <f t="shared" si="51"/>
        <v>0</v>
      </c>
      <c r="BE57" s="407">
        <f t="shared" si="52"/>
        <v>0</v>
      </c>
      <c r="BF57" s="404">
        <f t="shared" si="34"/>
        <v>0</v>
      </c>
      <c r="BG57" s="395"/>
      <c r="BH57" s="406">
        <f t="shared" si="58"/>
        <v>0</v>
      </c>
      <c r="BI57" s="407">
        <f t="shared" si="59"/>
        <v>0</v>
      </c>
      <c r="BJ57" s="407">
        <f t="shared" si="60"/>
        <v>0</v>
      </c>
      <c r="BK57" s="407">
        <f t="shared" si="61"/>
        <v>0</v>
      </c>
      <c r="BL57" s="408">
        <f t="shared" si="62"/>
        <v>0</v>
      </c>
    </row>
    <row r="58" spans="3:64" s="433" customFormat="1" ht="17.45" hidden="1" customHeight="1">
      <c r="C58" s="1112"/>
      <c r="D58" s="430"/>
      <c r="E58" s="401"/>
      <c r="F58" s="401"/>
      <c r="G58" s="401"/>
      <c r="H58" s="401"/>
      <c r="I58" s="719"/>
      <c r="J58" s="429"/>
      <c r="K58" s="429"/>
      <c r="L58" s="438"/>
      <c r="M58" s="428"/>
      <c r="N58" s="429"/>
      <c r="O58" s="429"/>
      <c r="P58" s="429"/>
      <c r="Q58" s="404">
        <f t="shared" si="42"/>
        <v>0</v>
      </c>
      <c r="R58" s="428"/>
      <c r="S58" s="429"/>
      <c r="T58" s="429"/>
      <c r="U58" s="429"/>
      <c r="V58" s="404">
        <f t="shared" si="26"/>
        <v>0</v>
      </c>
      <c r="W58" s="777"/>
      <c r="X58" s="778"/>
      <c r="Y58" s="778"/>
      <c r="Z58" s="778"/>
      <c r="AA58" s="404">
        <f t="shared" si="63"/>
        <v>0</v>
      </c>
      <c r="AB58" s="442"/>
      <c r="AC58" s="443"/>
      <c r="AD58" s="443"/>
      <c r="AE58" s="443"/>
      <c r="AF58" s="404">
        <f t="shared" si="46"/>
        <v>0</v>
      </c>
      <c r="AG58" s="442"/>
      <c r="AH58" s="443"/>
      <c r="AI58" s="443"/>
      <c r="AJ58" s="443"/>
      <c r="AK58" s="404">
        <f t="shared" si="47"/>
        <v>0</v>
      </c>
      <c r="AL58" s="428"/>
      <c r="AM58" s="429"/>
      <c r="AN58" s="429"/>
      <c r="AO58" s="429"/>
      <c r="AP58" s="405">
        <f t="shared" si="48"/>
        <v>0</v>
      </c>
      <c r="AQ58" s="787">
        <f t="shared" si="53"/>
        <v>0</v>
      </c>
      <c r="AR58" s="407">
        <f t="shared" si="54"/>
        <v>0</v>
      </c>
      <c r="AS58" s="407">
        <f t="shared" si="55"/>
        <v>0</v>
      </c>
      <c r="AT58" s="407">
        <f t="shared" si="56"/>
        <v>0</v>
      </c>
      <c r="AU58" s="408">
        <f t="shared" si="57"/>
        <v>0</v>
      </c>
      <c r="AV58" s="392" t="s">
        <v>348</v>
      </c>
      <c r="AW58" s="392" t="s">
        <v>348</v>
      </c>
      <c r="AX58" s="392" t="s">
        <v>348</v>
      </c>
      <c r="AY58" s="392" t="s">
        <v>348</v>
      </c>
      <c r="AZ58" s="387" t="s">
        <v>348</v>
      </c>
      <c r="BA58" s="395"/>
      <c r="BB58" s="406">
        <f t="shared" si="49"/>
        <v>0</v>
      </c>
      <c r="BC58" s="407">
        <f t="shared" si="50"/>
        <v>0</v>
      </c>
      <c r="BD58" s="407">
        <f t="shared" si="51"/>
        <v>0</v>
      </c>
      <c r="BE58" s="407">
        <f t="shared" si="52"/>
        <v>0</v>
      </c>
      <c r="BF58" s="404">
        <f t="shared" si="34"/>
        <v>0</v>
      </c>
      <c r="BG58" s="395"/>
      <c r="BH58" s="406">
        <f t="shared" si="58"/>
        <v>0</v>
      </c>
      <c r="BI58" s="407">
        <f t="shared" si="59"/>
        <v>0</v>
      </c>
      <c r="BJ58" s="407">
        <f t="shared" si="60"/>
        <v>0</v>
      </c>
      <c r="BK58" s="407">
        <f t="shared" si="61"/>
        <v>0</v>
      </c>
      <c r="BL58" s="408">
        <f t="shared" si="62"/>
        <v>0</v>
      </c>
    </row>
    <row r="59" spans="3:64" s="433" customFormat="1" ht="30.75" hidden="1" customHeight="1">
      <c r="C59" s="1112"/>
      <c r="D59" s="430"/>
      <c r="E59" s="401"/>
      <c r="F59" s="401"/>
      <c r="G59" s="401"/>
      <c r="H59" s="401"/>
      <c r="I59" s="719"/>
      <c r="J59" s="429"/>
      <c r="K59" s="429"/>
      <c r="L59" s="438"/>
      <c r="M59" s="428"/>
      <c r="N59" s="429"/>
      <c r="O59" s="429"/>
      <c r="P59" s="429"/>
      <c r="Q59" s="404">
        <f t="shared" si="42"/>
        <v>0</v>
      </c>
      <c r="R59" s="428"/>
      <c r="S59" s="429"/>
      <c r="T59" s="429"/>
      <c r="U59" s="429"/>
      <c r="V59" s="404">
        <f t="shared" si="26"/>
        <v>0</v>
      </c>
      <c r="W59" s="777"/>
      <c r="X59" s="778"/>
      <c r="Y59" s="778"/>
      <c r="Z59" s="778"/>
      <c r="AA59" s="404">
        <f t="shared" si="63"/>
        <v>0</v>
      </c>
      <c r="AB59" s="442"/>
      <c r="AC59" s="443"/>
      <c r="AD59" s="443"/>
      <c r="AE59" s="443"/>
      <c r="AF59" s="404">
        <f t="shared" si="46"/>
        <v>0</v>
      </c>
      <c r="AG59" s="442"/>
      <c r="AH59" s="443"/>
      <c r="AI59" s="443"/>
      <c r="AJ59" s="443"/>
      <c r="AK59" s="404">
        <f t="shared" si="47"/>
        <v>0</v>
      </c>
      <c r="AL59" s="428"/>
      <c r="AM59" s="429"/>
      <c r="AN59" s="429"/>
      <c r="AO59" s="429"/>
      <c r="AP59" s="405">
        <f t="shared" si="48"/>
        <v>0</v>
      </c>
      <c r="AQ59" s="787">
        <f t="shared" si="53"/>
        <v>0</v>
      </c>
      <c r="AR59" s="407">
        <f t="shared" si="54"/>
        <v>0</v>
      </c>
      <c r="AS59" s="407">
        <f t="shared" si="55"/>
        <v>0</v>
      </c>
      <c r="AT59" s="407">
        <f t="shared" si="56"/>
        <v>0</v>
      </c>
      <c r="AU59" s="408">
        <f t="shared" si="57"/>
        <v>0</v>
      </c>
      <c r="AV59" s="392" t="s">
        <v>348</v>
      </c>
      <c r="AW59" s="392" t="s">
        <v>348</v>
      </c>
      <c r="AX59" s="392" t="s">
        <v>348</v>
      </c>
      <c r="AY59" s="392" t="s">
        <v>348</v>
      </c>
      <c r="AZ59" s="387" t="s">
        <v>348</v>
      </c>
      <c r="BA59" s="395"/>
      <c r="BB59" s="406">
        <f t="shared" si="49"/>
        <v>0</v>
      </c>
      <c r="BC59" s="407">
        <f t="shared" si="50"/>
        <v>0</v>
      </c>
      <c r="BD59" s="407">
        <f t="shared" si="51"/>
        <v>0</v>
      </c>
      <c r="BE59" s="407">
        <f t="shared" si="52"/>
        <v>0</v>
      </c>
      <c r="BF59" s="404">
        <f t="shared" si="34"/>
        <v>0</v>
      </c>
      <c r="BG59" s="395"/>
      <c r="BH59" s="406">
        <f t="shared" si="58"/>
        <v>0</v>
      </c>
      <c r="BI59" s="407">
        <f t="shared" si="59"/>
        <v>0</v>
      </c>
      <c r="BJ59" s="407">
        <f t="shared" si="60"/>
        <v>0</v>
      </c>
      <c r="BK59" s="407">
        <f t="shared" si="61"/>
        <v>0</v>
      </c>
      <c r="BL59" s="408">
        <f t="shared" si="62"/>
        <v>0</v>
      </c>
    </row>
    <row r="60" spans="3:64" s="431" customFormat="1" ht="39" hidden="1" customHeight="1" thickBot="1">
      <c r="C60" s="1126"/>
      <c r="D60" s="432" t="s">
        <v>430</v>
      </c>
      <c r="E60" s="414" t="s">
        <v>346</v>
      </c>
      <c r="F60" s="415" t="s">
        <v>346</v>
      </c>
      <c r="G60" s="415" t="s">
        <v>346</v>
      </c>
      <c r="H60" s="416" t="s">
        <v>346</v>
      </c>
      <c r="I60" s="414">
        <f t="shared" ref="I60:U60" si="64">SUM(I45:I59)</f>
        <v>49</v>
      </c>
      <c r="J60" s="415">
        <f t="shared" si="64"/>
        <v>49</v>
      </c>
      <c r="K60" s="415">
        <f t="shared" si="64"/>
        <v>49</v>
      </c>
      <c r="L60" s="416">
        <f t="shared" si="64"/>
        <v>49</v>
      </c>
      <c r="M60" s="414">
        <f t="shared" si="64"/>
        <v>1944000</v>
      </c>
      <c r="N60" s="415">
        <f t="shared" si="64"/>
        <v>1944000</v>
      </c>
      <c r="O60" s="415">
        <f t="shared" si="64"/>
        <v>1944000</v>
      </c>
      <c r="P60" s="415">
        <f t="shared" si="64"/>
        <v>1944000</v>
      </c>
      <c r="Q60" s="416">
        <f t="shared" si="64"/>
        <v>7776000</v>
      </c>
      <c r="R60" s="414">
        <f t="shared" si="64"/>
        <v>162000</v>
      </c>
      <c r="S60" s="415">
        <f t="shared" si="64"/>
        <v>162000</v>
      </c>
      <c r="T60" s="415">
        <f t="shared" si="64"/>
        <v>162000</v>
      </c>
      <c r="U60" s="415">
        <f t="shared" si="64"/>
        <v>162000</v>
      </c>
      <c r="V60" s="404">
        <f t="shared" si="26"/>
        <v>648000</v>
      </c>
      <c r="W60" s="772">
        <f t="shared" ref="W60:AU60" si="65">SUM(W45:W59)</f>
        <v>358425</v>
      </c>
      <c r="X60" s="773">
        <f t="shared" si="65"/>
        <v>350325</v>
      </c>
      <c r="Y60" s="773">
        <f t="shared" si="65"/>
        <v>350325</v>
      </c>
      <c r="Z60" s="773">
        <f t="shared" si="65"/>
        <v>350325</v>
      </c>
      <c r="AA60" s="416">
        <f t="shared" si="65"/>
        <v>1409400</v>
      </c>
      <c r="AB60" s="414">
        <f t="shared" si="65"/>
        <v>0</v>
      </c>
      <c r="AC60" s="415">
        <f t="shared" si="65"/>
        <v>0</v>
      </c>
      <c r="AD60" s="415">
        <f t="shared" si="65"/>
        <v>0</v>
      </c>
      <c r="AE60" s="415">
        <f t="shared" si="65"/>
        <v>0</v>
      </c>
      <c r="AF60" s="416">
        <f t="shared" si="65"/>
        <v>0</v>
      </c>
      <c r="AG60" s="414">
        <f t="shared" si="65"/>
        <v>0</v>
      </c>
      <c r="AH60" s="415">
        <f t="shared" si="65"/>
        <v>0</v>
      </c>
      <c r="AI60" s="415">
        <f t="shared" si="65"/>
        <v>0</v>
      </c>
      <c r="AJ60" s="415">
        <f t="shared" si="65"/>
        <v>0</v>
      </c>
      <c r="AK60" s="416">
        <f t="shared" si="65"/>
        <v>0</v>
      </c>
      <c r="AL60" s="414">
        <f t="shared" si="65"/>
        <v>0</v>
      </c>
      <c r="AM60" s="415">
        <f t="shared" si="65"/>
        <v>0</v>
      </c>
      <c r="AN60" s="415">
        <f t="shared" si="65"/>
        <v>0</v>
      </c>
      <c r="AO60" s="415">
        <f t="shared" si="65"/>
        <v>0</v>
      </c>
      <c r="AP60" s="420">
        <f t="shared" si="65"/>
        <v>0</v>
      </c>
      <c r="AQ60" s="796">
        <f t="shared" si="65"/>
        <v>2464425</v>
      </c>
      <c r="AR60" s="418">
        <f t="shared" si="65"/>
        <v>2456325</v>
      </c>
      <c r="AS60" s="418">
        <f t="shared" si="65"/>
        <v>2456325</v>
      </c>
      <c r="AT60" s="418">
        <f t="shared" si="65"/>
        <v>2456325</v>
      </c>
      <c r="AU60" s="419">
        <f t="shared" si="65"/>
        <v>9833400</v>
      </c>
      <c r="AV60" s="423">
        <f>900*3*3</f>
        <v>8100</v>
      </c>
      <c r="AW60" s="423">
        <f>900*3*3</f>
        <v>8100</v>
      </c>
      <c r="AX60" s="423">
        <f>900*3*3</f>
        <v>8100</v>
      </c>
      <c r="AY60" s="423">
        <f>900*3*3</f>
        <v>8100</v>
      </c>
      <c r="AZ60" s="416">
        <f>AV60+AW60+AX60+AY60</f>
        <v>32400</v>
      </c>
      <c r="BA60" s="260"/>
      <c r="BB60" s="414">
        <f>SUM(BB45:BB59)</f>
        <v>542173.5</v>
      </c>
      <c r="BC60" s="415">
        <f>SUM(BC45:BC59)</f>
        <v>540391.5</v>
      </c>
      <c r="BD60" s="415">
        <f>SUM(BD45:BD59)</f>
        <v>540391.5</v>
      </c>
      <c r="BE60" s="415">
        <f>SUM(BE45:BE59)</f>
        <v>540391.5</v>
      </c>
      <c r="BF60" s="416">
        <f>SUM(BF45:BF59)</f>
        <v>2163348</v>
      </c>
      <c r="BG60" s="260"/>
      <c r="BH60" s="414">
        <f>SUM(BH45:BH59)</f>
        <v>480562.875</v>
      </c>
      <c r="BI60" s="415">
        <f>SUM(BI45:BI59)</f>
        <v>478983.375</v>
      </c>
      <c r="BJ60" s="415">
        <f>SUM(BJ45:BJ59)</f>
        <v>478983.375</v>
      </c>
      <c r="BK60" s="415">
        <f>SUM(BK45:BK59)</f>
        <v>478983.375</v>
      </c>
      <c r="BL60" s="416">
        <f>SUM(BL45:BL59)</f>
        <v>1917513</v>
      </c>
    </row>
    <row r="61" spans="3:64" s="433" customFormat="1" ht="50.45" hidden="1" customHeight="1">
      <c r="C61" s="1125" t="s">
        <v>491</v>
      </c>
      <c r="D61" s="444" t="s">
        <v>441</v>
      </c>
      <c r="E61" s="426">
        <v>0.22</v>
      </c>
      <c r="F61" s="426">
        <v>0.22</v>
      </c>
      <c r="G61" s="426">
        <v>0.22</v>
      </c>
      <c r="H61" s="426">
        <v>0.22</v>
      </c>
      <c r="I61" s="745">
        <v>9.5</v>
      </c>
      <c r="J61" s="745">
        <v>9.5</v>
      </c>
      <c r="K61" s="745">
        <v>9.5</v>
      </c>
      <c r="L61" s="745">
        <v>9.5</v>
      </c>
      <c r="M61" s="434">
        <f>(6500*9.5)*3</f>
        <v>185250</v>
      </c>
      <c r="N61" s="434">
        <f>(6500*9.5)*3</f>
        <v>185250</v>
      </c>
      <c r="O61" s="434">
        <f>(6500*9.5)*3</f>
        <v>185250</v>
      </c>
      <c r="P61" s="434">
        <f>(6500*9.5)*3</f>
        <v>185250</v>
      </c>
      <c r="Q61" s="394">
        <f t="shared" si="42"/>
        <v>741000</v>
      </c>
      <c r="R61" s="434">
        <v>0</v>
      </c>
      <c r="S61" s="435">
        <v>0</v>
      </c>
      <c r="T61" s="435">
        <v>0</v>
      </c>
      <c r="U61" s="435">
        <v>0</v>
      </c>
      <c r="V61" s="404">
        <f t="shared" si="26"/>
        <v>0</v>
      </c>
      <c r="W61" s="775">
        <v>0</v>
      </c>
      <c r="X61" s="775">
        <f>N61*0.2</f>
        <v>37050</v>
      </c>
      <c r="Y61" s="775">
        <f>O61*0.2</f>
        <v>37050</v>
      </c>
      <c r="Z61" s="775">
        <f>P61*0.2</f>
        <v>37050</v>
      </c>
      <c r="AA61" s="394">
        <f>Z61+Y61+X61+W61</f>
        <v>111150</v>
      </c>
      <c r="AB61" s="428">
        <f>M61*0.1</f>
        <v>18525</v>
      </c>
      <c r="AC61" s="428">
        <f>N61*0.1</f>
        <v>18525</v>
      </c>
      <c r="AD61" s="428">
        <f>O61*0.1</f>
        <v>18525</v>
      </c>
      <c r="AE61" s="428">
        <f>P61*0.1</f>
        <v>18525</v>
      </c>
      <c r="AF61" s="394">
        <f t="shared" ref="AF61:AF72" si="66">SUM(AB61:AE61)</f>
        <v>74100</v>
      </c>
      <c r="AG61" s="428">
        <v>0</v>
      </c>
      <c r="AH61" s="428">
        <v>0</v>
      </c>
      <c r="AI61" s="428">
        <v>0</v>
      </c>
      <c r="AJ61" s="428">
        <v>0</v>
      </c>
      <c r="AK61" s="394">
        <v>0</v>
      </c>
      <c r="AL61" s="434">
        <v>0</v>
      </c>
      <c r="AM61" s="435">
        <v>0</v>
      </c>
      <c r="AN61" s="435">
        <v>0</v>
      </c>
      <c r="AO61" s="435">
        <v>0</v>
      </c>
      <c r="AP61" s="427">
        <f t="shared" ref="AP61:AP72" si="67">SUM(AL61:AO61)</f>
        <v>0</v>
      </c>
      <c r="AQ61" s="786">
        <f>M61+R61+W61+AB61+AG61+AL61</f>
        <v>203775</v>
      </c>
      <c r="AR61" s="390">
        <f>N61+S61+X61+AC61+AH61+AM61</f>
        <v>240825</v>
      </c>
      <c r="AS61" s="390">
        <f>O61+T61+Y61+AD61+AI61+AN61</f>
        <v>240825</v>
      </c>
      <c r="AT61" s="390">
        <f>P61+U61+Z61+AE61+AJ61+AO61</f>
        <v>240825</v>
      </c>
      <c r="AU61" s="391">
        <f>Q61+V61+AA61+AF61+AK61+AP61</f>
        <v>926250</v>
      </c>
      <c r="AV61" s="392" t="s">
        <v>348</v>
      </c>
      <c r="AW61" s="392" t="s">
        <v>348</v>
      </c>
      <c r="AX61" s="392" t="s">
        <v>348</v>
      </c>
      <c r="AY61" s="392" t="s">
        <v>348</v>
      </c>
      <c r="AZ61" s="387" t="s">
        <v>348</v>
      </c>
      <c r="BA61" s="395"/>
      <c r="BB61" s="396">
        <f t="shared" ref="BB61:BB72" si="68">AQ61*E61/100%</f>
        <v>44830.5</v>
      </c>
      <c r="BC61" s="397">
        <f t="shared" ref="BC61:BC72" si="69">AR61*F61/100%</f>
        <v>52981.5</v>
      </c>
      <c r="BD61" s="397">
        <f t="shared" ref="BD61:BD72" si="70">AS61*G61/100%</f>
        <v>52981.5</v>
      </c>
      <c r="BE61" s="397">
        <f t="shared" ref="BE61:BE72" si="71">AT61*H61/100%</f>
        <v>52981.5</v>
      </c>
      <c r="BF61" s="387">
        <f t="shared" ref="BF61:BF72" si="72">AU61*I61/100%</f>
        <v>8799375</v>
      </c>
      <c r="BG61" s="395"/>
      <c r="BH61" s="396">
        <f>AQ61*(18%+1.5%)/100%</f>
        <v>39736.125</v>
      </c>
      <c r="BI61" s="397">
        <f>AR61*(18%+1.5%)/100%</f>
        <v>46960.875</v>
      </c>
      <c r="BJ61" s="397">
        <f>AS61*(18%+1.5%)/100%</f>
        <v>46960.875</v>
      </c>
      <c r="BK61" s="397">
        <f>AT61*(18%+1.5%)/100%</f>
        <v>46960.875</v>
      </c>
      <c r="BL61" s="398">
        <f>SUM(BH61:BK61)</f>
        <v>180618.75</v>
      </c>
    </row>
    <row r="62" spans="3:64" s="433" customFormat="1" ht="33" hidden="1" customHeight="1">
      <c r="C62" s="1112"/>
      <c r="D62" s="445"/>
      <c r="E62" s="400"/>
      <c r="F62" s="401"/>
      <c r="G62" s="401"/>
      <c r="H62" s="402"/>
      <c r="I62" s="428"/>
      <c r="J62" s="429"/>
      <c r="K62" s="429"/>
      <c r="L62" s="438"/>
      <c r="M62" s="428"/>
      <c r="N62" s="429"/>
      <c r="O62" s="429"/>
      <c r="P62" s="429"/>
      <c r="Q62" s="404">
        <f t="shared" si="42"/>
        <v>0</v>
      </c>
      <c r="R62" s="428"/>
      <c r="S62" s="429"/>
      <c r="T62" s="429"/>
      <c r="U62" s="429"/>
      <c r="V62" s="404">
        <f t="shared" si="26"/>
        <v>0</v>
      </c>
      <c r="W62" s="775"/>
      <c r="X62" s="776"/>
      <c r="Y62" s="776"/>
      <c r="Z62" s="776"/>
      <c r="AA62" s="404">
        <f t="shared" ref="AA62:AA72" si="73">SUM(W62:Z62)</f>
        <v>0</v>
      </c>
      <c r="AB62" s="428"/>
      <c r="AC62" s="429"/>
      <c r="AD62" s="429"/>
      <c r="AE62" s="429"/>
      <c r="AF62" s="404">
        <f t="shared" si="66"/>
        <v>0</v>
      </c>
      <c r="AG62" s="428"/>
      <c r="AH62" s="429"/>
      <c r="AI62" s="429"/>
      <c r="AJ62" s="429"/>
      <c r="AK62" s="404">
        <f t="shared" ref="AK62:AK72" si="74">SUM(AG62:AJ62)</f>
        <v>0</v>
      </c>
      <c r="AL62" s="428"/>
      <c r="AM62" s="429"/>
      <c r="AN62" s="429"/>
      <c r="AO62" s="429"/>
      <c r="AP62" s="405">
        <f t="shared" si="67"/>
        <v>0</v>
      </c>
      <c r="AQ62" s="787">
        <f t="shared" ref="AQ62:AQ74" si="75">M62+R62+W62+AB62+AG62+AL62</f>
        <v>0</v>
      </c>
      <c r="AR62" s="407">
        <f t="shared" ref="AR62:AR72" si="76">N62+S62+X62+AC62+AH62+AM62</f>
        <v>0</v>
      </c>
      <c r="AS62" s="407">
        <f t="shared" ref="AS62:AS72" si="77">O62+T62+Y62+AD62+AI62+AN62</f>
        <v>0</v>
      </c>
      <c r="AT62" s="407">
        <f t="shared" ref="AT62:AT72" si="78">P62+U62+Z62+AE62+AJ62+AO62</f>
        <v>0</v>
      </c>
      <c r="AU62" s="408">
        <f t="shared" ref="AU62:AU72" si="79">Q62+V62+AA62+AF62+AK62+AP62</f>
        <v>0</v>
      </c>
      <c r="AV62" s="392" t="s">
        <v>348</v>
      </c>
      <c r="AW62" s="392" t="s">
        <v>348</v>
      </c>
      <c r="AX62" s="392" t="s">
        <v>348</v>
      </c>
      <c r="AY62" s="392" t="s">
        <v>348</v>
      </c>
      <c r="AZ62" s="387" t="s">
        <v>348</v>
      </c>
      <c r="BA62" s="395"/>
      <c r="BB62" s="406">
        <f t="shared" si="68"/>
        <v>0</v>
      </c>
      <c r="BC62" s="407">
        <f t="shared" si="69"/>
        <v>0</v>
      </c>
      <c r="BD62" s="407">
        <f t="shared" si="70"/>
        <v>0</v>
      </c>
      <c r="BE62" s="407">
        <f t="shared" si="71"/>
        <v>0</v>
      </c>
      <c r="BF62" s="404">
        <f t="shared" si="72"/>
        <v>0</v>
      </c>
      <c r="BG62" s="395"/>
      <c r="BH62" s="406">
        <f t="shared" ref="BH62:BH72" si="80">AQ62*(18%+1.5%)/100%</f>
        <v>0</v>
      </c>
      <c r="BI62" s="407">
        <f t="shared" ref="BI62:BI72" si="81">AR62*(18%+1.5%)/100%</f>
        <v>0</v>
      </c>
      <c r="BJ62" s="407">
        <f t="shared" ref="BJ62:BJ72" si="82">AS62*(18%+1.5%)/100%</f>
        <v>0</v>
      </c>
      <c r="BK62" s="407">
        <f t="shared" ref="BK62:BK72" si="83">AT62*(18%+1.5%)/100%</f>
        <v>0</v>
      </c>
      <c r="BL62" s="408">
        <f t="shared" ref="BL62:BL72" si="84">SUM(BH62:BK62)</f>
        <v>0</v>
      </c>
    </row>
    <row r="63" spans="3:64" s="433" customFormat="1" ht="17.45" hidden="1" customHeight="1">
      <c r="C63" s="1112"/>
      <c r="D63" s="446"/>
      <c r="E63" s="439"/>
      <c r="F63" s="440"/>
      <c r="G63" s="440"/>
      <c r="H63" s="441"/>
      <c r="I63" s="428"/>
      <c r="J63" s="429"/>
      <c r="K63" s="429"/>
      <c r="L63" s="438"/>
      <c r="M63" s="428"/>
      <c r="N63" s="429"/>
      <c r="O63" s="429"/>
      <c r="P63" s="429"/>
      <c r="Q63" s="404">
        <f t="shared" si="42"/>
        <v>0</v>
      </c>
      <c r="R63" s="428"/>
      <c r="S63" s="429"/>
      <c r="T63" s="429"/>
      <c r="U63" s="429"/>
      <c r="V63" s="404">
        <f t="shared" si="26"/>
        <v>0</v>
      </c>
      <c r="W63" s="777"/>
      <c r="X63" s="778"/>
      <c r="Y63" s="778"/>
      <c r="Z63" s="778"/>
      <c r="AA63" s="404">
        <f t="shared" si="73"/>
        <v>0</v>
      </c>
      <c r="AB63" s="442"/>
      <c r="AC63" s="443"/>
      <c r="AD63" s="443"/>
      <c r="AE63" s="443"/>
      <c r="AF63" s="404">
        <f t="shared" si="66"/>
        <v>0</v>
      </c>
      <c r="AG63" s="442"/>
      <c r="AH63" s="443"/>
      <c r="AI63" s="443"/>
      <c r="AJ63" s="443"/>
      <c r="AK63" s="404">
        <f t="shared" si="74"/>
        <v>0</v>
      </c>
      <c r="AL63" s="428"/>
      <c r="AM63" s="429"/>
      <c r="AN63" s="429"/>
      <c r="AO63" s="429"/>
      <c r="AP63" s="405">
        <f t="shared" si="67"/>
        <v>0</v>
      </c>
      <c r="AQ63" s="787">
        <f t="shared" si="75"/>
        <v>0</v>
      </c>
      <c r="AR63" s="407">
        <f t="shared" si="76"/>
        <v>0</v>
      </c>
      <c r="AS63" s="407">
        <f t="shared" si="77"/>
        <v>0</v>
      </c>
      <c r="AT63" s="407">
        <f t="shared" si="78"/>
        <v>0</v>
      </c>
      <c r="AU63" s="408">
        <f t="shared" si="79"/>
        <v>0</v>
      </c>
      <c r="AV63" s="392" t="s">
        <v>348</v>
      </c>
      <c r="AW63" s="392" t="s">
        <v>348</v>
      </c>
      <c r="AX63" s="392" t="s">
        <v>348</v>
      </c>
      <c r="AY63" s="392" t="s">
        <v>348</v>
      </c>
      <c r="AZ63" s="387" t="s">
        <v>348</v>
      </c>
      <c r="BA63" s="395"/>
      <c r="BB63" s="406">
        <f t="shared" si="68"/>
        <v>0</v>
      </c>
      <c r="BC63" s="407">
        <f t="shared" si="69"/>
        <v>0</v>
      </c>
      <c r="BD63" s="407">
        <f t="shared" si="70"/>
        <v>0</v>
      </c>
      <c r="BE63" s="407">
        <f t="shared" si="71"/>
        <v>0</v>
      </c>
      <c r="BF63" s="404">
        <f t="shared" si="72"/>
        <v>0</v>
      </c>
      <c r="BG63" s="395"/>
      <c r="BH63" s="406">
        <f t="shared" si="80"/>
        <v>0</v>
      </c>
      <c r="BI63" s="407">
        <f t="shared" si="81"/>
        <v>0</v>
      </c>
      <c r="BJ63" s="407">
        <f t="shared" si="82"/>
        <v>0</v>
      </c>
      <c r="BK63" s="407">
        <f t="shared" si="83"/>
        <v>0</v>
      </c>
      <c r="BL63" s="408">
        <f t="shared" si="84"/>
        <v>0</v>
      </c>
    </row>
    <row r="64" spans="3:64" s="433" customFormat="1" ht="17.45" hidden="1" customHeight="1">
      <c r="C64" s="1112"/>
      <c r="D64" s="446"/>
      <c r="E64" s="439"/>
      <c r="F64" s="440"/>
      <c r="G64" s="440"/>
      <c r="H64" s="441"/>
      <c r="I64" s="428"/>
      <c r="J64" s="429"/>
      <c r="K64" s="429"/>
      <c r="L64" s="438"/>
      <c r="M64" s="428"/>
      <c r="N64" s="429"/>
      <c r="O64" s="429"/>
      <c r="P64" s="429"/>
      <c r="Q64" s="404">
        <f t="shared" si="42"/>
        <v>0</v>
      </c>
      <c r="R64" s="428"/>
      <c r="S64" s="429"/>
      <c r="T64" s="429"/>
      <c r="U64" s="429"/>
      <c r="V64" s="404">
        <f t="shared" si="26"/>
        <v>0</v>
      </c>
      <c r="W64" s="777"/>
      <c r="X64" s="778"/>
      <c r="Y64" s="778"/>
      <c r="Z64" s="778"/>
      <c r="AA64" s="404">
        <f t="shared" si="73"/>
        <v>0</v>
      </c>
      <c r="AB64" s="442"/>
      <c r="AC64" s="443"/>
      <c r="AD64" s="443"/>
      <c r="AE64" s="443"/>
      <c r="AF64" s="404">
        <f t="shared" si="66"/>
        <v>0</v>
      </c>
      <c r="AG64" s="442"/>
      <c r="AH64" s="443"/>
      <c r="AI64" s="443"/>
      <c r="AJ64" s="443"/>
      <c r="AK64" s="404">
        <f t="shared" si="74"/>
        <v>0</v>
      </c>
      <c r="AL64" s="428"/>
      <c r="AM64" s="429"/>
      <c r="AN64" s="429"/>
      <c r="AO64" s="429"/>
      <c r="AP64" s="405">
        <f t="shared" si="67"/>
        <v>0</v>
      </c>
      <c r="AQ64" s="787">
        <f t="shared" si="75"/>
        <v>0</v>
      </c>
      <c r="AR64" s="407">
        <f t="shared" si="76"/>
        <v>0</v>
      </c>
      <c r="AS64" s="407">
        <f t="shared" si="77"/>
        <v>0</v>
      </c>
      <c r="AT64" s="407">
        <f t="shared" si="78"/>
        <v>0</v>
      </c>
      <c r="AU64" s="408">
        <f t="shared" si="79"/>
        <v>0</v>
      </c>
      <c r="AV64" s="392" t="s">
        <v>348</v>
      </c>
      <c r="AW64" s="392" t="s">
        <v>348</v>
      </c>
      <c r="AX64" s="392" t="s">
        <v>348</v>
      </c>
      <c r="AY64" s="392" t="s">
        <v>348</v>
      </c>
      <c r="AZ64" s="387" t="s">
        <v>348</v>
      </c>
      <c r="BA64" s="395"/>
      <c r="BB64" s="406">
        <f t="shared" si="68"/>
        <v>0</v>
      </c>
      <c r="BC64" s="407">
        <f t="shared" si="69"/>
        <v>0</v>
      </c>
      <c r="BD64" s="407">
        <f t="shared" si="70"/>
        <v>0</v>
      </c>
      <c r="BE64" s="407">
        <f t="shared" si="71"/>
        <v>0</v>
      </c>
      <c r="BF64" s="404">
        <f t="shared" si="72"/>
        <v>0</v>
      </c>
      <c r="BG64" s="395"/>
      <c r="BH64" s="406">
        <f t="shared" si="80"/>
        <v>0</v>
      </c>
      <c r="BI64" s="407">
        <f t="shared" si="81"/>
        <v>0</v>
      </c>
      <c r="BJ64" s="407">
        <f t="shared" si="82"/>
        <v>0</v>
      </c>
      <c r="BK64" s="407">
        <f t="shared" si="83"/>
        <v>0</v>
      </c>
      <c r="BL64" s="408">
        <f t="shared" si="84"/>
        <v>0</v>
      </c>
    </row>
    <row r="65" spans="3:64" s="433" customFormat="1" ht="17.45" hidden="1" customHeight="1">
      <c r="C65" s="1112"/>
      <c r="D65" s="446"/>
      <c r="E65" s="439"/>
      <c r="F65" s="440"/>
      <c r="G65" s="440"/>
      <c r="H65" s="441"/>
      <c r="I65" s="428"/>
      <c r="J65" s="429"/>
      <c r="K65" s="429"/>
      <c r="L65" s="438"/>
      <c r="M65" s="428"/>
      <c r="N65" s="429"/>
      <c r="O65" s="429"/>
      <c r="P65" s="429"/>
      <c r="Q65" s="404">
        <f t="shared" si="42"/>
        <v>0</v>
      </c>
      <c r="R65" s="428"/>
      <c r="S65" s="429"/>
      <c r="T65" s="429"/>
      <c r="U65" s="429"/>
      <c r="V65" s="404">
        <f t="shared" si="26"/>
        <v>0</v>
      </c>
      <c r="W65" s="777"/>
      <c r="X65" s="778"/>
      <c r="Y65" s="778"/>
      <c r="Z65" s="778"/>
      <c r="AA65" s="404">
        <f t="shared" si="73"/>
        <v>0</v>
      </c>
      <c r="AB65" s="442"/>
      <c r="AC65" s="443"/>
      <c r="AD65" s="443"/>
      <c r="AE65" s="443"/>
      <c r="AF65" s="404">
        <f t="shared" si="66"/>
        <v>0</v>
      </c>
      <c r="AG65" s="442"/>
      <c r="AH65" s="443"/>
      <c r="AI65" s="443"/>
      <c r="AJ65" s="443"/>
      <c r="AK65" s="404">
        <f t="shared" si="74"/>
        <v>0</v>
      </c>
      <c r="AL65" s="428"/>
      <c r="AM65" s="429"/>
      <c r="AN65" s="429"/>
      <c r="AO65" s="429"/>
      <c r="AP65" s="405">
        <f t="shared" si="67"/>
        <v>0</v>
      </c>
      <c r="AQ65" s="787">
        <f t="shared" si="75"/>
        <v>0</v>
      </c>
      <c r="AR65" s="407">
        <f t="shared" si="76"/>
        <v>0</v>
      </c>
      <c r="AS65" s="407">
        <f t="shared" si="77"/>
        <v>0</v>
      </c>
      <c r="AT65" s="407">
        <f t="shared" si="78"/>
        <v>0</v>
      </c>
      <c r="AU65" s="408">
        <f t="shared" si="79"/>
        <v>0</v>
      </c>
      <c r="AV65" s="392" t="s">
        <v>348</v>
      </c>
      <c r="AW65" s="392" t="s">
        <v>348</v>
      </c>
      <c r="AX65" s="392" t="s">
        <v>348</v>
      </c>
      <c r="AY65" s="392" t="s">
        <v>348</v>
      </c>
      <c r="AZ65" s="387" t="s">
        <v>348</v>
      </c>
      <c r="BA65" s="395"/>
      <c r="BB65" s="406">
        <f t="shared" si="68"/>
        <v>0</v>
      </c>
      <c r="BC65" s="407">
        <f t="shared" si="69"/>
        <v>0</v>
      </c>
      <c r="BD65" s="407">
        <f t="shared" si="70"/>
        <v>0</v>
      </c>
      <c r="BE65" s="407">
        <f t="shared" si="71"/>
        <v>0</v>
      </c>
      <c r="BF65" s="404">
        <f t="shared" si="72"/>
        <v>0</v>
      </c>
      <c r="BG65" s="395"/>
      <c r="BH65" s="406">
        <f t="shared" si="80"/>
        <v>0</v>
      </c>
      <c r="BI65" s="407">
        <f t="shared" si="81"/>
        <v>0</v>
      </c>
      <c r="BJ65" s="407">
        <f t="shared" si="82"/>
        <v>0</v>
      </c>
      <c r="BK65" s="407">
        <f t="shared" si="83"/>
        <v>0</v>
      </c>
      <c r="BL65" s="408">
        <f t="shared" si="84"/>
        <v>0</v>
      </c>
    </row>
    <row r="66" spans="3:64" s="433" customFormat="1" ht="17.45" hidden="1" customHeight="1">
      <c r="C66" s="1112"/>
      <c r="D66" s="446"/>
      <c r="E66" s="439"/>
      <c r="F66" s="440"/>
      <c r="G66" s="440"/>
      <c r="H66" s="441"/>
      <c r="I66" s="428"/>
      <c r="J66" s="429"/>
      <c r="K66" s="429"/>
      <c r="L66" s="438"/>
      <c r="M66" s="428"/>
      <c r="N66" s="429"/>
      <c r="O66" s="429"/>
      <c r="P66" s="429"/>
      <c r="Q66" s="404">
        <f t="shared" si="42"/>
        <v>0</v>
      </c>
      <c r="R66" s="428"/>
      <c r="S66" s="429"/>
      <c r="T66" s="429"/>
      <c r="U66" s="429"/>
      <c r="V66" s="404">
        <f t="shared" si="26"/>
        <v>0</v>
      </c>
      <c r="W66" s="777"/>
      <c r="X66" s="778"/>
      <c r="Y66" s="778"/>
      <c r="Z66" s="778"/>
      <c r="AA66" s="404">
        <f t="shared" si="73"/>
        <v>0</v>
      </c>
      <c r="AB66" s="442"/>
      <c r="AC66" s="443"/>
      <c r="AD66" s="443"/>
      <c r="AE66" s="443"/>
      <c r="AF66" s="404">
        <f t="shared" si="66"/>
        <v>0</v>
      </c>
      <c r="AG66" s="442"/>
      <c r="AH66" s="443"/>
      <c r="AI66" s="443"/>
      <c r="AJ66" s="443"/>
      <c r="AK66" s="404">
        <f t="shared" si="74"/>
        <v>0</v>
      </c>
      <c r="AL66" s="428"/>
      <c r="AM66" s="429"/>
      <c r="AN66" s="429"/>
      <c r="AO66" s="429"/>
      <c r="AP66" s="405">
        <f t="shared" si="67"/>
        <v>0</v>
      </c>
      <c r="AQ66" s="787">
        <f t="shared" si="75"/>
        <v>0</v>
      </c>
      <c r="AR66" s="407">
        <f t="shared" si="76"/>
        <v>0</v>
      </c>
      <c r="AS66" s="407">
        <f t="shared" si="77"/>
        <v>0</v>
      </c>
      <c r="AT66" s="407">
        <f t="shared" si="78"/>
        <v>0</v>
      </c>
      <c r="AU66" s="408">
        <f t="shared" si="79"/>
        <v>0</v>
      </c>
      <c r="AV66" s="392" t="s">
        <v>348</v>
      </c>
      <c r="AW66" s="392" t="s">
        <v>348</v>
      </c>
      <c r="AX66" s="392" t="s">
        <v>348</v>
      </c>
      <c r="AY66" s="392" t="s">
        <v>348</v>
      </c>
      <c r="AZ66" s="387" t="s">
        <v>348</v>
      </c>
      <c r="BA66" s="395"/>
      <c r="BB66" s="406">
        <f t="shared" si="68"/>
        <v>0</v>
      </c>
      <c r="BC66" s="407">
        <f t="shared" si="69"/>
        <v>0</v>
      </c>
      <c r="BD66" s="407">
        <f t="shared" si="70"/>
        <v>0</v>
      </c>
      <c r="BE66" s="407">
        <f t="shared" si="71"/>
        <v>0</v>
      </c>
      <c r="BF66" s="404">
        <f t="shared" si="72"/>
        <v>0</v>
      </c>
      <c r="BG66" s="395"/>
      <c r="BH66" s="406">
        <f t="shared" si="80"/>
        <v>0</v>
      </c>
      <c r="BI66" s="407">
        <f t="shared" si="81"/>
        <v>0</v>
      </c>
      <c r="BJ66" s="407">
        <f t="shared" si="82"/>
        <v>0</v>
      </c>
      <c r="BK66" s="407">
        <f t="shared" si="83"/>
        <v>0</v>
      </c>
      <c r="BL66" s="408">
        <f t="shared" si="84"/>
        <v>0</v>
      </c>
    </row>
    <row r="67" spans="3:64" s="433" customFormat="1" ht="17.45" hidden="1" customHeight="1">
      <c r="C67" s="1112"/>
      <c r="D67" s="446"/>
      <c r="E67" s="439"/>
      <c r="F67" s="440"/>
      <c r="G67" s="440"/>
      <c r="H67" s="441"/>
      <c r="I67" s="428"/>
      <c r="J67" s="429"/>
      <c r="K67" s="429"/>
      <c r="L67" s="438"/>
      <c r="M67" s="428"/>
      <c r="N67" s="429"/>
      <c r="O67" s="429"/>
      <c r="P67" s="429"/>
      <c r="Q67" s="404">
        <f t="shared" si="42"/>
        <v>0</v>
      </c>
      <c r="R67" s="428"/>
      <c r="S67" s="429"/>
      <c r="T67" s="429"/>
      <c r="U67" s="429"/>
      <c r="V67" s="404">
        <f t="shared" si="26"/>
        <v>0</v>
      </c>
      <c r="W67" s="777"/>
      <c r="X67" s="778"/>
      <c r="Y67" s="778"/>
      <c r="Z67" s="778"/>
      <c r="AA67" s="404">
        <f t="shared" si="73"/>
        <v>0</v>
      </c>
      <c r="AB67" s="442"/>
      <c r="AC67" s="443"/>
      <c r="AD67" s="443"/>
      <c r="AE67" s="443"/>
      <c r="AF67" s="404">
        <f t="shared" si="66"/>
        <v>0</v>
      </c>
      <c r="AG67" s="442"/>
      <c r="AH67" s="443"/>
      <c r="AI67" s="443"/>
      <c r="AJ67" s="443"/>
      <c r="AK67" s="404">
        <f t="shared" si="74"/>
        <v>0</v>
      </c>
      <c r="AL67" s="428"/>
      <c r="AM67" s="429"/>
      <c r="AN67" s="429"/>
      <c r="AO67" s="429"/>
      <c r="AP67" s="405">
        <f t="shared" si="67"/>
        <v>0</v>
      </c>
      <c r="AQ67" s="787">
        <f t="shared" si="75"/>
        <v>0</v>
      </c>
      <c r="AR67" s="407">
        <f t="shared" si="76"/>
        <v>0</v>
      </c>
      <c r="AS67" s="407">
        <f t="shared" si="77"/>
        <v>0</v>
      </c>
      <c r="AT67" s="407">
        <f t="shared" si="78"/>
        <v>0</v>
      </c>
      <c r="AU67" s="408">
        <f t="shared" si="79"/>
        <v>0</v>
      </c>
      <c r="AV67" s="392" t="s">
        <v>348</v>
      </c>
      <c r="AW67" s="392" t="s">
        <v>348</v>
      </c>
      <c r="AX67" s="392" t="s">
        <v>348</v>
      </c>
      <c r="AY67" s="392" t="s">
        <v>348</v>
      </c>
      <c r="AZ67" s="387" t="s">
        <v>348</v>
      </c>
      <c r="BA67" s="395"/>
      <c r="BB67" s="406">
        <f t="shared" si="68"/>
        <v>0</v>
      </c>
      <c r="BC67" s="407">
        <f t="shared" si="69"/>
        <v>0</v>
      </c>
      <c r="BD67" s="407">
        <f t="shared" si="70"/>
        <v>0</v>
      </c>
      <c r="BE67" s="407">
        <f t="shared" si="71"/>
        <v>0</v>
      </c>
      <c r="BF67" s="404">
        <f t="shared" si="72"/>
        <v>0</v>
      </c>
      <c r="BG67" s="395"/>
      <c r="BH67" s="406">
        <f t="shared" si="80"/>
        <v>0</v>
      </c>
      <c r="BI67" s="407">
        <f t="shared" si="81"/>
        <v>0</v>
      </c>
      <c r="BJ67" s="407">
        <f t="shared" si="82"/>
        <v>0</v>
      </c>
      <c r="BK67" s="407">
        <f t="shared" si="83"/>
        <v>0</v>
      </c>
      <c r="BL67" s="408">
        <f t="shared" si="84"/>
        <v>0</v>
      </c>
    </row>
    <row r="68" spans="3:64" s="433" customFormat="1" ht="17.45" hidden="1" customHeight="1">
      <c r="C68" s="1112"/>
      <c r="D68" s="446"/>
      <c r="E68" s="439"/>
      <c r="F68" s="440"/>
      <c r="G68" s="440"/>
      <c r="H68" s="441"/>
      <c r="I68" s="428"/>
      <c r="J68" s="429"/>
      <c r="K68" s="429"/>
      <c r="L68" s="438"/>
      <c r="M68" s="428"/>
      <c r="N68" s="429"/>
      <c r="O68" s="429"/>
      <c r="P68" s="429"/>
      <c r="Q68" s="404">
        <f t="shared" si="42"/>
        <v>0</v>
      </c>
      <c r="R68" s="428"/>
      <c r="S68" s="429"/>
      <c r="T68" s="429"/>
      <c r="U68" s="429"/>
      <c r="V68" s="404">
        <f t="shared" si="26"/>
        <v>0</v>
      </c>
      <c r="W68" s="777"/>
      <c r="X68" s="778"/>
      <c r="Y68" s="778"/>
      <c r="Z68" s="778"/>
      <c r="AA68" s="404">
        <f t="shared" si="73"/>
        <v>0</v>
      </c>
      <c r="AB68" s="442"/>
      <c r="AC68" s="443"/>
      <c r="AD68" s="443"/>
      <c r="AE68" s="443"/>
      <c r="AF68" s="404">
        <f t="shared" si="66"/>
        <v>0</v>
      </c>
      <c r="AG68" s="442"/>
      <c r="AH68" s="443"/>
      <c r="AI68" s="443"/>
      <c r="AJ68" s="443"/>
      <c r="AK68" s="404">
        <f t="shared" si="74"/>
        <v>0</v>
      </c>
      <c r="AL68" s="428"/>
      <c r="AM68" s="429"/>
      <c r="AN68" s="429"/>
      <c r="AO68" s="429"/>
      <c r="AP68" s="405">
        <f t="shared" si="67"/>
        <v>0</v>
      </c>
      <c r="AQ68" s="787">
        <f t="shared" si="75"/>
        <v>0</v>
      </c>
      <c r="AR68" s="407">
        <f t="shared" si="76"/>
        <v>0</v>
      </c>
      <c r="AS68" s="407">
        <f t="shared" si="77"/>
        <v>0</v>
      </c>
      <c r="AT68" s="407">
        <f t="shared" si="78"/>
        <v>0</v>
      </c>
      <c r="AU68" s="408">
        <f t="shared" si="79"/>
        <v>0</v>
      </c>
      <c r="AV68" s="392" t="s">
        <v>348</v>
      </c>
      <c r="AW68" s="392" t="s">
        <v>348</v>
      </c>
      <c r="AX68" s="392" t="s">
        <v>348</v>
      </c>
      <c r="AY68" s="392" t="s">
        <v>348</v>
      </c>
      <c r="AZ68" s="387" t="s">
        <v>348</v>
      </c>
      <c r="BA68" s="395"/>
      <c r="BB68" s="406">
        <f t="shared" si="68"/>
        <v>0</v>
      </c>
      <c r="BC68" s="407">
        <f t="shared" si="69"/>
        <v>0</v>
      </c>
      <c r="BD68" s="407">
        <f t="shared" si="70"/>
        <v>0</v>
      </c>
      <c r="BE68" s="407">
        <f t="shared" si="71"/>
        <v>0</v>
      </c>
      <c r="BF68" s="404">
        <f t="shared" si="72"/>
        <v>0</v>
      </c>
      <c r="BG68" s="395"/>
      <c r="BH68" s="406">
        <f t="shared" si="80"/>
        <v>0</v>
      </c>
      <c r="BI68" s="407">
        <f t="shared" si="81"/>
        <v>0</v>
      </c>
      <c r="BJ68" s="407">
        <f t="shared" si="82"/>
        <v>0</v>
      </c>
      <c r="BK68" s="407">
        <f t="shared" si="83"/>
        <v>0</v>
      </c>
      <c r="BL68" s="408">
        <f t="shared" si="84"/>
        <v>0</v>
      </c>
    </row>
    <row r="69" spans="3:64" s="433" customFormat="1" ht="17.45" hidden="1" customHeight="1">
      <c r="C69" s="1112"/>
      <c r="D69" s="446"/>
      <c r="E69" s="439"/>
      <c r="F69" s="440"/>
      <c r="G69" s="440"/>
      <c r="H69" s="441"/>
      <c r="I69" s="428"/>
      <c r="J69" s="429"/>
      <c r="K69" s="429"/>
      <c r="L69" s="438"/>
      <c r="M69" s="428"/>
      <c r="N69" s="429"/>
      <c r="O69" s="429"/>
      <c r="P69" s="429"/>
      <c r="Q69" s="404">
        <f t="shared" si="42"/>
        <v>0</v>
      </c>
      <c r="R69" s="428"/>
      <c r="S69" s="429"/>
      <c r="T69" s="429"/>
      <c r="U69" s="429"/>
      <c r="V69" s="404">
        <f t="shared" si="26"/>
        <v>0</v>
      </c>
      <c r="W69" s="777"/>
      <c r="X69" s="778"/>
      <c r="Y69" s="778"/>
      <c r="Z69" s="778"/>
      <c r="AA69" s="404">
        <f t="shared" si="73"/>
        <v>0</v>
      </c>
      <c r="AB69" s="442"/>
      <c r="AC69" s="443"/>
      <c r="AD69" s="443"/>
      <c r="AE69" s="443"/>
      <c r="AF69" s="404">
        <f t="shared" si="66"/>
        <v>0</v>
      </c>
      <c r="AG69" s="442"/>
      <c r="AH69" s="443"/>
      <c r="AI69" s="443"/>
      <c r="AJ69" s="443"/>
      <c r="AK69" s="404">
        <f t="shared" si="74"/>
        <v>0</v>
      </c>
      <c r="AL69" s="428"/>
      <c r="AM69" s="429"/>
      <c r="AN69" s="429"/>
      <c r="AO69" s="429"/>
      <c r="AP69" s="405">
        <f t="shared" si="67"/>
        <v>0</v>
      </c>
      <c r="AQ69" s="787">
        <f t="shared" si="75"/>
        <v>0</v>
      </c>
      <c r="AR69" s="407">
        <f t="shared" si="76"/>
        <v>0</v>
      </c>
      <c r="AS69" s="407">
        <f t="shared" si="77"/>
        <v>0</v>
      </c>
      <c r="AT69" s="407">
        <f t="shared" si="78"/>
        <v>0</v>
      </c>
      <c r="AU69" s="408">
        <f t="shared" si="79"/>
        <v>0</v>
      </c>
      <c r="AV69" s="392" t="s">
        <v>348</v>
      </c>
      <c r="AW69" s="392" t="s">
        <v>348</v>
      </c>
      <c r="AX69" s="392" t="s">
        <v>348</v>
      </c>
      <c r="AY69" s="392" t="s">
        <v>348</v>
      </c>
      <c r="AZ69" s="387" t="s">
        <v>348</v>
      </c>
      <c r="BA69" s="395"/>
      <c r="BB69" s="406">
        <f t="shared" si="68"/>
        <v>0</v>
      </c>
      <c r="BC69" s="407">
        <f t="shared" si="69"/>
        <v>0</v>
      </c>
      <c r="BD69" s="407">
        <f t="shared" si="70"/>
        <v>0</v>
      </c>
      <c r="BE69" s="407">
        <f t="shared" si="71"/>
        <v>0</v>
      </c>
      <c r="BF69" s="404">
        <f t="shared" si="72"/>
        <v>0</v>
      </c>
      <c r="BG69" s="395"/>
      <c r="BH69" s="406">
        <f t="shared" si="80"/>
        <v>0</v>
      </c>
      <c r="BI69" s="407">
        <f t="shared" si="81"/>
        <v>0</v>
      </c>
      <c r="BJ69" s="407">
        <f t="shared" si="82"/>
        <v>0</v>
      </c>
      <c r="BK69" s="407">
        <f t="shared" si="83"/>
        <v>0</v>
      </c>
      <c r="BL69" s="408">
        <f t="shared" si="84"/>
        <v>0</v>
      </c>
    </row>
    <row r="70" spans="3:64" s="433" customFormat="1" ht="17.45" hidden="1" customHeight="1">
      <c r="C70" s="1112"/>
      <c r="D70" s="446"/>
      <c r="E70" s="439"/>
      <c r="F70" s="440"/>
      <c r="G70" s="440"/>
      <c r="H70" s="441"/>
      <c r="I70" s="428"/>
      <c r="J70" s="429"/>
      <c r="K70" s="429"/>
      <c r="L70" s="438"/>
      <c r="M70" s="428"/>
      <c r="N70" s="429"/>
      <c r="O70" s="429"/>
      <c r="P70" s="429"/>
      <c r="Q70" s="404">
        <f t="shared" si="42"/>
        <v>0</v>
      </c>
      <c r="R70" s="428"/>
      <c r="S70" s="429"/>
      <c r="T70" s="429"/>
      <c r="U70" s="429"/>
      <c r="V70" s="404">
        <f t="shared" si="26"/>
        <v>0</v>
      </c>
      <c r="W70" s="777"/>
      <c r="X70" s="778"/>
      <c r="Y70" s="778"/>
      <c r="Z70" s="778"/>
      <c r="AA70" s="404">
        <f t="shared" si="73"/>
        <v>0</v>
      </c>
      <c r="AB70" s="442"/>
      <c r="AC70" s="443"/>
      <c r="AD70" s="443"/>
      <c r="AE70" s="443"/>
      <c r="AF70" s="404">
        <f t="shared" si="66"/>
        <v>0</v>
      </c>
      <c r="AG70" s="442"/>
      <c r="AH70" s="443"/>
      <c r="AI70" s="443"/>
      <c r="AJ70" s="443"/>
      <c r="AK70" s="404">
        <f t="shared" si="74"/>
        <v>0</v>
      </c>
      <c r="AL70" s="428"/>
      <c r="AM70" s="429"/>
      <c r="AN70" s="429"/>
      <c r="AO70" s="429"/>
      <c r="AP70" s="405">
        <f t="shared" si="67"/>
        <v>0</v>
      </c>
      <c r="AQ70" s="787">
        <f t="shared" si="75"/>
        <v>0</v>
      </c>
      <c r="AR70" s="407">
        <f t="shared" si="76"/>
        <v>0</v>
      </c>
      <c r="AS70" s="407">
        <f t="shared" si="77"/>
        <v>0</v>
      </c>
      <c r="AT70" s="407">
        <f t="shared" si="78"/>
        <v>0</v>
      </c>
      <c r="AU70" s="408">
        <f t="shared" si="79"/>
        <v>0</v>
      </c>
      <c r="AV70" s="392" t="s">
        <v>348</v>
      </c>
      <c r="AW70" s="392" t="s">
        <v>348</v>
      </c>
      <c r="AX70" s="392" t="s">
        <v>348</v>
      </c>
      <c r="AY70" s="392" t="s">
        <v>348</v>
      </c>
      <c r="AZ70" s="387" t="s">
        <v>348</v>
      </c>
      <c r="BA70" s="395"/>
      <c r="BB70" s="406">
        <f t="shared" si="68"/>
        <v>0</v>
      </c>
      <c r="BC70" s="407">
        <f t="shared" si="69"/>
        <v>0</v>
      </c>
      <c r="BD70" s="407">
        <f t="shared" si="70"/>
        <v>0</v>
      </c>
      <c r="BE70" s="407">
        <f t="shared" si="71"/>
        <v>0</v>
      </c>
      <c r="BF70" s="404">
        <f t="shared" si="72"/>
        <v>0</v>
      </c>
      <c r="BG70" s="395"/>
      <c r="BH70" s="406">
        <f t="shared" si="80"/>
        <v>0</v>
      </c>
      <c r="BI70" s="407">
        <f t="shared" si="81"/>
        <v>0</v>
      </c>
      <c r="BJ70" s="407">
        <f t="shared" si="82"/>
        <v>0</v>
      </c>
      <c r="BK70" s="407">
        <f t="shared" si="83"/>
        <v>0</v>
      </c>
      <c r="BL70" s="408">
        <f t="shared" si="84"/>
        <v>0</v>
      </c>
    </row>
    <row r="71" spans="3:64" s="433" customFormat="1" ht="17.45" hidden="1" customHeight="1">
      <c r="C71" s="1112"/>
      <c r="D71" s="446"/>
      <c r="E71" s="439"/>
      <c r="F71" s="440"/>
      <c r="G71" s="440"/>
      <c r="H71" s="441"/>
      <c r="I71" s="428"/>
      <c r="J71" s="429"/>
      <c r="K71" s="429"/>
      <c r="L71" s="438"/>
      <c r="M71" s="428"/>
      <c r="N71" s="429"/>
      <c r="O71" s="429"/>
      <c r="P71" s="429"/>
      <c r="Q71" s="404">
        <f t="shared" si="42"/>
        <v>0</v>
      </c>
      <c r="R71" s="428"/>
      <c r="S71" s="429"/>
      <c r="T71" s="429"/>
      <c r="U71" s="429"/>
      <c r="V71" s="404">
        <f t="shared" si="26"/>
        <v>0</v>
      </c>
      <c r="W71" s="777"/>
      <c r="X71" s="778"/>
      <c r="Y71" s="778"/>
      <c r="Z71" s="778"/>
      <c r="AA71" s="404">
        <f t="shared" si="73"/>
        <v>0</v>
      </c>
      <c r="AB71" s="442"/>
      <c r="AC71" s="443"/>
      <c r="AD71" s="443"/>
      <c r="AE71" s="443"/>
      <c r="AF71" s="404">
        <f t="shared" si="66"/>
        <v>0</v>
      </c>
      <c r="AG71" s="442"/>
      <c r="AH71" s="443"/>
      <c r="AI71" s="443"/>
      <c r="AJ71" s="443"/>
      <c r="AK71" s="404">
        <f t="shared" si="74"/>
        <v>0</v>
      </c>
      <c r="AL71" s="428"/>
      <c r="AM71" s="429"/>
      <c r="AN71" s="429"/>
      <c r="AO71" s="429"/>
      <c r="AP71" s="405">
        <f t="shared" si="67"/>
        <v>0</v>
      </c>
      <c r="AQ71" s="787">
        <f t="shared" si="75"/>
        <v>0</v>
      </c>
      <c r="AR71" s="407">
        <f t="shared" si="76"/>
        <v>0</v>
      </c>
      <c r="AS71" s="407">
        <f t="shared" si="77"/>
        <v>0</v>
      </c>
      <c r="AT71" s="407">
        <f t="shared" si="78"/>
        <v>0</v>
      </c>
      <c r="AU71" s="408">
        <f t="shared" si="79"/>
        <v>0</v>
      </c>
      <c r="AV71" s="392" t="s">
        <v>348</v>
      </c>
      <c r="AW71" s="392" t="s">
        <v>348</v>
      </c>
      <c r="AX71" s="392" t="s">
        <v>348</v>
      </c>
      <c r="AY71" s="392" t="s">
        <v>348</v>
      </c>
      <c r="AZ71" s="387" t="s">
        <v>348</v>
      </c>
      <c r="BA71" s="395"/>
      <c r="BB71" s="406">
        <f t="shared" si="68"/>
        <v>0</v>
      </c>
      <c r="BC71" s="407">
        <f t="shared" si="69"/>
        <v>0</v>
      </c>
      <c r="BD71" s="407">
        <f t="shared" si="70"/>
        <v>0</v>
      </c>
      <c r="BE71" s="407">
        <f t="shared" si="71"/>
        <v>0</v>
      </c>
      <c r="BF71" s="404">
        <f t="shared" si="72"/>
        <v>0</v>
      </c>
      <c r="BG71" s="395"/>
      <c r="BH71" s="406">
        <f t="shared" si="80"/>
        <v>0</v>
      </c>
      <c r="BI71" s="407">
        <f t="shared" si="81"/>
        <v>0</v>
      </c>
      <c r="BJ71" s="407">
        <f t="shared" si="82"/>
        <v>0</v>
      </c>
      <c r="BK71" s="407">
        <f t="shared" si="83"/>
        <v>0</v>
      </c>
      <c r="BL71" s="408">
        <f t="shared" si="84"/>
        <v>0</v>
      </c>
    </row>
    <row r="72" spans="3:64" s="433" customFormat="1" ht="17.45" hidden="1" customHeight="1">
      <c r="C72" s="1112"/>
      <c r="D72" s="446"/>
      <c r="E72" s="439"/>
      <c r="F72" s="440"/>
      <c r="G72" s="440"/>
      <c r="H72" s="441"/>
      <c r="I72" s="428"/>
      <c r="J72" s="429"/>
      <c r="K72" s="429"/>
      <c r="L72" s="438"/>
      <c r="M72" s="428"/>
      <c r="N72" s="429"/>
      <c r="O72" s="429"/>
      <c r="P72" s="429"/>
      <c r="Q72" s="404">
        <f t="shared" si="42"/>
        <v>0</v>
      </c>
      <c r="R72" s="428"/>
      <c r="S72" s="429"/>
      <c r="T72" s="429"/>
      <c r="U72" s="429"/>
      <c r="V72" s="404">
        <f t="shared" si="26"/>
        <v>0</v>
      </c>
      <c r="W72" s="777"/>
      <c r="X72" s="778"/>
      <c r="Y72" s="778"/>
      <c r="Z72" s="778"/>
      <c r="AA72" s="404">
        <f t="shared" si="73"/>
        <v>0</v>
      </c>
      <c r="AB72" s="442"/>
      <c r="AC72" s="443"/>
      <c r="AD72" s="443"/>
      <c r="AE72" s="443"/>
      <c r="AF72" s="404">
        <f t="shared" si="66"/>
        <v>0</v>
      </c>
      <c r="AG72" s="442"/>
      <c r="AH72" s="443"/>
      <c r="AI72" s="443"/>
      <c r="AJ72" s="443"/>
      <c r="AK72" s="404">
        <f t="shared" si="74"/>
        <v>0</v>
      </c>
      <c r="AL72" s="428"/>
      <c r="AM72" s="429"/>
      <c r="AN72" s="429"/>
      <c r="AO72" s="429"/>
      <c r="AP72" s="405">
        <f t="shared" si="67"/>
        <v>0</v>
      </c>
      <c r="AQ72" s="787">
        <f t="shared" si="75"/>
        <v>0</v>
      </c>
      <c r="AR72" s="407">
        <f t="shared" si="76"/>
        <v>0</v>
      </c>
      <c r="AS72" s="407">
        <f t="shared" si="77"/>
        <v>0</v>
      </c>
      <c r="AT72" s="407">
        <f t="shared" si="78"/>
        <v>0</v>
      </c>
      <c r="AU72" s="408">
        <f t="shared" si="79"/>
        <v>0</v>
      </c>
      <c r="AV72" s="392" t="s">
        <v>348</v>
      </c>
      <c r="AW72" s="392" t="s">
        <v>348</v>
      </c>
      <c r="AX72" s="392" t="s">
        <v>348</v>
      </c>
      <c r="AY72" s="392" t="s">
        <v>348</v>
      </c>
      <c r="AZ72" s="387" t="s">
        <v>348</v>
      </c>
      <c r="BA72" s="395"/>
      <c r="BB72" s="406">
        <f t="shared" si="68"/>
        <v>0</v>
      </c>
      <c r="BC72" s="407">
        <f t="shared" si="69"/>
        <v>0</v>
      </c>
      <c r="BD72" s="407">
        <f t="shared" si="70"/>
        <v>0</v>
      </c>
      <c r="BE72" s="407">
        <f t="shared" si="71"/>
        <v>0</v>
      </c>
      <c r="BF72" s="404">
        <f t="shared" si="72"/>
        <v>0</v>
      </c>
      <c r="BG72" s="395"/>
      <c r="BH72" s="406">
        <f t="shared" si="80"/>
        <v>0</v>
      </c>
      <c r="BI72" s="407">
        <f t="shared" si="81"/>
        <v>0</v>
      </c>
      <c r="BJ72" s="407">
        <f t="shared" si="82"/>
        <v>0</v>
      </c>
      <c r="BK72" s="407">
        <f t="shared" si="83"/>
        <v>0</v>
      </c>
      <c r="BL72" s="408">
        <f t="shared" si="84"/>
        <v>0</v>
      </c>
    </row>
    <row r="73" spans="3:64" s="431" customFormat="1" ht="30" hidden="1" customHeight="1" thickBot="1">
      <c r="C73" s="1126"/>
      <c r="D73" s="447" t="s">
        <v>430</v>
      </c>
      <c r="E73" s="417" t="s">
        <v>346</v>
      </c>
      <c r="F73" s="418" t="s">
        <v>346</v>
      </c>
      <c r="G73" s="418" t="s">
        <v>346</v>
      </c>
      <c r="H73" s="419" t="s">
        <v>346</v>
      </c>
      <c r="I73" s="417">
        <f t="shared" ref="I73:U73" si="85">SUM(I61:I72)</f>
        <v>9.5</v>
      </c>
      <c r="J73" s="418">
        <f t="shared" si="85"/>
        <v>9.5</v>
      </c>
      <c r="K73" s="418">
        <f t="shared" si="85"/>
        <v>9.5</v>
      </c>
      <c r="L73" s="419">
        <f t="shared" si="85"/>
        <v>9.5</v>
      </c>
      <c r="M73" s="414">
        <f t="shared" si="85"/>
        <v>185250</v>
      </c>
      <c r="N73" s="415">
        <f t="shared" si="85"/>
        <v>185250</v>
      </c>
      <c r="O73" s="415">
        <f t="shared" si="85"/>
        <v>185250</v>
      </c>
      <c r="P73" s="415">
        <f t="shared" si="85"/>
        <v>185250</v>
      </c>
      <c r="Q73" s="416">
        <f t="shared" si="85"/>
        <v>741000</v>
      </c>
      <c r="R73" s="414">
        <f t="shared" si="85"/>
        <v>0</v>
      </c>
      <c r="S73" s="415">
        <f t="shared" si="85"/>
        <v>0</v>
      </c>
      <c r="T73" s="415">
        <f t="shared" si="85"/>
        <v>0</v>
      </c>
      <c r="U73" s="415">
        <f t="shared" si="85"/>
        <v>0</v>
      </c>
      <c r="V73" s="404">
        <f t="shared" si="26"/>
        <v>0</v>
      </c>
      <c r="W73" s="772">
        <f t="shared" ref="W73:AU73" si="86">SUM(W61:W72)</f>
        <v>0</v>
      </c>
      <c r="X73" s="773">
        <f t="shared" si="86"/>
        <v>37050</v>
      </c>
      <c r="Y73" s="773">
        <f t="shared" si="86"/>
        <v>37050</v>
      </c>
      <c r="Z73" s="773">
        <f t="shared" si="86"/>
        <v>37050</v>
      </c>
      <c r="AA73" s="416">
        <f t="shared" si="86"/>
        <v>111150</v>
      </c>
      <c r="AB73" s="414">
        <f t="shared" si="86"/>
        <v>18525</v>
      </c>
      <c r="AC73" s="415">
        <f t="shared" si="86"/>
        <v>18525</v>
      </c>
      <c r="AD73" s="415">
        <f t="shared" si="86"/>
        <v>18525</v>
      </c>
      <c r="AE73" s="415">
        <f t="shared" si="86"/>
        <v>18525</v>
      </c>
      <c r="AF73" s="416">
        <f t="shared" si="86"/>
        <v>74100</v>
      </c>
      <c r="AG73" s="414">
        <f t="shared" si="86"/>
        <v>0</v>
      </c>
      <c r="AH73" s="415">
        <f t="shared" si="86"/>
        <v>0</v>
      </c>
      <c r="AI73" s="415">
        <f t="shared" si="86"/>
        <v>0</v>
      </c>
      <c r="AJ73" s="415">
        <f t="shared" si="86"/>
        <v>0</v>
      </c>
      <c r="AK73" s="416">
        <f t="shared" si="86"/>
        <v>0</v>
      </c>
      <c r="AL73" s="414">
        <f t="shared" si="86"/>
        <v>0</v>
      </c>
      <c r="AM73" s="415">
        <f t="shared" si="86"/>
        <v>0</v>
      </c>
      <c r="AN73" s="415">
        <f t="shared" si="86"/>
        <v>0</v>
      </c>
      <c r="AO73" s="415">
        <f t="shared" si="86"/>
        <v>0</v>
      </c>
      <c r="AP73" s="420">
        <f t="shared" si="86"/>
        <v>0</v>
      </c>
      <c r="AQ73" s="796">
        <f t="shared" si="86"/>
        <v>203775</v>
      </c>
      <c r="AR73" s="418">
        <f t="shared" si="86"/>
        <v>240825</v>
      </c>
      <c r="AS73" s="418">
        <f t="shared" si="86"/>
        <v>240825</v>
      </c>
      <c r="AT73" s="418">
        <f t="shared" si="86"/>
        <v>240825</v>
      </c>
      <c r="AU73" s="419">
        <f t="shared" si="86"/>
        <v>926250</v>
      </c>
      <c r="AV73" s="423"/>
      <c r="AW73" s="424"/>
      <c r="AX73" s="424"/>
      <c r="AY73" s="424"/>
      <c r="AZ73" s="416">
        <f>AV73+AW73+AX73+AY73</f>
        <v>0</v>
      </c>
      <c r="BA73" s="260"/>
      <c r="BB73" s="414">
        <f>SUM(BB61:BB72)</f>
        <v>44830.5</v>
      </c>
      <c r="BC73" s="415">
        <f>SUM(BC61:BC72)</f>
        <v>52981.5</v>
      </c>
      <c r="BD73" s="415">
        <f>SUM(BD61:BD72)</f>
        <v>52981.5</v>
      </c>
      <c r="BE73" s="415">
        <f>SUM(BE61:BE72)</f>
        <v>52981.5</v>
      </c>
      <c r="BF73" s="416">
        <f>SUM(BF61:BF72)</f>
        <v>8799375</v>
      </c>
      <c r="BG73" s="260"/>
      <c r="BH73" s="414">
        <f>SUM(BH61:BH72)</f>
        <v>39736.125</v>
      </c>
      <c r="BI73" s="415">
        <f>SUM(BI61:BI72)</f>
        <v>46960.875</v>
      </c>
      <c r="BJ73" s="415">
        <f>SUM(BJ61:BJ72)</f>
        <v>46960.875</v>
      </c>
      <c r="BK73" s="415">
        <f>SUM(BK61:BK72)</f>
        <v>46960.875</v>
      </c>
      <c r="BL73" s="416">
        <f>SUM(BL61:BL72)</f>
        <v>180618.75</v>
      </c>
    </row>
    <row r="74" spans="3:64" s="335" customFormat="1" ht="35.25" hidden="1" customHeight="1" thickBot="1">
      <c r="C74" s="1125" t="s">
        <v>492</v>
      </c>
      <c r="D74" s="425" t="s">
        <v>92</v>
      </c>
      <c r="E74" s="401">
        <v>0.22</v>
      </c>
      <c r="F74" s="401">
        <v>0.22</v>
      </c>
      <c r="G74" s="401">
        <v>0.22</v>
      </c>
      <c r="H74" s="401">
        <v>0.22</v>
      </c>
      <c r="I74" s="717">
        <v>1</v>
      </c>
      <c r="J74" s="717">
        <v>1</v>
      </c>
      <c r="K74" s="717">
        <v>1</v>
      </c>
      <c r="L74" s="717">
        <v>1</v>
      </c>
      <c r="M74" s="455">
        <f>15000*3</f>
        <v>45000</v>
      </c>
      <c r="N74" s="455">
        <f>15000*3</f>
        <v>45000</v>
      </c>
      <c r="O74" s="455">
        <f>15000*3</f>
        <v>45000</v>
      </c>
      <c r="P74" s="455">
        <f>15000*3</f>
        <v>45000</v>
      </c>
      <c r="Q74" s="394">
        <f t="shared" si="42"/>
        <v>180000</v>
      </c>
      <c r="R74" s="448">
        <v>0</v>
      </c>
      <c r="S74" s="449">
        <v>0</v>
      </c>
      <c r="T74" s="449">
        <v>0</v>
      </c>
      <c r="U74" s="449">
        <v>0</v>
      </c>
      <c r="V74" s="404">
        <f t="shared" si="26"/>
        <v>0</v>
      </c>
      <c r="W74" s="775">
        <f>M74*0.3</f>
        <v>13500</v>
      </c>
      <c r="X74" s="775">
        <f>N74*0.3</f>
        <v>13500</v>
      </c>
      <c r="Y74" s="775">
        <f>O74*0.3</f>
        <v>13500</v>
      </c>
      <c r="Z74" s="775">
        <f>P74*0.3</f>
        <v>13500</v>
      </c>
      <c r="AA74" s="394">
        <f t="shared" ref="AA74:AA100" si="87">SUM(W74:Z74)</f>
        <v>54000</v>
      </c>
      <c r="AB74" s="448">
        <v>0</v>
      </c>
      <c r="AC74" s="449">
        <v>0</v>
      </c>
      <c r="AD74" s="449">
        <v>0</v>
      </c>
      <c r="AE74" s="449">
        <v>0</v>
      </c>
      <c r="AF74" s="394">
        <f t="shared" ref="AF74:AF100" si="88">SUM(AB74:AE74)</f>
        <v>0</v>
      </c>
      <c r="AG74" s="428">
        <f>M74*0.5</f>
        <v>22500</v>
      </c>
      <c r="AH74" s="428">
        <f t="shared" ref="AH74:AJ77" si="89">N74*0.5</f>
        <v>22500</v>
      </c>
      <c r="AI74" s="428">
        <f t="shared" si="89"/>
        <v>22500</v>
      </c>
      <c r="AJ74" s="428">
        <f t="shared" si="89"/>
        <v>22500</v>
      </c>
      <c r="AK74" s="394">
        <f t="shared" ref="AK74:AK100" si="90">SUM(AG74:AJ74)</f>
        <v>90000</v>
      </c>
      <c r="AL74" s="448">
        <v>0</v>
      </c>
      <c r="AM74" s="449">
        <v>0</v>
      </c>
      <c r="AN74" s="449">
        <v>0</v>
      </c>
      <c r="AO74" s="449">
        <v>0</v>
      </c>
      <c r="AP74" s="427">
        <f t="shared" ref="AP74:AP100" si="91">SUM(AL74:AO74)</f>
        <v>0</v>
      </c>
      <c r="AQ74" s="786">
        <f t="shared" si="75"/>
        <v>81000</v>
      </c>
      <c r="AR74" s="390">
        <f>N74+S74+X74+AC74+AH74+AM74</f>
        <v>81000</v>
      </c>
      <c r="AS74" s="390">
        <f>O74+T74+Y74+AD74+AI74+AN74</f>
        <v>81000</v>
      </c>
      <c r="AT74" s="390">
        <f>P74+U74+Z74+AE74+AJ74+AO74</f>
        <v>81000</v>
      </c>
      <c r="AU74" s="391">
        <f>Q74+V74+AA74+AF74+AK74+AP74</f>
        <v>324000</v>
      </c>
      <c r="AV74" s="392" t="s">
        <v>348</v>
      </c>
      <c r="AW74" s="392" t="s">
        <v>348</v>
      </c>
      <c r="AX74" s="392" t="s">
        <v>348</v>
      </c>
      <c r="AY74" s="392" t="s">
        <v>348</v>
      </c>
      <c r="AZ74" s="387" t="s">
        <v>348</v>
      </c>
      <c r="BA74" s="343"/>
      <c r="BB74" s="396">
        <f t="shared" ref="BB74:BB100" si="92">AQ74*E74/100%</f>
        <v>17820</v>
      </c>
      <c r="BC74" s="397">
        <f t="shared" ref="BC74:BC100" si="93">AR74*F74/100%</f>
        <v>17820</v>
      </c>
      <c r="BD74" s="397">
        <f t="shared" ref="BD74:BD100" si="94">AS74*G74/100%</f>
        <v>17820</v>
      </c>
      <c r="BE74" s="397">
        <f t="shared" ref="BE74:BE100" si="95">AT74*H74/100%</f>
        <v>17820</v>
      </c>
      <c r="BF74" s="387">
        <f t="shared" ref="BF74:BF100" si="96">AU74*I74/100%</f>
        <v>324000</v>
      </c>
      <c r="BG74" s="343"/>
      <c r="BH74" s="396">
        <f>AQ74*(18%+1.5%)/100%</f>
        <v>15795</v>
      </c>
      <c r="BI74" s="397">
        <f>AR74*(18%+1.5%)/100%</f>
        <v>15795</v>
      </c>
      <c r="BJ74" s="397">
        <f>AS74*(18%+1.5%)/100%</f>
        <v>15795</v>
      </c>
      <c r="BK74" s="397">
        <f>AT74*(18%+1.5%)/100%</f>
        <v>15795</v>
      </c>
      <c r="BL74" s="398">
        <f>SUM(BH74:BK74)</f>
        <v>63180</v>
      </c>
    </row>
    <row r="75" spans="3:64" s="335" customFormat="1" ht="27" hidden="1" customHeight="1" thickBot="1">
      <c r="C75" s="1112"/>
      <c r="D75" s="430" t="s">
        <v>437</v>
      </c>
      <c r="E75" s="716">
        <v>8.4000000000000005E-2</v>
      </c>
      <c r="F75" s="716">
        <v>8.4000000000000005E-2</v>
      </c>
      <c r="G75" s="716">
        <v>8.4000000000000005E-2</v>
      </c>
      <c r="H75" s="716">
        <v>8.4000000000000005E-2</v>
      </c>
      <c r="I75" s="717">
        <v>1</v>
      </c>
      <c r="J75" s="717">
        <v>1</v>
      </c>
      <c r="K75" s="717">
        <v>1</v>
      </c>
      <c r="L75" s="717">
        <v>1</v>
      </c>
      <c r="M75" s="457">
        <f t="shared" ref="M75:P76" si="97">12000*3</f>
        <v>36000</v>
      </c>
      <c r="N75" s="457">
        <f t="shared" si="97"/>
        <v>36000</v>
      </c>
      <c r="O75" s="457">
        <f t="shared" si="97"/>
        <v>36000</v>
      </c>
      <c r="P75" s="457">
        <f t="shared" si="97"/>
        <v>36000</v>
      </c>
      <c r="Q75" s="404">
        <f t="shared" si="42"/>
        <v>144000</v>
      </c>
      <c r="R75" s="448">
        <v>0</v>
      </c>
      <c r="S75" s="449">
        <v>0</v>
      </c>
      <c r="T75" s="449">
        <v>0</v>
      </c>
      <c r="U75" s="449">
        <v>0</v>
      </c>
      <c r="V75" s="404">
        <f t="shared" si="26"/>
        <v>0</v>
      </c>
      <c r="W75" s="775">
        <f t="shared" ref="W75:W84" si="98">M75*0.3</f>
        <v>10800</v>
      </c>
      <c r="X75" s="775">
        <f t="shared" ref="X75:X84" si="99">N75*0.3</f>
        <v>10800</v>
      </c>
      <c r="Y75" s="775">
        <f t="shared" ref="Y75:Y84" si="100">O75*0.3</f>
        <v>10800</v>
      </c>
      <c r="Z75" s="775">
        <f t="shared" ref="Z75:Z84" si="101">P75*0.3</f>
        <v>10800</v>
      </c>
      <c r="AA75" s="404">
        <f t="shared" si="87"/>
        <v>43200</v>
      </c>
      <c r="AB75" s="448">
        <v>0</v>
      </c>
      <c r="AC75" s="449">
        <v>0</v>
      </c>
      <c r="AD75" s="449">
        <v>0</v>
      </c>
      <c r="AE75" s="449">
        <v>0</v>
      </c>
      <c r="AF75" s="404">
        <f t="shared" si="88"/>
        <v>0</v>
      </c>
      <c r="AG75" s="428">
        <f t="shared" ref="AG75:AG80" si="102">M75*0.5</f>
        <v>18000</v>
      </c>
      <c r="AH75" s="428">
        <f t="shared" si="89"/>
        <v>18000</v>
      </c>
      <c r="AI75" s="428">
        <f t="shared" si="89"/>
        <v>18000</v>
      </c>
      <c r="AJ75" s="428">
        <f t="shared" si="89"/>
        <v>18000</v>
      </c>
      <c r="AK75" s="404">
        <f t="shared" si="90"/>
        <v>72000</v>
      </c>
      <c r="AL75" s="448">
        <v>0</v>
      </c>
      <c r="AM75" s="449">
        <v>0</v>
      </c>
      <c r="AN75" s="449">
        <v>0</v>
      </c>
      <c r="AO75" s="449">
        <v>0</v>
      </c>
      <c r="AP75" s="405">
        <f t="shared" si="91"/>
        <v>0</v>
      </c>
      <c r="AQ75" s="787">
        <f t="shared" ref="AQ75:AQ102" si="103">M75+R75+W75+AB75+AG75+AL75</f>
        <v>64800</v>
      </c>
      <c r="AR75" s="407">
        <f t="shared" ref="AR75:AR100" si="104">N75+S75+X75+AC75+AH75+AM75</f>
        <v>64800</v>
      </c>
      <c r="AS75" s="407">
        <f t="shared" ref="AS75:AS100" si="105">O75+T75+Y75+AD75+AI75+AN75</f>
        <v>64800</v>
      </c>
      <c r="AT75" s="407">
        <f t="shared" ref="AT75:AT100" si="106">P75+U75+Z75+AE75+AJ75+AO75</f>
        <v>64800</v>
      </c>
      <c r="AU75" s="408">
        <f t="shared" ref="AU75:AU100" si="107">Q75+V75+AA75+AF75+AK75+AP75</f>
        <v>259200</v>
      </c>
      <c r="AV75" s="392" t="s">
        <v>348</v>
      </c>
      <c r="AW75" s="392" t="s">
        <v>348</v>
      </c>
      <c r="AX75" s="392" t="s">
        <v>348</v>
      </c>
      <c r="AY75" s="392" t="s">
        <v>348</v>
      </c>
      <c r="AZ75" s="387" t="s">
        <v>348</v>
      </c>
      <c r="BA75" s="343"/>
      <c r="BB75" s="406">
        <f t="shared" si="92"/>
        <v>5443.2000000000007</v>
      </c>
      <c r="BC75" s="407">
        <f t="shared" si="93"/>
        <v>5443.2000000000007</v>
      </c>
      <c r="BD75" s="407">
        <f t="shared" si="94"/>
        <v>5443.2000000000007</v>
      </c>
      <c r="BE75" s="407">
        <f t="shared" si="95"/>
        <v>5443.2000000000007</v>
      </c>
      <c r="BF75" s="404">
        <f t="shared" si="96"/>
        <v>259200</v>
      </c>
      <c r="BG75" s="343"/>
      <c r="BH75" s="406">
        <f t="shared" ref="BH75:BH100" si="108">AQ75*(18%+1.5%)/100%</f>
        <v>12636</v>
      </c>
      <c r="BI75" s="407">
        <f t="shared" ref="BI75:BI100" si="109">AR75*(18%+1.5%)/100%</f>
        <v>12636</v>
      </c>
      <c r="BJ75" s="407">
        <f t="shared" ref="BJ75:BJ100" si="110">AS75*(18%+1.5%)/100%</f>
        <v>12636</v>
      </c>
      <c r="BK75" s="407">
        <f t="shared" ref="BK75:BK100" si="111">AT75*(18%+1.5%)/100%</f>
        <v>12636</v>
      </c>
      <c r="BL75" s="408">
        <f t="shared" ref="BL75:BL100" si="112">SUM(BH75:BK75)</f>
        <v>50544</v>
      </c>
    </row>
    <row r="76" spans="3:64" s="335" customFormat="1" ht="26.25" hidden="1" customHeight="1" thickBot="1">
      <c r="C76" s="1112"/>
      <c r="D76" s="430" t="s">
        <v>438</v>
      </c>
      <c r="E76" s="401">
        <v>0.22</v>
      </c>
      <c r="F76" s="401">
        <v>0.22</v>
      </c>
      <c r="G76" s="401">
        <v>0.22</v>
      </c>
      <c r="H76" s="401">
        <v>0.22</v>
      </c>
      <c r="I76" s="717">
        <v>1</v>
      </c>
      <c r="J76" s="717">
        <v>1</v>
      </c>
      <c r="K76" s="717">
        <v>1</v>
      </c>
      <c r="L76" s="717">
        <v>1</v>
      </c>
      <c r="M76" s="457">
        <f t="shared" si="97"/>
        <v>36000</v>
      </c>
      <c r="N76" s="450">
        <f t="shared" si="97"/>
        <v>36000</v>
      </c>
      <c r="O76" s="450">
        <f t="shared" si="97"/>
        <v>36000</v>
      </c>
      <c r="P76" s="450">
        <f t="shared" si="97"/>
        <v>36000</v>
      </c>
      <c r="Q76" s="404">
        <f t="shared" si="42"/>
        <v>144000</v>
      </c>
      <c r="R76" s="448">
        <v>0</v>
      </c>
      <c r="S76" s="449">
        <v>0</v>
      </c>
      <c r="T76" s="449">
        <v>0</v>
      </c>
      <c r="U76" s="449">
        <v>0</v>
      </c>
      <c r="V76" s="404">
        <f t="shared" si="26"/>
        <v>0</v>
      </c>
      <c r="W76" s="775">
        <f t="shared" si="98"/>
        <v>10800</v>
      </c>
      <c r="X76" s="775">
        <f t="shared" si="99"/>
        <v>10800</v>
      </c>
      <c r="Y76" s="775">
        <f t="shared" si="100"/>
        <v>10800</v>
      </c>
      <c r="Z76" s="775">
        <f t="shared" si="101"/>
        <v>10800</v>
      </c>
      <c r="AA76" s="404">
        <f t="shared" si="87"/>
        <v>43200</v>
      </c>
      <c r="AB76" s="448">
        <v>0</v>
      </c>
      <c r="AC76" s="449">
        <v>0</v>
      </c>
      <c r="AD76" s="449">
        <v>0</v>
      </c>
      <c r="AE76" s="449">
        <v>0</v>
      </c>
      <c r="AF76" s="404">
        <f t="shared" si="88"/>
        <v>0</v>
      </c>
      <c r="AG76" s="428">
        <f t="shared" si="102"/>
        <v>18000</v>
      </c>
      <c r="AH76" s="428">
        <f t="shared" si="89"/>
        <v>18000</v>
      </c>
      <c r="AI76" s="428">
        <f t="shared" si="89"/>
        <v>18000</v>
      </c>
      <c r="AJ76" s="428">
        <f t="shared" si="89"/>
        <v>18000</v>
      </c>
      <c r="AK76" s="404">
        <f t="shared" si="90"/>
        <v>72000</v>
      </c>
      <c r="AL76" s="448">
        <v>0</v>
      </c>
      <c r="AM76" s="449">
        <v>0</v>
      </c>
      <c r="AN76" s="449">
        <v>0</v>
      </c>
      <c r="AO76" s="449">
        <v>0</v>
      </c>
      <c r="AP76" s="405">
        <f t="shared" si="91"/>
        <v>0</v>
      </c>
      <c r="AQ76" s="787">
        <f t="shared" si="103"/>
        <v>64800</v>
      </c>
      <c r="AR76" s="407">
        <f t="shared" si="104"/>
        <v>64800</v>
      </c>
      <c r="AS76" s="407">
        <f t="shared" si="105"/>
        <v>64800</v>
      </c>
      <c r="AT76" s="407">
        <f t="shared" si="106"/>
        <v>64800</v>
      </c>
      <c r="AU76" s="408">
        <f t="shared" si="107"/>
        <v>259200</v>
      </c>
      <c r="AV76" s="392" t="s">
        <v>348</v>
      </c>
      <c r="AW76" s="392" t="s">
        <v>348</v>
      </c>
      <c r="AX76" s="392" t="s">
        <v>348</v>
      </c>
      <c r="AY76" s="392" t="s">
        <v>348</v>
      </c>
      <c r="AZ76" s="387" t="s">
        <v>348</v>
      </c>
      <c r="BA76" s="343"/>
      <c r="BB76" s="406">
        <f t="shared" si="92"/>
        <v>14256</v>
      </c>
      <c r="BC76" s="407">
        <f t="shared" si="93"/>
        <v>14256</v>
      </c>
      <c r="BD76" s="407">
        <f t="shared" si="94"/>
        <v>14256</v>
      </c>
      <c r="BE76" s="407">
        <f t="shared" si="95"/>
        <v>14256</v>
      </c>
      <c r="BF76" s="404">
        <f t="shared" si="96"/>
        <v>259200</v>
      </c>
      <c r="BG76" s="343"/>
      <c r="BH76" s="406">
        <f t="shared" si="108"/>
        <v>12636</v>
      </c>
      <c r="BI76" s="407">
        <f t="shared" si="109"/>
        <v>12636</v>
      </c>
      <c r="BJ76" s="407">
        <f t="shared" si="110"/>
        <v>12636</v>
      </c>
      <c r="BK76" s="407">
        <f t="shared" si="111"/>
        <v>12636</v>
      </c>
      <c r="BL76" s="408">
        <f t="shared" si="112"/>
        <v>50544</v>
      </c>
    </row>
    <row r="77" spans="3:64" s="335" customFormat="1" ht="23.25" hidden="1" customHeight="1" thickBot="1">
      <c r="C77" s="1112"/>
      <c r="D77" s="430" t="s">
        <v>93</v>
      </c>
      <c r="E77" s="401">
        <v>0.22</v>
      </c>
      <c r="F77" s="401">
        <v>0.22</v>
      </c>
      <c r="G77" s="401">
        <v>0.22</v>
      </c>
      <c r="H77" s="401">
        <v>0.22</v>
      </c>
      <c r="I77" s="717">
        <v>1</v>
      </c>
      <c r="J77" s="717">
        <v>1</v>
      </c>
      <c r="K77" s="717">
        <v>1</v>
      </c>
      <c r="L77" s="717">
        <v>1</v>
      </c>
      <c r="M77" s="457">
        <f>10000*3</f>
        <v>30000</v>
      </c>
      <c r="N77" s="457">
        <f>10000*3</f>
        <v>30000</v>
      </c>
      <c r="O77" s="457">
        <f>10000*3</f>
        <v>30000</v>
      </c>
      <c r="P77" s="457">
        <f>10000*3</f>
        <v>30000</v>
      </c>
      <c r="Q77" s="404">
        <f t="shared" si="42"/>
        <v>120000</v>
      </c>
      <c r="R77" s="448">
        <v>0</v>
      </c>
      <c r="S77" s="449">
        <v>0</v>
      </c>
      <c r="T77" s="449">
        <v>0</v>
      </c>
      <c r="U77" s="449">
        <v>0</v>
      </c>
      <c r="V77" s="404">
        <f t="shared" si="26"/>
        <v>0</v>
      </c>
      <c r="W77" s="775">
        <f t="shared" si="98"/>
        <v>9000</v>
      </c>
      <c r="X77" s="775">
        <f t="shared" si="99"/>
        <v>9000</v>
      </c>
      <c r="Y77" s="775">
        <f t="shared" si="100"/>
        <v>9000</v>
      </c>
      <c r="Z77" s="775">
        <f t="shared" si="101"/>
        <v>9000</v>
      </c>
      <c r="AA77" s="404">
        <f t="shared" si="87"/>
        <v>36000</v>
      </c>
      <c r="AB77" s="448">
        <v>0</v>
      </c>
      <c r="AC77" s="449">
        <v>0</v>
      </c>
      <c r="AD77" s="449">
        <v>0</v>
      </c>
      <c r="AE77" s="449">
        <v>0</v>
      </c>
      <c r="AF77" s="404">
        <f t="shared" si="88"/>
        <v>0</v>
      </c>
      <c r="AG77" s="428">
        <f t="shared" si="102"/>
        <v>15000</v>
      </c>
      <c r="AH77" s="428">
        <f t="shared" si="89"/>
        <v>15000</v>
      </c>
      <c r="AI77" s="428">
        <f t="shared" si="89"/>
        <v>15000</v>
      </c>
      <c r="AJ77" s="428">
        <f t="shared" si="89"/>
        <v>15000</v>
      </c>
      <c r="AK77" s="404">
        <f t="shared" si="90"/>
        <v>60000</v>
      </c>
      <c r="AL77" s="448">
        <v>0</v>
      </c>
      <c r="AM77" s="449">
        <v>0</v>
      </c>
      <c r="AN77" s="449">
        <v>0</v>
      </c>
      <c r="AO77" s="449">
        <v>0</v>
      </c>
      <c r="AP77" s="405">
        <f t="shared" si="91"/>
        <v>0</v>
      </c>
      <c r="AQ77" s="787">
        <f t="shared" si="103"/>
        <v>54000</v>
      </c>
      <c r="AR77" s="407">
        <f t="shared" si="104"/>
        <v>54000</v>
      </c>
      <c r="AS77" s="407">
        <f t="shared" si="105"/>
        <v>54000</v>
      </c>
      <c r="AT77" s="407">
        <f t="shared" si="106"/>
        <v>54000</v>
      </c>
      <c r="AU77" s="408">
        <f t="shared" si="107"/>
        <v>216000</v>
      </c>
      <c r="AV77" s="392" t="s">
        <v>348</v>
      </c>
      <c r="AW77" s="392" t="s">
        <v>348</v>
      </c>
      <c r="AX77" s="392" t="s">
        <v>348</v>
      </c>
      <c r="AY77" s="392" t="s">
        <v>348</v>
      </c>
      <c r="AZ77" s="387" t="s">
        <v>348</v>
      </c>
      <c r="BA77" s="343"/>
      <c r="BB77" s="406">
        <f t="shared" si="92"/>
        <v>11880</v>
      </c>
      <c r="BC77" s="407">
        <f t="shared" si="93"/>
        <v>11880</v>
      </c>
      <c r="BD77" s="407">
        <f t="shared" si="94"/>
        <v>11880</v>
      </c>
      <c r="BE77" s="407">
        <f t="shared" si="95"/>
        <v>11880</v>
      </c>
      <c r="BF77" s="404">
        <f t="shared" si="96"/>
        <v>216000</v>
      </c>
      <c r="BG77" s="343"/>
      <c r="BH77" s="406">
        <f t="shared" si="108"/>
        <v>10530</v>
      </c>
      <c r="BI77" s="407">
        <f t="shared" si="109"/>
        <v>10530</v>
      </c>
      <c r="BJ77" s="407">
        <f t="shared" si="110"/>
        <v>10530</v>
      </c>
      <c r="BK77" s="407">
        <f t="shared" si="111"/>
        <v>10530</v>
      </c>
      <c r="BL77" s="408">
        <f t="shared" si="112"/>
        <v>42120</v>
      </c>
    </row>
    <row r="78" spans="3:64" s="335" customFormat="1" ht="32.25" hidden="1" customHeight="1" thickBot="1">
      <c r="C78" s="1112"/>
      <c r="D78" s="430" t="s">
        <v>94</v>
      </c>
      <c r="E78" s="401">
        <v>0.22</v>
      </c>
      <c r="F78" s="401">
        <v>0.22</v>
      </c>
      <c r="G78" s="401">
        <v>0.22</v>
      </c>
      <c r="H78" s="401">
        <v>0.22</v>
      </c>
      <c r="I78" s="717">
        <v>0.5</v>
      </c>
      <c r="J78" s="717">
        <v>0.5</v>
      </c>
      <c r="K78" s="717">
        <v>0.5</v>
      </c>
      <c r="L78" s="717">
        <v>0.5</v>
      </c>
      <c r="M78" s="457">
        <f>5000*3</f>
        <v>15000</v>
      </c>
      <c r="N78" s="457">
        <f>5000*3</f>
        <v>15000</v>
      </c>
      <c r="O78" s="457">
        <f>5000*3</f>
        <v>15000</v>
      </c>
      <c r="P78" s="457">
        <f>5000*3</f>
        <v>15000</v>
      </c>
      <c r="Q78" s="404">
        <f t="shared" si="42"/>
        <v>60000</v>
      </c>
      <c r="R78" s="448">
        <v>0</v>
      </c>
      <c r="S78" s="449">
        <v>0</v>
      </c>
      <c r="T78" s="449">
        <v>0</v>
      </c>
      <c r="U78" s="449">
        <v>0</v>
      </c>
      <c r="V78" s="404">
        <f t="shared" si="26"/>
        <v>0</v>
      </c>
      <c r="W78" s="775">
        <f t="shared" si="98"/>
        <v>4500</v>
      </c>
      <c r="X78" s="775">
        <f t="shared" si="99"/>
        <v>4500</v>
      </c>
      <c r="Y78" s="775">
        <f t="shared" si="100"/>
        <v>4500</v>
      </c>
      <c r="Z78" s="775">
        <f t="shared" si="101"/>
        <v>4500</v>
      </c>
      <c r="AA78" s="404">
        <f t="shared" si="87"/>
        <v>18000</v>
      </c>
      <c r="AB78" s="448">
        <v>0</v>
      </c>
      <c r="AC78" s="449">
        <v>0</v>
      </c>
      <c r="AD78" s="449">
        <v>0</v>
      </c>
      <c r="AE78" s="449">
        <v>0</v>
      </c>
      <c r="AF78" s="404">
        <f t="shared" si="88"/>
        <v>0</v>
      </c>
      <c r="AG78" s="428">
        <v>0</v>
      </c>
      <c r="AH78" s="428">
        <v>0</v>
      </c>
      <c r="AI78" s="428">
        <v>0</v>
      </c>
      <c r="AJ78" s="428">
        <v>0</v>
      </c>
      <c r="AK78" s="404">
        <f t="shared" si="90"/>
        <v>0</v>
      </c>
      <c r="AL78" s="448">
        <v>0</v>
      </c>
      <c r="AM78" s="449">
        <v>0</v>
      </c>
      <c r="AN78" s="449">
        <v>0</v>
      </c>
      <c r="AO78" s="449">
        <v>0</v>
      </c>
      <c r="AP78" s="405">
        <f t="shared" si="91"/>
        <v>0</v>
      </c>
      <c r="AQ78" s="787">
        <f t="shared" si="103"/>
        <v>19500</v>
      </c>
      <c r="AR78" s="407">
        <f t="shared" si="104"/>
        <v>19500</v>
      </c>
      <c r="AS78" s="407">
        <f t="shared" si="105"/>
        <v>19500</v>
      </c>
      <c r="AT78" s="407">
        <f t="shared" si="106"/>
        <v>19500</v>
      </c>
      <c r="AU78" s="408">
        <f t="shared" si="107"/>
        <v>78000</v>
      </c>
      <c r="AV78" s="392" t="s">
        <v>348</v>
      </c>
      <c r="AW78" s="392" t="s">
        <v>348</v>
      </c>
      <c r="AX78" s="392" t="s">
        <v>348</v>
      </c>
      <c r="AY78" s="392" t="s">
        <v>348</v>
      </c>
      <c r="AZ78" s="387" t="s">
        <v>348</v>
      </c>
      <c r="BA78" s="343"/>
      <c r="BB78" s="406">
        <f t="shared" si="92"/>
        <v>4290</v>
      </c>
      <c r="BC78" s="407">
        <f t="shared" si="93"/>
        <v>4290</v>
      </c>
      <c r="BD78" s="407">
        <f t="shared" si="94"/>
        <v>4290</v>
      </c>
      <c r="BE78" s="407">
        <f t="shared" si="95"/>
        <v>4290</v>
      </c>
      <c r="BF78" s="404">
        <f t="shared" si="96"/>
        <v>39000</v>
      </c>
      <c r="BG78" s="343"/>
      <c r="BH78" s="406">
        <f t="shared" si="108"/>
        <v>3802.5</v>
      </c>
      <c r="BI78" s="407">
        <f t="shared" si="109"/>
        <v>3802.5</v>
      </c>
      <c r="BJ78" s="407">
        <f t="shared" si="110"/>
        <v>3802.5</v>
      </c>
      <c r="BK78" s="407">
        <f t="shared" si="111"/>
        <v>3802.5</v>
      </c>
      <c r="BL78" s="408">
        <f t="shared" si="112"/>
        <v>15210</v>
      </c>
    </row>
    <row r="79" spans="3:64" s="335" customFormat="1" ht="40.5" hidden="1" customHeight="1" thickBot="1">
      <c r="C79" s="1112"/>
      <c r="D79" s="430" t="s">
        <v>95</v>
      </c>
      <c r="E79" s="401">
        <v>0.22</v>
      </c>
      <c r="F79" s="401">
        <v>0.22</v>
      </c>
      <c r="G79" s="401">
        <v>0.22</v>
      </c>
      <c r="H79" s="401">
        <v>0.22</v>
      </c>
      <c r="I79" s="717">
        <v>0.5</v>
      </c>
      <c r="J79" s="717">
        <v>0.5</v>
      </c>
      <c r="K79" s="717">
        <v>0.5</v>
      </c>
      <c r="L79" s="717">
        <v>0.5</v>
      </c>
      <c r="M79" s="457">
        <f>3750*3</f>
        <v>11250</v>
      </c>
      <c r="N79" s="450">
        <f t="shared" ref="N79:P80" si="113">3750*3</f>
        <v>11250</v>
      </c>
      <c r="O79" s="450">
        <f t="shared" si="113"/>
        <v>11250</v>
      </c>
      <c r="P79" s="450">
        <f t="shared" si="113"/>
        <v>11250</v>
      </c>
      <c r="Q79" s="404">
        <f t="shared" si="42"/>
        <v>45000</v>
      </c>
      <c r="R79" s="448">
        <v>0</v>
      </c>
      <c r="S79" s="449">
        <v>0</v>
      </c>
      <c r="T79" s="449">
        <v>0</v>
      </c>
      <c r="U79" s="449">
        <v>0</v>
      </c>
      <c r="V79" s="404">
        <f t="shared" si="26"/>
        <v>0</v>
      </c>
      <c r="W79" s="775">
        <f t="shared" si="98"/>
        <v>3375</v>
      </c>
      <c r="X79" s="775">
        <f t="shared" si="99"/>
        <v>3375</v>
      </c>
      <c r="Y79" s="775">
        <f t="shared" si="100"/>
        <v>3375</v>
      </c>
      <c r="Z79" s="775">
        <f t="shared" si="101"/>
        <v>3375</v>
      </c>
      <c r="AA79" s="404">
        <f t="shared" si="87"/>
        <v>13500</v>
      </c>
      <c r="AB79" s="448">
        <v>0</v>
      </c>
      <c r="AC79" s="449">
        <v>0</v>
      </c>
      <c r="AD79" s="449">
        <v>0</v>
      </c>
      <c r="AE79" s="449">
        <v>0</v>
      </c>
      <c r="AF79" s="404">
        <f t="shared" si="88"/>
        <v>0</v>
      </c>
      <c r="AG79" s="428">
        <v>0</v>
      </c>
      <c r="AH79" s="428">
        <v>0</v>
      </c>
      <c r="AI79" s="428">
        <v>0</v>
      </c>
      <c r="AJ79" s="428">
        <v>0</v>
      </c>
      <c r="AK79" s="404">
        <f t="shared" si="90"/>
        <v>0</v>
      </c>
      <c r="AL79" s="448">
        <v>0</v>
      </c>
      <c r="AM79" s="449">
        <v>0</v>
      </c>
      <c r="AN79" s="449">
        <v>0</v>
      </c>
      <c r="AO79" s="449">
        <v>0</v>
      </c>
      <c r="AP79" s="405">
        <f t="shared" si="91"/>
        <v>0</v>
      </c>
      <c r="AQ79" s="787">
        <f t="shared" si="103"/>
        <v>14625</v>
      </c>
      <c r="AR79" s="407">
        <f t="shared" si="104"/>
        <v>14625</v>
      </c>
      <c r="AS79" s="407">
        <f t="shared" si="105"/>
        <v>14625</v>
      </c>
      <c r="AT79" s="407">
        <f t="shared" si="106"/>
        <v>14625</v>
      </c>
      <c r="AU79" s="408">
        <f t="shared" si="107"/>
        <v>58500</v>
      </c>
      <c r="AV79" s="392" t="s">
        <v>348</v>
      </c>
      <c r="AW79" s="392" t="s">
        <v>348</v>
      </c>
      <c r="AX79" s="392" t="s">
        <v>348</v>
      </c>
      <c r="AY79" s="392" t="s">
        <v>348</v>
      </c>
      <c r="AZ79" s="387" t="s">
        <v>348</v>
      </c>
      <c r="BA79" s="343"/>
      <c r="BB79" s="406">
        <f t="shared" si="92"/>
        <v>3217.5</v>
      </c>
      <c r="BC79" s="407">
        <f t="shared" si="93"/>
        <v>3217.5</v>
      </c>
      <c r="BD79" s="407">
        <f t="shared" si="94"/>
        <v>3217.5</v>
      </c>
      <c r="BE79" s="407">
        <f t="shared" si="95"/>
        <v>3217.5</v>
      </c>
      <c r="BF79" s="404">
        <f t="shared" si="96"/>
        <v>29250</v>
      </c>
      <c r="BG79" s="343"/>
      <c r="BH79" s="406">
        <f t="shared" si="108"/>
        <v>2851.875</v>
      </c>
      <c r="BI79" s="407">
        <f t="shared" si="109"/>
        <v>2851.875</v>
      </c>
      <c r="BJ79" s="407">
        <f t="shared" si="110"/>
        <v>2851.875</v>
      </c>
      <c r="BK79" s="407">
        <f t="shared" si="111"/>
        <v>2851.875</v>
      </c>
      <c r="BL79" s="408">
        <f t="shared" si="112"/>
        <v>11407.5</v>
      </c>
    </row>
    <row r="80" spans="3:64" s="335" customFormat="1" ht="39" hidden="1" customHeight="1" thickBot="1">
      <c r="C80" s="1112"/>
      <c r="D80" s="430" t="s">
        <v>96</v>
      </c>
      <c r="E80" s="401">
        <v>0.22</v>
      </c>
      <c r="F80" s="401">
        <v>0.22</v>
      </c>
      <c r="G80" s="401">
        <v>0.22</v>
      </c>
      <c r="H80" s="401">
        <v>0.22</v>
      </c>
      <c r="I80" s="717">
        <v>0.5</v>
      </c>
      <c r="J80" s="717">
        <v>0.5</v>
      </c>
      <c r="K80" s="717">
        <v>0.5</v>
      </c>
      <c r="L80" s="717">
        <v>0.5</v>
      </c>
      <c r="M80" s="457">
        <f>3750*3</f>
        <v>11250</v>
      </c>
      <c r="N80" s="450">
        <f t="shared" si="113"/>
        <v>11250</v>
      </c>
      <c r="O80" s="450">
        <f t="shared" si="113"/>
        <v>11250</v>
      </c>
      <c r="P80" s="450">
        <f t="shared" si="113"/>
        <v>11250</v>
      </c>
      <c r="Q80" s="404">
        <f t="shared" si="42"/>
        <v>45000</v>
      </c>
      <c r="R80" s="448">
        <v>0</v>
      </c>
      <c r="S80" s="449">
        <v>0</v>
      </c>
      <c r="T80" s="449">
        <v>0</v>
      </c>
      <c r="U80" s="449">
        <v>0</v>
      </c>
      <c r="V80" s="404">
        <f t="shared" si="26"/>
        <v>0</v>
      </c>
      <c r="W80" s="775">
        <f t="shared" si="98"/>
        <v>3375</v>
      </c>
      <c r="X80" s="775">
        <f t="shared" si="99"/>
        <v>3375</v>
      </c>
      <c r="Y80" s="775">
        <f t="shared" si="100"/>
        <v>3375</v>
      </c>
      <c r="Z80" s="775">
        <f t="shared" si="101"/>
        <v>3375</v>
      </c>
      <c r="AA80" s="404">
        <f t="shared" si="87"/>
        <v>13500</v>
      </c>
      <c r="AB80" s="448">
        <v>0</v>
      </c>
      <c r="AC80" s="449">
        <v>0</v>
      </c>
      <c r="AD80" s="449">
        <v>0</v>
      </c>
      <c r="AE80" s="449">
        <v>0</v>
      </c>
      <c r="AF80" s="404">
        <f t="shared" si="88"/>
        <v>0</v>
      </c>
      <c r="AG80" s="428">
        <f t="shared" si="102"/>
        <v>5625</v>
      </c>
      <c r="AH80" s="428">
        <v>5625</v>
      </c>
      <c r="AI80" s="428">
        <v>5625</v>
      </c>
      <c r="AJ80" s="428">
        <v>5625</v>
      </c>
      <c r="AK80" s="404">
        <f t="shared" si="90"/>
        <v>22500</v>
      </c>
      <c r="AL80" s="448">
        <v>0</v>
      </c>
      <c r="AM80" s="449">
        <v>0</v>
      </c>
      <c r="AN80" s="449">
        <v>0</v>
      </c>
      <c r="AO80" s="449">
        <v>0</v>
      </c>
      <c r="AP80" s="405">
        <f t="shared" si="91"/>
        <v>0</v>
      </c>
      <c r="AQ80" s="787">
        <f t="shared" si="103"/>
        <v>20250</v>
      </c>
      <c r="AR80" s="407">
        <f t="shared" si="104"/>
        <v>20250</v>
      </c>
      <c r="AS80" s="407">
        <f t="shared" si="105"/>
        <v>20250</v>
      </c>
      <c r="AT80" s="407">
        <f t="shared" si="106"/>
        <v>20250</v>
      </c>
      <c r="AU80" s="408">
        <f t="shared" si="107"/>
        <v>81000</v>
      </c>
      <c r="AV80" s="392" t="s">
        <v>348</v>
      </c>
      <c r="AW80" s="392" t="s">
        <v>348</v>
      </c>
      <c r="AX80" s="392" t="s">
        <v>348</v>
      </c>
      <c r="AY80" s="392" t="s">
        <v>348</v>
      </c>
      <c r="AZ80" s="387" t="s">
        <v>348</v>
      </c>
      <c r="BA80" s="343"/>
      <c r="BB80" s="406">
        <f t="shared" si="92"/>
        <v>4455</v>
      </c>
      <c r="BC80" s="407">
        <f t="shared" si="93"/>
        <v>4455</v>
      </c>
      <c r="BD80" s="407">
        <f t="shared" si="94"/>
        <v>4455</v>
      </c>
      <c r="BE80" s="407">
        <f t="shared" si="95"/>
        <v>4455</v>
      </c>
      <c r="BF80" s="404">
        <f t="shared" si="96"/>
        <v>40500</v>
      </c>
      <c r="BG80" s="343"/>
      <c r="BH80" s="406">
        <f t="shared" si="108"/>
        <v>3948.75</v>
      </c>
      <c r="BI80" s="407">
        <f t="shared" si="109"/>
        <v>3948.75</v>
      </c>
      <c r="BJ80" s="407">
        <f t="shared" si="110"/>
        <v>3948.75</v>
      </c>
      <c r="BK80" s="407">
        <f t="shared" si="111"/>
        <v>3948.75</v>
      </c>
      <c r="BL80" s="408">
        <f t="shared" si="112"/>
        <v>15795</v>
      </c>
    </row>
    <row r="81" spans="3:64" s="335" customFormat="1" ht="25.9" hidden="1" customHeight="1" thickBot="1">
      <c r="C81" s="1112"/>
      <c r="D81" s="430" t="s">
        <v>444</v>
      </c>
      <c r="E81" s="401">
        <v>0.22</v>
      </c>
      <c r="F81" s="401">
        <v>0.22</v>
      </c>
      <c r="G81" s="401">
        <v>0.22</v>
      </c>
      <c r="H81" s="401">
        <v>0.22</v>
      </c>
      <c r="I81" s="717">
        <v>1</v>
      </c>
      <c r="J81" s="717">
        <v>1</v>
      </c>
      <c r="K81" s="717">
        <v>1</v>
      </c>
      <c r="L81" s="717">
        <v>1</v>
      </c>
      <c r="M81" s="457">
        <f>15000*3</f>
        <v>45000</v>
      </c>
      <c r="N81" s="457">
        <f>15000*3</f>
        <v>45000</v>
      </c>
      <c r="O81" s="457">
        <f>15000*3</f>
        <v>45000</v>
      </c>
      <c r="P81" s="457">
        <f>15000*3</f>
        <v>45000</v>
      </c>
      <c r="Q81" s="404">
        <f t="shared" si="42"/>
        <v>180000</v>
      </c>
      <c r="R81" s="448">
        <v>0</v>
      </c>
      <c r="S81" s="449">
        <v>0</v>
      </c>
      <c r="T81" s="449">
        <v>0</v>
      </c>
      <c r="U81" s="449">
        <v>0</v>
      </c>
      <c r="V81" s="404">
        <f t="shared" si="26"/>
        <v>0</v>
      </c>
      <c r="W81" s="775">
        <f t="shared" si="98"/>
        <v>13500</v>
      </c>
      <c r="X81" s="775">
        <f t="shared" si="99"/>
        <v>13500</v>
      </c>
      <c r="Y81" s="775">
        <f t="shared" si="100"/>
        <v>13500</v>
      </c>
      <c r="Z81" s="775">
        <f t="shared" si="101"/>
        <v>13500</v>
      </c>
      <c r="AA81" s="404">
        <f t="shared" si="87"/>
        <v>54000</v>
      </c>
      <c r="AB81" s="448">
        <v>0</v>
      </c>
      <c r="AC81" s="449">
        <v>0</v>
      </c>
      <c r="AD81" s="449">
        <v>0</v>
      </c>
      <c r="AE81" s="449">
        <v>0</v>
      </c>
      <c r="AF81" s="404">
        <f t="shared" si="88"/>
        <v>0</v>
      </c>
      <c r="AG81" s="428">
        <f>M81*0.3</f>
        <v>13500</v>
      </c>
      <c r="AH81" s="428">
        <v>13500</v>
      </c>
      <c r="AI81" s="428">
        <v>13500</v>
      </c>
      <c r="AJ81" s="428">
        <v>13500</v>
      </c>
      <c r="AK81" s="404">
        <f t="shared" si="90"/>
        <v>54000</v>
      </c>
      <c r="AL81" s="448">
        <v>0</v>
      </c>
      <c r="AM81" s="449">
        <v>0</v>
      </c>
      <c r="AN81" s="449">
        <v>0</v>
      </c>
      <c r="AO81" s="449">
        <v>0</v>
      </c>
      <c r="AP81" s="405">
        <f t="shared" si="91"/>
        <v>0</v>
      </c>
      <c r="AQ81" s="787">
        <f t="shared" si="103"/>
        <v>72000</v>
      </c>
      <c r="AR81" s="407">
        <f t="shared" si="104"/>
        <v>72000</v>
      </c>
      <c r="AS81" s="407">
        <f t="shared" si="105"/>
        <v>72000</v>
      </c>
      <c r="AT81" s="407">
        <f t="shared" si="106"/>
        <v>72000</v>
      </c>
      <c r="AU81" s="408">
        <f t="shared" si="107"/>
        <v>288000</v>
      </c>
      <c r="AV81" s="392" t="s">
        <v>348</v>
      </c>
      <c r="AW81" s="392" t="s">
        <v>348</v>
      </c>
      <c r="AX81" s="392" t="s">
        <v>348</v>
      </c>
      <c r="AY81" s="392" t="s">
        <v>348</v>
      </c>
      <c r="AZ81" s="387" t="s">
        <v>348</v>
      </c>
      <c r="BA81" s="343"/>
      <c r="BB81" s="406">
        <f t="shared" si="92"/>
        <v>15840</v>
      </c>
      <c r="BC81" s="407">
        <f t="shared" si="93"/>
        <v>15840</v>
      </c>
      <c r="BD81" s="407">
        <f t="shared" si="94"/>
        <v>15840</v>
      </c>
      <c r="BE81" s="407">
        <f t="shared" si="95"/>
        <v>15840</v>
      </c>
      <c r="BF81" s="404">
        <f t="shared" si="96"/>
        <v>288000</v>
      </c>
      <c r="BG81" s="343"/>
      <c r="BH81" s="406">
        <f t="shared" si="108"/>
        <v>14040</v>
      </c>
      <c r="BI81" s="407">
        <f t="shared" si="109"/>
        <v>14040</v>
      </c>
      <c r="BJ81" s="407">
        <f t="shared" si="110"/>
        <v>14040</v>
      </c>
      <c r="BK81" s="407">
        <f t="shared" si="111"/>
        <v>14040</v>
      </c>
      <c r="BL81" s="408">
        <f t="shared" si="112"/>
        <v>56160</v>
      </c>
    </row>
    <row r="82" spans="3:64" s="335" customFormat="1" ht="25.9" hidden="1" customHeight="1" thickBot="1">
      <c r="C82" s="1112"/>
      <c r="D82" s="430" t="s">
        <v>439</v>
      </c>
      <c r="E82" s="716">
        <v>8.4000000000000005E-2</v>
      </c>
      <c r="F82" s="716">
        <v>8.4000000000000005E-2</v>
      </c>
      <c r="G82" s="716">
        <v>8.4000000000000005E-2</v>
      </c>
      <c r="H82" s="716">
        <v>8.4000000000000005E-2</v>
      </c>
      <c r="I82" s="717">
        <v>2</v>
      </c>
      <c r="J82" s="717">
        <v>2</v>
      </c>
      <c r="K82" s="717">
        <v>2</v>
      </c>
      <c r="L82" s="717">
        <v>2</v>
      </c>
      <c r="M82" s="457">
        <f t="shared" ref="M82:P83" si="114">6500*2*3</f>
        <v>39000</v>
      </c>
      <c r="N82" s="457">
        <f t="shared" si="114"/>
        <v>39000</v>
      </c>
      <c r="O82" s="457">
        <f t="shared" si="114"/>
        <v>39000</v>
      </c>
      <c r="P82" s="457">
        <f t="shared" si="114"/>
        <v>39000</v>
      </c>
      <c r="Q82" s="404">
        <f t="shared" si="42"/>
        <v>156000</v>
      </c>
      <c r="R82" s="448">
        <v>0</v>
      </c>
      <c r="S82" s="449">
        <v>0</v>
      </c>
      <c r="T82" s="449">
        <v>0</v>
      </c>
      <c r="U82" s="449">
        <v>0</v>
      </c>
      <c r="V82" s="404">
        <f t="shared" si="26"/>
        <v>0</v>
      </c>
      <c r="W82" s="775">
        <f t="shared" si="98"/>
        <v>11700</v>
      </c>
      <c r="X82" s="775">
        <f t="shared" si="99"/>
        <v>11700</v>
      </c>
      <c r="Y82" s="775">
        <f t="shared" si="100"/>
        <v>11700</v>
      </c>
      <c r="Z82" s="775">
        <f t="shared" si="101"/>
        <v>11700</v>
      </c>
      <c r="AA82" s="404">
        <f t="shared" si="87"/>
        <v>46800</v>
      </c>
      <c r="AB82" s="448">
        <v>0</v>
      </c>
      <c r="AC82" s="449">
        <v>0</v>
      </c>
      <c r="AD82" s="449">
        <v>0</v>
      </c>
      <c r="AE82" s="449">
        <v>0</v>
      </c>
      <c r="AF82" s="404">
        <f t="shared" si="88"/>
        <v>0</v>
      </c>
      <c r="AG82" s="428">
        <v>0</v>
      </c>
      <c r="AH82" s="428">
        <v>0</v>
      </c>
      <c r="AI82" s="428">
        <v>0</v>
      </c>
      <c r="AJ82" s="428">
        <v>0</v>
      </c>
      <c r="AK82" s="404">
        <f t="shared" si="90"/>
        <v>0</v>
      </c>
      <c r="AL82" s="448">
        <v>0</v>
      </c>
      <c r="AM82" s="449">
        <v>0</v>
      </c>
      <c r="AN82" s="449">
        <v>0</v>
      </c>
      <c r="AO82" s="449">
        <v>0</v>
      </c>
      <c r="AP82" s="405">
        <f t="shared" si="91"/>
        <v>0</v>
      </c>
      <c r="AQ82" s="787">
        <f t="shared" si="103"/>
        <v>50700</v>
      </c>
      <c r="AR82" s="407">
        <f t="shared" si="104"/>
        <v>50700</v>
      </c>
      <c r="AS82" s="407">
        <f t="shared" si="105"/>
        <v>50700</v>
      </c>
      <c r="AT82" s="407">
        <f t="shared" si="106"/>
        <v>50700</v>
      </c>
      <c r="AU82" s="408">
        <f t="shared" si="107"/>
        <v>202800</v>
      </c>
      <c r="AV82" s="392" t="s">
        <v>348</v>
      </c>
      <c r="AW82" s="392" t="s">
        <v>348</v>
      </c>
      <c r="AX82" s="392" t="s">
        <v>348</v>
      </c>
      <c r="AY82" s="392" t="s">
        <v>348</v>
      </c>
      <c r="AZ82" s="387" t="s">
        <v>348</v>
      </c>
      <c r="BA82" s="343"/>
      <c r="BB82" s="406">
        <f t="shared" si="92"/>
        <v>4258.8</v>
      </c>
      <c r="BC82" s="407">
        <f t="shared" si="93"/>
        <v>4258.8</v>
      </c>
      <c r="BD82" s="407">
        <f t="shared" si="94"/>
        <v>4258.8</v>
      </c>
      <c r="BE82" s="407">
        <f t="shared" si="95"/>
        <v>4258.8</v>
      </c>
      <c r="BF82" s="404">
        <f t="shared" si="96"/>
        <v>405600</v>
      </c>
      <c r="BG82" s="343"/>
      <c r="BH82" s="406">
        <f t="shared" si="108"/>
        <v>9886.5</v>
      </c>
      <c r="BI82" s="407">
        <f t="shared" si="109"/>
        <v>9886.5</v>
      </c>
      <c r="BJ82" s="407">
        <f t="shared" si="110"/>
        <v>9886.5</v>
      </c>
      <c r="BK82" s="407">
        <f t="shared" si="111"/>
        <v>9886.5</v>
      </c>
      <c r="BL82" s="408">
        <f t="shared" si="112"/>
        <v>39546</v>
      </c>
    </row>
    <row r="83" spans="3:64" s="335" customFormat="1" ht="25.9" hidden="1" customHeight="1" thickBot="1">
      <c r="C83" s="1112"/>
      <c r="D83" s="430" t="s">
        <v>439</v>
      </c>
      <c r="E83" s="401">
        <v>0.22</v>
      </c>
      <c r="F83" s="401">
        <v>0.22</v>
      </c>
      <c r="G83" s="401">
        <v>0.22</v>
      </c>
      <c r="H83" s="401">
        <v>0.22</v>
      </c>
      <c r="I83" s="717">
        <v>2</v>
      </c>
      <c r="J83" s="717">
        <v>2</v>
      </c>
      <c r="K83" s="717">
        <v>2</v>
      </c>
      <c r="L83" s="717">
        <v>2</v>
      </c>
      <c r="M83" s="457">
        <f t="shared" si="114"/>
        <v>39000</v>
      </c>
      <c r="N83" s="457">
        <f t="shared" si="114"/>
        <v>39000</v>
      </c>
      <c r="O83" s="457">
        <f t="shared" si="114"/>
        <v>39000</v>
      </c>
      <c r="P83" s="457">
        <f t="shared" si="114"/>
        <v>39000</v>
      </c>
      <c r="Q83" s="404">
        <f t="shared" si="42"/>
        <v>156000</v>
      </c>
      <c r="R83" s="448">
        <v>0</v>
      </c>
      <c r="S83" s="449">
        <v>0</v>
      </c>
      <c r="T83" s="449">
        <v>0</v>
      </c>
      <c r="U83" s="449">
        <v>0</v>
      </c>
      <c r="V83" s="404">
        <f t="shared" si="26"/>
        <v>0</v>
      </c>
      <c r="W83" s="775">
        <f t="shared" si="98"/>
        <v>11700</v>
      </c>
      <c r="X83" s="775">
        <f t="shared" si="99"/>
        <v>11700</v>
      </c>
      <c r="Y83" s="775">
        <f t="shared" si="100"/>
        <v>11700</v>
      </c>
      <c r="Z83" s="775">
        <f t="shared" si="101"/>
        <v>11700</v>
      </c>
      <c r="AA83" s="404">
        <f t="shared" si="87"/>
        <v>46800</v>
      </c>
      <c r="AB83" s="448">
        <v>0</v>
      </c>
      <c r="AC83" s="449">
        <v>0</v>
      </c>
      <c r="AD83" s="449">
        <v>0</v>
      </c>
      <c r="AE83" s="449">
        <v>0</v>
      </c>
      <c r="AF83" s="404">
        <f t="shared" si="88"/>
        <v>0</v>
      </c>
      <c r="AG83" s="428">
        <v>0</v>
      </c>
      <c r="AH83" s="428">
        <v>0</v>
      </c>
      <c r="AI83" s="428">
        <v>0</v>
      </c>
      <c r="AJ83" s="428">
        <v>0</v>
      </c>
      <c r="AK83" s="404">
        <f t="shared" si="90"/>
        <v>0</v>
      </c>
      <c r="AL83" s="448">
        <v>0</v>
      </c>
      <c r="AM83" s="449">
        <v>0</v>
      </c>
      <c r="AN83" s="449">
        <v>0</v>
      </c>
      <c r="AO83" s="449">
        <v>0</v>
      </c>
      <c r="AP83" s="405">
        <f t="shared" si="91"/>
        <v>0</v>
      </c>
      <c r="AQ83" s="787">
        <f t="shared" si="103"/>
        <v>50700</v>
      </c>
      <c r="AR83" s="407">
        <f t="shared" si="104"/>
        <v>50700</v>
      </c>
      <c r="AS83" s="407">
        <f t="shared" si="105"/>
        <v>50700</v>
      </c>
      <c r="AT83" s="407">
        <f t="shared" si="106"/>
        <v>50700</v>
      </c>
      <c r="AU83" s="408">
        <f t="shared" si="107"/>
        <v>202800</v>
      </c>
      <c r="AV83" s="392" t="s">
        <v>348</v>
      </c>
      <c r="AW83" s="392" t="s">
        <v>348</v>
      </c>
      <c r="AX83" s="392" t="s">
        <v>348</v>
      </c>
      <c r="AY83" s="392" t="s">
        <v>348</v>
      </c>
      <c r="AZ83" s="387" t="s">
        <v>348</v>
      </c>
      <c r="BA83" s="343"/>
      <c r="BB83" s="406">
        <f t="shared" si="92"/>
        <v>11154</v>
      </c>
      <c r="BC83" s="407">
        <f t="shared" si="93"/>
        <v>11154</v>
      </c>
      <c r="BD83" s="407">
        <f t="shared" si="94"/>
        <v>11154</v>
      </c>
      <c r="BE83" s="407">
        <f t="shared" si="95"/>
        <v>11154</v>
      </c>
      <c r="BF83" s="404">
        <f t="shared" si="96"/>
        <v>405600</v>
      </c>
      <c r="BG83" s="343"/>
      <c r="BH83" s="406">
        <f t="shared" si="108"/>
        <v>9886.5</v>
      </c>
      <c r="BI83" s="407">
        <f t="shared" si="109"/>
        <v>9886.5</v>
      </c>
      <c r="BJ83" s="407">
        <f t="shared" si="110"/>
        <v>9886.5</v>
      </c>
      <c r="BK83" s="407">
        <f t="shared" si="111"/>
        <v>9886.5</v>
      </c>
      <c r="BL83" s="408">
        <f t="shared" si="112"/>
        <v>39546</v>
      </c>
    </row>
    <row r="84" spans="3:64" s="335" customFormat="1" ht="25.9" hidden="1" customHeight="1">
      <c r="C84" s="1112"/>
      <c r="D84" s="430" t="s">
        <v>443</v>
      </c>
      <c r="E84" s="401">
        <v>0.22</v>
      </c>
      <c r="F84" s="401">
        <v>0.22</v>
      </c>
      <c r="G84" s="401">
        <v>0.22</v>
      </c>
      <c r="H84" s="401">
        <v>0.22</v>
      </c>
      <c r="I84" s="717">
        <v>1</v>
      </c>
      <c r="J84" s="717">
        <v>1</v>
      </c>
      <c r="K84" s="717">
        <v>1</v>
      </c>
      <c r="L84" s="717">
        <v>1</v>
      </c>
      <c r="M84" s="457">
        <f>13500*3</f>
        <v>40500</v>
      </c>
      <c r="N84" s="457">
        <f>13500*3</f>
        <v>40500</v>
      </c>
      <c r="O84" s="457">
        <f>13500*3</f>
        <v>40500</v>
      </c>
      <c r="P84" s="457">
        <f>13500*3</f>
        <v>40500</v>
      </c>
      <c r="Q84" s="404">
        <f t="shared" si="42"/>
        <v>162000</v>
      </c>
      <c r="R84" s="448">
        <v>0</v>
      </c>
      <c r="S84" s="449">
        <v>0</v>
      </c>
      <c r="T84" s="449">
        <v>0</v>
      </c>
      <c r="U84" s="449">
        <v>0</v>
      </c>
      <c r="V84" s="404">
        <f t="shared" si="26"/>
        <v>0</v>
      </c>
      <c r="W84" s="775">
        <f t="shared" si="98"/>
        <v>12150</v>
      </c>
      <c r="X84" s="775">
        <f t="shared" si="99"/>
        <v>12150</v>
      </c>
      <c r="Y84" s="775">
        <f t="shared" si="100"/>
        <v>12150</v>
      </c>
      <c r="Z84" s="775">
        <f t="shared" si="101"/>
        <v>12150</v>
      </c>
      <c r="AA84" s="404">
        <f t="shared" si="87"/>
        <v>48600</v>
      </c>
      <c r="AB84" s="448">
        <v>0</v>
      </c>
      <c r="AC84" s="449">
        <v>0</v>
      </c>
      <c r="AD84" s="449">
        <v>0</v>
      </c>
      <c r="AE84" s="449">
        <v>0</v>
      </c>
      <c r="AF84" s="404">
        <f t="shared" si="88"/>
        <v>0</v>
      </c>
      <c r="AG84" s="428">
        <v>0</v>
      </c>
      <c r="AH84" s="428">
        <v>0</v>
      </c>
      <c r="AI84" s="428">
        <v>0</v>
      </c>
      <c r="AJ84" s="428">
        <v>0</v>
      </c>
      <c r="AK84" s="404">
        <f t="shared" si="90"/>
        <v>0</v>
      </c>
      <c r="AL84" s="448">
        <v>0</v>
      </c>
      <c r="AM84" s="449">
        <v>0</v>
      </c>
      <c r="AN84" s="449">
        <v>0</v>
      </c>
      <c r="AO84" s="449">
        <v>0</v>
      </c>
      <c r="AP84" s="405">
        <f t="shared" si="91"/>
        <v>0</v>
      </c>
      <c r="AQ84" s="787">
        <f t="shared" si="103"/>
        <v>52650</v>
      </c>
      <c r="AR84" s="407">
        <f t="shared" si="104"/>
        <v>52650</v>
      </c>
      <c r="AS84" s="407">
        <f t="shared" si="105"/>
        <v>52650</v>
      </c>
      <c r="AT84" s="407">
        <f t="shared" si="106"/>
        <v>52650</v>
      </c>
      <c r="AU84" s="408">
        <f t="shared" si="107"/>
        <v>210600</v>
      </c>
      <c r="AV84" s="392" t="s">
        <v>348</v>
      </c>
      <c r="AW84" s="392" t="s">
        <v>348</v>
      </c>
      <c r="AX84" s="392" t="s">
        <v>348</v>
      </c>
      <c r="AY84" s="392" t="s">
        <v>348</v>
      </c>
      <c r="AZ84" s="387" t="s">
        <v>348</v>
      </c>
      <c r="BA84" s="343"/>
      <c r="BB84" s="406">
        <f t="shared" si="92"/>
        <v>11583</v>
      </c>
      <c r="BC84" s="407">
        <f t="shared" si="93"/>
        <v>11583</v>
      </c>
      <c r="BD84" s="407">
        <f t="shared" si="94"/>
        <v>11583</v>
      </c>
      <c r="BE84" s="407">
        <f t="shared" si="95"/>
        <v>11583</v>
      </c>
      <c r="BF84" s="404">
        <f t="shared" si="96"/>
        <v>210600</v>
      </c>
      <c r="BG84" s="343"/>
      <c r="BH84" s="406">
        <f t="shared" si="108"/>
        <v>10266.75</v>
      </c>
      <c r="BI84" s="407">
        <f t="shared" si="109"/>
        <v>10266.75</v>
      </c>
      <c r="BJ84" s="407">
        <f t="shared" si="110"/>
        <v>10266.75</v>
      </c>
      <c r="BK84" s="407">
        <f t="shared" si="111"/>
        <v>10266.75</v>
      </c>
      <c r="BL84" s="408">
        <f t="shared" si="112"/>
        <v>41067</v>
      </c>
    </row>
    <row r="85" spans="3:64" s="335" customFormat="1" ht="25.9" hidden="1" customHeight="1" thickBot="1">
      <c r="C85" s="1112"/>
      <c r="D85" s="430"/>
      <c r="E85" s="401"/>
      <c r="F85" s="401"/>
      <c r="G85" s="401"/>
      <c r="H85" s="401"/>
      <c r="I85" s="717"/>
      <c r="J85" s="717"/>
      <c r="K85" s="717"/>
      <c r="L85" s="717"/>
      <c r="M85" s="457"/>
      <c r="N85" s="457"/>
      <c r="O85" s="457"/>
      <c r="P85" s="457"/>
      <c r="Q85" s="404">
        <f t="shared" si="42"/>
        <v>0</v>
      </c>
      <c r="R85" s="448">
        <v>0</v>
      </c>
      <c r="S85" s="449">
        <v>0</v>
      </c>
      <c r="T85" s="449">
        <v>0</v>
      </c>
      <c r="U85" s="449">
        <v>0</v>
      </c>
      <c r="V85" s="404">
        <f t="shared" si="26"/>
        <v>0</v>
      </c>
      <c r="W85" s="775">
        <v>0</v>
      </c>
      <c r="X85" s="775">
        <v>0</v>
      </c>
      <c r="Y85" s="775">
        <v>0</v>
      </c>
      <c r="Z85" s="775">
        <v>0</v>
      </c>
      <c r="AA85" s="404">
        <f t="shared" si="87"/>
        <v>0</v>
      </c>
      <c r="AB85" s="448">
        <v>0</v>
      </c>
      <c r="AC85" s="449">
        <v>0</v>
      </c>
      <c r="AD85" s="449">
        <v>0</v>
      </c>
      <c r="AE85" s="449">
        <v>0</v>
      </c>
      <c r="AF85" s="404">
        <f t="shared" si="88"/>
        <v>0</v>
      </c>
      <c r="AG85" s="428">
        <v>0</v>
      </c>
      <c r="AH85" s="429">
        <v>0</v>
      </c>
      <c r="AI85" s="429">
        <v>0</v>
      </c>
      <c r="AJ85" s="429">
        <v>0</v>
      </c>
      <c r="AK85" s="404">
        <f t="shared" si="90"/>
        <v>0</v>
      </c>
      <c r="AL85" s="450">
        <v>0</v>
      </c>
      <c r="AM85" s="451">
        <v>0</v>
      </c>
      <c r="AN85" s="451">
        <v>0</v>
      </c>
      <c r="AO85" s="451">
        <v>0</v>
      </c>
      <c r="AP85" s="405">
        <f t="shared" si="91"/>
        <v>0</v>
      </c>
      <c r="AQ85" s="787">
        <f t="shared" si="103"/>
        <v>0</v>
      </c>
      <c r="AR85" s="407">
        <f t="shared" si="104"/>
        <v>0</v>
      </c>
      <c r="AS85" s="407">
        <f t="shared" si="105"/>
        <v>0</v>
      </c>
      <c r="AT85" s="407">
        <f t="shared" si="106"/>
        <v>0</v>
      </c>
      <c r="AU85" s="408">
        <f t="shared" si="107"/>
        <v>0</v>
      </c>
      <c r="AV85" s="392" t="s">
        <v>348</v>
      </c>
      <c r="AW85" s="392" t="s">
        <v>348</v>
      </c>
      <c r="AX85" s="392" t="s">
        <v>348</v>
      </c>
      <c r="AY85" s="392" t="s">
        <v>348</v>
      </c>
      <c r="AZ85" s="387" t="s">
        <v>348</v>
      </c>
      <c r="BA85" s="343"/>
      <c r="BB85" s="406">
        <f t="shared" si="92"/>
        <v>0</v>
      </c>
      <c r="BC85" s="407">
        <f t="shared" si="93"/>
        <v>0</v>
      </c>
      <c r="BD85" s="407">
        <f t="shared" si="94"/>
        <v>0</v>
      </c>
      <c r="BE85" s="407">
        <f t="shared" si="95"/>
        <v>0</v>
      </c>
      <c r="BF85" s="404">
        <f t="shared" si="96"/>
        <v>0</v>
      </c>
      <c r="BG85" s="343"/>
      <c r="BH85" s="406">
        <f t="shared" si="108"/>
        <v>0</v>
      </c>
      <c r="BI85" s="407">
        <f t="shared" si="109"/>
        <v>0</v>
      </c>
      <c r="BJ85" s="407">
        <f t="shared" si="110"/>
        <v>0</v>
      </c>
      <c r="BK85" s="407">
        <f t="shared" si="111"/>
        <v>0</v>
      </c>
      <c r="BL85" s="408">
        <f t="shared" si="112"/>
        <v>0</v>
      </c>
    </row>
    <row r="86" spans="3:64" s="335" customFormat="1" ht="25.9" hidden="1" customHeight="1">
      <c r="C86" s="1112"/>
      <c r="D86" s="430"/>
      <c r="E86" s="401"/>
      <c r="F86" s="401"/>
      <c r="G86" s="401"/>
      <c r="H86" s="401"/>
      <c r="I86" s="451"/>
      <c r="J86" s="451"/>
      <c r="K86" s="451"/>
      <c r="L86" s="451"/>
      <c r="M86" s="457"/>
      <c r="N86" s="450"/>
      <c r="O86" s="450"/>
      <c r="P86" s="450"/>
      <c r="Q86" s="404">
        <f t="shared" si="42"/>
        <v>0</v>
      </c>
      <c r="R86" s="448">
        <v>0</v>
      </c>
      <c r="S86" s="449">
        <v>0</v>
      </c>
      <c r="T86" s="449">
        <v>0</v>
      </c>
      <c r="U86" s="449">
        <v>0</v>
      </c>
      <c r="V86" s="404">
        <f t="shared" si="26"/>
        <v>0</v>
      </c>
      <c r="W86" s="775">
        <v>0</v>
      </c>
      <c r="X86" s="776">
        <v>0</v>
      </c>
      <c r="Y86" s="776">
        <v>0</v>
      </c>
      <c r="Z86" s="776">
        <v>0</v>
      </c>
      <c r="AA86" s="404">
        <f t="shared" si="87"/>
        <v>0</v>
      </c>
      <c r="AB86" s="450">
        <v>0</v>
      </c>
      <c r="AC86" s="451">
        <v>0</v>
      </c>
      <c r="AD86" s="451">
        <v>0</v>
      </c>
      <c r="AE86" s="451">
        <v>0</v>
      </c>
      <c r="AF86" s="404">
        <f t="shared" si="88"/>
        <v>0</v>
      </c>
      <c r="AG86" s="428">
        <v>0</v>
      </c>
      <c r="AH86" s="429">
        <v>0</v>
      </c>
      <c r="AI86" s="429">
        <v>0</v>
      </c>
      <c r="AJ86" s="429">
        <v>0</v>
      </c>
      <c r="AK86" s="404">
        <f t="shared" si="90"/>
        <v>0</v>
      </c>
      <c r="AL86" s="450">
        <v>0</v>
      </c>
      <c r="AM86" s="451">
        <v>0</v>
      </c>
      <c r="AN86" s="451">
        <v>0</v>
      </c>
      <c r="AO86" s="451">
        <v>0</v>
      </c>
      <c r="AP86" s="405">
        <f t="shared" si="91"/>
        <v>0</v>
      </c>
      <c r="AQ86" s="787">
        <f t="shared" si="103"/>
        <v>0</v>
      </c>
      <c r="AR86" s="407">
        <f t="shared" si="104"/>
        <v>0</v>
      </c>
      <c r="AS86" s="407">
        <f t="shared" si="105"/>
        <v>0</v>
      </c>
      <c r="AT86" s="407">
        <f t="shared" si="106"/>
        <v>0</v>
      </c>
      <c r="AU86" s="408">
        <f t="shared" si="107"/>
        <v>0</v>
      </c>
      <c r="AV86" s="392" t="s">
        <v>348</v>
      </c>
      <c r="AW86" s="392" t="s">
        <v>348</v>
      </c>
      <c r="AX86" s="392" t="s">
        <v>348</v>
      </c>
      <c r="AY86" s="392" t="s">
        <v>348</v>
      </c>
      <c r="AZ86" s="387" t="s">
        <v>348</v>
      </c>
      <c r="BA86" s="343"/>
      <c r="BB86" s="406">
        <f t="shared" si="92"/>
        <v>0</v>
      </c>
      <c r="BC86" s="407">
        <f t="shared" si="93"/>
        <v>0</v>
      </c>
      <c r="BD86" s="407">
        <f t="shared" si="94"/>
        <v>0</v>
      </c>
      <c r="BE86" s="407">
        <f t="shared" si="95"/>
        <v>0</v>
      </c>
      <c r="BF86" s="404">
        <f t="shared" si="96"/>
        <v>0</v>
      </c>
      <c r="BG86" s="343"/>
      <c r="BH86" s="406">
        <f t="shared" si="108"/>
        <v>0</v>
      </c>
      <c r="BI86" s="407">
        <f t="shared" si="109"/>
        <v>0</v>
      </c>
      <c r="BJ86" s="407">
        <f t="shared" si="110"/>
        <v>0</v>
      </c>
      <c r="BK86" s="407">
        <f t="shared" si="111"/>
        <v>0</v>
      </c>
      <c r="BL86" s="408">
        <f t="shared" si="112"/>
        <v>0</v>
      </c>
    </row>
    <row r="87" spans="3:64" s="335" customFormat="1" ht="25.9" hidden="1" customHeight="1">
      <c r="C87" s="1112"/>
      <c r="D87" s="446"/>
      <c r="E87" s="400"/>
      <c r="F87" s="401"/>
      <c r="G87" s="401"/>
      <c r="H87" s="402"/>
      <c r="I87" s="450"/>
      <c r="J87" s="451"/>
      <c r="K87" s="451"/>
      <c r="L87" s="452"/>
      <c r="M87" s="450"/>
      <c r="N87" s="451"/>
      <c r="O87" s="451"/>
      <c r="P87" s="451"/>
      <c r="Q87" s="404">
        <f t="shared" si="42"/>
        <v>0</v>
      </c>
      <c r="R87" s="450"/>
      <c r="S87" s="451"/>
      <c r="T87" s="451"/>
      <c r="U87" s="451"/>
      <c r="V87" s="404">
        <f t="shared" si="26"/>
        <v>0</v>
      </c>
      <c r="W87" s="775"/>
      <c r="X87" s="776"/>
      <c r="Y87" s="776"/>
      <c r="Z87" s="776"/>
      <c r="AA87" s="404">
        <f t="shared" si="87"/>
        <v>0</v>
      </c>
      <c r="AB87" s="450"/>
      <c r="AC87" s="451"/>
      <c r="AD87" s="451"/>
      <c r="AE87" s="451"/>
      <c r="AF87" s="404">
        <f t="shared" si="88"/>
        <v>0</v>
      </c>
      <c r="AG87" s="428"/>
      <c r="AH87" s="429"/>
      <c r="AI87" s="429"/>
      <c r="AJ87" s="429"/>
      <c r="AK87" s="404">
        <f t="shared" si="90"/>
        <v>0</v>
      </c>
      <c r="AL87" s="450"/>
      <c r="AM87" s="451"/>
      <c r="AN87" s="451"/>
      <c r="AO87" s="451"/>
      <c r="AP87" s="405">
        <f t="shared" si="91"/>
        <v>0</v>
      </c>
      <c r="AQ87" s="787">
        <f t="shared" si="103"/>
        <v>0</v>
      </c>
      <c r="AR87" s="407">
        <f t="shared" si="104"/>
        <v>0</v>
      </c>
      <c r="AS87" s="407">
        <f t="shared" si="105"/>
        <v>0</v>
      </c>
      <c r="AT87" s="407">
        <f t="shared" si="106"/>
        <v>0</v>
      </c>
      <c r="AU87" s="408">
        <f t="shared" si="107"/>
        <v>0</v>
      </c>
      <c r="AV87" s="392" t="s">
        <v>348</v>
      </c>
      <c r="AW87" s="392" t="s">
        <v>348</v>
      </c>
      <c r="AX87" s="392" t="s">
        <v>348</v>
      </c>
      <c r="AY87" s="392" t="s">
        <v>348</v>
      </c>
      <c r="AZ87" s="387" t="s">
        <v>348</v>
      </c>
      <c r="BA87" s="343"/>
      <c r="BB87" s="406">
        <f t="shared" si="92"/>
        <v>0</v>
      </c>
      <c r="BC87" s="407">
        <f t="shared" si="93"/>
        <v>0</v>
      </c>
      <c r="BD87" s="407">
        <f t="shared" si="94"/>
        <v>0</v>
      </c>
      <c r="BE87" s="407">
        <f t="shared" si="95"/>
        <v>0</v>
      </c>
      <c r="BF87" s="404">
        <f t="shared" si="96"/>
        <v>0</v>
      </c>
      <c r="BG87" s="343"/>
      <c r="BH87" s="406">
        <f t="shared" si="108"/>
        <v>0</v>
      </c>
      <c r="BI87" s="407">
        <f t="shared" si="109"/>
        <v>0</v>
      </c>
      <c r="BJ87" s="407">
        <f t="shared" si="110"/>
        <v>0</v>
      </c>
      <c r="BK87" s="407">
        <f t="shared" si="111"/>
        <v>0</v>
      </c>
      <c r="BL87" s="408">
        <f t="shared" si="112"/>
        <v>0</v>
      </c>
    </row>
    <row r="88" spans="3:64" s="335" customFormat="1" ht="25.9" hidden="1" customHeight="1">
      <c r="C88" s="1112"/>
      <c r="D88" s="446"/>
      <c r="E88" s="400"/>
      <c r="F88" s="401"/>
      <c r="G88" s="401"/>
      <c r="H88" s="402"/>
      <c r="I88" s="450"/>
      <c r="J88" s="451"/>
      <c r="K88" s="451"/>
      <c r="L88" s="452"/>
      <c r="M88" s="450"/>
      <c r="N88" s="451"/>
      <c r="O88" s="451"/>
      <c r="P88" s="451"/>
      <c r="Q88" s="404">
        <f t="shared" ref="Q88:Q100" si="115">SUM(M88:P88)</f>
        <v>0</v>
      </c>
      <c r="R88" s="450"/>
      <c r="S88" s="451"/>
      <c r="T88" s="451"/>
      <c r="U88" s="451"/>
      <c r="V88" s="404">
        <f t="shared" ref="V88:V126" si="116">SUM(R88:U88)</f>
        <v>0</v>
      </c>
      <c r="W88" s="775"/>
      <c r="X88" s="776"/>
      <c r="Y88" s="776"/>
      <c r="Z88" s="776"/>
      <c r="AA88" s="404">
        <f t="shared" si="87"/>
        <v>0</v>
      </c>
      <c r="AB88" s="450"/>
      <c r="AC88" s="451"/>
      <c r="AD88" s="451"/>
      <c r="AE88" s="451"/>
      <c r="AF88" s="404">
        <f t="shared" si="88"/>
        <v>0</v>
      </c>
      <c r="AG88" s="428"/>
      <c r="AH88" s="429"/>
      <c r="AI88" s="429"/>
      <c r="AJ88" s="429"/>
      <c r="AK88" s="404">
        <f t="shared" si="90"/>
        <v>0</v>
      </c>
      <c r="AL88" s="450"/>
      <c r="AM88" s="451"/>
      <c r="AN88" s="451"/>
      <c r="AO88" s="451"/>
      <c r="AP88" s="405">
        <f t="shared" si="91"/>
        <v>0</v>
      </c>
      <c r="AQ88" s="787">
        <f t="shared" si="103"/>
        <v>0</v>
      </c>
      <c r="AR88" s="407">
        <f t="shared" si="104"/>
        <v>0</v>
      </c>
      <c r="AS88" s="407">
        <f t="shared" si="105"/>
        <v>0</v>
      </c>
      <c r="AT88" s="407">
        <f t="shared" si="106"/>
        <v>0</v>
      </c>
      <c r="AU88" s="408">
        <f t="shared" si="107"/>
        <v>0</v>
      </c>
      <c r="AV88" s="392" t="s">
        <v>348</v>
      </c>
      <c r="AW88" s="392" t="s">
        <v>348</v>
      </c>
      <c r="AX88" s="392" t="s">
        <v>348</v>
      </c>
      <c r="AY88" s="392" t="s">
        <v>348</v>
      </c>
      <c r="AZ88" s="387" t="s">
        <v>348</v>
      </c>
      <c r="BA88" s="343"/>
      <c r="BB88" s="406">
        <f t="shared" si="92"/>
        <v>0</v>
      </c>
      <c r="BC88" s="407">
        <f t="shared" si="93"/>
        <v>0</v>
      </c>
      <c r="BD88" s="407">
        <f t="shared" si="94"/>
        <v>0</v>
      </c>
      <c r="BE88" s="407">
        <f t="shared" si="95"/>
        <v>0</v>
      </c>
      <c r="BF88" s="404">
        <f t="shared" si="96"/>
        <v>0</v>
      </c>
      <c r="BG88" s="343"/>
      <c r="BH88" s="406">
        <f t="shared" si="108"/>
        <v>0</v>
      </c>
      <c r="BI88" s="407">
        <f t="shared" si="109"/>
        <v>0</v>
      </c>
      <c r="BJ88" s="407">
        <f t="shared" si="110"/>
        <v>0</v>
      </c>
      <c r="BK88" s="407">
        <f t="shared" si="111"/>
        <v>0</v>
      </c>
      <c r="BL88" s="408">
        <f t="shared" si="112"/>
        <v>0</v>
      </c>
    </row>
    <row r="89" spans="3:64" s="335" customFormat="1" ht="25.9" hidden="1" customHeight="1">
      <c r="C89" s="1112"/>
      <c r="D89" s="446"/>
      <c r="E89" s="400"/>
      <c r="F89" s="401"/>
      <c r="G89" s="401"/>
      <c r="H89" s="402"/>
      <c r="I89" s="450"/>
      <c r="J89" s="451"/>
      <c r="K89" s="451"/>
      <c r="L89" s="452"/>
      <c r="M89" s="450"/>
      <c r="N89" s="451"/>
      <c r="O89" s="451"/>
      <c r="P89" s="451"/>
      <c r="Q89" s="404">
        <f t="shared" si="115"/>
        <v>0</v>
      </c>
      <c r="R89" s="450"/>
      <c r="S89" s="451"/>
      <c r="T89" s="451"/>
      <c r="U89" s="451"/>
      <c r="V89" s="404">
        <f t="shared" si="116"/>
        <v>0</v>
      </c>
      <c r="W89" s="775"/>
      <c r="X89" s="776"/>
      <c r="Y89" s="776"/>
      <c r="Z89" s="776"/>
      <c r="AA89" s="404">
        <f t="shared" si="87"/>
        <v>0</v>
      </c>
      <c r="AB89" s="450"/>
      <c r="AC89" s="451"/>
      <c r="AD89" s="451"/>
      <c r="AE89" s="451"/>
      <c r="AF89" s="404">
        <f t="shared" si="88"/>
        <v>0</v>
      </c>
      <c r="AG89" s="428"/>
      <c r="AH89" s="429"/>
      <c r="AI89" s="429"/>
      <c r="AJ89" s="429"/>
      <c r="AK89" s="404">
        <f t="shared" si="90"/>
        <v>0</v>
      </c>
      <c r="AL89" s="450"/>
      <c r="AM89" s="451"/>
      <c r="AN89" s="451"/>
      <c r="AO89" s="451"/>
      <c r="AP89" s="405">
        <f t="shared" si="91"/>
        <v>0</v>
      </c>
      <c r="AQ89" s="787">
        <f t="shared" si="103"/>
        <v>0</v>
      </c>
      <c r="AR89" s="407">
        <f t="shared" si="104"/>
        <v>0</v>
      </c>
      <c r="AS89" s="407">
        <f t="shared" si="105"/>
        <v>0</v>
      </c>
      <c r="AT89" s="407">
        <f t="shared" si="106"/>
        <v>0</v>
      </c>
      <c r="AU89" s="408">
        <f t="shared" si="107"/>
        <v>0</v>
      </c>
      <c r="AV89" s="392" t="s">
        <v>348</v>
      </c>
      <c r="AW89" s="392" t="s">
        <v>348</v>
      </c>
      <c r="AX89" s="392" t="s">
        <v>348</v>
      </c>
      <c r="AY89" s="392" t="s">
        <v>348</v>
      </c>
      <c r="AZ89" s="387" t="s">
        <v>348</v>
      </c>
      <c r="BA89" s="343"/>
      <c r="BB89" s="406">
        <f t="shared" si="92"/>
        <v>0</v>
      </c>
      <c r="BC89" s="407">
        <f t="shared" si="93"/>
        <v>0</v>
      </c>
      <c r="BD89" s="407">
        <f t="shared" si="94"/>
        <v>0</v>
      </c>
      <c r="BE89" s="407">
        <f t="shared" si="95"/>
        <v>0</v>
      </c>
      <c r="BF89" s="404">
        <f t="shared" si="96"/>
        <v>0</v>
      </c>
      <c r="BG89" s="343"/>
      <c r="BH89" s="406">
        <f t="shared" si="108"/>
        <v>0</v>
      </c>
      <c r="BI89" s="407">
        <f t="shared" si="109"/>
        <v>0</v>
      </c>
      <c r="BJ89" s="407">
        <f t="shared" si="110"/>
        <v>0</v>
      </c>
      <c r="BK89" s="407">
        <f t="shared" si="111"/>
        <v>0</v>
      </c>
      <c r="BL89" s="408">
        <f t="shared" si="112"/>
        <v>0</v>
      </c>
    </row>
    <row r="90" spans="3:64" s="335" customFormat="1" ht="25.9" hidden="1" customHeight="1">
      <c r="C90" s="1112"/>
      <c r="D90" s="446"/>
      <c r="E90" s="400"/>
      <c r="F90" s="401"/>
      <c r="G90" s="401"/>
      <c r="H90" s="402"/>
      <c r="I90" s="450"/>
      <c r="J90" s="451"/>
      <c r="K90" s="451"/>
      <c r="L90" s="452"/>
      <c r="M90" s="450"/>
      <c r="N90" s="451"/>
      <c r="O90" s="451"/>
      <c r="P90" s="451"/>
      <c r="Q90" s="404">
        <f t="shared" si="115"/>
        <v>0</v>
      </c>
      <c r="R90" s="450"/>
      <c r="S90" s="451"/>
      <c r="T90" s="451"/>
      <c r="U90" s="451"/>
      <c r="V90" s="404">
        <f t="shared" si="116"/>
        <v>0</v>
      </c>
      <c r="W90" s="775"/>
      <c r="X90" s="776"/>
      <c r="Y90" s="776"/>
      <c r="Z90" s="776"/>
      <c r="AA90" s="404">
        <f t="shared" si="87"/>
        <v>0</v>
      </c>
      <c r="AB90" s="450"/>
      <c r="AC90" s="451"/>
      <c r="AD90" s="451"/>
      <c r="AE90" s="451"/>
      <c r="AF90" s="404">
        <f t="shared" si="88"/>
        <v>0</v>
      </c>
      <c r="AG90" s="428"/>
      <c r="AH90" s="429"/>
      <c r="AI90" s="429"/>
      <c r="AJ90" s="429"/>
      <c r="AK90" s="404">
        <f t="shared" si="90"/>
        <v>0</v>
      </c>
      <c r="AL90" s="450"/>
      <c r="AM90" s="451"/>
      <c r="AN90" s="451"/>
      <c r="AO90" s="451"/>
      <c r="AP90" s="405">
        <f t="shared" si="91"/>
        <v>0</v>
      </c>
      <c r="AQ90" s="787">
        <f t="shared" si="103"/>
        <v>0</v>
      </c>
      <c r="AR90" s="407">
        <f t="shared" si="104"/>
        <v>0</v>
      </c>
      <c r="AS90" s="407">
        <f t="shared" si="105"/>
        <v>0</v>
      </c>
      <c r="AT90" s="407">
        <f t="shared" si="106"/>
        <v>0</v>
      </c>
      <c r="AU90" s="408">
        <f t="shared" si="107"/>
        <v>0</v>
      </c>
      <c r="AV90" s="392" t="s">
        <v>348</v>
      </c>
      <c r="AW90" s="392" t="s">
        <v>348</v>
      </c>
      <c r="AX90" s="392" t="s">
        <v>348</v>
      </c>
      <c r="AY90" s="392" t="s">
        <v>348</v>
      </c>
      <c r="AZ90" s="387" t="s">
        <v>348</v>
      </c>
      <c r="BA90" s="343"/>
      <c r="BB90" s="406">
        <f t="shared" si="92"/>
        <v>0</v>
      </c>
      <c r="BC90" s="407">
        <f t="shared" si="93"/>
        <v>0</v>
      </c>
      <c r="BD90" s="407">
        <f t="shared" si="94"/>
        <v>0</v>
      </c>
      <c r="BE90" s="407">
        <f t="shared" si="95"/>
        <v>0</v>
      </c>
      <c r="BF90" s="404">
        <f t="shared" si="96"/>
        <v>0</v>
      </c>
      <c r="BG90" s="343"/>
      <c r="BH90" s="406">
        <f t="shared" si="108"/>
        <v>0</v>
      </c>
      <c r="BI90" s="407">
        <f t="shared" si="109"/>
        <v>0</v>
      </c>
      <c r="BJ90" s="407">
        <f t="shared" si="110"/>
        <v>0</v>
      </c>
      <c r="BK90" s="407">
        <f t="shared" si="111"/>
        <v>0</v>
      </c>
      <c r="BL90" s="408">
        <f t="shared" si="112"/>
        <v>0</v>
      </c>
    </row>
    <row r="91" spans="3:64" s="335" customFormat="1" ht="18" hidden="1" customHeight="1">
      <c r="C91" s="1112"/>
      <c r="D91" s="446"/>
      <c r="E91" s="400"/>
      <c r="F91" s="401"/>
      <c r="G91" s="401"/>
      <c r="H91" s="402"/>
      <c r="I91" s="450"/>
      <c r="J91" s="451"/>
      <c r="K91" s="451"/>
      <c r="L91" s="452"/>
      <c r="M91" s="450"/>
      <c r="N91" s="451"/>
      <c r="O91" s="451"/>
      <c r="P91" s="451"/>
      <c r="Q91" s="404">
        <f t="shared" si="115"/>
        <v>0</v>
      </c>
      <c r="R91" s="450"/>
      <c r="S91" s="451"/>
      <c r="T91" s="451"/>
      <c r="U91" s="451"/>
      <c r="V91" s="404">
        <f t="shared" si="116"/>
        <v>0</v>
      </c>
      <c r="W91" s="779"/>
      <c r="X91" s="780"/>
      <c r="Y91" s="780"/>
      <c r="Z91" s="780"/>
      <c r="AA91" s="404">
        <f t="shared" si="87"/>
        <v>0</v>
      </c>
      <c r="AB91" s="450"/>
      <c r="AC91" s="451"/>
      <c r="AD91" s="451"/>
      <c r="AE91" s="451"/>
      <c r="AF91" s="404">
        <f t="shared" si="88"/>
        <v>0</v>
      </c>
      <c r="AG91" s="450"/>
      <c r="AH91" s="451"/>
      <c r="AI91" s="451"/>
      <c r="AJ91" s="451"/>
      <c r="AK91" s="404">
        <f t="shared" si="90"/>
        <v>0</v>
      </c>
      <c r="AL91" s="450"/>
      <c r="AM91" s="451"/>
      <c r="AN91" s="451"/>
      <c r="AO91" s="451"/>
      <c r="AP91" s="405">
        <f t="shared" si="91"/>
        <v>0</v>
      </c>
      <c r="AQ91" s="787">
        <f t="shared" si="103"/>
        <v>0</v>
      </c>
      <c r="AR91" s="407">
        <f t="shared" si="104"/>
        <v>0</v>
      </c>
      <c r="AS91" s="407">
        <f t="shared" si="105"/>
        <v>0</v>
      </c>
      <c r="AT91" s="407">
        <f t="shared" si="106"/>
        <v>0</v>
      </c>
      <c r="AU91" s="408">
        <f t="shared" si="107"/>
        <v>0</v>
      </c>
      <c r="AV91" s="392" t="s">
        <v>348</v>
      </c>
      <c r="AW91" s="392" t="s">
        <v>348</v>
      </c>
      <c r="AX91" s="392" t="s">
        <v>348</v>
      </c>
      <c r="AY91" s="392" t="s">
        <v>348</v>
      </c>
      <c r="AZ91" s="387" t="s">
        <v>348</v>
      </c>
      <c r="BA91" s="343"/>
      <c r="BB91" s="406">
        <f t="shared" si="92"/>
        <v>0</v>
      </c>
      <c r="BC91" s="407">
        <f t="shared" si="93"/>
        <v>0</v>
      </c>
      <c r="BD91" s="407">
        <f t="shared" si="94"/>
        <v>0</v>
      </c>
      <c r="BE91" s="407">
        <f t="shared" si="95"/>
        <v>0</v>
      </c>
      <c r="BF91" s="404">
        <f t="shared" si="96"/>
        <v>0</v>
      </c>
      <c r="BG91" s="343"/>
      <c r="BH91" s="406">
        <f t="shared" si="108"/>
        <v>0</v>
      </c>
      <c r="BI91" s="407">
        <f t="shared" si="109"/>
        <v>0</v>
      </c>
      <c r="BJ91" s="407">
        <f t="shared" si="110"/>
        <v>0</v>
      </c>
      <c r="BK91" s="407">
        <f t="shared" si="111"/>
        <v>0</v>
      </c>
      <c r="BL91" s="408">
        <f t="shared" si="112"/>
        <v>0</v>
      </c>
    </row>
    <row r="92" spans="3:64" s="335" customFormat="1" ht="18" hidden="1" customHeight="1">
      <c r="C92" s="1112"/>
      <c r="D92" s="446"/>
      <c r="E92" s="400"/>
      <c r="F92" s="401"/>
      <c r="G92" s="401"/>
      <c r="H92" s="402"/>
      <c r="I92" s="450"/>
      <c r="J92" s="451"/>
      <c r="K92" s="451"/>
      <c r="L92" s="452"/>
      <c r="M92" s="450"/>
      <c r="N92" s="451"/>
      <c r="O92" s="451"/>
      <c r="P92" s="451"/>
      <c r="Q92" s="404">
        <f t="shared" si="115"/>
        <v>0</v>
      </c>
      <c r="R92" s="450"/>
      <c r="S92" s="451"/>
      <c r="T92" s="451"/>
      <c r="U92" s="451"/>
      <c r="V92" s="404">
        <f t="shared" si="116"/>
        <v>0</v>
      </c>
      <c r="W92" s="779"/>
      <c r="X92" s="780"/>
      <c r="Y92" s="780"/>
      <c r="Z92" s="780"/>
      <c r="AA92" s="404">
        <f t="shared" si="87"/>
        <v>0</v>
      </c>
      <c r="AB92" s="450"/>
      <c r="AC92" s="451"/>
      <c r="AD92" s="451"/>
      <c r="AE92" s="451"/>
      <c r="AF92" s="404">
        <f t="shared" si="88"/>
        <v>0</v>
      </c>
      <c r="AG92" s="450"/>
      <c r="AH92" s="451"/>
      <c r="AI92" s="451"/>
      <c r="AJ92" s="451"/>
      <c r="AK92" s="404">
        <f t="shared" si="90"/>
        <v>0</v>
      </c>
      <c r="AL92" s="450"/>
      <c r="AM92" s="451"/>
      <c r="AN92" s="451"/>
      <c r="AO92" s="451"/>
      <c r="AP92" s="405">
        <f t="shared" si="91"/>
        <v>0</v>
      </c>
      <c r="AQ92" s="787">
        <f t="shared" si="103"/>
        <v>0</v>
      </c>
      <c r="AR92" s="407">
        <f t="shared" si="104"/>
        <v>0</v>
      </c>
      <c r="AS92" s="407">
        <f t="shared" si="105"/>
        <v>0</v>
      </c>
      <c r="AT92" s="407">
        <f t="shared" si="106"/>
        <v>0</v>
      </c>
      <c r="AU92" s="408">
        <f t="shared" si="107"/>
        <v>0</v>
      </c>
      <c r="AV92" s="392" t="s">
        <v>348</v>
      </c>
      <c r="AW92" s="392" t="s">
        <v>348</v>
      </c>
      <c r="AX92" s="392" t="s">
        <v>348</v>
      </c>
      <c r="AY92" s="392" t="s">
        <v>348</v>
      </c>
      <c r="AZ92" s="387" t="s">
        <v>348</v>
      </c>
      <c r="BA92" s="343"/>
      <c r="BB92" s="406">
        <f t="shared" si="92"/>
        <v>0</v>
      </c>
      <c r="BC92" s="407">
        <f t="shared" si="93"/>
        <v>0</v>
      </c>
      <c r="BD92" s="407">
        <f t="shared" si="94"/>
        <v>0</v>
      </c>
      <c r="BE92" s="407">
        <f t="shared" si="95"/>
        <v>0</v>
      </c>
      <c r="BF92" s="404">
        <f t="shared" si="96"/>
        <v>0</v>
      </c>
      <c r="BG92" s="343"/>
      <c r="BH92" s="406">
        <f t="shared" si="108"/>
        <v>0</v>
      </c>
      <c r="BI92" s="407">
        <f t="shared" si="109"/>
        <v>0</v>
      </c>
      <c r="BJ92" s="407">
        <f t="shared" si="110"/>
        <v>0</v>
      </c>
      <c r="BK92" s="407">
        <f t="shared" si="111"/>
        <v>0</v>
      </c>
      <c r="BL92" s="408">
        <f t="shared" si="112"/>
        <v>0</v>
      </c>
    </row>
    <row r="93" spans="3:64" s="335" customFormat="1" ht="18" hidden="1" customHeight="1">
      <c r="C93" s="1112"/>
      <c r="D93" s="446"/>
      <c r="E93" s="400"/>
      <c r="F93" s="401"/>
      <c r="G93" s="401"/>
      <c r="H93" s="402"/>
      <c r="I93" s="450"/>
      <c r="J93" s="451"/>
      <c r="K93" s="451"/>
      <c r="L93" s="452"/>
      <c r="M93" s="450"/>
      <c r="N93" s="451"/>
      <c r="O93" s="451"/>
      <c r="P93" s="451"/>
      <c r="Q93" s="404">
        <f t="shared" si="115"/>
        <v>0</v>
      </c>
      <c r="R93" s="450"/>
      <c r="S93" s="451"/>
      <c r="T93" s="451"/>
      <c r="U93" s="451"/>
      <c r="V93" s="404">
        <f t="shared" si="116"/>
        <v>0</v>
      </c>
      <c r="W93" s="779"/>
      <c r="X93" s="780"/>
      <c r="Y93" s="780"/>
      <c r="Z93" s="780"/>
      <c r="AA93" s="404">
        <f t="shared" si="87"/>
        <v>0</v>
      </c>
      <c r="AB93" s="450"/>
      <c r="AC93" s="451"/>
      <c r="AD93" s="451"/>
      <c r="AE93" s="451"/>
      <c r="AF93" s="404">
        <f t="shared" si="88"/>
        <v>0</v>
      </c>
      <c r="AG93" s="450"/>
      <c r="AH93" s="451"/>
      <c r="AI93" s="451"/>
      <c r="AJ93" s="451"/>
      <c r="AK93" s="404">
        <f t="shared" si="90"/>
        <v>0</v>
      </c>
      <c r="AL93" s="450"/>
      <c r="AM93" s="451"/>
      <c r="AN93" s="451"/>
      <c r="AO93" s="451"/>
      <c r="AP93" s="405">
        <f t="shared" si="91"/>
        <v>0</v>
      </c>
      <c r="AQ93" s="787">
        <f t="shared" si="103"/>
        <v>0</v>
      </c>
      <c r="AR93" s="407">
        <f t="shared" si="104"/>
        <v>0</v>
      </c>
      <c r="AS93" s="407">
        <f t="shared" si="105"/>
        <v>0</v>
      </c>
      <c r="AT93" s="407">
        <f t="shared" si="106"/>
        <v>0</v>
      </c>
      <c r="AU93" s="408">
        <f t="shared" si="107"/>
        <v>0</v>
      </c>
      <c r="AV93" s="392" t="s">
        <v>348</v>
      </c>
      <c r="AW93" s="392" t="s">
        <v>348</v>
      </c>
      <c r="AX93" s="392" t="s">
        <v>348</v>
      </c>
      <c r="AY93" s="392" t="s">
        <v>348</v>
      </c>
      <c r="AZ93" s="387" t="s">
        <v>348</v>
      </c>
      <c r="BA93" s="343"/>
      <c r="BB93" s="406">
        <f t="shared" si="92"/>
        <v>0</v>
      </c>
      <c r="BC93" s="407">
        <f t="shared" si="93"/>
        <v>0</v>
      </c>
      <c r="BD93" s="407">
        <f t="shared" si="94"/>
        <v>0</v>
      </c>
      <c r="BE93" s="407">
        <f t="shared" si="95"/>
        <v>0</v>
      </c>
      <c r="BF93" s="404">
        <f t="shared" si="96"/>
        <v>0</v>
      </c>
      <c r="BG93" s="343"/>
      <c r="BH93" s="406">
        <f t="shared" si="108"/>
        <v>0</v>
      </c>
      <c r="BI93" s="407">
        <f t="shared" si="109"/>
        <v>0</v>
      </c>
      <c r="BJ93" s="407">
        <f t="shared" si="110"/>
        <v>0</v>
      </c>
      <c r="BK93" s="407">
        <f t="shared" si="111"/>
        <v>0</v>
      </c>
      <c r="BL93" s="408">
        <f t="shared" si="112"/>
        <v>0</v>
      </c>
    </row>
    <row r="94" spans="3:64" s="335" customFormat="1" ht="18" hidden="1" customHeight="1">
      <c r="C94" s="1112"/>
      <c r="D94" s="446"/>
      <c r="E94" s="400"/>
      <c r="F94" s="401"/>
      <c r="G94" s="401"/>
      <c r="H94" s="402"/>
      <c r="I94" s="450"/>
      <c r="J94" s="451"/>
      <c r="K94" s="451"/>
      <c r="L94" s="452"/>
      <c r="M94" s="450"/>
      <c r="N94" s="451"/>
      <c r="O94" s="451"/>
      <c r="P94" s="451"/>
      <c r="Q94" s="404">
        <f t="shared" si="115"/>
        <v>0</v>
      </c>
      <c r="R94" s="450"/>
      <c r="S94" s="451"/>
      <c r="T94" s="451"/>
      <c r="U94" s="451"/>
      <c r="V94" s="404">
        <f t="shared" si="116"/>
        <v>0</v>
      </c>
      <c r="W94" s="779"/>
      <c r="X94" s="780"/>
      <c r="Y94" s="780"/>
      <c r="Z94" s="780"/>
      <c r="AA94" s="404">
        <f t="shared" si="87"/>
        <v>0</v>
      </c>
      <c r="AB94" s="450"/>
      <c r="AC94" s="451"/>
      <c r="AD94" s="451"/>
      <c r="AE94" s="451"/>
      <c r="AF94" s="404">
        <f t="shared" si="88"/>
        <v>0</v>
      </c>
      <c r="AG94" s="450"/>
      <c r="AH94" s="451"/>
      <c r="AI94" s="451"/>
      <c r="AJ94" s="451"/>
      <c r="AK94" s="404">
        <f t="shared" si="90"/>
        <v>0</v>
      </c>
      <c r="AL94" s="450"/>
      <c r="AM94" s="451"/>
      <c r="AN94" s="451"/>
      <c r="AO94" s="451"/>
      <c r="AP94" s="405">
        <f t="shared" si="91"/>
        <v>0</v>
      </c>
      <c r="AQ94" s="787">
        <f t="shared" si="103"/>
        <v>0</v>
      </c>
      <c r="AR94" s="407">
        <f t="shared" si="104"/>
        <v>0</v>
      </c>
      <c r="AS94" s="407">
        <f t="shared" si="105"/>
        <v>0</v>
      </c>
      <c r="AT94" s="407">
        <f t="shared" si="106"/>
        <v>0</v>
      </c>
      <c r="AU94" s="408">
        <f t="shared" si="107"/>
        <v>0</v>
      </c>
      <c r="AV94" s="392" t="s">
        <v>348</v>
      </c>
      <c r="AW94" s="392" t="s">
        <v>348</v>
      </c>
      <c r="AX94" s="392" t="s">
        <v>348</v>
      </c>
      <c r="AY94" s="392" t="s">
        <v>348</v>
      </c>
      <c r="AZ94" s="387" t="s">
        <v>348</v>
      </c>
      <c r="BA94" s="343"/>
      <c r="BB94" s="406">
        <f t="shared" si="92"/>
        <v>0</v>
      </c>
      <c r="BC94" s="407">
        <f t="shared" si="93"/>
        <v>0</v>
      </c>
      <c r="BD94" s="407">
        <f t="shared" si="94"/>
        <v>0</v>
      </c>
      <c r="BE94" s="407">
        <f t="shared" si="95"/>
        <v>0</v>
      </c>
      <c r="BF94" s="404">
        <f t="shared" si="96"/>
        <v>0</v>
      </c>
      <c r="BG94" s="343"/>
      <c r="BH94" s="406">
        <f t="shared" si="108"/>
        <v>0</v>
      </c>
      <c r="BI94" s="407">
        <f t="shared" si="109"/>
        <v>0</v>
      </c>
      <c r="BJ94" s="407">
        <f t="shared" si="110"/>
        <v>0</v>
      </c>
      <c r="BK94" s="407">
        <f t="shared" si="111"/>
        <v>0</v>
      </c>
      <c r="BL94" s="408">
        <f t="shared" si="112"/>
        <v>0</v>
      </c>
    </row>
    <row r="95" spans="3:64" s="335" customFormat="1" ht="18" hidden="1" customHeight="1">
      <c r="C95" s="1112"/>
      <c r="D95" s="446"/>
      <c r="E95" s="400"/>
      <c r="F95" s="401"/>
      <c r="G95" s="401"/>
      <c r="H95" s="402"/>
      <c r="I95" s="450"/>
      <c r="J95" s="451"/>
      <c r="K95" s="451"/>
      <c r="L95" s="452"/>
      <c r="M95" s="450"/>
      <c r="N95" s="451"/>
      <c r="O95" s="451"/>
      <c r="P95" s="451"/>
      <c r="Q95" s="404">
        <f t="shared" si="115"/>
        <v>0</v>
      </c>
      <c r="R95" s="450"/>
      <c r="S95" s="451"/>
      <c r="T95" s="451"/>
      <c r="U95" s="451"/>
      <c r="V95" s="404">
        <f t="shared" si="116"/>
        <v>0</v>
      </c>
      <c r="W95" s="779"/>
      <c r="X95" s="780"/>
      <c r="Y95" s="780"/>
      <c r="Z95" s="780"/>
      <c r="AA95" s="404">
        <f t="shared" si="87"/>
        <v>0</v>
      </c>
      <c r="AB95" s="450"/>
      <c r="AC95" s="451"/>
      <c r="AD95" s="451"/>
      <c r="AE95" s="451"/>
      <c r="AF95" s="404">
        <f t="shared" si="88"/>
        <v>0</v>
      </c>
      <c r="AG95" s="450"/>
      <c r="AH95" s="451"/>
      <c r="AI95" s="451"/>
      <c r="AJ95" s="451"/>
      <c r="AK95" s="404">
        <f t="shared" si="90"/>
        <v>0</v>
      </c>
      <c r="AL95" s="450"/>
      <c r="AM95" s="451"/>
      <c r="AN95" s="451"/>
      <c r="AO95" s="451"/>
      <c r="AP95" s="405">
        <f t="shared" si="91"/>
        <v>0</v>
      </c>
      <c r="AQ95" s="787">
        <f t="shared" si="103"/>
        <v>0</v>
      </c>
      <c r="AR95" s="407">
        <f t="shared" si="104"/>
        <v>0</v>
      </c>
      <c r="AS95" s="407">
        <f t="shared" si="105"/>
        <v>0</v>
      </c>
      <c r="AT95" s="407">
        <f t="shared" si="106"/>
        <v>0</v>
      </c>
      <c r="AU95" s="408">
        <f t="shared" si="107"/>
        <v>0</v>
      </c>
      <c r="AV95" s="392" t="s">
        <v>348</v>
      </c>
      <c r="AW95" s="392" t="s">
        <v>348</v>
      </c>
      <c r="AX95" s="392" t="s">
        <v>348</v>
      </c>
      <c r="AY95" s="392" t="s">
        <v>348</v>
      </c>
      <c r="AZ95" s="387" t="s">
        <v>348</v>
      </c>
      <c r="BA95" s="343"/>
      <c r="BB95" s="406">
        <f t="shared" si="92"/>
        <v>0</v>
      </c>
      <c r="BC95" s="407">
        <f t="shared" si="93"/>
        <v>0</v>
      </c>
      <c r="BD95" s="407">
        <f t="shared" si="94"/>
        <v>0</v>
      </c>
      <c r="BE95" s="407">
        <f t="shared" si="95"/>
        <v>0</v>
      </c>
      <c r="BF95" s="404">
        <f t="shared" si="96"/>
        <v>0</v>
      </c>
      <c r="BG95" s="343"/>
      <c r="BH95" s="406">
        <f t="shared" si="108"/>
        <v>0</v>
      </c>
      <c r="BI95" s="407">
        <f t="shared" si="109"/>
        <v>0</v>
      </c>
      <c r="BJ95" s="407">
        <f t="shared" si="110"/>
        <v>0</v>
      </c>
      <c r="BK95" s="407">
        <f t="shared" si="111"/>
        <v>0</v>
      </c>
      <c r="BL95" s="408">
        <f t="shared" si="112"/>
        <v>0</v>
      </c>
    </row>
    <row r="96" spans="3:64" s="335" customFormat="1" ht="18" hidden="1" customHeight="1">
      <c r="C96" s="1112"/>
      <c r="D96" s="446"/>
      <c r="E96" s="400"/>
      <c r="F96" s="401"/>
      <c r="G96" s="401"/>
      <c r="H96" s="402"/>
      <c r="I96" s="450"/>
      <c r="J96" s="451"/>
      <c r="K96" s="451"/>
      <c r="L96" s="452"/>
      <c r="M96" s="450"/>
      <c r="N96" s="451"/>
      <c r="O96" s="451"/>
      <c r="P96" s="451"/>
      <c r="Q96" s="404">
        <f t="shared" si="115"/>
        <v>0</v>
      </c>
      <c r="R96" s="450"/>
      <c r="S96" s="451"/>
      <c r="T96" s="451"/>
      <c r="U96" s="451"/>
      <c r="V96" s="404">
        <f t="shared" si="116"/>
        <v>0</v>
      </c>
      <c r="W96" s="779"/>
      <c r="X96" s="780"/>
      <c r="Y96" s="780"/>
      <c r="Z96" s="780"/>
      <c r="AA96" s="404">
        <f t="shared" si="87"/>
        <v>0</v>
      </c>
      <c r="AB96" s="450"/>
      <c r="AC96" s="451"/>
      <c r="AD96" s="451"/>
      <c r="AE96" s="451"/>
      <c r="AF96" s="404">
        <f t="shared" si="88"/>
        <v>0</v>
      </c>
      <c r="AG96" s="450"/>
      <c r="AH96" s="451"/>
      <c r="AI96" s="451"/>
      <c r="AJ96" s="451"/>
      <c r="AK96" s="404">
        <f t="shared" si="90"/>
        <v>0</v>
      </c>
      <c r="AL96" s="450"/>
      <c r="AM96" s="451"/>
      <c r="AN96" s="451"/>
      <c r="AO96" s="451"/>
      <c r="AP96" s="405">
        <f t="shared" si="91"/>
        <v>0</v>
      </c>
      <c r="AQ96" s="787">
        <f t="shared" si="103"/>
        <v>0</v>
      </c>
      <c r="AR96" s="407">
        <f t="shared" si="104"/>
        <v>0</v>
      </c>
      <c r="AS96" s="407">
        <f t="shared" si="105"/>
        <v>0</v>
      </c>
      <c r="AT96" s="407">
        <f t="shared" si="106"/>
        <v>0</v>
      </c>
      <c r="AU96" s="408">
        <f t="shared" si="107"/>
        <v>0</v>
      </c>
      <c r="AV96" s="392" t="s">
        <v>348</v>
      </c>
      <c r="AW96" s="392" t="s">
        <v>348</v>
      </c>
      <c r="AX96" s="392" t="s">
        <v>348</v>
      </c>
      <c r="AY96" s="392" t="s">
        <v>348</v>
      </c>
      <c r="AZ96" s="387" t="s">
        <v>348</v>
      </c>
      <c r="BA96" s="343"/>
      <c r="BB96" s="406">
        <f t="shared" si="92"/>
        <v>0</v>
      </c>
      <c r="BC96" s="407">
        <f t="shared" si="93"/>
        <v>0</v>
      </c>
      <c r="BD96" s="407">
        <f t="shared" si="94"/>
        <v>0</v>
      </c>
      <c r="BE96" s="407">
        <f t="shared" si="95"/>
        <v>0</v>
      </c>
      <c r="BF96" s="404">
        <f t="shared" si="96"/>
        <v>0</v>
      </c>
      <c r="BG96" s="343"/>
      <c r="BH96" s="406">
        <f t="shared" si="108"/>
        <v>0</v>
      </c>
      <c r="BI96" s="407">
        <f t="shared" si="109"/>
        <v>0</v>
      </c>
      <c r="BJ96" s="407">
        <f t="shared" si="110"/>
        <v>0</v>
      </c>
      <c r="BK96" s="407">
        <f t="shared" si="111"/>
        <v>0</v>
      </c>
      <c r="BL96" s="408">
        <f t="shared" si="112"/>
        <v>0</v>
      </c>
    </row>
    <row r="97" spans="3:64" s="335" customFormat="1" ht="18" hidden="1" customHeight="1">
      <c r="C97" s="1112"/>
      <c r="D97" s="446"/>
      <c r="E97" s="400"/>
      <c r="F97" s="401"/>
      <c r="G97" s="401"/>
      <c r="H97" s="402"/>
      <c r="I97" s="450"/>
      <c r="J97" s="451"/>
      <c r="K97" s="451"/>
      <c r="L97" s="452"/>
      <c r="M97" s="450"/>
      <c r="N97" s="451"/>
      <c r="O97" s="451"/>
      <c r="P97" s="451"/>
      <c r="Q97" s="404">
        <f t="shared" si="115"/>
        <v>0</v>
      </c>
      <c r="R97" s="450"/>
      <c r="S97" s="451"/>
      <c r="T97" s="451"/>
      <c r="U97" s="451"/>
      <c r="V97" s="404">
        <f t="shared" si="116"/>
        <v>0</v>
      </c>
      <c r="W97" s="779"/>
      <c r="X97" s="780"/>
      <c r="Y97" s="780"/>
      <c r="Z97" s="780"/>
      <c r="AA97" s="404">
        <f t="shared" si="87"/>
        <v>0</v>
      </c>
      <c r="AB97" s="450"/>
      <c r="AC97" s="451"/>
      <c r="AD97" s="451"/>
      <c r="AE97" s="451"/>
      <c r="AF97" s="404">
        <f t="shared" si="88"/>
        <v>0</v>
      </c>
      <c r="AG97" s="450"/>
      <c r="AH97" s="451"/>
      <c r="AI97" s="451"/>
      <c r="AJ97" s="451"/>
      <c r="AK97" s="404">
        <f t="shared" si="90"/>
        <v>0</v>
      </c>
      <c r="AL97" s="450"/>
      <c r="AM97" s="451"/>
      <c r="AN97" s="451"/>
      <c r="AO97" s="451"/>
      <c r="AP97" s="405">
        <f t="shared" si="91"/>
        <v>0</v>
      </c>
      <c r="AQ97" s="787">
        <f t="shared" si="103"/>
        <v>0</v>
      </c>
      <c r="AR97" s="407">
        <f t="shared" si="104"/>
        <v>0</v>
      </c>
      <c r="AS97" s="407">
        <f t="shared" si="105"/>
        <v>0</v>
      </c>
      <c r="AT97" s="407">
        <f t="shared" si="106"/>
        <v>0</v>
      </c>
      <c r="AU97" s="408">
        <f t="shared" si="107"/>
        <v>0</v>
      </c>
      <c r="AV97" s="392" t="s">
        <v>348</v>
      </c>
      <c r="AW97" s="392" t="s">
        <v>348</v>
      </c>
      <c r="AX97" s="392" t="s">
        <v>348</v>
      </c>
      <c r="AY97" s="392" t="s">
        <v>348</v>
      </c>
      <c r="AZ97" s="387" t="s">
        <v>348</v>
      </c>
      <c r="BA97" s="343"/>
      <c r="BB97" s="406">
        <f t="shared" si="92"/>
        <v>0</v>
      </c>
      <c r="BC97" s="407">
        <f t="shared" si="93"/>
        <v>0</v>
      </c>
      <c r="BD97" s="407">
        <f t="shared" si="94"/>
        <v>0</v>
      </c>
      <c r="BE97" s="407">
        <f t="shared" si="95"/>
        <v>0</v>
      </c>
      <c r="BF97" s="404">
        <f t="shared" si="96"/>
        <v>0</v>
      </c>
      <c r="BG97" s="343"/>
      <c r="BH97" s="406">
        <f t="shared" si="108"/>
        <v>0</v>
      </c>
      <c r="BI97" s="407">
        <f t="shared" si="109"/>
        <v>0</v>
      </c>
      <c r="BJ97" s="407">
        <f t="shared" si="110"/>
        <v>0</v>
      </c>
      <c r="BK97" s="407">
        <f t="shared" si="111"/>
        <v>0</v>
      </c>
      <c r="BL97" s="408">
        <f t="shared" si="112"/>
        <v>0</v>
      </c>
    </row>
    <row r="98" spans="3:64" s="335" customFormat="1" ht="18" hidden="1" customHeight="1">
      <c r="C98" s="1112"/>
      <c r="D98" s="446"/>
      <c r="E98" s="400"/>
      <c r="F98" s="401"/>
      <c r="G98" s="401"/>
      <c r="H98" s="402"/>
      <c r="I98" s="450"/>
      <c r="J98" s="451"/>
      <c r="K98" s="451"/>
      <c r="L98" s="452"/>
      <c r="M98" s="450"/>
      <c r="N98" s="451"/>
      <c r="O98" s="451"/>
      <c r="P98" s="451"/>
      <c r="Q98" s="404">
        <f t="shared" si="115"/>
        <v>0</v>
      </c>
      <c r="R98" s="450"/>
      <c r="S98" s="451"/>
      <c r="T98" s="451"/>
      <c r="U98" s="451"/>
      <c r="V98" s="404">
        <f t="shared" si="116"/>
        <v>0</v>
      </c>
      <c r="W98" s="779"/>
      <c r="X98" s="780"/>
      <c r="Y98" s="780"/>
      <c r="Z98" s="780"/>
      <c r="AA98" s="404">
        <f t="shared" si="87"/>
        <v>0</v>
      </c>
      <c r="AB98" s="450"/>
      <c r="AC98" s="451"/>
      <c r="AD98" s="451"/>
      <c r="AE98" s="451"/>
      <c r="AF98" s="404">
        <f t="shared" si="88"/>
        <v>0</v>
      </c>
      <c r="AG98" s="450"/>
      <c r="AH98" s="451"/>
      <c r="AI98" s="451"/>
      <c r="AJ98" s="451"/>
      <c r="AK98" s="404">
        <f t="shared" si="90"/>
        <v>0</v>
      </c>
      <c r="AL98" s="450"/>
      <c r="AM98" s="451"/>
      <c r="AN98" s="451"/>
      <c r="AO98" s="451"/>
      <c r="AP98" s="405">
        <f t="shared" si="91"/>
        <v>0</v>
      </c>
      <c r="AQ98" s="787">
        <f t="shared" si="103"/>
        <v>0</v>
      </c>
      <c r="AR98" s="407">
        <f t="shared" si="104"/>
        <v>0</v>
      </c>
      <c r="AS98" s="407">
        <f t="shared" si="105"/>
        <v>0</v>
      </c>
      <c r="AT98" s="407">
        <f t="shared" si="106"/>
        <v>0</v>
      </c>
      <c r="AU98" s="408">
        <f t="shared" si="107"/>
        <v>0</v>
      </c>
      <c r="AV98" s="392" t="s">
        <v>348</v>
      </c>
      <c r="AW98" s="392" t="s">
        <v>348</v>
      </c>
      <c r="AX98" s="392" t="s">
        <v>348</v>
      </c>
      <c r="AY98" s="392" t="s">
        <v>348</v>
      </c>
      <c r="AZ98" s="387" t="s">
        <v>348</v>
      </c>
      <c r="BA98" s="343"/>
      <c r="BB98" s="406">
        <f t="shared" si="92"/>
        <v>0</v>
      </c>
      <c r="BC98" s="407">
        <f t="shared" si="93"/>
        <v>0</v>
      </c>
      <c r="BD98" s="407">
        <f t="shared" si="94"/>
        <v>0</v>
      </c>
      <c r="BE98" s="407">
        <f t="shared" si="95"/>
        <v>0</v>
      </c>
      <c r="BF98" s="404">
        <f t="shared" si="96"/>
        <v>0</v>
      </c>
      <c r="BG98" s="343"/>
      <c r="BH98" s="406">
        <f t="shared" si="108"/>
        <v>0</v>
      </c>
      <c r="BI98" s="407">
        <f t="shared" si="109"/>
        <v>0</v>
      </c>
      <c r="BJ98" s="407">
        <f t="shared" si="110"/>
        <v>0</v>
      </c>
      <c r="BK98" s="407">
        <f t="shared" si="111"/>
        <v>0</v>
      </c>
      <c r="BL98" s="408">
        <f t="shared" si="112"/>
        <v>0</v>
      </c>
    </row>
    <row r="99" spans="3:64" s="335" customFormat="1" ht="18" hidden="1" customHeight="1">
      <c r="C99" s="1112"/>
      <c r="D99" s="446"/>
      <c r="E99" s="400"/>
      <c r="F99" s="401"/>
      <c r="G99" s="401"/>
      <c r="H99" s="402"/>
      <c r="I99" s="450"/>
      <c r="J99" s="451"/>
      <c r="K99" s="451"/>
      <c r="L99" s="452"/>
      <c r="M99" s="450"/>
      <c r="N99" s="451"/>
      <c r="O99" s="451"/>
      <c r="P99" s="451"/>
      <c r="Q99" s="404">
        <f t="shared" si="115"/>
        <v>0</v>
      </c>
      <c r="R99" s="450"/>
      <c r="S99" s="451"/>
      <c r="T99" s="451"/>
      <c r="U99" s="451"/>
      <c r="V99" s="404">
        <f t="shared" si="116"/>
        <v>0</v>
      </c>
      <c r="W99" s="779"/>
      <c r="X99" s="780"/>
      <c r="Y99" s="780"/>
      <c r="Z99" s="780"/>
      <c r="AA99" s="404">
        <f t="shared" si="87"/>
        <v>0</v>
      </c>
      <c r="AB99" s="450"/>
      <c r="AC99" s="451"/>
      <c r="AD99" s="451"/>
      <c r="AE99" s="451"/>
      <c r="AF99" s="404">
        <f t="shared" si="88"/>
        <v>0</v>
      </c>
      <c r="AG99" s="450"/>
      <c r="AH99" s="451"/>
      <c r="AI99" s="451"/>
      <c r="AJ99" s="451"/>
      <c r="AK99" s="404">
        <f t="shared" si="90"/>
        <v>0</v>
      </c>
      <c r="AL99" s="450"/>
      <c r="AM99" s="451"/>
      <c r="AN99" s="451"/>
      <c r="AO99" s="451"/>
      <c r="AP99" s="405">
        <f t="shared" si="91"/>
        <v>0</v>
      </c>
      <c r="AQ99" s="787">
        <f t="shared" si="103"/>
        <v>0</v>
      </c>
      <c r="AR99" s="407">
        <f t="shared" si="104"/>
        <v>0</v>
      </c>
      <c r="AS99" s="407">
        <f t="shared" si="105"/>
        <v>0</v>
      </c>
      <c r="AT99" s="407">
        <f t="shared" si="106"/>
        <v>0</v>
      </c>
      <c r="AU99" s="408">
        <f t="shared" si="107"/>
        <v>0</v>
      </c>
      <c r="AV99" s="392" t="s">
        <v>348</v>
      </c>
      <c r="AW99" s="392" t="s">
        <v>348</v>
      </c>
      <c r="AX99" s="392" t="s">
        <v>348</v>
      </c>
      <c r="AY99" s="392" t="s">
        <v>348</v>
      </c>
      <c r="AZ99" s="387" t="s">
        <v>348</v>
      </c>
      <c r="BA99" s="343"/>
      <c r="BB99" s="406">
        <f t="shared" si="92"/>
        <v>0</v>
      </c>
      <c r="BC99" s="407">
        <f t="shared" si="93"/>
        <v>0</v>
      </c>
      <c r="BD99" s="407">
        <f t="shared" si="94"/>
        <v>0</v>
      </c>
      <c r="BE99" s="407">
        <f t="shared" si="95"/>
        <v>0</v>
      </c>
      <c r="BF99" s="404">
        <f t="shared" si="96"/>
        <v>0</v>
      </c>
      <c r="BG99" s="343"/>
      <c r="BH99" s="406">
        <f t="shared" si="108"/>
        <v>0</v>
      </c>
      <c r="BI99" s="407">
        <f t="shared" si="109"/>
        <v>0</v>
      </c>
      <c r="BJ99" s="407">
        <f t="shared" si="110"/>
        <v>0</v>
      </c>
      <c r="BK99" s="407">
        <f t="shared" si="111"/>
        <v>0</v>
      </c>
      <c r="BL99" s="408">
        <f t="shared" si="112"/>
        <v>0</v>
      </c>
    </row>
    <row r="100" spans="3:64" s="335" customFormat="1" ht="18.600000000000001" hidden="1" customHeight="1">
      <c r="C100" s="1112"/>
      <c r="D100" s="446"/>
      <c r="E100" s="400"/>
      <c r="F100" s="401"/>
      <c r="G100" s="401"/>
      <c r="H100" s="402"/>
      <c r="I100" s="450"/>
      <c r="J100" s="451"/>
      <c r="K100" s="451"/>
      <c r="L100" s="452"/>
      <c r="M100" s="450"/>
      <c r="N100" s="451"/>
      <c r="O100" s="451"/>
      <c r="P100" s="451"/>
      <c r="Q100" s="404">
        <f t="shared" si="115"/>
        <v>0</v>
      </c>
      <c r="R100" s="450"/>
      <c r="S100" s="451"/>
      <c r="T100" s="451"/>
      <c r="U100" s="451"/>
      <c r="V100" s="404">
        <f t="shared" si="116"/>
        <v>0</v>
      </c>
      <c r="W100" s="779"/>
      <c r="X100" s="780"/>
      <c r="Y100" s="780"/>
      <c r="Z100" s="780"/>
      <c r="AA100" s="404">
        <f t="shared" si="87"/>
        <v>0</v>
      </c>
      <c r="AB100" s="450"/>
      <c r="AC100" s="451"/>
      <c r="AD100" s="451"/>
      <c r="AE100" s="451"/>
      <c r="AF100" s="404">
        <f t="shared" si="88"/>
        <v>0</v>
      </c>
      <c r="AG100" s="450"/>
      <c r="AH100" s="451"/>
      <c r="AI100" s="451"/>
      <c r="AJ100" s="451"/>
      <c r="AK100" s="404">
        <f t="shared" si="90"/>
        <v>0</v>
      </c>
      <c r="AL100" s="450"/>
      <c r="AM100" s="451"/>
      <c r="AN100" s="451"/>
      <c r="AO100" s="451"/>
      <c r="AP100" s="405">
        <f t="shared" si="91"/>
        <v>0</v>
      </c>
      <c r="AQ100" s="787">
        <f t="shared" si="103"/>
        <v>0</v>
      </c>
      <c r="AR100" s="407">
        <f t="shared" si="104"/>
        <v>0</v>
      </c>
      <c r="AS100" s="407">
        <f t="shared" si="105"/>
        <v>0</v>
      </c>
      <c r="AT100" s="407">
        <f t="shared" si="106"/>
        <v>0</v>
      </c>
      <c r="AU100" s="408">
        <f t="shared" si="107"/>
        <v>0</v>
      </c>
      <c r="AV100" s="392" t="s">
        <v>348</v>
      </c>
      <c r="AW100" s="392" t="s">
        <v>348</v>
      </c>
      <c r="AX100" s="392" t="s">
        <v>348</v>
      </c>
      <c r="AY100" s="392" t="s">
        <v>348</v>
      </c>
      <c r="AZ100" s="387" t="s">
        <v>348</v>
      </c>
      <c r="BA100" s="343"/>
      <c r="BB100" s="406">
        <f t="shared" si="92"/>
        <v>0</v>
      </c>
      <c r="BC100" s="407">
        <f t="shared" si="93"/>
        <v>0</v>
      </c>
      <c r="BD100" s="407">
        <f t="shared" si="94"/>
        <v>0</v>
      </c>
      <c r="BE100" s="407">
        <f t="shared" si="95"/>
        <v>0</v>
      </c>
      <c r="BF100" s="404">
        <f t="shared" si="96"/>
        <v>0</v>
      </c>
      <c r="BG100" s="343"/>
      <c r="BH100" s="406">
        <f t="shared" si="108"/>
        <v>0</v>
      </c>
      <c r="BI100" s="407">
        <f t="shared" si="109"/>
        <v>0</v>
      </c>
      <c r="BJ100" s="407">
        <f t="shared" si="110"/>
        <v>0</v>
      </c>
      <c r="BK100" s="407">
        <f t="shared" si="111"/>
        <v>0</v>
      </c>
      <c r="BL100" s="408">
        <f t="shared" si="112"/>
        <v>0</v>
      </c>
    </row>
    <row r="101" spans="3:64" s="453" customFormat="1" ht="27.75" hidden="1" customHeight="1" thickBot="1">
      <c r="C101" s="1126"/>
      <c r="D101" s="447" t="s">
        <v>430</v>
      </c>
      <c r="E101" s="417" t="s">
        <v>346</v>
      </c>
      <c r="F101" s="418" t="s">
        <v>346</v>
      </c>
      <c r="G101" s="418" t="s">
        <v>346</v>
      </c>
      <c r="H101" s="419" t="s">
        <v>346</v>
      </c>
      <c r="I101" s="417">
        <f t="shared" ref="I101:U101" si="117">SUM(I74:I100)</f>
        <v>11.5</v>
      </c>
      <c r="J101" s="418">
        <f t="shared" si="117"/>
        <v>11.5</v>
      </c>
      <c r="K101" s="418">
        <f t="shared" si="117"/>
        <v>11.5</v>
      </c>
      <c r="L101" s="419">
        <f t="shared" si="117"/>
        <v>11.5</v>
      </c>
      <c r="M101" s="417">
        <f t="shared" si="117"/>
        <v>348000</v>
      </c>
      <c r="N101" s="418">
        <f t="shared" si="117"/>
        <v>348000</v>
      </c>
      <c r="O101" s="418">
        <f t="shared" si="117"/>
        <v>348000</v>
      </c>
      <c r="P101" s="418">
        <f t="shared" si="117"/>
        <v>348000</v>
      </c>
      <c r="Q101" s="416">
        <f t="shared" si="117"/>
        <v>1392000</v>
      </c>
      <c r="R101" s="414">
        <f t="shared" si="117"/>
        <v>0</v>
      </c>
      <c r="S101" s="415">
        <f t="shared" si="117"/>
        <v>0</v>
      </c>
      <c r="T101" s="415">
        <f t="shared" si="117"/>
        <v>0</v>
      </c>
      <c r="U101" s="415">
        <f t="shared" si="117"/>
        <v>0</v>
      </c>
      <c r="V101" s="404">
        <f t="shared" si="116"/>
        <v>0</v>
      </c>
      <c r="W101" s="772">
        <f t="shared" ref="W101:AU101" si="118">SUM(W74:W100)</f>
        <v>104400</v>
      </c>
      <c r="X101" s="773">
        <f t="shared" si="118"/>
        <v>104400</v>
      </c>
      <c r="Y101" s="773">
        <f t="shared" si="118"/>
        <v>104400</v>
      </c>
      <c r="Z101" s="773">
        <f t="shared" si="118"/>
        <v>104400</v>
      </c>
      <c r="AA101" s="416">
        <f t="shared" si="118"/>
        <v>417600</v>
      </c>
      <c r="AB101" s="414">
        <f t="shared" si="118"/>
        <v>0</v>
      </c>
      <c r="AC101" s="415">
        <f t="shared" si="118"/>
        <v>0</v>
      </c>
      <c r="AD101" s="415">
        <f t="shared" si="118"/>
        <v>0</v>
      </c>
      <c r="AE101" s="415">
        <f t="shared" si="118"/>
        <v>0</v>
      </c>
      <c r="AF101" s="416">
        <f t="shared" si="118"/>
        <v>0</v>
      </c>
      <c r="AG101" s="414">
        <f t="shared" si="118"/>
        <v>92625</v>
      </c>
      <c r="AH101" s="415">
        <f t="shared" si="118"/>
        <v>92625</v>
      </c>
      <c r="AI101" s="415">
        <f t="shared" si="118"/>
        <v>92625</v>
      </c>
      <c r="AJ101" s="415">
        <f t="shared" si="118"/>
        <v>92625</v>
      </c>
      <c r="AK101" s="416">
        <f t="shared" si="118"/>
        <v>370500</v>
      </c>
      <c r="AL101" s="414">
        <f t="shared" si="118"/>
        <v>0</v>
      </c>
      <c r="AM101" s="415">
        <f t="shared" si="118"/>
        <v>0</v>
      </c>
      <c r="AN101" s="415">
        <f t="shared" si="118"/>
        <v>0</v>
      </c>
      <c r="AO101" s="415">
        <f t="shared" si="118"/>
        <v>0</v>
      </c>
      <c r="AP101" s="420">
        <f t="shared" si="118"/>
        <v>0</v>
      </c>
      <c r="AQ101" s="798">
        <f t="shared" si="118"/>
        <v>545025</v>
      </c>
      <c r="AR101" s="415">
        <f t="shared" si="118"/>
        <v>545025</v>
      </c>
      <c r="AS101" s="415">
        <f t="shared" si="118"/>
        <v>545025</v>
      </c>
      <c r="AT101" s="415">
        <f t="shared" si="118"/>
        <v>545025</v>
      </c>
      <c r="AU101" s="416">
        <f t="shared" si="118"/>
        <v>2180100</v>
      </c>
      <c r="AV101" s="423">
        <v>900</v>
      </c>
      <c r="AW101" s="423">
        <v>900</v>
      </c>
      <c r="AX101" s="423">
        <v>900</v>
      </c>
      <c r="AY101" s="423">
        <v>900</v>
      </c>
      <c r="AZ101" s="416">
        <f>AV101+AW101+AX101+AY101</f>
        <v>3600</v>
      </c>
      <c r="BA101" s="75"/>
      <c r="BB101" s="414">
        <f>SUM(BB74:BB100)</f>
        <v>104197.5</v>
      </c>
      <c r="BC101" s="415">
        <f>SUM(BC74:BC100)</f>
        <v>104197.5</v>
      </c>
      <c r="BD101" s="415">
        <f>SUM(BD74:BD100)</f>
        <v>104197.5</v>
      </c>
      <c r="BE101" s="415">
        <f>SUM(BE74:BE100)</f>
        <v>104197.5</v>
      </c>
      <c r="BF101" s="416">
        <f>SUM(BF74:BF100)</f>
        <v>2476950</v>
      </c>
      <c r="BG101" s="75"/>
      <c r="BH101" s="414">
        <f>SUM(BH74:BH100)</f>
        <v>106279.875</v>
      </c>
      <c r="BI101" s="415">
        <f>SUM(BI74:BI100)</f>
        <v>106279.875</v>
      </c>
      <c r="BJ101" s="415">
        <f>SUM(BJ74:BJ100)</f>
        <v>106279.875</v>
      </c>
      <c r="BK101" s="415">
        <f>SUM(BK74:BK100)</f>
        <v>106279.875</v>
      </c>
      <c r="BL101" s="416">
        <f>SUM(BL74:BL100)</f>
        <v>425119.5</v>
      </c>
    </row>
    <row r="102" spans="3:64" s="335" customFormat="1" ht="24.75" hidden="1" customHeight="1" thickBot="1">
      <c r="C102" s="1125" t="s">
        <v>493</v>
      </c>
      <c r="D102" s="454" t="s">
        <v>97</v>
      </c>
      <c r="E102" s="401">
        <v>0.22</v>
      </c>
      <c r="F102" s="401">
        <v>0.22</v>
      </c>
      <c r="G102" s="401">
        <v>0.22</v>
      </c>
      <c r="H102" s="401">
        <v>0.22</v>
      </c>
      <c r="I102" s="717">
        <v>1</v>
      </c>
      <c r="J102" s="717">
        <v>1</v>
      </c>
      <c r="K102" s="717">
        <v>1</v>
      </c>
      <c r="L102" s="717">
        <v>1</v>
      </c>
      <c r="M102" s="455">
        <f>7000*3</f>
        <v>21000</v>
      </c>
      <c r="N102" s="448">
        <f>7000*3</f>
        <v>21000</v>
      </c>
      <c r="O102" s="448">
        <f>7000*3</f>
        <v>21000</v>
      </c>
      <c r="P102" s="448">
        <f>7000*3</f>
        <v>21000</v>
      </c>
      <c r="Q102" s="456">
        <f>SUM(M102:P102)</f>
        <v>84000</v>
      </c>
      <c r="R102" s="448">
        <v>0</v>
      </c>
      <c r="S102" s="449">
        <v>0</v>
      </c>
      <c r="T102" s="449">
        <v>0</v>
      </c>
      <c r="U102" s="449">
        <v>0</v>
      </c>
      <c r="V102" s="404">
        <f t="shared" si="116"/>
        <v>0</v>
      </c>
      <c r="W102" s="781">
        <f>M102*0.5</f>
        <v>10500</v>
      </c>
      <c r="X102" s="781">
        <f>N102*0.5</f>
        <v>10500</v>
      </c>
      <c r="Y102" s="781">
        <f>O102*0.5</f>
        <v>10500</v>
      </c>
      <c r="Z102" s="781">
        <f>P102*0.5</f>
        <v>10500</v>
      </c>
      <c r="AA102" s="394">
        <f>SUM(W102:Z102)</f>
        <v>42000</v>
      </c>
      <c r="AB102" s="450">
        <v>0</v>
      </c>
      <c r="AC102" s="451">
        <v>0</v>
      </c>
      <c r="AD102" s="451">
        <v>0</v>
      </c>
      <c r="AE102" s="451">
        <v>0</v>
      </c>
      <c r="AF102" s="394">
        <f>SUM(AB102:AE102)</f>
        <v>0</v>
      </c>
      <c r="AG102" s="428">
        <f>M102*0.5</f>
        <v>10500</v>
      </c>
      <c r="AH102" s="428">
        <f>N102*0.5</f>
        <v>10500</v>
      </c>
      <c r="AI102" s="428">
        <f>O102*0.5</f>
        <v>10500</v>
      </c>
      <c r="AJ102" s="428">
        <f>P102*0.5</f>
        <v>10500</v>
      </c>
      <c r="AK102" s="394">
        <f>SUM(AG102:AJ102)</f>
        <v>42000</v>
      </c>
      <c r="AL102" s="448">
        <v>0</v>
      </c>
      <c r="AM102" s="449">
        <v>0</v>
      </c>
      <c r="AN102" s="449">
        <v>0</v>
      </c>
      <c r="AO102" s="449">
        <v>0</v>
      </c>
      <c r="AP102" s="427">
        <f>SUM(AL102:AO102)</f>
        <v>0</v>
      </c>
      <c r="AQ102" s="787">
        <f t="shared" si="103"/>
        <v>42000</v>
      </c>
      <c r="AR102" s="407">
        <f>N102+S102+X102+AC102+AH102+AM102</f>
        <v>42000</v>
      </c>
      <c r="AS102" s="407">
        <f>O102+T102+Y102+AD102+AI102+AN102</f>
        <v>42000</v>
      </c>
      <c r="AT102" s="407">
        <f>P102+U102+Z102+AE102+AJ102+AO102</f>
        <v>42000</v>
      </c>
      <c r="AU102" s="408">
        <f>Q102+V102+AA102+AF102+AK102+AP102</f>
        <v>168000</v>
      </c>
      <c r="AV102" s="392" t="s">
        <v>348</v>
      </c>
      <c r="AW102" s="392" t="s">
        <v>348</v>
      </c>
      <c r="AX102" s="392" t="s">
        <v>348</v>
      </c>
      <c r="AY102" s="392" t="s">
        <v>348</v>
      </c>
      <c r="AZ102" s="387" t="s">
        <v>348</v>
      </c>
      <c r="BA102" s="343"/>
      <c r="BB102" s="396">
        <f t="shared" ref="BB102:BB126" si="119">AQ102*E102/100%</f>
        <v>9240</v>
      </c>
      <c r="BC102" s="397">
        <f t="shared" ref="BC102:BC126" si="120">AR102*F102/100%</f>
        <v>9240</v>
      </c>
      <c r="BD102" s="397">
        <f t="shared" ref="BD102:BD126" si="121">AS102*G102/100%</f>
        <v>9240</v>
      </c>
      <c r="BE102" s="397">
        <f t="shared" ref="BE102:BE126" si="122">AT102*H102/100%</f>
        <v>9240</v>
      </c>
      <c r="BF102" s="387">
        <f t="shared" ref="BF102:BF126" si="123">AU102*I102/100%</f>
        <v>168000</v>
      </c>
      <c r="BG102" s="343"/>
      <c r="BH102" s="396">
        <f>AQ102*(18%+1.5%)/100%</f>
        <v>8190</v>
      </c>
      <c r="BI102" s="397">
        <f>AR102*(18%+1.5%)/100%</f>
        <v>8190</v>
      </c>
      <c r="BJ102" s="397">
        <f>AS102*(18%+1.5%)/100%</f>
        <v>8190</v>
      </c>
      <c r="BK102" s="397">
        <f>AT102*(18%+1.5%)/100%</f>
        <v>8190</v>
      </c>
      <c r="BL102" s="398">
        <f>SUM(BH102:BK102)</f>
        <v>32760</v>
      </c>
    </row>
    <row r="103" spans="3:64" s="335" customFormat="1" ht="30.75" hidden="1" customHeight="1" thickBot="1">
      <c r="C103" s="1112"/>
      <c r="D103" s="409" t="s">
        <v>98</v>
      </c>
      <c r="E103" s="401">
        <v>0.22</v>
      </c>
      <c r="F103" s="401">
        <v>0.22</v>
      </c>
      <c r="G103" s="401">
        <v>0.22</v>
      </c>
      <c r="H103" s="401">
        <v>0.22</v>
      </c>
      <c r="I103" s="717">
        <v>1.5</v>
      </c>
      <c r="J103" s="717">
        <v>2</v>
      </c>
      <c r="K103" s="717">
        <v>2</v>
      </c>
      <c r="L103" s="717">
        <v>1.5</v>
      </c>
      <c r="M103" s="457">
        <f>6500*2*3</f>
        <v>39000</v>
      </c>
      <c r="N103" s="457">
        <f>6500*2*3</f>
        <v>39000</v>
      </c>
      <c r="O103" s="457">
        <f>6500*2*3</f>
        <v>39000</v>
      </c>
      <c r="P103" s="457">
        <f>6500*2*3</f>
        <v>39000</v>
      </c>
      <c r="Q103" s="459">
        <f t="shared" ref="Q103:Q126" si="124">SUM(M103:P103)</f>
        <v>156000</v>
      </c>
      <c r="R103" s="448">
        <v>0</v>
      </c>
      <c r="S103" s="449">
        <v>0</v>
      </c>
      <c r="T103" s="449">
        <v>0</v>
      </c>
      <c r="U103" s="449">
        <v>0</v>
      </c>
      <c r="V103" s="404">
        <f t="shared" si="116"/>
        <v>0</v>
      </c>
      <c r="W103" s="781">
        <f>M103*0.3</f>
        <v>11700</v>
      </c>
      <c r="X103" s="781">
        <f t="shared" ref="X103:Y106" si="125">N103*0.5</f>
        <v>19500</v>
      </c>
      <c r="Y103" s="781">
        <f t="shared" si="125"/>
        <v>19500</v>
      </c>
      <c r="Z103" s="781">
        <f>P103*0.3</f>
        <v>11700</v>
      </c>
      <c r="AA103" s="404">
        <f t="shared" ref="AA103:AA126" si="126">SUM(W103:Z103)</f>
        <v>62400</v>
      </c>
      <c r="AB103" s="450">
        <v>0</v>
      </c>
      <c r="AC103" s="451">
        <v>0</v>
      </c>
      <c r="AD103" s="451">
        <v>0</v>
      </c>
      <c r="AE103" s="451">
        <v>0</v>
      </c>
      <c r="AF103" s="404">
        <f t="shared" ref="AF103:AF126" si="127">SUM(AB103:AE103)</f>
        <v>0</v>
      </c>
      <c r="AG103" s="428">
        <v>0</v>
      </c>
      <c r="AH103" s="429">
        <v>0</v>
      </c>
      <c r="AI103" s="429">
        <v>0</v>
      </c>
      <c r="AJ103" s="429">
        <v>0</v>
      </c>
      <c r="AK103" s="404">
        <f t="shared" ref="AK103:AK126" si="128">SUM(AG103:AJ103)</f>
        <v>0</v>
      </c>
      <c r="AL103" s="448">
        <v>0</v>
      </c>
      <c r="AM103" s="449">
        <v>0</v>
      </c>
      <c r="AN103" s="449">
        <v>0</v>
      </c>
      <c r="AO103" s="449">
        <v>0</v>
      </c>
      <c r="AP103" s="405">
        <f t="shared" ref="AP103:AP126" si="129">SUM(AL103:AO103)</f>
        <v>0</v>
      </c>
      <c r="AQ103" s="787">
        <f t="shared" ref="AQ103:AQ126" si="130">M103+R103+W103+AB103+AG103+AL103</f>
        <v>50700</v>
      </c>
      <c r="AR103" s="407">
        <f t="shared" ref="AR103:AR126" si="131">N103+S103+X103+AC103+AH103+AM103</f>
        <v>58500</v>
      </c>
      <c r="AS103" s="407">
        <f t="shared" ref="AS103:AS126" si="132">O103+T103+Y103+AD103+AI103+AN103</f>
        <v>58500</v>
      </c>
      <c r="AT103" s="407">
        <f t="shared" ref="AT103:AT126" si="133">P103+U103+Z103+AE103+AJ103+AO103</f>
        <v>50700</v>
      </c>
      <c r="AU103" s="408">
        <f t="shared" ref="AU103:AU126" si="134">Q103+V103+AA103+AF103+AK103+AP103</f>
        <v>218400</v>
      </c>
      <c r="AV103" s="392" t="s">
        <v>348</v>
      </c>
      <c r="AW103" s="392" t="s">
        <v>348</v>
      </c>
      <c r="AX103" s="392" t="s">
        <v>348</v>
      </c>
      <c r="AY103" s="392" t="s">
        <v>348</v>
      </c>
      <c r="AZ103" s="387" t="s">
        <v>348</v>
      </c>
      <c r="BA103" s="343"/>
      <c r="BB103" s="406">
        <f t="shared" si="119"/>
        <v>11154</v>
      </c>
      <c r="BC103" s="407">
        <f t="shared" si="120"/>
        <v>12870</v>
      </c>
      <c r="BD103" s="407">
        <f t="shared" si="121"/>
        <v>12870</v>
      </c>
      <c r="BE103" s="407">
        <f t="shared" si="122"/>
        <v>11154</v>
      </c>
      <c r="BF103" s="404">
        <f t="shared" si="123"/>
        <v>327600</v>
      </c>
      <c r="BG103" s="343"/>
      <c r="BH103" s="406">
        <f t="shared" ref="BH103:BH126" si="135">AQ103*(18%+1.5%)/100%</f>
        <v>9886.5</v>
      </c>
      <c r="BI103" s="407">
        <f t="shared" ref="BI103:BI126" si="136">AR103*(18%+1.5%)/100%</f>
        <v>11407.5</v>
      </c>
      <c r="BJ103" s="407">
        <f t="shared" ref="BJ103:BJ126" si="137">AS103*(18%+1.5%)/100%</f>
        <v>11407.5</v>
      </c>
      <c r="BK103" s="407">
        <f t="shared" ref="BK103:BK126" si="138">AT103*(18%+1.5%)/100%</f>
        <v>9886.5</v>
      </c>
      <c r="BL103" s="408">
        <f t="shared" ref="BL103:BL126" si="139">SUM(BH103:BK103)</f>
        <v>42588</v>
      </c>
    </row>
    <row r="104" spans="3:64" s="335" customFormat="1" ht="66" hidden="1" customHeight="1" thickBot="1">
      <c r="C104" s="1112"/>
      <c r="D104" s="409"/>
      <c r="E104" s="401"/>
      <c r="F104" s="401"/>
      <c r="G104" s="401"/>
      <c r="H104" s="401"/>
      <c r="I104" s="717"/>
      <c r="J104" s="717"/>
      <c r="K104" s="717"/>
      <c r="L104" s="717"/>
      <c r="M104" s="457"/>
      <c r="N104" s="450"/>
      <c r="O104" s="450"/>
      <c r="P104" s="450"/>
      <c r="Q104" s="459">
        <f t="shared" si="124"/>
        <v>0</v>
      </c>
      <c r="R104" s="448">
        <v>0</v>
      </c>
      <c r="S104" s="449">
        <v>0</v>
      </c>
      <c r="T104" s="449">
        <v>0</v>
      </c>
      <c r="U104" s="449">
        <v>0</v>
      </c>
      <c r="V104" s="404">
        <f t="shared" si="116"/>
        <v>0</v>
      </c>
      <c r="W104" s="781">
        <f>M104*0.3</f>
        <v>0</v>
      </c>
      <c r="X104" s="781">
        <f t="shared" si="125"/>
        <v>0</v>
      </c>
      <c r="Y104" s="781">
        <f t="shared" si="125"/>
        <v>0</v>
      </c>
      <c r="Z104" s="781">
        <f>P104*0.3</f>
        <v>0</v>
      </c>
      <c r="AA104" s="404">
        <f t="shared" si="126"/>
        <v>0</v>
      </c>
      <c r="AB104" s="450">
        <v>0</v>
      </c>
      <c r="AC104" s="451">
        <v>0</v>
      </c>
      <c r="AD104" s="451">
        <v>0</v>
      </c>
      <c r="AE104" s="451">
        <v>0</v>
      </c>
      <c r="AF104" s="404">
        <f t="shared" si="127"/>
        <v>0</v>
      </c>
      <c r="AG104" s="428">
        <v>0</v>
      </c>
      <c r="AH104" s="429">
        <v>0</v>
      </c>
      <c r="AI104" s="429">
        <v>0</v>
      </c>
      <c r="AJ104" s="429">
        <v>0</v>
      </c>
      <c r="AK104" s="404">
        <f t="shared" si="128"/>
        <v>0</v>
      </c>
      <c r="AL104" s="448">
        <v>0</v>
      </c>
      <c r="AM104" s="449">
        <v>0</v>
      </c>
      <c r="AN104" s="449">
        <v>0</v>
      </c>
      <c r="AO104" s="449">
        <v>0</v>
      </c>
      <c r="AP104" s="405">
        <f t="shared" si="129"/>
        <v>0</v>
      </c>
      <c r="AQ104" s="787">
        <f t="shared" si="130"/>
        <v>0</v>
      </c>
      <c r="AR104" s="407">
        <f t="shared" si="131"/>
        <v>0</v>
      </c>
      <c r="AS104" s="407">
        <f t="shared" si="132"/>
        <v>0</v>
      </c>
      <c r="AT104" s="407">
        <f t="shared" si="133"/>
        <v>0</v>
      </c>
      <c r="AU104" s="408">
        <f t="shared" si="134"/>
        <v>0</v>
      </c>
      <c r="AV104" s="392" t="s">
        <v>348</v>
      </c>
      <c r="AW104" s="392" t="s">
        <v>348</v>
      </c>
      <c r="AX104" s="392" t="s">
        <v>348</v>
      </c>
      <c r="AY104" s="392" t="s">
        <v>348</v>
      </c>
      <c r="AZ104" s="387" t="s">
        <v>348</v>
      </c>
      <c r="BA104" s="343"/>
      <c r="BB104" s="406">
        <f t="shared" si="119"/>
        <v>0</v>
      </c>
      <c r="BC104" s="407">
        <f t="shared" si="120"/>
        <v>0</v>
      </c>
      <c r="BD104" s="407">
        <f t="shared" si="121"/>
        <v>0</v>
      </c>
      <c r="BE104" s="407">
        <f t="shared" si="122"/>
        <v>0</v>
      </c>
      <c r="BF104" s="404">
        <f t="shared" si="123"/>
        <v>0</v>
      </c>
      <c r="BG104" s="343"/>
      <c r="BH104" s="406">
        <f t="shared" si="135"/>
        <v>0</v>
      </c>
      <c r="BI104" s="407">
        <f t="shared" si="136"/>
        <v>0</v>
      </c>
      <c r="BJ104" s="407">
        <f t="shared" si="137"/>
        <v>0</v>
      </c>
      <c r="BK104" s="407">
        <f t="shared" si="138"/>
        <v>0</v>
      </c>
      <c r="BL104" s="408">
        <f t="shared" si="139"/>
        <v>0</v>
      </c>
    </row>
    <row r="105" spans="3:64" s="335" customFormat="1" ht="27.75" hidden="1" customHeight="1" thickBot="1">
      <c r="C105" s="1112"/>
      <c r="D105" s="409" t="s">
        <v>99</v>
      </c>
      <c r="E105" s="401">
        <v>0.22</v>
      </c>
      <c r="F105" s="401">
        <v>0.22</v>
      </c>
      <c r="G105" s="401">
        <v>0.22</v>
      </c>
      <c r="H105" s="401">
        <v>0.22</v>
      </c>
      <c r="I105" s="717">
        <v>4</v>
      </c>
      <c r="J105" s="717">
        <v>4</v>
      </c>
      <c r="K105" s="717">
        <v>4</v>
      </c>
      <c r="L105" s="717">
        <v>4</v>
      </c>
      <c r="M105" s="457">
        <f>(6500*4)*3</f>
        <v>78000</v>
      </c>
      <c r="N105" s="457">
        <f>(6500*4)*3</f>
        <v>78000</v>
      </c>
      <c r="O105" s="457">
        <f>(6500*4)*3</f>
        <v>78000</v>
      </c>
      <c r="P105" s="457">
        <f>(6500*4)*3</f>
        <v>78000</v>
      </c>
      <c r="Q105" s="459">
        <f t="shared" si="124"/>
        <v>312000</v>
      </c>
      <c r="R105" s="448">
        <v>0</v>
      </c>
      <c r="S105" s="449">
        <v>0</v>
      </c>
      <c r="T105" s="449">
        <v>0</v>
      </c>
      <c r="U105" s="449">
        <v>0</v>
      </c>
      <c r="V105" s="404">
        <f t="shared" si="116"/>
        <v>0</v>
      </c>
      <c r="W105" s="781">
        <f>M105*0.3</f>
        <v>23400</v>
      </c>
      <c r="X105" s="781">
        <f t="shared" si="125"/>
        <v>39000</v>
      </c>
      <c r="Y105" s="781">
        <f t="shared" si="125"/>
        <v>39000</v>
      </c>
      <c r="Z105" s="781">
        <f>P105*0.3</f>
        <v>23400</v>
      </c>
      <c r="AA105" s="404">
        <f t="shared" si="126"/>
        <v>124800</v>
      </c>
      <c r="AB105" s="450">
        <v>0</v>
      </c>
      <c r="AC105" s="451">
        <v>0</v>
      </c>
      <c r="AD105" s="451">
        <v>0</v>
      </c>
      <c r="AE105" s="451">
        <v>0</v>
      </c>
      <c r="AF105" s="404">
        <f t="shared" si="127"/>
        <v>0</v>
      </c>
      <c r="AG105" s="428">
        <v>0</v>
      </c>
      <c r="AH105" s="429">
        <v>0</v>
      </c>
      <c r="AI105" s="429">
        <v>0</v>
      </c>
      <c r="AJ105" s="429">
        <v>0</v>
      </c>
      <c r="AK105" s="404">
        <f t="shared" si="128"/>
        <v>0</v>
      </c>
      <c r="AL105" s="448">
        <v>0</v>
      </c>
      <c r="AM105" s="449">
        <v>0</v>
      </c>
      <c r="AN105" s="449">
        <v>0</v>
      </c>
      <c r="AO105" s="449">
        <v>0</v>
      </c>
      <c r="AP105" s="405">
        <f t="shared" si="129"/>
        <v>0</v>
      </c>
      <c r="AQ105" s="787">
        <f t="shared" si="130"/>
        <v>101400</v>
      </c>
      <c r="AR105" s="407">
        <f t="shared" si="131"/>
        <v>117000</v>
      </c>
      <c r="AS105" s="407">
        <f t="shared" si="132"/>
        <v>117000</v>
      </c>
      <c r="AT105" s="407">
        <f t="shared" si="133"/>
        <v>101400</v>
      </c>
      <c r="AU105" s="408">
        <f t="shared" si="134"/>
        <v>436800</v>
      </c>
      <c r="AV105" s="392" t="s">
        <v>348</v>
      </c>
      <c r="AW105" s="392" t="s">
        <v>348</v>
      </c>
      <c r="AX105" s="392" t="s">
        <v>348</v>
      </c>
      <c r="AY105" s="392" t="s">
        <v>348</v>
      </c>
      <c r="AZ105" s="387" t="s">
        <v>348</v>
      </c>
      <c r="BA105" s="343"/>
      <c r="BB105" s="406">
        <f t="shared" si="119"/>
        <v>22308</v>
      </c>
      <c r="BC105" s="407">
        <f t="shared" si="120"/>
        <v>25740</v>
      </c>
      <c r="BD105" s="407">
        <f t="shared" si="121"/>
        <v>25740</v>
      </c>
      <c r="BE105" s="407">
        <f t="shared" si="122"/>
        <v>22308</v>
      </c>
      <c r="BF105" s="404">
        <f t="shared" si="123"/>
        <v>1747200</v>
      </c>
      <c r="BG105" s="343"/>
      <c r="BH105" s="406">
        <f t="shared" si="135"/>
        <v>19773</v>
      </c>
      <c r="BI105" s="407">
        <f t="shared" si="136"/>
        <v>22815</v>
      </c>
      <c r="BJ105" s="407">
        <f t="shared" si="137"/>
        <v>22815</v>
      </c>
      <c r="BK105" s="407">
        <f t="shared" si="138"/>
        <v>19773</v>
      </c>
      <c r="BL105" s="408">
        <f t="shared" si="139"/>
        <v>85176</v>
      </c>
    </row>
    <row r="106" spans="3:64" s="335" customFormat="1" ht="21.75" hidden="1" customHeight="1">
      <c r="C106" s="1112"/>
      <c r="D106" s="409" t="s">
        <v>100</v>
      </c>
      <c r="E106" s="401">
        <v>0.22</v>
      </c>
      <c r="F106" s="401">
        <v>0.22</v>
      </c>
      <c r="G106" s="401">
        <v>0.22</v>
      </c>
      <c r="H106" s="401">
        <v>0.22</v>
      </c>
      <c r="I106" s="717">
        <v>6</v>
      </c>
      <c r="J106" s="717">
        <v>3</v>
      </c>
      <c r="K106" s="717">
        <v>3</v>
      </c>
      <c r="L106" s="717">
        <v>6</v>
      </c>
      <c r="M106" s="457">
        <f>(6500*6)*3</f>
        <v>117000</v>
      </c>
      <c r="N106" s="457">
        <f>(6500*6)</f>
        <v>39000</v>
      </c>
      <c r="O106" s="457">
        <f>(6500*6)</f>
        <v>39000</v>
      </c>
      <c r="P106" s="457">
        <f>(6500*6)*3</f>
        <v>117000</v>
      </c>
      <c r="Q106" s="459">
        <f t="shared" si="124"/>
        <v>312000</v>
      </c>
      <c r="R106" s="448">
        <v>0</v>
      </c>
      <c r="S106" s="449">
        <v>0</v>
      </c>
      <c r="T106" s="449">
        <v>0</v>
      </c>
      <c r="U106" s="449">
        <v>0</v>
      </c>
      <c r="V106" s="404">
        <f t="shared" si="116"/>
        <v>0</v>
      </c>
      <c r="W106" s="781">
        <f>M106*0.3</f>
        <v>35100</v>
      </c>
      <c r="X106" s="781">
        <f t="shared" si="125"/>
        <v>19500</v>
      </c>
      <c r="Y106" s="781">
        <f t="shared" si="125"/>
        <v>19500</v>
      </c>
      <c r="Z106" s="781">
        <f>P106*0.3</f>
        <v>35100</v>
      </c>
      <c r="AA106" s="404">
        <f t="shared" si="126"/>
        <v>109200</v>
      </c>
      <c r="AB106" s="450">
        <v>0</v>
      </c>
      <c r="AC106" s="451">
        <v>0</v>
      </c>
      <c r="AD106" s="451">
        <v>0</v>
      </c>
      <c r="AE106" s="451">
        <v>0</v>
      </c>
      <c r="AF106" s="404">
        <f t="shared" si="127"/>
        <v>0</v>
      </c>
      <c r="AG106" s="428">
        <v>0</v>
      </c>
      <c r="AH106" s="429">
        <v>0</v>
      </c>
      <c r="AI106" s="429">
        <v>0</v>
      </c>
      <c r="AJ106" s="429">
        <v>0</v>
      </c>
      <c r="AK106" s="404">
        <f t="shared" si="128"/>
        <v>0</v>
      </c>
      <c r="AL106" s="448">
        <v>0</v>
      </c>
      <c r="AM106" s="449">
        <v>0</v>
      </c>
      <c r="AN106" s="449">
        <v>0</v>
      </c>
      <c r="AO106" s="449">
        <v>0</v>
      </c>
      <c r="AP106" s="405">
        <f t="shared" si="129"/>
        <v>0</v>
      </c>
      <c r="AQ106" s="787">
        <f t="shared" si="130"/>
        <v>152100</v>
      </c>
      <c r="AR106" s="407">
        <f t="shared" si="131"/>
        <v>58500</v>
      </c>
      <c r="AS106" s="407">
        <f t="shared" si="132"/>
        <v>58500</v>
      </c>
      <c r="AT106" s="407">
        <f t="shared" si="133"/>
        <v>152100</v>
      </c>
      <c r="AU106" s="408">
        <f t="shared" si="134"/>
        <v>421200</v>
      </c>
      <c r="AV106" s="392" t="s">
        <v>348</v>
      </c>
      <c r="AW106" s="392" t="s">
        <v>348</v>
      </c>
      <c r="AX106" s="392" t="s">
        <v>348</v>
      </c>
      <c r="AY106" s="392" t="s">
        <v>348</v>
      </c>
      <c r="AZ106" s="387" t="s">
        <v>348</v>
      </c>
      <c r="BA106" s="343"/>
      <c r="BB106" s="406">
        <f t="shared" si="119"/>
        <v>33462</v>
      </c>
      <c r="BC106" s="407">
        <f t="shared" si="120"/>
        <v>12870</v>
      </c>
      <c r="BD106" s="407">
        <f t="shared" si="121"/>
        <v>12870</v>
      </c>
      <c r="BE106" s="407">
        <f t="shared" si="122"/>
        <v>33462</v>
      </c>
      <c r="BF106" s="404">
        <f t="shared" si="123"/>
        <v>2527200</v>
      </c>
      <c r="BG106" s="343"/>
      <c r="BH106" s="406">
        <f t="shared" si="135"/>
        <v>29659.5</v>
      </c>
      <c r="BI106" s="407">
        <f t="shared" si="136"/>
        <v>11407.5</v>
      </c>
      <c r="BJ106" s="407">
        <f t="shared" si="137"/>
        <v>11407.5</v>
      </c>
      <c r="BK106" s="407">
        <f t="shared" si="138"/>
        <v>29659.5</v>
      </c>
      <c r="BL106" s="408">
        <f t="shared" si="139"/>
        <v>82134</v>
      </c>
    </row>
    <row r="107" spans="3:64" s="335" customFormat="1" hidden="1">
      <c r="C107" s="1112"/>
      <c r="D107" s="409"/>
      <c r="E107" s="400"/>
      <c r="F107" s="401"/>
      <c r="G107" s="401"/>
      <c r="H107" s="402"/>
      <c r="I107" s="457"/>
      <c r="J107" s="451"/>
      <c r="K107" s="451"/>
      <c r="L107" s="458"/>
      <c r="M107" s="450"/>
      <c r="N107" s="451"/>
      <c r="O107" s="451"/>
      <c r="P107" s="452"/>
      <c r="Q107" s="459">
        <f t="shared" si="124"/>
        <v>0</v>
      </c>
      <c r="R107" s="450"/>
      <c r="S107" s="451"/>
      <c r="T107" s="451"/>
      <c r="U107" s="451"/>
      <c r="V107" s="404">
        <f t="shared" si="116"/>
        <v>0</v>
      </c>
      <c r="W107" s="775"/>
      <c r="X107" s="776"/>
      <c r="Y107" s="776"/>
      <c r="Z107" s="776"/>
      <c r="AA107" s="404">
        <f t="shared" si="126"/>
        <v>0</v>
      </c>
      <c r="AB107" s="450"/>
      <c r="AC107" s="451"/>
      <c r="AD107" s="451"/>
      <c r="AE107" s="451"/>
      <c r="AF107" s="404">
        <f t="shared" si="127"/>
        <v>0</v>
      </c>
      <c r="AG107" s="428"/>
      <c r="AH107" s="429"/>
      <c r="AI107" s="429"/>
      <c r="AJ107" s="429"/>
      <c r="AK107" s="404">
        <f t="shared" si="128"/>
        <v>0</v>
      </c>
      <c r="AL107" s="436"/>
      <c r="AM107" s="437"/>
      <c r="AN107" s="437"/>
      <c r="AO107" s="437"/>
      <c r="AP107" s="405">
        <f t="shared" si="129"/>
        <v>0</v>
      </c>
      <c r="AQ107" s="787">
        <f t="shared" si="130"/>
        <v>0</v>
      </c>
      <c r="AR107" s="407">
        <f t="shared" si="131"/>
        <v>0</v>
      </c>
      <c r="AS107" s="407">
        <f t="shared" si="132"/>
        <v>0</v>
      </c>
      <c r="AT107" s="407">
        <f t="shared" si="133"/>
        <v>0</v>
      </c>
      <c r="AU107" s="408">
        <f t="shared" si="134"/>
        <v>0</v>
      </c>
      <c r="AV107" s="392" t="s">
        <v>348</v>
      </c>
      <c r="AW107" s="392" t="s">
        <v>348</v>
      </c>
      <c r="AX107" s="392" t="s">
        <v>348</v>
      </c>
      <c r="AY107" s="392" t="s">
        <v>348</v>
      </c>
      <c r="AZ107" s="387" t="s">
        <v>348</v>
      </c>
      <c r="BA107" s="343"/>
      <c r="BB107" s="406">
        <f t="shared" si="119"/>
        <v>0</v>
      </c>
      <c r="BC107" s="407">
        <f t="shared" si="120"/>
        <v>0</v>
      </c>
      <c r="BD107" s="407">
        <f t="shared" si="121"/>
        <v>0</v>
      </c>
      <c r="BE107" s="407">
        <f t="shared" si="122"/>
        <v>0</v>
      </c>
      <c r="BF107" s="404">
        <f t="shared" si="123"/>
        <v>0</v>
      </c>
      <c r="BG107" s="343"/>
      <c r="BH107" s="406">
        <f t="shared" si="135"/>
        <v>0</v>
      </c>
      <c r="BI107" s="407">
        <f t="shared" si="136"/>
        <v>0</v>
      </c>
      <c r="BJ107" s="407">
        <f t="shared" si="137"/>
        <v>0</v>
      </c>
      <c r="BK107" s="407">
        <f t="shared" si="138"/>
        <v>0</v>
      </c>
      <c r="BL107" s="408">
        <f t="shared" si="139"/>
        <v>0</v>
      </c>
    </row>
    <row r="108" spans="3:64" s="335" customFormat="1" hidden="1">
      <c r="C108" s="1112"/>
      <c r="D108" s="409"/>
      <c r="E108" s="400"/>
      <c r="F108" s="401"/>
      <c r="G108" s="401"/>
      <c r="H108" s="402"/>
      <c r="I108" s="457"/>
      <c r="J108" s="451"/>
      <c r="K108" s="451"/>
      <c r="L108" s="458"/>
      <c r="M108" s="450"/>
      <c r="N108" s="451"/>
      <c r="O108" s="451"/>
      <c r="P108" s="452"/>
      <c r="Q108" s="459">
        <f t="shared" si="124"/>
        <v>0</v>
      </c>
      <c r="R108" s="450"/>
      <c r="S108" s="451"/>
      <c r="T108" s="451"/>
      <c r="U108" s="451"/>
      <c r="V108" s="404">
        <f t="shared" si="116"/>
        <v>0</v>
      </c>
      <c r="W108" s="775"/>
      <c r="X108" s="776"/>
      <c r="Y108" s="776"/>
      <c r="Z108" s="776"/>
      <c r="AA108" s="404">
        <f t="shared" si="126"/>
        <v>0</v>
      </c>
      <c r="AB108" s="450"/>
      <c r="AC108" s="451"/>
      <c r="AD108" s="451"/>
      <c r="AE108" s="451"/>
      <c r="AF108" s="404">
        <f t="shared" si="127"/>
        <v>0</v>
      </c>
      <c r="AG108" s="428"/>
      <c r="AH108" s="429"/>
      <c r="AI108" s="429"/>
      <c r="AJ108" s="429"/>
      <c r="AK108" s="404">
        <f t="shared" si="128"/>
        <v>0</v>
      </c>
      <c r="AL108" s="436"/>
      <c r="AM108" s="437"/>
      <c r="AN108" s="437"/>
      <c r="AO108" s="437"/>
      <c r="AP108" s="405">
        <f t="shared" si="129"/>
        <v>0</v>
      </c>
      <c r="AQ108" s="787">
        <f t="shared" si="130"/>
        <v>0</v>
      </c>
      <c r="AR108" s="407">
        <f t="shared" si="131"/>
        <v>0</v>
      </c>
      <c r="AS108" s="407">
        <f t="shared" si="132"/>
        <v>0</v>
      </c>
      <c r="AT108" s="407">
        <f t="shared" si="133"/>
        <v>0</v>
      </c>
      <c r="AU108" s="408">
        <f t="shared" si="134"/>
        <v>0</v>
      </c>
      <c r="AV108" s="392" t="s">
        <v>348</v>
      </c>
      <c r="AW108" s="392" t="s">
        <v>348</v>
      </c>
      <c r="AX108" s="392" t="s">
        <v>348</v>
      </c>
      <c r="AY108" s="392" t="s">
        <v>348</v>
      </c>
      <c r="AZ108" s="387" t="s">
        <v>348</v>
      </c>
      <c r="BA108" s="343"/>
      <c r="BB108" s="406">
        <f t="shared" si="119"/>
        <v>0</v>
      </c>
      <c r="BC108" s="407">
        <f t="shared" si="120"/>
        <v>0</v>
      </c>
      <c r="BD108" s="407">
        <f t="shared" si="121"/>
        <v>0</v>
      </c>
      <c r="BE108" s="407">
        <f t="shared" si="122"/>
        <v>0</v>
      </c>
      <c r="BF108" s="404">
        <f t="shared" si="123"/>
        <v>0</v>
      </c>
      <c r="BG108" s="343"/>
      <c r="BH108" s="406">
        <f t="shared" si="135"/>
        <v>0</v>
      </c>
      <c r="BI108" s="407">
        <f t="shared" si="136"/>
        <v>0</v>
      </c>
      <c r="BJ108" s="407">
        <f t="shared" si="137"/>
        <v>0</v>
      </c>
      <c r="BK108" s="407">
        <f t="shared" si="138"/>
        <v>0</v>
      </c>
      <c r="BL108" s="408">
        <f t="shared" si="139"/>
        <v>0</v>
      </c>
    </row>
    <row r="109" spans="3:64" s="335" customFormat="1" hidden="1">
      <c r="C109" s="1112"/>
      <c r="D109" s="409"/>
      <c r="E109" s="400"/>
      <c r="F109" s="401"/>
      <c r="G109" s="401"/>
      <c r="H109" s="402"/>
      <c r="I109" s="457"/>
      <c r="J109" s="451"/>
      <c r="K109" s="451"/>
      <c r="L109" s="458"/>
      <c r="M109" s="450"/>
      <c r="N109" s="451"/>
      <c r="O109" s="451"/>
      <c r="P109" s="452"/>
      <c r="Q109" s="459">
        <f t="shared" si="124"/>
        <v>0</v>
      </c>
      <c r="R109" s="436"/>
      <c r="S109" s="437"/>
      <c r="T109" s="437"/>
      <c r="U109" s="437"/>
      <c r="V109" s="404">
        <f t="shared" si="116"/>
        <v>0</v>
      </c>
      <c r="W109" s="775"/>
      <c r="X109" s="776"/>
      <c r="Y109" s="776"/>
      <c r="Z109" s="776"/>
      <c r="AA109" s="404">
        <f t="shared" si="126"/>
        <v>0</v>
      </c>
      <c r="AB109" s="450"/>
      <c r="AC109" s="451"/>
      <c r="AD109" s="451"/>
      <c r="AE109" s="451"/>
      <c r="AF109" s="404">
        <f t="shared" si="127"/>
        <v>0</v>
      </c>
      <c r="AG109" s="428"/>
      <c r="AH109" s="429"/>
      <c r="AI109" s="429"/>
      <c r="AJ109" s="429"/>
      <c r="AK109" s="404">
        <f t="shared" si="128"/>
        <v>0</v>
      </c>
      <c r="AL109" s="436"/>
      <c r="AM109" s="437"/>
      <c r="AN109" s="437"/>
      <c r="AO109" s="437"/>
      <c r="AP109" s="405">
        <f t="shared" si="129"/>
        <v>0</v>
      </c>
      <c r="AQ109" s="787">
        <f t="shared" si="130"/>
        <v>0</v>
      </c>
      <c r="AR109" s="407">
        <f t="shared" si="131"/>
        <v>0</v>
      </c>
      <c r="AS109" s="407">
        <f t="shared" si="132"/>
        <v>0</v>
      </c>
      <c r="AT109" s="407">
        <f t="shared" si="133"/>
        <v>0</v>
      </c>
      <c r="AU109" s="408">
        <f t="shared" si="134"/>
        <v>0</v>
      </c>
      <c r="AV109" s="392" t="s">
        <v>348</v>
      </c>
      <c r="AW109" s="392" t="s">
        <v>348</v>
      </c>
      <c r="AX109" s="392" t="s">
        <v>348</v>
      </c>
      <c r="AY109" s="392" t="s">
        <v>348</v>
      </c>
      <c r="AZ109" s="387" t="s">
        <v>348</v>
      </c>
      <c r="BA109" s="343"/>
      <c r="BB109" s="406">
        <f t="shared" si="119"/>
        <v>0</v>
      </c>
      <c r="BC109" s="407">
        <f t="shared" si="120"/>
        <v>0</v>
      </c>
      <c r="BD109" s="407">
        <f t="shared" si="121"/>
        <v>0</v>
      </c>
      <c r="BE109" s="407">
        <f t="shared" si="122"/>
        <v>0</v>
      </c>
      <c r="BF109" s="404">
        <f t="shared" si="123"/>
        <v>0</v>
      </c>
      <c r="BG109" s="343"/>
      <c r="BH109" s="406">
        <f t="shared" si="135"/>
        <v>0</v>
      </c>
      <c r="BI109" s="407">
        <f t="shared" si="136"/>
        <v>0</v>
      </c>
      <c r="BJ109" s="407">
        <f t="shared" si="137"/>
        <v>0</v>
      </c>
      <c r="BK109" s="407">
        <f t="shared" si="138"/>
        <v>0</v>
      </c>
      <c r="BL109" s="408">
        <f t="shared" si="139"/>
        <v>0</v>
      </c>
    </row>
    <row r="110" spans="3:64" s="335" customFormat="1" ht="18" hidden="1" customHeight="1">
      <c r="C110" s="1112"/>
      <c r="D110" s="409"/>
      <c r="E110" s="400"/>
      <c r="F110" s="401"/>
      <c r="G110" s="401"/>
      <c r="H110" s="402"/>
      <c r="I110" s="457"/>
      <c r="J110" s="451"/>
      <c r="K110" s="451"/>
      <c r="L110" s="458"/>
      <c r="M110" s="450"/>
      <c r="N110" s="451"/>
      <c r="O110" s="451"/>
      <c r="P110" s="452"/>
      <c r="Q110" s="459">
        <f t="shared" si="124"/>
        <v>0</v>
      </c>
      <c r="R110" s="436"/>
      <c r="S110" s="437"/>
      <c r="T110" s="437"/>
      <c r="U110" s="437"/>
      <c r="V110" s="404">
        <f t="shared" si="116"/>
        <v>0</v>
      </c>
      <c r="W110" s="775"/>
      <c r="X110" s="776"/>
      <c r="Y110" s="776"/>
      <c r="Z110" s="776"/>
      <c r="AA110" s="404">
        <f t="shared" si="126"/>
        <v>0</v>
      </c>
      <c r="AB110" s="450"/>
      <c r="AC110" s="451"/>
      <c r="AD110" s="451"/>
      <c r="AE110" s="451"/>
      <c r="AF110" s="404">
        <f t="shared" si="127"/>
        <v>0</v>
      </c>
      <c r="AG110" s="428"/>
      <c r="AH110" s="429"/>
      <c r="AI110" s="429"/>
      <c r="AJ110" s="429"/>
      <c r="AK110" s="404">
        <f t="shared" si="128"/>
        <v>0</v>
      </c>
      <c r="AL110" s="436"/>
      <c r="AM110" s="437"/>
      <c r="AN110" s="437"/>
      <c r="AO110" s="437"/>
      <c r="AP110" s="405">
        <f t="shared" si="129"/>
        <v>0</v>
      </c>
      <c r="AQ110" s="787">
        <f t="shared" si="130"/>
        <v>0</v>
      </c>
      <c r="AR110" s="407">
        <f t="shared" si="131"/>
        <v>0</v>
      </c>
      <c r="AS110" s="407">
        <f t="shared" si="132"/>
        <v>0</v>
      </c>
      <c r="AT110" s="407">
        <f t="shared" si="133"/>
        <v>0</v>
      </c>
      <c r="AU110" s="408">
        <f t="shared" si="134"/>
        <v>0</v>
      </c>
      <c r="AV110" s="392" t="s">
        <v>348</v>
      </c>
      <c r="AW110" s="392" t="s">
        <v>348</v>
      </c>
      <c r="AX110" s="392" t="s">
        <v>348</v>
      </c>
      <c r="AY110" s="392" t="s">
        <v>348</v>
      </c>
      <c r="AZ110" s="387" t="s">
        <v>348</v>
      </c>
      <c r="BA110" s="343"/>
      <c r="BB110" s="406">
        <f t="shared" si="119"/>
        <v>0</v>
      </c>
      <c r="BC110" s="407">
        <f t="shared" si="120"/>
        <v>0</v>
      </c>
      <c r="BD110" s="407">
        <f t="shared" si="121"/>
        <v>0</v>
      </c>
      <c r="BE110" s="407">
        <f t="shared" si="122"/>
        <v>0</v>
      </c>
      <c r="BF110" s="404">
        <f t="shared" si="123"/>
        <v>0</v>
      </c>
      <c r="BG110" s="343"/>
      <c r="BH110" s="406">
        <f t="shared" si="135"/>
        <v>0</v>
      </c>
      <c r="BI110" s="407">
        <f t="shared" si="136"/>
        <v>0</v>
      </c>
      <c r="BJ110" s="407">
        <f t="shared" si="137"/>
        <v>0</v>
      </c>
      <c r="BK110" s="407">
        <f t="shared" si="138"/>
        <v>0</v>
      </c>
      <c r="BL110" s="408">
        <f t="shared" si="139"/>
        <v>0</v>
      </c>
    </row>
    <row r="111" spans="3:64" s="335" customFormat="1" hidden="1">
      <c r="C111" s="1112"/>
      <c r="D111" s="409"/>
      <c r="E111" s="400"/>
      <c r="F111" s="401"/>
      <c r="G111" s="401"/>
      <c r="H111" s="402"/>
      <c r="I111" s="457"/>
      <c r="J111" s="451"/>
      <c r="K111" s="451"/>
      <c r="L111" s="458"/>
      <c r="M111" s="450"/>
      <c r="N111" s="451"/>
      <c r="O111" s="451"/>
      <c r="P111" s="452"/>
      <c r="Q111" s="459">
        <f t="shared" si="124"/>
        <v>0</v>
      </c>
      <c r="R111" s="436"/>
      <c r="S111" s="437"/>
      <c r="T111" s="437"/>
      <c r="U111" s="437"/>
      <c r="V111" s="404">
        <f t="shared" si="116"/>
        <v>0</v>
      </c>
      <c r="W111" s="775"/>
      <c r="X111" s="776"/>
      <c r="Y111" s="776"/>
      <c r="Z111" s="776"/>
      <c r="AA111" s="404">
        <f t="shared" si="126"/>
        <v>0</v>
      </c>
      <c r="AB111" s="450"/>
      <c r="AC111" s="451"/>
      <c r="AD111" s="451"/>
      <c r="AE111" s="451"/>
      <c r="AF111" s="404">
        <f t="shared" si="127"/>
        <v>0</v>
      </c>
      <c r="AG111" s="428"/>
      <c r="AH111" s="429"/>
      <c r="AI111" s="429"/>
      <c r="AJ111" s="429"/>
      <c r="AK111" s="404">
        <f t="shared" si="128"/>
        <v>0</v>
      </c>
      <c r="AL111" s="436"/>
      <c r="AM111" s="437"/>
      <c r="AN111" s="437"/>
      <c r="AO111" s="437"/>
      <c r="AP111" s="405">
        <f t="shared" si="129"/>
        <v>0</v>
      </c>
      <c r="AQ111" s="787">
        <f t="shared" si="130"/>
        <v>0</v>
      </c>
      <c r="AR111" s="407">
        <f t="shared" si="131"/>
        <v>0</v>
      </c>
      <c r="AS111" s="407">
        <f t="shared" si="132"/>
        <v>0</v>
      </c>
      <c r="AT111" s="407">
        <f t="shared" si="133"/>
        <v>0</v>
      </c>
      <c r="AU111" s="408">
        <f t="shared" si="134"/>
        <v>0</v>
      </c>
      <c r="AV111" s="392" t="s">
        <v>348</v>
      </c>
      <c r="AW111" s="392" t="s">
        <v>348</v>
      </c>
      <c r="AX111" s="392" t="s">
        <v>348</v>
      </c>
      <c r="AY111" s="392" t="s">
        <v>348</v>
      </c>
      <c r="AZ111" s="387" t="s">
        <v>348</v>
      </c>
      <c r="BA111" s="343"/>
      <c r="BB111" s="406">
        <f t="shared" si="119"/>
        <v>0</v>
      </c>
      <c r="BC111" s="407">
        <f t="shared" si="120"/>
        <v>0</v>
      </c>
      <c r="BD111" s="407">
        <f t="shared" si="121"/>
        <v>0</v>
      </c>
      <c r="BE111" s="407">
        <f t="shared" si="122"/>
        <v>0</v>
      </c>
      <c r="BF111" s="404">
        <f t="shared" si="123"/>
        <v>0</v>
      </c>
      <c r="BG111" s="343"/>
      <c r="BH111" s="406">
        <f t="shared" si="135"/>
        <v>0</v>
      </c>
      <c r="BI111" s="407">
        <f t="shared" si="136"/>
        <v>0</v>
      </c>
      <c r="BJ111" s="407">
        <f t="shared" si="137"/>
        <v>0</v>
      </c>
      <c r="BK111" s="407">
        <f t="shared" si="138"/>
        <v>0</v>
      </c>
      <c r="BL111" s="408">
        <f t="shared" si="139"/>
        <v>0</v>
      </c>
    </row>
    <row r="112" spans="3:64" s="335" customFormat="1" hidden="1">
      <c r="C112" s="1112"/>
      <c r="D112" s="409"/>
      <c r="E112" s="400"/>
      <c r="F112" s="401"/>
      <c r="G112" s="401"/>
      <c r="H112" s="402"/>
      <c r="I112" s="457"/>
      <c r="J112" s="451"/>
      <c r="K112" s="451"/>
      <c r="L112" s="458"/>
      <c r="M112" s="450"/>
      <c r="N112" s="451"/>
      <c r="O112" s="451"/>
      <c r="P112" s="452"/>
      <c r="Q112" s="459">
        <f t="shared" si="124"/>
        <v>0</v>
      </c>
      <c r="R112" s="450"/>
      <c r="S112" s="451"/>
      <c r="T112" s="451"/>
      <c r="U112" s="451"/>
      <c r="V112" s="404">
        <f t="shared" si="116"/>
        <v>0</v>
      </c>
      <c r="W112" s="775"/>
      <c r="X112" s="776"/>
      <c r="Y112" s="776"/>
      <c r="Z112" s="776"/>
      <c r="AA112" s="404">
        <f t="shared" si="126"/>
        <v>0</v>
      </c>
      <c r="AB112" s="450"/>
      <c r="AC112" s="451"/>
      <c r="AD112" s="451"/>
      <c r="AE112" s="451"/>
      <c r="AF112" s="404">
        <f t="shared" si="127"/>
        <v>0</v>
      </c>
      <c r="AG112" s="428"/>
      <c r="AH112" s="429"/>
      <c r="AI112" s="429"/>
      <c r="AJ112" s="429"/>
      <c r="AK112" s="404">
        <f t="shared" si="128"/>
        <v>0</v>
      </c>
      <c r="AL112" s="436"/>
      <c r="AM112" s="437"/>
      <c r="AN112" s="437"/>
      <c r="AO112" s="437"/>
      <c r="AP112" s="405">
        <f t="shared" si="129"/>
        <v>0</v>
      </c>
      <c r="AQ112" s="787">
        <f t="shared" si="130"/>
        <v>0</v>
      </c>
      <c r="AR112" s="407">
        <f t="shared" si="131"/>
        <v>0</v>
      </c>
      <c r="AS112" s="407">
        <f t="shared" si="132"/>
        <v>0</v>
      </c>
      <c r="AT112" s="407">
        <f t="shared" si="133"/>
        <v>0</v>
      </c>
      <c r="AU112" s="408">
        <f t="shared" si="134"/>
        <v>0</v>
      </c>
      <c r="AV112" s="392" t="s">
        <v>348</v>
      </c>
      <c r="AW112" s="392" t="s">
        <v>348</v>
      </c>
      <c r="AX112" s="392" t="s">
        <v>348</v>
      </c>
      <c r="AY112" s="392" t="s">
        <v>348</v>
      </c>
      <c r="AZ112" s="387" t="s">
        <v>348</v>
      </c>
      <c r="BA112" s="343"/>
      <c r="BB112" s="406">
        <f t="shared" si="119"/>
        <v>0</v>
      </c>
      <c r="BC112" s="407">
        <f t="shared" si="120"/>
        <v>0</v>
      </c>
      <c r="BD112" s="407">
        <f t="shared" si="121"/>
        <v>0</v>
      </c>
      <c r="BE112" s="407">
        <f t="shared" si="122"/>
        <v>0</v>
      </c>
      <c r="BF112" s="404">
        <f t="shared" si="123"/>
        <v>0</v>
      </c>
      <c r="BG112" s="343"/>
      <c r="BH112" s="406">
        <f t="shared" si="135"/>
        <v>0</v>
      </c>
      <c r="BI112" s="407">
        <f t="shared" si="136"/>
        <v>0</v>
      </c>
      <c r="BJ112" s="407">
        <f t="shared" si="137"/>
        <v>0</v>
      </c>
      <c r="BK112" s="407">
        <f t="shared" si="138"/>
        <v>0</v>
      </c>
      <c r="BL112" s="408">
        <f t="shared" si="139"/>
        <v>0</v>
      </c>
    </row>
    <row r="113" spans="3:64" s="335" customFormat="1" ht="18" hidden="1" customHeight="1">
      <c r="C113" s="1112"/>
      <c r="D113" s="409"/>
      <c r="E113" s="400"/>
      <c r="F113" s="401"/>
      <c r="G113" s="401"/>
      <c r="H113" s="402"/>
      <c r="I113" s="457"/>
      <c r="J113" s="451"/>
      <c r="K113" s="451"/>
      <c r="L113" s="458"/>
      <c r="M113" s="450"/>
      <c r="N113" s="451"/>
      <c r="O113" s="451"/>
      <c r="P113" s="452"/>
      <c r="Q113" s="459">
        <f t="shared" si="124"/>
        <v>0</v>
      </c>
      <c r="R113" s="436"/>
      <c r="S113" s="437"/>
      <c r="T113" s="437"/>
      <c r="U113" s="437"/>
      <c r="V113" s="404">
        <f t="shared" si="116"/>
        <v>0</v>
      </c>
      <c r="W113" s="775"/>
      <c r="X113" s="776"/>
      <c r="Y113" s="776"/>
      <c r="Z113" s="776"/>
      <c r="AA113" s="404">
        <f t="shared" si="126"/>
        <v>0</v>
      </c>
      <c r="AB113" s="450"/>
      <c r="AC113" s="451"/>
      <c r="AD113" s="451"/>
      <c r="AE113" s="451"/>
      <c r="AF113" s="404">
        <f t="shared" si="127"/>
        <v>0</v>
      </c>
      <c r="AG113" s="428"/>
      <c r="AH113" s="429"/>
      <c r="AI113" s="429"/>
      <c r="AJ113" s="429"/>
      <c r="AK113" s="404">
        <f t="shared" si="128"/>
        <v>0</v>
      </c>
      <c r="AL113" s="436"/>
      <c r="AM113" s="437"/>
      <c r="AN113" s="437"/>
      <c r="AO113" s="437"/>
      <c r="AP113" s="405">
        <f t="shared" si="129"/>
        <v>0</v>
      </c>
      <c r="AQ113" s="787">
        <f t="shared" si="130"/>
        <v>0</v>
      </c>
      <c r="AR113" s="407">
        <f t="shared" si="131"/>
        <v>0</v>
      </c>
      <c r="AS113" s="407">
        <f t="shared" si="132"/>
        <v>0</v>
      </c>
      <c r="AT113" s="407">
        <f t="shared" si="133"/>
        <v>0</v>
      </c>
      <c r="AU113" s="408">
        <f t="shared" si="134"/>
        <v>0</v>
      </c>
      <c r="AV113" s="392" t="s">
        <v>348</v>
      </c>
      <c r="AW113" s="392" t="s">
        <v>348</v>
      </c>
      <c r="AX113" s="392" t="s">
        <v>348</v>
      </c>
      <c r="AY113" s="392" t="s">
        <v>348</v>
      </c>
      <c r="AZ113" s="387" t="s">
        <v>348</v>
      </c>
      <c r="BA113" s="343"/>
      <c r="BB113" s="406">
        <f t="shared" si="119"/>
        <v>0</v>
      </c>
      <c r="BC113" s="407">
        <f t="shared" si="120"/>
        <v>0</v>
      </c>
      <c r="BD113" s="407">
        <f t="shared" si="121"/>
        <v>0</v>
      </c>
      <c r="BE113" s="407">
        <f t="shared" si="122"/>
        <v>0</v>
      </c>
      <c r="BF113" s="404">
        <f t="shared" si="123"/>
        <v>0</v>
      </c>
      <c r="BG113" s="343"/>
      <c r="BH113" s="406">
        <f t="shared" si="135"/>
        <v>0</v>
      </c>
      <c r="BI113" s="407">
        <f t="shared" si="136"/>
        <v>0</v>
      </c>
      <c r="BJ113" s="407">
        <f t="shared" si="137"/>
        <v>0</v>
      </c>
      <c r="BK113" s="407">
        <f t="shared" si="138"/>
        <v>0</v>
      </c>
      <c r="BL113" s="408">
        <f t="shared" si="139"/>
        <v>0</v>
      </c>
    </row>
    <row r="114" spans="3:64" s="335" customFormat="1" hidden="1">
      <c r="C114" s="1112"/>
      <c r="D114" s="409"/>
      <c r="E114" s="400"/>
      <c r="F114" s="401"/>
      <c r="G114" s="401"/>
      <c r="H114" s="402"/>
      <c r="I114" s="457"/>
      <c r="J114" s="451"/>
      <c r="K114" s="451"/>
      <c r="L114" s="458"/>
      <c r="M114" s="450"/>
      <c r="N114" s="451"/>
      <c r="O114" s="451"/>
      <c r="P114" s="452"/>
      <c r="Q114" s="459">
        <f t="shared" si="124"/>
        <v>0</v>
      </c>
      <c r="R114" s="450"/>
      <c r="S114" s="451"/>
      <c r="T114" s="451"/>
      <c r="U114" s="451"/>
      <c r="V114" s="404">
        <f t="shared" si="116"/>
        <v>0</v>
      </c>
      <c r="W114" s="775"/>
      <c r="X114" s="776"/>
      <c r="Y114" s="776"/>
      <c r="Z114" s="776"/>
      <c r="AA114" s="404">
        <f t="shared" si="126"/>
        <v>0</v>
      </c>
      <c r="AB114" s="450"/>
      <c r="AC114" s="451"/>
      <c r="AD114" s="451"/>
      <c r="AE114" s="451"/>
      <c r="AF114" s="404">
        <f t="shared" si="127"/>
        <v>0</v>
      </c>
      <c r="AG114" s="428"/>
      <c r="AH114" s="429"/>
      <c r="AI114" s="429"/>
      <c r="AJ114" s="429"/>
      <c r="AK114" s="404">
        <f t="shared" si="128"/>
        <v>0</v>
      </c>
      <c r="AL114" s="436"/>
      <c r="AM114" s="437"/>
      <c r="AN114" s="437"/>
      <c r="AO114" s="437"/>
      <c r="AP114" s="405">
        <f t="shared" si="129"/>
        <v>0</v>
      </c>
      <c r="AQ114" s="787">
        <f t="shared" si="130"/>
        <v>0</v>
      </c>
      <c r="AR114" s="407">
        <f t="shared" si="131"/>
        <v>0</v>
      </c>
      <c r="AS114" s="407">
        <f t="shared" si="132"/>
        <v>0</v>
      </c>
      <c r="AT114" s="407">
        <f t="shared" si="133"/>
        <v>0</v>
      </c>
      <c r="AU114" s="408">
        <f t="shared" si="134"/>
        <v>0</v>
      </c>
      <c r="AV114" s="392" t="s">
        <v>348</v>
      </c>
      <c r="AW114" s="392" t="s">
        <v>348</v>
      </c>
      <c r="AX114" s="392" t="s">
        <v>348</v>
      </c>
      <c r="AY114" s="392" t="s">
        <v>348</v>
      </c>
      <c r="AZ114" s="387" t="s">
        <v>348</v>
      </c>
      <c r="BA114" s="343"/>
      <c r="BB114" s="406">
        <f t="shared" si="119"/>
        <v>0</v>
      </c>
      <c r="BC114" s="407">
        <f t="shared" si="120"/>
        <v>0</v>
      </c>
      <c r="BD114" s="407">
        <f t="shared" si="121"/>
        <v>0</v>
      </c>
      <c r="BE114" s="407">
        <f t="shared" si="122"/>
        <v>0</v>
      </c>
      <c r="BF114" s="404">
        <f t="shared" si="123"/>
        <v>0</v>
      </c>
      <c r="BG114" s="343"/>
      <c r="BH114" s="406">
        <f t="shared" si="135"/>
        <v>0</v>
      </c>
      <c r="BI114" s="407">
        <f t="shared" si="136"/>
        <v>0</v>
      </c>
      <c r="BJ114" s="407">
        <f t="shared" si="137"/>
        <v>0</v>
      </c>
      <c r="BK114" s="407">
        <f t="shared" si="138"/>
        <v>0</v>
      </c>
      <c r="BL114" s="408">
        <f t="shared" si="139"/>
        <v>0</v>
      </c>
    </row>
    <row r="115" spans="3:64" s="335" customFormat="1" ht="18" hidden="1" customHeight="1">
      <c r="C115" s="1112"/>
      <c r="D115" s="409"/>
      <c r="E115" s="400"/>
      <c r="F115" s="401"/>
      <c r="G115" s="401"/>
      <c r="H115" s="402"/>
      <c r="I115" s="457"/>
      <c r="J115" s="451"/>
      <c r="K115" s="451"/>
      <c r="L115" s="458"/>
      <c r="M115" s="450"/>
      <c r="N115" s="451"/>
      <c r="O115" s="451"/>
      <c r="P115" s="452"/>
      <c r="Q115" s="459">
        <f t="shared" si="124"/>
        <v>0</v>
      </c>
      <c r="R115" s="436"/>
      <c r="S115" s="437"/>
      <c r="T115" s="437"/>
      <c r="U115" s="437"/>
      <c r="V115" s="404">
        <f t="shared" si="116"/>
        <v>0</v>
      </c>
      <c r="W115" s="775"/>
      <c r="X115" s="776"/>
      <c r="Y115" s="776"/>
      <c r="Z115" s="776"/>
      <c r="AA115" s="404">
        <f t="shared" si="126"/>
        <v>0</v>
      </c>
      <c r="AB115" s="450"/>
      <c r="AC115" s="451"/>
      <c r="AD115" s="451"/>
      <c r="AE115" s="451"/>
      <c r="AF115" s="404">
        <f t="shared" si="127"/>
        <v>0</v>
      </c>
      <c r="AG115" s="428"/>
      <c r="AH115" s="429"/>
      <c r="AI115" s="429"/>
      <c r="AJ115" s="429"/>
      <c r="AK115" s="404">
        <f t="shared" si="128"/>
        <v>0</v>
      </c>
      <c r="AL115" s="436"/>
      <c r="AM115" s="437"/>
      <c r="AN115" s="437"/>
      <c r="AO115" s="437"/>
      <c r="AP115" s="405">
        <f t="shared" si="129"/>
        <v>0</v>
      </c>
      <c r="AQ115" s="787">
        <f t="shared" si="130"/>
        <v>0</v>
      </c>
      <c r="AR115" s="407">
        <f t="shared" si="131"/>
        <v>0</v>
      </c>
      <c r="AS115" s="407">
        <f t="shared" si="132"/>
        <v>0</v>
      </c>
      <c r="AT115" s="407">
        <f t="shared" si="133"/>
        <v>0</v>
      </c>
      <c r="AU115" s="408">
        <f t="shared" si="134"/>
        <v>0</v>
      </c>
      <c r="AV115" s="392" t="s">
        <v>348</v>
      </c>
      <c r="AW115" s="392" t="s">
        <v>348</v>
      </c>
      <c r="AX115" s="392" t="s">
        <v>348</v>
      </c>
      <c r="AY115" s="392" t="s">
        <v>348</v>
      </c>
      <c r="AZ115" s="387" t="s">
        <v>348</v>
      </c>
      <c r="BA115" s="343"/>
      <c r="BB115" s="406">
        <f t="shared" si="119"/>
        <v>0</v>
      </c>
      <c r="BC115" s="407">
        <f t="shared" si="120"/>
        <v>0</v>
      </c>
      <c r="BD115" s="407">
        <f t="shared" si="121"/>
        <v>0</v>
      </c>
      <c r="BE115" s="407">
        <f t="shared" si="122"/>
        <v>0</v>
      </c>
      <c r="BF115" s="404">
        <f t="shared" si="123"/>
        <v>0</v>
      </c>
      <c r="BG115" s="343"/>
      <c r="BH115" s="406">
        <f t="shared" si="135"/>
        <v>0</v>
      </c>
      <c r="BI115" s="407">
        <f t="shared" si="136"/>
        <v>0</v>
      </c>
      <c r="BJ115" s="407">
        <f t="shared" si="137"/>
        <v>0</v>
      </c>
      <c r="BK115" s="407">
        <f t="shared" si="138"/>
        <v>0</v>
      </c>
      <c r="BL115" s="408">
        <f t="shared" si="139"/>
        <v>0</v>
      </c>
    </row>
    <row r="116" spans="3:64" s="335" customFormat="1" ht="18" hidden="1" customHeight="1">
      <c r="C116" s="1112"/>
      <c r="D116" s="409"/>
      <c r="E116" s="400"/>
      <c r="F116" s="401"/>
      <c r="G116" s="401"/>
      <c r="H116" s="402"/>
      <c r="I116" s="457"/>
      <c r="J116" s="451"/>
      <c r="K116" s="451"/>
      <c r="L116" s="458"/>
      <c r="M116" s="450"/>
      <c r="N116" s="451"/>
      <c r="O116" s="451"/>
      <c r="P116" s="452"/>
      <c r="Q116" s="459">
        <f t="shared" si="124"/>
        <v>0</v>
      </c>
      <c r="R116" s="450"/>
      <c r="S116" s="451"/>
      <c r="T116" s="451"/>
      <c r="U116" s="451"/>
      <c r="V116" s="404">
        <f t="shared" si="116"/>
        <v>0</v>
      </c>
      <c r="W116" s="775"/>
      <c r="X116" s="776"/>
      <c r="Y116" s="776"/>
      <c r="Z116" s="776"/>
      <c r="AA116" s="404">
        <f t="shared" si="126"/>
        <v>0</v>
      </c>
      <c r="AB116" s="450"/>
      <c r="AC116" s="451"/>
      <c r="AD116" s="451"/>
      <c r="AE116" s="451"/>
      <c r="AF116" s="404">
        <f t="shared" si="127"/>
        <v>0</v>
      </c>
      <c r="AG116" s="428"/>
      <c r="AH116" s="429"/>
      <c r="AI116" s="429"/>
      <c r="AJ116" s="429"/>
      <c r="AK116" s="404">
        <f t="shared" si="128"/>
        <v>0</v>
      </c>
      <c r="AL116" s="436"/>
      <c r="AM116" s="437"/>
      <c r="AN116" s="437"/>
      <c r="AO116" s="437"/>
      <c r="AP116" s="405">
        <f t="shared" si="129"/>
        <v>0</v>
      </c>
      <c r="AQ116" s="787">
        <f t="shared" si="130"/>
        <v>0</v>
      </c>
      <c r="AR116" s="407">
        <f t="shared" si="131"/>
        <v>0</v>
      </c>
      <c r="AS116" s="407">
        <f t="shared" si="132"/>
        <v>0</v>
      </c>
      <c r="AT116" s="407">
        <f t="shared" si="133"/>
        <v>0</v>
      </c>
      <c r="AU116" s="408">
        <f t="shared" si="134"/>
        <v>0</v>
      </c>
      <c r="AV116" s="392" t="s">
        <v>348</v>
      </c>
      <c r="AW116" s="392" t="s">
        <v>348</v>
      </c>
      <c r="AX116" s="392" t="s">
        <v>348</v>
      </c>
      <c r="AY116" s="392" t="s">
        <v>348</v>
      </c>
      <c r="AZ116" s="387" t="s">
        <v>348</v>
      </c>
      <c r="BA116" s="343"/>
      <c r="BB116" s="406">
        <f t="shared" si="119"/>
        <v>0</v>
      </c>
      <c r="BC116" s="407">
        <f t="shared" si="120"/>
        <v>0</v>
      </c>
      <c r="BD116" s="407">
        <f t="shared" si="121"/>
        <v>0</v>
      </c>
      <c r="BE116" s="407">
        <f t="shared" si="122"/>
        <v>0</v>
      </c>
      <c r="BF116" s="404">
        <f t="shared" si="123"/>
        <v>0</v>
      </c>
      <c r="BG116" s="343"/>
      <c r="BH116" s="406">
        <f t="shared" si="135"/>
        <v>0</v>
      </c>
      <c r="BI116" s="407">
        <f t="shared" si="136"/>
        <v>0</v>
      </c>
      <c r="BJ116" s="407">
        <f t="shared" si="137"/>
        <v>0</v>
      </c>
      <c r="BK116" s="407">
        <f t="shared" si="138"/>
        <v>0</v>
      </c>
      <c r="BL116" s="408">
        <f t="shared" si="139"/>
        <v>0</v>
      </c>
    </row>
    <row r="117" spans="3:64" s="335" customFormat="1" ht="18" hidden="1" customHeight="1">
      <c r="C117" s="1112"/>
      <c r="D117" s="409"/>
      <c r="E117" s="400"/>
      <c r="F117" s="401"/>
      <c r="G117" s="401"/>
      <c r="H117" s="402"/>
      <c r="I117" s="457"/>
      <c r="J117" s="451"/>
      <c r="K117" s="451"/>
      <c r="L117" s="458"/>
      <c r="M117" s="450"/>
      <c r="N117" s="451"/>
      <c r="O117" s="451"/>
      <c r="P117" s="452"/>
      <c r="Q117" s="459">
        <f t="shared" si="124"/>
        <v>0</v>
      </c>
      <c r="R117" s="436"/>
      <c r="S117" s="437"/>
      <c r="T117" s="437"/>
      <c r="U117" s="437"/>
      <c r="V117" s="404">
        <f t="shared" si="116"/>
        <v>0</v>
      </c>
      <c r="W117" s="775"/>
      <c r="X117" s="776"/>
      <c r="Y117" s="776"/>
      <c r="Z117" s="776"/>
      <c r="AA117" s="404">
        <f t="shared" si="126"/>
        <v>0</v>
      </c>
      <c r="AB117" s="436"/>
      <c r="AC117" s="437"/>
      <c r="AD117" s="437"/>
      <c r="AE117" s="437"/>
      <c r="AF117" s="404">
        <f t="shared" si="127"/>
        <v>0</v>
      </c>
      <c r="AG117" s="436"/>
      <c r="AH117" s="437"/>
      <c r="AI117" s="437"/>
      <c r="AJ117" s="437"/>
      <c r="AK117" s="404">
        <f t="shared" si="128"/>
        <v>0</v>
      </c>
      <c r="AL117" s="436"/>
      <c r="AM117" s="437"/>
      <c r="AN117" s="437"/>
      <c r="AO117" s="437"/>
      <c r="AP117" s="405">
        <f t="shared" si="129"/>
        <v>0</v>
      </c>
      <c r="AQ117" s="787">
        <f t="shared" si="130"/>
        <v>0</v>
      </c>
      <c r="AR117" s="407">
        <f t="shared" si="131"/>
        <v>0</v>
      </c>
      <c r="AS117" s="407">
        <f t="shared" si="132"/>
        <v>0</v>
      </c>
      <c r="AT117" s="407">
        <f t="shared" si="133"/>
        <v>0</v>
      </c>
      <c r="AU117" s="408">
        <f t="shared" si="134"/>
        <v>0</v>
      </c>
      <c r="AV117" s="392" t="s">
        <v>348</v>
      </c>
      <c r="AW117" s="392" t="s">
        <v>348</v>
      </c>
      <c r="AX117" s="392" t="s">
        <v>348</v>
      </c>
      <c r="AY117" s="392" t="s">
        <v>348</v>
      </c>
      <c r="AZ117" s="387" t="s">
        <v>348</v>
      </c>
      <c r="BA117" s="343"/>
      <c r="BB117" s="406">
        <f t="shared" si="119"/>
        <v>0</v>
      </c>
      <c r="BC117" s="407">
        <f t="shared" si="120"/>
        <v>0</v>
      </c>
      <c r="BD117" s="407">
        <f t="shared" si="121"/>
        <v>0</v>
      </c>
      <c r="BE117" s="407">
        <f t="shared" si="122"/>
        <v>0</v>
      </c>
      <c r="BF117" s="404">
        <f t="shared" si="123"/>
        <v>0</v>
      </c>
      <c r="BG117" s="343"/>
      <c r="BH117" s="406">
        <f t="shared" si="135"/>
        <v>0</v>
      </c>
      <c r="BI117" s="407">
        <f t="shared" si="136"/>
        <v>0</v>
      </c>
      <c r="BJ117" s="407">
        <f t="shared" si="137"/>
        <v>0</v>
      </c>
      <c r="BK117" s="407">
        <f t="shared" si="138"/>
        <v>0</v>
      </c>
      <c r="BL117" s="408">
        <f t="shared" si="139"/>
        <v>0</v>
      </c>
    </row>
    <row r="118" spans="3:64" s="335" customFormat="1" ht="18" hidden="1" customHeight="1">
      <c r="C118" s="1112"/>
      <c r="D118" s="460"/>
      <c r="E118" s="400"/>
      <c r="F118" s="401"/>
      <c r="G118" s="401"/>
      <c r="H118" s="402"/>
      <c r="I118" s="457"/>
      <c r="J118" s="451"/>
      <c r="K118" s="451"/>
      <c r="L118" s="458"/>
      <c r="M118" s="450"/>
      <c r="N118" s="451"/>
      <c r="O118" s="451"/>
      <c r="P118" s="452"/>
      <c r="Q118" s="459">
        <f t="shared" si="124"/>
        <v>0</v>
      </c>
      <c r="R118" s="436"/>
      <c r="S118" s="437"/>
      <c r="T118" s="437"/>
      <c r="U118" s="437"/>
      <c r="V118" s="404">
        <f t="shared" si="116"/>
        <v>0</v>
      </c>
      <c r="W118" s="775"/>
      <c r="X118" s="776"/>
      <c r="Y118" s="776"/>
      <c r="Z118" s="776"/>
      <c r="AA118" s="404">
        <f t="shared" si="126"/>
        <v>0</v>
      </c>
      <c r="AB118" s="436"/>
      <c r="AC118" s="437"/>
      <c r="AD118" s="437"/>
      <c r="AE118" s="437"/>
      <c r="AF118" s="404">
        <f t="shared" si="127"/>
        <v>0</v>
      </c>
      <c r="AG118" s="436"/>
      <c r="AH118" s="437"/>
      <c r="AI118" s="437"/>
      <c r="AJ118" s="437"/>
      <c r="AK118" s="404">
        <f t="shared" si="128"/>
        <v>0</v>
      </c>
      <c r="AL118" s="436"/>
      <c r="AM118" s="437"/>
      <c r="AN118" s="437"/>
      <c r="AO118" s="437"/>
      <c r="AP118" s="405">
        <f t="shared" si="129"/>
        <v>0</v>
      </c>
      <c r="AQ118" s="787">
        <f t="shared" si="130"/>
        <v>0</v>
      </c>
      <c r="AR118" s="407">
        <f t="shared" si="131"/>
        <v>0</v>
      </c>
      <c r="AS118" s="407">
        <f t="shared" si="132"/>
        <v>0</v>
      </c>
      <c r="AT118" s="407">
        <f t="shared" si="133"/>
        <v>0</v>
      </c>
      <c r="AU118" s="408">
        <f t="shared" si="134"/>
        <v>0</v>
      </c>
      <c r="AV118" s="392" t="s">
        <v>348</v>
      </c>
      <c r="AW118" s="392" t="s">
        <v>348</v>
      </c>
      <c r="AX118" s="392" t="s">
        <v>348</v>
      </c>
      <c r="AY118" s="392" t="s">
        <v>348</v>
      </c>
      <c r="AZ118" s="387" t="s">
        <v>348</v>
      </c>
      <c r="BA118" s="343"/>
      <c r="BB118" s="406">
        <f t="shared" si="119"/>
        <v>0</v>
      </c>
      <c r="BC118" s="407">
        <f t="shared" si="120"/>
        <v>0</v>
      </c>
      <c r="BD118" s="407">
        <f t="shared" si="121"/>
        <v>0</v>
      </c>
      <c r="BE118" s="407">
        <f t="shared" si="122"/>
        <v>0</v>
      </c>
      <c r="BF118" s="404">
        <f t="shared" si="123"/>
        <v>0</v>
      </c>
      <c r="BG118" s="343"/>
      <c r="BH118" s="406">
        <f t="shared" si="135"/>
        <v>0</v>
      </c>
      <c r="BI118" s="407">
        <f t="shared" si="136"/>
        <v>0</v>
      </c>
      <c r="BJ118" s="407">
        <f t="shared" si="137"/>
        <v>0</v>
      </c>
      <c r="BK118" s="407">
        <f t="shared" si="138"/>
        <v>0</v>
      </c>
      <c r="BL118" s="408">
        <f t="shared" si="139"/>
        <v>0</v>
      </c>
    </row>
    <row r="119" spans="3:64" s="335" customFormat="1" ht="18" hidden="1" customHeight="1">
      <c r="C119" s="1112"/>
      <c r="D119" s="460"/>
      <c r="E119" s="400"/>
      <c r="F119" s="401"/>
      <c r="G119" s="401"/>
      <c r="H119" s="402"/>
      <c r="I119" s="457"/>
      <c r="J119" s="451"/>
      <c r="K119" s="451"/>
      <c r="L119" s="458"/>
      <c r="M119" s="450"/>
      <c r="N119" s="451"/>
      <c r="O119" s="451"/>
      <c r="P119" s="452"/>
      <c r="Q119" s="459">
        <f t="shared" si="124"/>
        <v>0</v>
      </c>
      <c r="R119" s="436"/>
      <c r="S119" s="437"/>
      <c r="T119" s="437"/>
      <c r="U119" s="437"/>
      <c r="V119" s="404">
        <f t="shared" si="116"/>
        <v>0</v>
      </c>
      <c r="W119" s="775"/>
      <c r="X119" s="776"/>
      <c r="Y119" s="776"/>
      <c r="Z119" s="776"/>
      <c r="AA119" s="404">
        <f t="shared" si="126"/>
        <v>0</v>
      </c>
      <c r="AB119" s="436"/>
      <c r="AC119" s="437"/>
      <c r="AD119" s="437"/>
      <c r="AE119" s="437"/>
      <c r="AF119" s="404">
        <f t="shared" si="127"/>
        <v>0</v>
      </c>
      <c r="AG119" s="436"/>
      <c r="AH119" s="437"/>
      <c r="AI119" s="437"/>
      <c r="AJ119" s="437"/>
      <c r="AK119" s="404">
        <f t="shared" si="128"/>
        <v>0</v>
      </c>
      <c r="AL119" s="436"/>
      <c r="AM119" s="437"/>
      <c r="AN119" s="437"/>
      <c r="AO119" s="437"/>
      <c r="AP119" s="405">
        <f t="shared" si="129"/>
        <v>0</v>
      </c>
      <c r="AQ119" s="787">
        <f t="shared" si="130"/>
        <v>0</v>
      </c>
      <c r="AR119" s="407">
        <f t="shared" si="131"/>
        <v>0</v>
      </c>
      <c r="AS119" s="407">
        <f t="shared" si="132"/>
        <v>0</v>
      </c>
      <c r="AT119" s="407">
        <f t="shared" si="133"/>
        <v>0</v>
      </c>
      <c r="AU119" s="408">
        <f t="shared" si="134"/>
        <v>0</v>
      </c>
      <c r="AV119" s="392" t="s">
        <v>348</v>
      </c>
      <c r="AW119" s="392" t="s">
        <v>348</v>
      </c>
      <c r="AX119" s="392" t="s">
        <v>348</v>
      </c>
      <c r="AY119" s="392" t="s">
        <v>348</v>
      </c>
      <c r="AZ119" s="387" t="s">
        <v>348</v>
      </c>
      <c r="BA119" s="343"/>
      <c r="BB119" s="406">
        <f t="shared" si="119"/>
        <v>0</v>
      </c>
      <c r="BC119" s="407">
        <f t="shared" si="120"/>
        <v>0</v>
      </c>
      <c r="BD119" s="407">
        <f t="shared" si="121"/>
        <v>0</v>
      </c>
      <c r="BE119" s="407">
        <f t="shared" si="122"/>
        <v>0</v>
      </c>
      <c r="BF119" s="404">
        <f t="shared" si="123"/>
        <v>0</v>
      </c>
      <c r="BG119" s="343"/>
      <c r="BH119" s="406">
        <f t="shared" si="135"/>
        <v>0</v>
      </c>
      <c r="BI119" s="407">
        <f t="shared" si="136"/>
        <v>0</v>
      </c>
      <c r="BJ119" s="407">
        <f t="shared" si="137"/>
        <v>0</v>
      </c>
      <c r="BK119" s="407">
        <f t="shared" si="138"/>
        <v>0</v>
      </c>
      <c r="BL119" s="408">
        <f t="shared" si="139"/>
        <v>0</v>
      </c>
    </row>
    <row r="120" spans="3:64" s="335" customFormat="1" ht="18" hidden="1" customHeight="1">
      <c r="C120" s="1112"/>
      <c r="D120" s="460"/>
      <c r="E120" s="400"/>
      <c r="F120" s="401"/>
      <c r="G120" s="401"/>
      <c r="H120" s="402"/>
      <c r="I120" s="457"/>
      <c r="J120" s="451"/>
      <c r="K120" s="451"/>
      <c r="L120" s="458"/>
      <c r="M120" s="450"/>
      <c r="N120" s="451"/>
      <c r="O120" s="451"/>
      <c r="P120" s="452"/>
      <c r="Q120" s="459">
        <f t="shared" si="124"/>
        <v>0</v>
      </c>
      <c r="R120" s="436"/>
      <c r="S120" s="437"/>
      <c r="T120" s="437"/>
      <c r="U120" s="437"/>
      <c r="V120" s="404">
        <f t="shared" si="116"/>
        <v>0</v>
      </c>
      <c r="W120" s="775"/>
      <c r="X120" s="776"/>
      <c r="Y120" s="776"/>
      <c r="Z120" s="776"/>
      <c r="AA120" s="404">
        <f t="shared" si="126"/>
        <v>0</v>
      </c>
      <c r="AB120" s="436"/>
      <c r="AC120" s="437"/>
      <c r="AD120" s="437"/>
      <c r="AE120" s="437"/>
      <c r="AF120" s="404">
        <f t="shared" si="127"/>
        <v>0</v>
      </c>
      <c r="AG120" s="436"/>
      <c r="AH120" s="437"/>
      <c r="AI120" s="437"/>
      <c r="AJ120" s="437"/>
      <c r="AK120" s="404">
        <f t="shared" si="128"/>
        <v>0</v>
      </c>
      <c r="AL120" s="436"/>
      <c r="AM120" s="437"/>
      <c r="AN120" s="437"/>
      <c r="AO120" s="437"/>
      <c r="AP120" s="405">
        <f t="shared" si="129"/>
        <v>0</v>
      </c>
      <c r="AQ120" s="787">
        <f t="shared" si="130"/>
        <v>0</v>
      </c>
      <c r="AR120" s="407">
        <f t="shared" si="131"/>
        <v>0</v>
      </c>
      <c r="AS120" s="407">
        <f t="shared" si="132"/>
        <v>0</v>
      </c>
      <c r="AT120" s="407">
        <f t="shared" si="133"/>
        <v>0</v>
      </c>
      <c r="AU120" s="408">
        <f t="shared" si="134"/>
        <v>0</v>
      </c>
      <c r="AV120" s="392" t="s">
        <v>348</v>
      </c>
      <c r="AW120" s="392" t="s">
        <v>348</v>
      </c>
      <c r="AX120" s="392" t="s">
        <v>348</v>
      </c>
      <c r="AY120" s="392" t="s">
        <v>348</v>
      </c>
      <c r="AZ120" s="387" t="s">
        <v>348</v>
      </c>
      <c r="BA120" s="343"/>
      <c r="BB120" s="406">
        <f t="shared" si="119"/>
        <v>0</v>
      </c>
      <c r="BC120" s="407">
        <f t="shared" si="120"/>
        <v>0</v>
      </c>
      <c r="BD120" s="407">
        <f t="shared" si="121"/>
        <v>0</v>
      </c>
      <c r="BE120" s="407">
        <f t="shared" si="122"/>
        <v>0</v>
      </c>
      <c r="BF120" s="404">
        <f t="shared" si="123"/>
        <v>0</v>
      </c>
      <c r="BG120" s="343"/>
      <c r="BH120" s="406">
        <f t="shared" si="135"/>
        <v>0</v>
      </c>
      <c r="BI120" s="407">
        <f t="shared" si="136"/>
        <v>0</v>
      </c>
      <c r="BJ120" s="407">
        <f t="shared" si="137"/>
        <v>0</v>
      </c>
      <c r="BK120" s="407">
        <f t="shared" si="138"/>
        <v>0</v>
      </c>
      <c r="BL120" s="408">
        <f t="shared" si="139"/>
        <v>0</v>
      </c>
    </row>
    <row r="121" spans="3:64" s="335" customFormat="1" ht="18" hidden="1" customHeight="1">
      <c r="C121" s="1112"/>
      <c r="D121" s="460"/>
      <c r="E121" s="400"/>
      <c r="F121" s="401"/>
      <c r="G121" s="401"/>
      <c r="H121" s="402"/>
      <c r="I121" s="457"/>
      <c r="J121" s="451"/>
      <c r="K121" s="451"/>
      <c r="L121" s="458"/>
      <c r="M121" s="450"/>
      <c r="N121" s="451"/>
      <c r="O121" s="451"/>
      <c r="P121" s="452"/>
      <c r="Q121" s="459">
        <f t="shared" si="124"/>
        <v>0</v>
      </c>
      <c r="R121" s="436"/>
      <c r="S121" s="437"/>
      <c r="T121" s="437"/>
      <c r="U121" s="437"/>
      <c r="V121" s="404">
        <f t="shared" si="116"/>
        <v>0</v>
      </c>
      <c r="W121" s="775"/>
      <c r="X121" s="776"/>
      <c r="Y121" s="776"/>
      <c r="Z121" s="776"/>
      <c r="AA121" s="404">
        <f t="shared" si="126"/>
        <v>0</v>
      </c>
      <c r="AB121" s="436"/>
      <c r="AC121" s="437"/>
      <c r="AD121" s="437"/>
      <c r="AE121" s="437"/>
      <c r="AF121" s="404">
        <f t="shared" si="127"/>
        <v>0</v>
      </c>
      <c r="AG121" s="436"/>
      <c r="AH121" s="437"/>
      <c r="AI121" s="437"/>
      <c r="AJ121" s="437"/>
      <c r="AK121" s="404">
        <f t="shared" si="128"/>
        <v>0</v>
      </c>
      <c r="AL121" s="436"/>
      <c r="AM121" s="437"/>
      <c r="AN121" s="437"/>
      <c r="AO121" s="437"/>
      <c r="AP121" s="405">
        <f t="shared" si="129"/>
        <v>0</v>
      </c>
      <c r="AQ121" s="787">
        <f t="shared" si="130"/>
        <v>0</v>
      </c>
      <c r="AR121" s="407">
        <f t="shared" si="131"/>
        <v>0</v>
      </c>
      <c r="AS121" s="407">
        <f t="shared" si="132"/>
        <v>0</v>
      </c>
      <c r="AT121" s="407">
        <f t="shared" si="133"/>
        <v>0</v>
      </c>
      <c r="AU121" s="408">
        <f t="shared" si="134"/>
        <v>0</v>
      </c>
      <c r="AV121" s="392" t="s">
        <v>348</v>
      </c>
      <c r="AW121" s="392" t="s">
        <v>348</v>
      </c>
      <c r="AX121" s="392" t="s">
        <v>348</v>
      </c>
      <c r="AY121" s="392" t="s">
        <v>348</v>
      </c>
      <c r="AZ121" s="387" t="s">
        <v>348</v>
      </c>
      <c r="BA121" s="343"/>
      <c r="BB121" s="406">
        <f t="shared" si="119"/>
        <v>0</v>
      </c>
      <c r="BC121" s="407">
        <f t="shared" si="120"/>
        <v>0</v>
      </c>
      <c r="BD121" s="407">
        <f t="shared" si="121"/>
        <v>0</v>
      </c>
      <c r="BE121" s="407">
        <f t="shared" si="122"/>
        <v>0</v>
      </c>
      <c r="BF121" s="404">
        <f t="shared" si="123"/>
        <v>0</v>
      </c>
      <c r="BG121" s="343"/>
      <c r="BH121" s="406">
        <f t="shared" si="135"/>
        <v>0</v>
      </c>
      <c r="BI121" s="407">
        <f t="shared" si="136"/>
        <v>0</v>
      </c>
      <c r="BJ121" s="407">
        <f t="shared" si="137"/>
        <v>0</v>
      </c>
      <c r="BK121" s="407">
        <f t="shared" si="138"/>
        <v>0</v>
      </c>
      <c r="BL121" s="408">
        <f t="shared" si="139"/>
        <v>0</v>
      </c>
    </row>
    <row r="122" spans="3:64" s="335" customFormat="1" ht="18" hidden="1" customHeight="1">
      <c r="C122" s="1112"/>
      <c r="D122" s="460"/>
      <c r="E122" s="400"/>
      <c r="F122" s="401"/>
      <c r="G122" s="401"/>
      <c r="H122" s="402"/>
      <c r="I122" s="457"/>
      <c r="J122" s="451"/>
      <c r="K122" s="451"/>
      <c r="L122" s="458"/>
      <c r="M122" s="450"/>
      <c r="N122" s="451"/>
      <c r="O122" s="451"/>
      <c r="P122" s="452"/>
      <c r="Q122" s="459">
        <f t="shared" si="124"/>
        <v>0</v>
      </c>
      <c r="R122" s="436"/>
      <c r="S122" s="437"/>
      <c r="T122" s="437"/>
      <c r="U122" s="437"/>
      <c r="V122" s="404">
        <f t="shared" si="116"/>
        <v>0</v>
      </c>
      <c r="W122" s="775"/>
      <c r="X122" s="776"/>
      <c r="Y122" s="776"/>
      <c r="Z122" s="776"/>
      <c r="AA122" s="404">
        <f t="shared" si="126"/>
        <v>0</v>
      </c>
      <c r="AB122" s="436"/>
      <c r="AC122" s="437"/>
      <c r="AD122" s="437"/>
      <c r="AE122" s="437"/>
      <c r="AF122" s="404">
        <f t="shared" si="127"/>
        <v>0</v>
      </c>
      <c r="AG122" s="436"/>
      <c r="AH122" s="437"/>
      <c r="AI122" s="437"/>
      <c r="AJ122" s="437"/>
      <c r="AK122" s="404">
        <f t="shared" si="128"/>
        <v>0</v>
      </c>
      <c r="AL122" s="436"/>
      <c r="AM122" s="437"/>
      <c r="AN122" s="437"/>
      <c r="AO122" s="437"/>
      <c r="AP122" s="405">
        <f t="shared" si="129"/>
        <v>0</v>
      </c>
      <c r="AQ122" s="787">
        <f t="shared" si="130"/>
        <v>0</v>
      </c>
      <c r="AR122" s="407">
        <f t="shared" si="131"/>
        <v>0</v>
      </c>
      <c r="AS122" s="407">
        <f t="shared" si="132"/>
        <v>0</v>
      </c>
      <c r="AT122" s="407">
        <f t="shared" si="133"/>
        <v>0</v>
      </c>
      <c r="AU122" s="408">
        <f t="shared" si="134"/>
        <v>0</v>
      </c>
      <c r="AV122" s="392" t="s">
        <v>348</v>
      </c>
      <c r="AW122" s="392" t="s">
        <v>348</v>
      </c>
      <c r="AX122" s="392" t="s">
        <v>348</v>
      </c>
      <c r="AY122" s="392" t="s">
        <v>348</v>
      </c>
      <c r="AZ122" s="387" t="s">
        <v>348</v>
      </c>
      <c r="BA122" s="343"/>
      <c r="BB122" s="406">
        <f t="shared" si="119"/>
        <v>0</v>
      </c>
      <c r="BC122" s="407">
        <f t="shared" si="120"/>
        <v>0</v>
      </c>
      <c r="BD122" s="407">
        <f t="shared" si="121"/>
        <v>0</v>
      </c>
      <c r="BE122" s="407">
        <f t="shared" si="122"/>
        <v>0</v>
      </c>
      <c r="BF122" s="404">
        <f t="shared" si="123"/>
        <v>0</v>
      </c>
      <c r="BG122" s="343"/>
      <c r="BH122" s="406">
        <f t="shared" si="135"/>
        <v>0</v>
      </c>
      <c r="BI122" s="407">
        <f t="shared" si="136"/>
        <v>0</v>
      </c>
      <c r="BJ122" s="407">
        <f t="shared" si="137"/>
        <v>0</v>
      </c>
      <c r="BK122" s="407">
        <f t="shared" si="138"/>
        <v>0</v>
      </c>
      <c r="BL122" s="408">
        <f t="shared" si="139"/>
        <v>0</v>
      </c>
    </row>
    <row r="123" spans="3:64" s="335" customFormat="1" ht="18" hidden="1" customHeight="1">
      <c r="C123" s="1112"/>
      <c r="D123" s="460"/>
      <c r="E123" s="400"/>
      <c r="F123" s="401"/>
      <c r="G123" s="401"/>
      <c r="H123" s="402"/>
      <c r="I123" s="457"/>
      <c r="J123" s="451"/>
      <c r="K123" s="451"/>
      <c r="L123" s="458"/>
      <c r="M123" s="450"/>
      <c r="N123" s="451"/>
      <c r="O123" s="451"/>
      <c r="P123" s="452"/>
      <c r="Q123" s="459">
        <f t="shared" si="124"/>
        <v>0</v>
      </c>
      <c r="R123" s="436"/>
      <c r="S123" s="437"/>
      <c r="T123" s="437"/>
      <c r="U123" s="437"/>
      <c r="V123" s="404">
        <f t="shared" si="116"/>
        <v>0</v>
      </c>
      <c r="W123" s="775"/>
      <c r="X123" s="776"/>
      <c r="Y123" s="776"/>
      <c r="Z123" s="776"/>
      <c r="AA123" s="404">
        <f t="shared" si="126"/>
        <v>0</v>
      </c>
      <c r="AB123" s="436"/>
      <c r="AC123" s="437"/>
      <c r="AD123" s="437"/>
      <c r="AE123" s="437"/>
      <c r="AF123" s="404">
        <f t="shared" si="127"/>
        <v>0</v>
      </c>
      <c r="AG123" s="436"/>
      <c r="AH123" s="437"/>
      <c r="AI123" s="437"/>
      <c r="AJ123" s="437"/>
      <c r="AK123" s="404">
        <f t="shared" si="128"/>
        <v>0</v>
      </c>
      <c r="AL123" s="436"/>
      <c r="AM123" s="437"/>
      <c r="AN123" s="437"/>
      <c r="AO123" s="437"/>
      <c r="AP123" s="405">
        <f t="shared" si="129"/>
        <v>0</v>
      </c>
      <c r="AQ123" s="787">
        <f t="shared" si="130"/>
        <v>0</v>
      </c>
      <c r="AR123" s="407">
        <f>N123+S123+X123+AC123+AH123+AM123</f>
        <v>0</v>
      </c>
      <c r="AS123" s="407">
        <f t="shared" si="132"/>
        <v>0</v>
      </c>
      <c r="AT123" s="407">
        <f t="shared" si="133"/>
        <v>0</v>
      </c>
      <c r="AU123" s="408">
        <f t="shared" si="134"/>
        <v>0</v>
      </c>
      <c r="AV123" s="392" t="s">
        <v>348</v>
      </c>
      <c r="AW123" s="392" t="s">
        <v>348</v>
      </c>
      <c r="AX123" s="392" t="s">
        <v>348</v>
      </c>
      <c r="AY123" s="392" t="s">
        <v>348</v>
      </c>
      <c r="AZ123" s="387" t="s">
        <v>348</v>
      </c>
      <c r="BA123" s="343"/>
      <c r="BB123" s="406">
        <f t="shared" si="119"/>
        <v>0</v>
      </c>
      <c r="BC123" s="407">
        <f t="shared" si="120"/>
        <v>0</v>
      </c>
      <c r="BD123" s="407">
        <f t="shared" si="121"/>
        <v>0</v>
      </c>
      <c r="BE123" s="407">
        <f t="shared" si="122"/>
        <v>0</v>
      </c>
      <c r="BF123" s="404">
        <f t="shared" si="123"/>
        <v>0</v>
      </c>
      <c r="BG123" s="343"/>
      <c r="BH123" s="406">
        <f t="shared" si="135"/>
        <v>0</v>
      </c>
      <c r="BI123" s="407">
        <f t="shared" si="136"/>
        <v>0</v>
      </c>
      <c r="BJ123" s="407">
        <f t="shared" si="137"/>
        <v>0</v>
      </c>
      <c r="BK123" s="407">
        <f t="shared" si="138"/>
        <v>0</v>
      </c>
      <c r="BL123" s="408">
        <f t="shared" si="139"/>
        <v>0</v>
      </c>
    </row>
    <row r="124" spans="3:64" s="335" customFormat="1" ht="18" hidden="1" customHeight="1">
      <c r="C124" s="1112"/>
      <c r="D124" s="460"/>
      <c r="E124" s="400"/>
      <c r="F124" s="401"/>
      <c r="G124" s="401"/>
      <c r="H124" s="402"/>
      <c r="I124" s="457"/>
      <c r="J124" s="451"/>
      <c r="K124" s="451"/>
      <c r="L124" s="458"/>
      <c r="M124" s="450"/>
      <c r="N124" s="451"/>
      <c r="O124" s="451"/>
      <c r="P124" s="452"/>
      <c r="Q124" s="459">
        <f t="shared" si="124"/>
        <v>0</v>
      </c>
      <c r="R124" s="436"/>
      <c r="S124" s="437"/>
      <c r="T124" s="437"/>
      <c r="U124" s="437"/>
      <c r="V124" s="404">
        <f t="shared" si="116"/>
        <v>0</v>
      </c>
      <c r="W124" s="775"/>
      <c r="X124" s="776"/>
      <c r="Y124" s="776"/>
      <c r="Z124" s="776"/>
      <c r="AA124" s="404">
        <f t="shared" si="126"/>
        <v>0</v>
      </c>
      <c r="AB124" s="436"/>
      <c r="AC124" s="437"/>
      <c r="AD124" s="437"/>
      <c r="AE124" s="437"/>
      <c r="AF124" s="404">
        <f t="shared" si="127"/>
        <v>0</v>
      </c>
      <c r="AG124" s="436"/>
      <c r="AH124" s="437"/>
      <c r="AI124" s="437"/>
      <c r="AJ124" s="437"/>
      <c r="AK124" s="404">
        <f t="shared" si="128"/>
        <v>0</v>
      </c>
      <c r="AL124" s="436"/>
      <c r="AM124" s="437"/>
      <c r="AN124" s="437"/>
      <c r="AO124" s="437"/>
      <c r="AP124" s="405">
        <f t="shared" si="129"/>
        <v>0</v>
      </c>
      <c r="AQ124" s="787">
        <f t="shared" si="130"/>
        <v>0</v>
      </c>
      <c r="AR124" s="407">
        <f t="shared" si="131"/>
        <v>0</v>
      </c>
      <c r="AS124" s="407">
        <f t="shared" si="132"/>
        <v>0</v>
      </c>
      <c r="AT124" s="407">
        <f t="shared" si="133"/>
        <v>0</v>
      </c>
      <c r="AU124" s="408">
        <f t="shared" si="134"/>
        <v>0</v>
      </c>
      <c r="AV124" s="392" t="s">
        <v>348</v>
      </c>
      <c r="AW124" s="392" t="s">
        <v>348</v>
      </c>
      <c r="AX124" s="392" t="s">
        <v>348</v>
      </c>
      <c r="AY124" s="392" t="s">
        <v>348</v>
      </c>
      <c r="AZ124" s="387" t="s">
        <v>348</v>
      </c>
      <c r="BA124" s="343"/>
      <c r="BB124" s="406">
        <f t="shared" si="119"/>
        <v>0</v>
      </c>
      <c r="BC124" s="407">
        <f t="shared" si="120"/>
        <v>0</v>
      </c>
      <c r="BD124" s="407">
        <f t="shared" si="121"/>
        <v>0</v>
      </c>
      <c r="BE124" s="407">
        <f t="shared" si="122"/>
        <v>0</v>
      </c>
      <c r="BF124" s="404">
        <f t="shared" si="123"/>
        <v>0</v>
      </c>
      <c r="BG124" s="343"/>
      <c r="BH124" s="406">
        <f t="shared" si="135"/>
        <v>0</v>
      </c>
      <c r="BI124" s="407">
        <f t="shared" si="136"/>
        <v>0</v>
      </c>
      <c r="BJ124" s="407">
        <f t="shared" si="137"/>
        <v>0</v>
      </c>
      <c r="BK124" s="407">
        <f t="shared" si="138"/>
        <v>0</v>
      </c>
      <c r="BL124" s="408">
        <f t="shared" si="139"/>
        <v>0</v>
      </c>
    </row>
    <row r="125" spans="3:64" s="335" customFormat="1" ht="18" hidden="1" customHeight="1">
      <c r="C125" s="1112"/>
      <c r="D125" s="460"/>
      <c r="E125" s="400"/>
      <c r="F125" s="401"/>
      <c r="G125" s="401"/>
      <c r="H125" s="402"/>
      <c r="I125" s="457"/>
      <c r="J125" s="451"/>
      <c r="K125" s="451"/>
      <c r="L125" s="458"/>
      <c r="M125" s="450"/>
      <c r="N125" s="451"/>
      <c r="O125" s="451"/>
      <c r="P125" s="452"/>
      <c r="Q125" s="459">
        <f t="shared" si="124"/>
        <v>0</v>
      </c>
      <c r="R125" s="436"/>
      <c r="S125" s="437"/>
      <c r="T125" s="437"/>
      <c r="U125" s="437"/>
      <c r="V125" s="404">
        <f t="shared" si="116"/>
        <v>0</v>
      </c>
      <c r="W125" s="775"/>
      <c r="X125" s="776"/>
      <c r="Y125" s="776"/>
      <c r="Z125" s="776"/>
      <c r="AA125" s="404">
        <f t="shared" si="126"/>
        <v>0</v>
      </c>
      <c r="AB125" s="436"/>
      <c r="AC125" s="437"/>
      <c r="AD125" s="437"/>
      <c r="AE125" s="437"/>
      <c r="AF125" s="404">
        <f t="shared" si="127"/>
        <v>0</v>
      </c>
      <c r="AG125" s="436"/>
      <c r="AH125" s="437"/>
      <c r="AI125" s="437"/>
      <c r="AJ125" s="437"/>
      <c r="AK125" s="404">
        <f t="shared" si="128"/>
        <v>0</v>
      </c>
      <c r="AL125" s="436"/>
      <c r="AM125" s="437"/>
      <c r="AN125" s="437"/>
      <c r="AO125" s="437"/>
      <c r="AP125" s="405">
        <f t="shared" si="129"/>
        <v>0</v>
      </c>
      <c r="AQ125" s="787">
        <f t="shared" si="130"/>
        <v>0</v>
      </c>
      <c r="AR125" s="407">
        <f t="shared" si="131"/>
        <v>0</v>
      </c>
      <c r="AS125" s="407">
        <f t="shared" si="132"/>
        <v>0</v>
      </c>
      <c r="AT125" s="407">
        <f t="shared" si="133"/>
        <v>0</v>
      </c>
      <c r="AU125" s="408">
        <f t="shared" si="134"/>
        <v>0</v>
      </c>
      <c r="AV125" s="392" t="s">
        <v>348</v>
      </c>
      <c r="AW125" s="392" t="s">
        <v>348</v>
      </c>
      <c r="AX125" s="392" t="s">
        <v>348</v>
      </c>
      <c r="AY125" s="392" t="s">
        <v>348</v>
      </c>
      <c r="AZ125" s="387" t="s">
        <v>348</v>
      </c>
      <c r="BA125" s="343"/>
      <c r="BB125" s="406">
        <f t="shared" si="119"/>
        <v>0</v>
      </c>
      <c r="BC125" s="407">
        <f t="shared" si="120"/>
        <v>0</v>
      </c>
      <c r="BD125" s="407">
        <f t="shared" si="121"/>
        <v>0</v>
      </c>
      <c r="BE125" s="407">
        <f t="shared" si="122"/>
        <v>0</v>
      </c>
      <c r="BF125" s="404">
        <f t="shared" si="123"/>
        <v>0</v>
      </c>
      <c r="BG125" s="343"/>
      <c r="BH125" s="406">
        <f t="shared" si="135"/>
        <v>0</v>
      </c>
      <c r="BI125" s="407">
        <f t="shared" si="136"/>
        <v>0</v>
      </c>
      <c r="BJ125" s="407">
        <f t="shared" si="137"/>
        <v>0</v>
      </c>
      <c r="BK125" s="407">
        <f t="shared" si="138"/>
        <v>0</v>
      </c>
      <c r="BL125" s="408">
        <f t="shared" si="139"/>
        <v>0</v>
      </c>
    </row>
    <row r="126" spans="3:64" s="335" customFormat="1" ht="18" hidden="1" customHeight="1">
      <c r="C126" s="1112"/>
      <c r="D126" s="460"/>
      <c r="E126" s="400"/>
      <c r="F126" s="401"/>
      <c r="G126" s="401"/>
      <c r="H126" s="402"/>
      <c r="I126" s="457"/>
      <c r="J126" s="451"/>
      <c r="K126" s="451"/>
      <c r="L126" s="458"/>
      <c r="M126" s="450"/>
      <c r="N126" s="451"/>
      <c r="O126" s="451"/>
      <c r="P126" s="452"/>
      <c r="Q126" s="459">
        <f t="shared" si="124"/>
        <v>0</v>
      </c>
      <c r="R126" s="436"/>
      <c r="S126" s="437"/>
      <c r="T126" s="437"/>
      <c r="U126" s="437"/>
      <c r="V126" s="404">
        <f t="shared" si="116"/>
        <v>0</v>
      </c>
      <c r="W126" s="775"/>
      <c r="X126" s="776"/>
      <c r="Y126" s="776"/>
      <c r="Z126" s="776"/>
      <c r="AA126" s="404">
        <f t="shared" si="126"/>
        <v>0</v>
      </c>
      <c r="AB126" s="436"/>
      <c r="AC126" s="437"/>
      <c r="AD126" s="437"/>
      <c r="AE126" s="437"/>
      <c r="AF126" s="404">
        <f t="shared" si="127"/>
        <v>0</v>
      </c>
      <c r="AG126" s="436"/>
      <c r="AH126" s="437"/>
      <c r="AI126" s="437"/>
      <c r="AJ126" s="437"/>
      <c r="AK126" s="404">
        <f t="shared" si="128"/>
        <v>0</v>
      </c>
      <c r="AL126" s="436"/>
      <c r="AM126" s="437"/>
      <c r="AN126" s="437"/>
      <c r="AO126" s="437"/>
      <c r="AP126" s="405">
        <f t="shared" si="129"/>
        <v>0</v>
      </c>
      <c r="AQ126" s="787">
        <f t="shared" si="130"/>
        <v>0</v>
      </c>
      <c r="AR126" s="407">
        <f t="shared" si="131"/>
        <v>0</v>
      </c>
      <c r="AS126" s="407">
        <f t="shared" si="132"/>
        <v>0</v>
      </c>
      <c r="AT126" s="407">
        <f t="shared" si="133"/>
        <v>0</v>
      </c>
      <c r="AU126" s="408">
        <f t="shared" si="134"/>
        <v>0</v>
      </c>
      <c r="AV126" s="392" t="s">
        <v>348</v>
      </c>
      <c r="AW126" s="392" t="s">
        <v>348</v>
      </c>
      <c r="AX126" s="392" t="s">
        <v>348</v>
      </c>
      <c r="AY126" s="392" t="s">
        <v>348</v>
      </c>
      <c r="AZ126" s="387" t="s">
        <v>348</v>
      </c>
      <c r="BA126" s="343"/>
      <c r="BB126" s="406">
        <f t="shared" si="119"/>
        <v>0</v>
      </c>
      <c r="BC126" s="407">
        <f t="shared" si="120"/>
        <v>0</v>
      </c>
      <c r="BD126" s="407">
        <f t="shared" si="121"/>
        <v>0</v>
      </c>
      <c r="BE126" s="407">
        <f t="shared" si="122"/>
        <v>0</v>
      </c>
      <c r="BF126" s="404">
        <f t="shared" si="123"/>
        <v>0</v>
      </c>
      <c r="BG126" s="343"/>
      <c r="BH126" s="406">
        <f t="shared" si="135"/>
        <v>0</v>
      </c>
      <c r="BI126" s="407">
        <f t="shared" si="136"/>
        <v>0</v>
      </c>
      <c r="BJ126" s="407">
        <f t="shared" si="137"/>
        <v>0</v>
      </c>
      <c r="BK126" s="407">
        <f t="shared" si="138"/>
        <v>0</v>
      </c>
      <c r="BL126" s="408">
        <f t="shared" si="139"/>
        <v>0</v>
      </c>
    </row>
    <row r="127" spans="3:64" s="461" customFormat="1" ht="30.75" hidden="1" customHeight="1" thickBot="1">
      <c r="C127" s="1126"/>
      <c r="D127" s="432" t="s">
        <v>430</v>
      </c>
      <c r="E127" s="414" t="s">
        <v>346</v>
      </c>
      <c r="F127" s="415" t="s">
        <v>346</v>
      </c>
      <c r="G127" s="415" t="s">
        <v>346</v>
      </c>
      <c r="H127" s="416" t="s">
        <v>346</v>
      </c>
      <c r="I127" s="462">
        <f t="shared" ref="I127:AU127" si="140">SUM(I102:I126)</f>
        <v>12.5</v>
      </c>
      <c r="J127" s="415">
        <f t="shared" si="140"/>
        <v>10</v>
      </c>
      <c r="K127" s="415">
        <f t="shared" si="140"/>
        <v>10</v>
      </c>
      <c r="L127" s="420">
        <f t="shared" si="140"/>
        <v>12.5</v>
      </c>
      <c r="M127" s="414">
        <f t="shared" si="140"/>
        <v>255000</v>
      </c>
      <c r="N127" s="415">
        <f t="shared" si="140"/>
        <v>177000</v>
      </c>
      <c r="O127" s="415">
        <f t="shared" si="140"/>
        <v>177000</v>
      </c>
      <c r="P127" s="416">
        <f t="shared" si="140"/>
        <v>255000</v>
      </c>
      <c r="Q127" s="463">
        <f t="shared" si="140"/>
        <v>864000</v>
      </c>
      <c r="R127" s="414">
        <f t="shared" si="140"/>
        <v>0</v>
      </c>
      <c r="S127" s="415">
        <f t="shared" si="140"/>
        <v>0</v>
      </c>
      <c r="T127" s="415">
        <f t="shared" si="140"/>
        <v>0</v>
      </c>
      <c r="U127" s="415">
        <f t="shared" si="140"/>
        <v>0</v>
      </c>
      <c r="V127" s="416">
        <f t="shared" si="140"/>
        <v>0</v>
      </c>
      <c r="W127" s="772">
        <f t="shared" si="140"/>
        <v>80700</v>
      </c>
      <c r="X127" s="773">
        <f t="shared" si="140"/>
        <v>88500</v>
      </c>
      <c r="Y127" s="773">
        <f t="shared" si="140"/>
        <v>88500</v>
      </c>
      <c r="Z127" s="773">
        <f t="shared" si="140"/>
        <v>80700</v>
      </c>
      <c r="AA127" s="416">
        <f t="shared" si="140"/>
        <v>338400</v>
      </c>
      <c r="AB127" s="414">
        <f t="shared" si="140"/>
        <v>0</v>
      </c>
      <c r="AC127" s="415">
        <f t="shared" si="140"/>
        <v>0</v>
      </c>
      <c r="AD127" s="415">
        <f t="shared" si="140"/>
        <v>0</v>
      </c>
      <c r="AE127" s="415">
        <f t="shared" si="140"/>
        <v>0</v>
      </c>
      <c r="AF127" s="416">
        <f t="shared" si="140"/>
        <v>0</v>
      </c>
      <c r="AG127" s="414">
        <f t="shared" si="140"/>
        <v>10500</v>
      </c>
      <c r="AH127" s="415">
        <f t="shared" si="140"/>
        <v>10500</v>
      </c>
      <c r="AI127" s="415">
        <f t="shared" si="140"/>
        <v>10500</v>
      </c>
      <c r="AJ127" s="415">
        <f t="shared" si="140"/>
        <v>10500</v>
      </c>
      <c r="AK127" s="416">
        <f t="shared" si="140"/>
        <v>42000</v>
      </c>
      <c r="AL127" s="414">
        <f t="shared" si="140"/>
        <v>0</v>
      </c>
      <c r="AM127" s="415">
        <f t="shared" si="140"/>
        <v>0</v>
      </c>
      <c r="AN127" s="415">
        <f t="shared" si="140"/>
        <v>0</v>
      </c>
      <c r="AO127" s="415">
        <f t="shared" si="140"/>
        <v>0</v>
      </c>
      <c r="AP127" s="420">
        <f t="shared" si="140"/>
        <v>0</v>
      </c>
      <c r="AQ127" s="798">
        <f t="shared" si="140"/>
        <v>346200</v>
      </c>
      <c r="AR127" s="415">
        <f t="shared" si="140"/>
        <v>276000</v>
      </c>
      <c r="AS127" s="415">
        <f t="shared" si="140"/>
        <v>276000</v>
      </c>
      <c r="AT127" s="415">
        <f t="shared" si="140"/>
        <v>346200</v>
      </c>
      <c r="AU127" s="416">
        <f t="shared" si="140"/>
        <v>1244400</v>
      </c>
      <c r="AV127" s="423">
        <f>AV28+AV44+AV60+AV73</f>
        <v>17100</v>
      </c>
      <c r="AW127" s="423">
        <f>AW28+AW44+AW60+AW73</f>
        <v>17100</v>
      </c>
      <c r="AX127" s="423">
        <f>AX28+AX44+AX60+AX73</f>
        <v>17100</v>
      </c>
      <c r="AY127" s="423">
        <f>AY28+AY44+AY60+AY73</f>
        <v>17100</v>
      </c>
      <c r="AZ127" s="416">
        <f>AV127+AW127+AX127+AY127</f>
        <v>68400</v>
      </c>
      <c r="BA127" s="260"/>
      <c r="BB127" s="414">
        <f>SUM(BB102:BB126)</f>
        <v>76164</v>
      </c>
      <c r="BC127" s="415">
        <f>SUM(BC102:BC126)</f>
        <v>60720</v>
      </c>
      <c r="BD127" s="415">
        <f>SUM(BD102:BD126)</f>
        <v>60720</v>
      </c>
      <c r="BE127" s="415">
        <f>SUM(BE102:BE126)</f>
        <v>76164</v>
      </c>
      <c r="BF127" s="416">
        <f>SUM(BF102:BF126)</f>
        <v>4770000</v>
      </c>
      <c r="BG127" s="260"/>
      <c r="BH127" s="414">
        <f>SUM(BH102:BH126)</f>
        <v>67509</v>
      </c>
      <c r="BI127" s="415">
        <f>SUM(BI102:BI126)</f>
        <v>53820</v>
      </c>
      <c r="BJ127" s="415">
        <f>SUM(BJ102:BJ126)</f>
        <v>53820</v>
      </c>
      <c r="BK127" s="415">
        <f>SUM(BK102:BK126)</f>
        <v>67509</v>
      </c>
      <c r="BL127" s="416">
        <f>SUM(BL102:BL126)</f>
        <v>242658</v>
      </c>
    </row>
    <row r="128" spans="3:64" ht="36.6" hidden="1" customHeight="1">
      <c r="C128" s="464"/>
      <c r="D128" s="465"/>
      <c r="E128" s="466"/>
      <c r="F128" s="466"/>
      <c r="G128" s="466"/>
      <c r="H128" s="466"/>
      <c r="I128" s="715">
        <f t="shared" ref="I128:Q128" si="141">I28+I44+I60+I73+I101+I127</f>
        <v>107.5</v>
      </c>
      <c r="J128" s="715">
        <f t="shared" si="141"/>
        <v>105</v>
      </c>
      <c r="K128" s="715">
        <f t="shared" si="141"/>
        <v>105</v>
      </c>
      <c r="L128" s="715">
        <f t="shared" si="141"/>
        <v>107.5</v>
      </c>
      <c r="M128" s="467">
        <f t="shared" si="141"/>
        <v>3636450</v>
      </c>
      <c r="N128" s="467">
        <f t="shared" si="141"/>
        <v>3558450</v>
      </c>
      <c r="O128" s="467">
        <f t="shared" si="141"/>
        <v>3558450</v>
      </c>
      <c r="P128" s="467">
        <f t="shared" si="141"/>
        <v>3636450</v>
      </c>
      <c r="Q128" s="467">
        <f t="shared" si="141"/>
        <v>14389800</v>
      </c>
      <c r="R128" s="467">
        <f>R28+R44+R60+R127</f>
        <v>723000</v>
      </c>
      <c r="S128" s="467">
        <f>S28+S44+S60+S127</f>
        <v>723000</v>
      </c>
      <c r="T128" s="467">
        <f>T28+T44+T60+T127</f>
        <v>723000</v>
      </c>
      <c r="U128" s="467">
        <f>U28+U44+U60+U127</f>
        <v>723000</v>
      </c>
      <c r="V128" s="467">
        <f>V28+V44+V60+V127</f>
        <v>2892000</v>
      </c>
      <c r="W128" s="782">
        <f t="shared" ref="W128:AK128" si="142">W28+W44+W60+W73+W101+W127</f>
        <v>882105</v>
      </c>
      <c r="X128" s="782">
        <f t="shared" si="142"/>
        <v>868875</v>
      </c>
      <c r="Y128" s="782">
        <f t="shared" si="142"/>
        <v>918855</v>
      </c>
      <c r="Z128" s="782">
        <f t="shared" si="142"/>
        <v>1011015</v>
      </c>
      <c r="AA128" s="782">
        <f t="shared" si="142"/>
        <v>3680850</v>
      </c>
      <c r="AB128" s="467">
        <f t="shared" si="142"/>
        <v>20325</v>
      </c>
      <c r="AC128" s="467">
        <f t="shared" si="142"/>
        <v>20325</v>
      </c>
      <c r="AD128" s="467">
        <f t="shared" si="142"/>
        <v>20325</v>
      </c>
      <c r="AE128" s="467">
        <f t="shared" si="142"/>
        <v>20325</v>
      </c>
      <c r="AF128" s="467">
        <f t="shared" si="142"/>
        <v>81300</v>
      </c>
      <c r="AG128" s="467">
        <f t="shared" si="142"/>
        <v>222825</v>
      </c>
      <c r="AH128" s="467">
        <f t="shared" si="142"/>
        <v>222825</v>
      </c>
      <c r="AI128" s="467">
        <f t="shared" si="142"/>
        <v>222825</v>
      </c>
      <c r="AJ128" s="467">
        <f t="shared" si="142"/>
        <v>222825</v>
      </c>
      <c r="AK128" s="467">
        <f t="shared" si="142"/>
        <v>891300</v>
      </c>
      <c r="AL128" s="467"/>
      <c r="AM128" s="467"/>
      <c r="AN128" s="467"/>
      <c r="AO128" s="467"/>
      <c r="AP128" s="261">
        <f>Q128+V128+AA128+AF128+AK128</f>
        <v>21935250</v>
      </c>
      <c r="AQ128" s="791">
        <f>AQ28+AQ44+AQ60+AQ73+AQ101+AQ127</f>
        <v>5484705</v>
      </c>
      <c r="AR128" s="467">
        <f>AR28+AR44+AR60+AR73+AR101+AR127</f>
        <v>5393475</v>
      </c>
      <c r="AS128" s="467">
        <f>AS28+AS44+AS60+AS73+AS101+AS127</f>
        <v>5443455</v>
      </c>
      <c r="AT128" s="467">
        <f>AT28+AT44+AT60+AT73+AT101+AT127</f>
        <v>5613615</v>
      </c>
      <c r="AU128" s="262">
        <f>AQ128+AR128+AS128+AT128</f>
        <v>21935250</v>
      </c>
      <c r="AV128" s="467"/>
      <c r="AW128" s="467"/>
      <c r="AX128" s="467"/>
      <c r="AY128" s="467"/>
      <c r="BB128" s="754">
        <f>BB28+BB44+BB60</f>
        <v>965735.1</v>
      </c>
      <c r="BH128" s="754">
        <f>BH28+BH44+BH60+BH73+BH101+BH127</f>
        <v>1069517.4750000001</v>
      </c>
      <c r="BI128" s="754">
        <f>BI28+BI44+BI60+BI73+BI101+BI127</f>
        <v>1051727.625</v>
      </c>
      <c r="BJ128" s="754">
        <f>BJ28+BJ44+BJ60+BJ73+BJ101+BJ127</f>
        <v>1061473.7250000001</v>
      </c>
      <c r="BK128" s="754">
        <f>BK28+BK44+BK60+BK73+BK101+BK127</f>
        <v>1094654.925</v>
      </c>
      <c r="BL128" s="754">
        <f>BL28+BL44+BL60+BL73+BL101+BL127</f>
        <v>4277373.75</v>
      </c>
    </row>
    <row r="129" spans="3:58" ht="18.600000000000001" customHeight="1">
      <c r="C129" s="464"/>
      <c r="D129" s="465"/>
      <c r="E129" s="466"/>
      <c r="F129" s="466"/>
      <c r="G129" s="466"/>
      <c r="H129" s="466"/>
      <c r="I129" s="467"/>
      <c r="J129" s="467"/>
      <c r="K129" s="467"/>
      <c r="L129" s="467"/>
      <c r="M129" s="467"/>
      <c r="N129" s="467"/>
      <c r="O129" s="467"/>
      <c r="P129" s="467"/>
      <c r="Q129" s="261"/>
      <c r="R129" s="467"/>
      <c r="S129" s="467"/>
      <c r="T129" s="467"/>
      <c r="U129" s="467"/>
      <c r="V129" s="261"/>
      <c r="W129" s="782"/>
      <c r="X129" s="782"/>
      <c r="Y129" s="782"/>
      <c r="Z129" s="782"/>
      <c r="AA129" s="261"/>
      <c r="AB129" s="467"/>
      <c r="AC129" s="467"/>
      <c r="AD129" s="467"/>
      <c r="AE129" s="467"/>
      <c r="AF129" s="261"/>
      <c r="AG129" s="467"/>
      <c r="AH129" s="467"/>
      <c r="AI129" s="467"/>
      <c r="AJ129" s="467"/>
      <c r="AK129" s="261"/>
      <c r="AL129" s="467"/>
      <c r="AM129" s="467"/>
      <c r="AN129" s="467"/>
      <c r="AO129" s="467"/>
      <c r="AP129" s="261"/>
      <c r="AQ129" s="791"/>
      <c r="AR129" s="467"/>
      <c r="AS129" s="467"/>
      <c r="AT129" s="467"/>
      <c r="AU129" s="261"/>
      <c r="AV129" s="467"/>
      <c r="AW129" s="467"/>
      <c r="AX129" s="467"/>
      <c r="AY129" s="467"/>
    </row>
    <row r="130" spans="3:58" ht="18.600000000000001" customHeight="1">
      <c r="C130" s="464"/>
      <c r="D130" s="465"/>
      <c r="E130" s="466"/>
      <c r="F130" s="466"/>
      <c r="G130" s="466"/>
      <c r="H130" s="466"/>
      <c r="I130" s="467"/>
      <c r="J130" s="467"/>
      <c r="K130" s="467"/>
      <c r="L130" s="467"/>
      <c r="M130" s="467"/>
      <c r="N130" s="467"/>
      <c r="O130" s="467"/>
      <c r="P130" s="467"/>
      <c r="Q130" s="261"/>
      <c r="R130" s="467"/>
      <c r="S130" s="467"/>
      <c r="T130" s="467"/>
      <c r="U130" s="467"/>
      <c r="V130" s="261"/>
      <c r="W130" s="782"/>
      <c r="X130" s="782"/>
      <c r="Y130" s="782"/>
      <c r="Z130" s="782"/>
      <c r="AA130" s="261"/>
      <c r="AB130" s="467"/>
      <c r="AC130" s="467"/>
      <c r="AD130" s="467"/>
      <c r="AE130" s="467"/>
      <c r="AF130" s="261"/>
      <c r="AG130" s="467"/>
      <c r="AH130" s="467"/>
      <c r="AI130" s="467"/>
      <c r="AJ130" s="467"/>
      <c r="AK130" s="261"/>
      <c r="AL130" s="467"/>
      <c r="AM130" s="467"/>
      <c r="AN130" s="467"/>
      <c r="AO130" s="467"/>
      <c r="AP130" s="261"/>
      <c r="AQ130" s="791"/>
      <c r="AR130" s="467"/>
      <c r="AS130" s="467"/>
      <c r="AT130" s="467"/>
      <c r="AU130" s="261"/>
      <c r="AV130" s="467"/>
      <c r="AW130" s="467"/>
      <c r="AX130" s="467"/>
      <c r="AY130" s="467"/>
    </row>
    <row r="131" spans="3:58">
      <c r="AQ131" s="799">
        <f>AQ44+AQ73+AQ60</f>
        <v>4148880</v>
      </c>
    </row>
    <row r="132" spans="3:58" ht="21" customHeight="1">
      <c r="C132" s="1107" t="s">
        <v>451</v>
      </c>
      <c r="D132" s="1107"/>
      <c r="E132" s="1107"/>
      <c r="F132" s="359"/>
    </row>
    <row r="133" spans="3:58" ht="21" thickBot="1"/>
    <row r="134" spans="3:58" s="273" customFormat="1" ht="21" thickBot="1">
      <c r="C134" s="1162" t="s">
        <v>447</v>
      </c>
      <c r="D134" s="1163"/>
      <c r="E134" s="1163"/>
      <c r="F134" s="1163"/>
      <c r="G134" s="1163"/>
      <c r="H134" s="1164"/>
      <c r="Q134" s="276"/>
      <c r="V134" s="276"/>
      <c r="W134" s="275"/>
      <c r="X134" s="275"/>
      <c r="Y134" s="275"/>
      <c r="Z134" s="275"/>
      <c r="AA134" s="276"/>
      <c r="AF134" s="276"/>
      <c r="AK134" s="276"/>
      <c r="AP134" s="276"/>
      <c r="AQ134" s="792"/>
      <c r="AU134" s="276"/>
      <c r="AV134" s="276"/>
      <c r="AW134" s="276"/>
      <c r="AX134" s="276"/>
      <c r="AY134" s="276"/>
      <c r="AZ134" s="276"/>
      <c r="BF134" s="276"/>
    </row>
    <row r="135" spans="3:58" s="353" customFormat="1" ht="25.9" customHeight="1" thickBot="1">
      <c r="C135" s="468" t="s">
        <v>412</v>
      </c>
      <c r="D135" s="469" t="s">
        <v>413</v>
      </c>
      <c r="E135" s="469" t="s">
        <v>332</v>
      </c>
      <c r="F135" s="469" t="s">
        <v>380</v>
      </c>
      <c r="G135" s="469" t="s">
        <v>381</v>
      </c>
      <c r="H135" s="470" t="s">
        <v>335</v>
      </c>
      <c r="Q135" s="276"/>
      <c r="V135" s="276"/>
      <c r="W135" s="509"/>
      <c r="X135" s="509"/>
      <c r="Y135" s="509"/>
      <c r="Z135" s="509"/>
      <c r="AA135" s="276"/>
      <c r="AF135" s="276"/>
      <c r="AK135" s="276"/>
      <c r="AP135" s="276"/>
      <c r="AQ135" s="793"/>
      <c r="AU135" s="276"/>
      <c r="AZ135" s="276"/>
      <c r="BF135" s="276"/>
    </row>
    <row r="136" spans="3:58" ht="33">
      <c r="C136" s="471" t="s">
        <v>414</v>
      </c>
      <c r="D136" s="472" t="s">
        <v>348</v>
      </c>
      <c r="E136" s="727">
        <v>2160.3000000000002</v>
      </c>
      <c r="F136" s="727">
        <v>2160.3000000000002</v>
      </c>
      <c r="G136" s="727">
        <v>2160.3000000000002</v>
      </c>
      <c r="H136" s="727">
        <v>2160.3000000000002</v>
      </c>
    </row>
    <row r="137" spans="3:58" ht="66">
      <c r="C137" s="473" t="s">
        <v>415</v>
      </c>
      <c r="D137" s="748">
        <f>SUM(E137:H137)</f>
        <v>99.47</v>
      </c>
      <c r="E137" s="688">
        <f>19.82+18.15+14.09</f>
        <v>52.06</v>
      </c>
      <c r="F137" s="688">
        <f>3.63</f>
        <v>3.63</v>
      </c>
      <c r="G137" s="688">
        <v>0</v>
      </c>
      <c r="H137" s="749">
        <f>4.78+19+20</f>
        <v>43.78</v>
      </c>
    </row>
    <row r="138" spans="3:58" ht="50.25" thickBot="1">
      <c r="C138" s="474" t="s">
        <v>416</v>
      </c>
      <c r="D138" s="475">
        <f>SUM(E138:H138)</f>
        <v>218724.69099999999</v>
      </c>
      <c r="E138" s="475">
        <f>(E136*E137)+2000</f>
        <v>114465.21800000001</v>
      </c>
      <c r="F138" s="475">
        <f>F136*F137</f>
        <v>7841.8890000000001</v>
      </c>
      <c r="G138" s="475">
        <f>G136*G137</f>
        <v>0</v>
      </c>
      <c r="H138" s="476">
        <f>(H136*H137)+1839.65</f>
        <v>96417.584000000003</v>
      </c>
      <c r="I138" s="63" t="s">
        <v>127</v>
      </c>
      <c r="R138" s="63" t="s">
        <v>172</v>
      </c>
    </row>
    <row r="139" spans="3:58" ht="21" thickBot="1">
      <c r="C139" s="477"/>
      <c r="D139" s="478"/>
      <c r="E139" s="478"/>
      <c r="F139" s="478"/>
      <c r="G139" s="478"/>
      <c r="H139" s="478"/>
    </row>
    <row r="140" spans="3:58" s="273" customFormat="1" ht="21" thickBot="1">
      <c r="C140" s="1162" t="s">
        <v>448</v>
      </c>
      <c r="D140" s="1163"/>
      <c r="E140" s="1163"/>
      <c r="F140" s="1163"/>
      <c r="G140" s="1163"/>
      <c r="H140" s="1164"/>
      <c r="Q140" s="276"/>
      <c r="V140" s="276"/>
      <c r="W140" s="275"/>
      <c r="X140" s="275"/>
      <c r="Y140" s="275"/>
      <c r="Z140" s="275"/>
      <c r="AA140" s="276"/>
      <c r="AF140" s="276"/>
      <c r="AK140" s="276"/>
      <c r="AP140" s="276"/>
      <c r="AQ140" s="792"/>
      <c r="AU140" s="276"/>
      <c r="AV140" s="276"/>
      <c r="AW140" s="276"/>
      <c r="AX140" s="276"/>
      <c r="AY140" s="276"/>
      <c r="AZ140" s="276"/>
      <c r="BF140" s="276"/>
    </row>
    <row r="141" spans="3:58" s="353" customFormat="1" ht="27.6" customHeight="1" thickBot="1">
      <c r="C141" s="468" t="s">
        <v>412</v>
      </c>
      <c r="D141" s="469" t="s">
        <v>413</v>
      </c>
      <c r="E141" s="469" t="s">
        <v>332</v>
      </c>
      <c r="F141" s="469" t="s">
        <v>380</v>
      </c>
      <c r="G141" s="469" t="s">
        <v>381</v>
      </c>
      <c r="H141" s="470" t="s">
        <v>335</v>
      </c>
      <c r="Q141" s="276"/>
      <c r="V141" s="276"/>
      <c r="W141" s="509"/>
      <c r="X141" s="509"/>
      <c r="Y141" s="509"/>
      <c r="Z141" s="509"/>
      <c r="AA141" s="276"/>
      <c r="AF141" s="276"/>
      <c r="AK141" s="276"/>
      <c r="AP141" s="276"/>
      <c r="AQ141" s="793"/>
      <c r="AU141" s="276"/>
      <c r="AZ141" s="276"/>
      <c r="BF141" s="276"/>
    </row>
    <row r="142" spans="3:58" ht="52.5">
      <c r="C142" s="471" t="s">
        <v>680</v>
      </c>
      <c r="D142" s="479" t="s">
        <v>348</v>
      </c>
      <c r="E142" s="385">
        <v>0</v>
      </c>
      <c r="F142" s="385">
        <v>0</v>
      </c>
      <c r="G142" s="385">
        <v>0</v>
      </c>
      <c r="H142" s="385">
        <v>0</v>
      </c>
    </row>
    <row r="143" spans="3:58" ht="69">
      <c r="C143" s="473" t="s">
        <v>681</v>
      </c>
      <c r="D143" s="407">
        <f>SUM(E143:H143)</f>
        <v>0</v>
      </c>
      <c r="E143" s="338">
        <v>0</v>
      </c>
      <c r="F143" s="338">
        <v>0</v>
      </c>
      <c r="G143" s="338">
        <v>0</v>
      </c>
      <c r="H143" s="411">
        <v>0</v>
      </c>
    </row>
    <row r="144" spans="3:58" ht="33.75" thickBot="1">
      <c r="C144" s="474" t="s">
        <v>417</v>
      </c>
      <c r="D144" s="475">
        <f>SUM(E144:H144)</f>
        <v>0</v>
      </c>
      <c r="E144" s="475">
        <f>E142*E143</f>
        <v>0</v>
      </c>
      <c r="F144" s="475">
        <f>F142*F143</f>
        <v>0</v>
      </c>
      <c r="G144" s="475">
        <f>G142*G143</f>
        <v>0</v>
      </c>
      <c r="H144" s="476">
        <f>H142*H143</f>
        <v>0</v>
      </c>
    </row>
    <row r="145" spans="3:58" ht="52.5">
      <c r="C145" s="471" t="s">
        <v>682</v>
      </c>
      <c r="D145" s="479" t="s">
        <v>348</v>
      </c>
      <c r="E145" s="385">
        <v>20.28</v>
      </c>
      <c r="F145" s="385">
        <v>20.28</v>
      </c>
      <c r="G145" s="385">
        <v>20.28</v>
      </c>
      <c r="H145" s="385">
        <v>20.28</v>
      </c>
    </row>
    <row r="146" spans="3:58" ht="69">
      <c r="C146" s="473" t="s">
        <v>683</v>
      </c>
      <c r="D146" s="407">
        <f>SUM(E146:H146)</f>
        <v>115</v>
      </c>
      <c r="E146" s="338">
        <v>45</v>
      </c>
      <c r="F146" s="338">
        <v>13</v>
      </c>
      <c r="G146" s="338">
        <v>19</v>
      </c>
      <c r="H146" s="411">
        <f>3+20+15</f>
        <v>38</v>
      </c>
    </row>
    <row r="147" spans="3:58" ht="33.75" thickBot="1">
      <c r="C147" s="474" t="s">
        <v>418</v>
      </c>
      <c r="D147" s="475">
        <f>SUM(E147:H147)</f>
        <v>2332.1999999999998</v>
      </c>
      <c r="E147" s="475">
        <f>E145*E146</f>
        <v>912.6</v>
      </c>
      <c r="F147" s="475">
        <f>F145*F146</f>
        <v>263.64</v>
      </c>
      <c r="G147" s="475">
        <f>G145*G146</f>
        <v>385.32000000000005</v>
      </c>
      <c r="H147" s="476">
        <f>H145*H146</f>
        <v>770.6400000000001</v>
      </c>
    </row>
    <row r="148" spans="3:58" ht="75" customHeight="1">
      <c r="C148" s="480" t="s">
        <v>684</v>
      </c>
      <c r="D148" s="481" t="s">
        <v>348</v>
      </c>
      <c r="E148" s="727">
        <v>13.872</v>
      </c>
      <c r="F148" s="727">
        <v>13.872</v>
      </c>
      <c r="G148" s="727">
        <v>13.872</v>
      </c>
      <c r="H148" s="727">
        <v>13.872</v>
      </c>
    </row>
    <row r="149" spans="3:58" ht="69">
      <c r="C149" s="473" t="s">
        <v>685</v>
      </c>
      <c r="D149" s="407">
        <f>SUM(E149:H149)</f>
        <v>115</v>
      </c>
      <c r="E149" s="338">
        <v>45</v>
      </c>
      <c r="F149" s="338">
        <v>13</v>
      </c>
      <c r="G149" s="338">
        <v>19</v>
      </c>
      <c r="H149" s="411">
        <f>3+20+15</f>
        <v>38</v>
      </c>
    </row>
    <row r="150" spans="3:58" ht="45" customHeight="1" thickBot="1">
      <c r="C150" s="474" t="s">
        <v>419</v>
      </c>
      <c r="D150" s="475">
        <f>SUM(E150:H150)</f>
        <v>1595.28</v>
      </c>
      <c r="E150" s="475">
        <f>E148*E149</f>
        <v>624.24</v>
      </c>
      <c r="F150" s="475">
        <f>F148*F149</f>
        <v>180.33600000000001</v>
      </c>
      <c r="G150" s="475">
        <f>G148*G149</f>
        <v>263.56799999999998</v>
      </c>
      <c r="H150" s="476">
        <f>H148*H149</f>
        <v>527.13599999999997</v>
      </c>
      <c r="I150" s="754">
        <f>D147+D150</f>
        <v>3927.4799999999996</v>
      </c>
    </row>
    <row r="151" spans="3:58" ht="21" thickBot="1">
      <c r="C151" s="477"/>
      <c r="D151" s="478"/>
      <c r="E151" s="478"/>
      <c r="F151" s="478"/>
      <c r="G151" s="478"/>
      <c r="H151" s="478"/>
    </row>
    <row r="152" spans="3:58" s="273" customFormat="1" ht="21" thickBot="1">
      <c r="C152" s="1162" t="s">
        <v>449</v>
      </c>
      <c r="D152" s="1163"/>
      <c r="E152" s="1163"/>
      <c r="F152" s="1163"/>
      <c r="G152" s="1163"/>
      <c r="H152" s="1164"/>
      <c r="Q152" s="276"/>
      <c r="V152" s="276"/>
      <c r="W152" s="275"/>
      <c r="X152" s="275"/>
      <c r="Y152" s="275"/>
      <c r="Z152" s="275"/>
      <c r="AA152" s="276"/>
      <c r="AF152" s="276"/>
      <c r="AK152" s="276"/>
      <c r="AP152" s="276"/>
      <c r="AQ152" s="792"/>
      <c r="AU152" s="276"/>
      <c r="AV152" s="276"/>
      <c r="AW152" s="276"/>
      <c r="AX152" s="276"/>
      <c r="AY152" s="276"/>
      <c r="AZ152" s="276"/>
      <c r="BF152" s="276"/>
    </row>
    <row r="153" spans="3:58" s="353" customFormat="1" ht="24.6" customHeight="1" thickBot="1">
      <c r="C153" s="482" t="s">
        <v>412</v>
      </c>
      <c r="D153" s="483" t="s">
        <v>413</v>
      </c>
      <c r="E153" s="484" t="s">
        <v>332</v>
      </c>
      <c r="F153" s="484" t="s">
        <v>380</v>
      </c>
      <c r="G153" s="484" t="s">
        <v>381</v>
      </c>
      <c r="H153" s="485" t="s">
        <v>335</v>
      </c>
      <c r="Q153" s="276"/>
      <c r="V153" s="276"/>
      <c r="W153" s="509"/>
      <c r="X153" s="509"/>
      <c r="Y153" s="509"/>
      <c r="Z153" s="509"/>
      <c r="AA153" s="276"/>
      <c r="AF153" s="276"/>
      <c r="AK153" s="276"/>
      <c r="AP153" s="276"/>
      <c r="AQ153" s="793"/>
      <c r="AU153" s="276"/>
      <c r="AZ153" s="276"/>
      <c r="BF153" s="276"/>
    </row>
    <row r="154" spans="3:58" ht="49.5">
      <c r="C154" s="480" t="s">
        <v>129</v>
      </c>
      <c r="D154" s="481" t="s">
        <v>348</v>
      </c>
      <c r="E154" s="726">
        <f>4.5835+0.9167</f>
        <v>5.5001999999999995</v>
      </c>
      <c r="F154" s="726">
        <f>4.5835+0.9167</f>
        <v>5.5001999999999995</v>
      </c>
      <c r="G154" s="726">
        <f>4.5835+0.9167</f>
        <v>5.5001999999999995</v>
      </c>
      <c r="H154" s="726">
        <f>4.5835+0.9167</f>
        <v>5.5001999999999995</v>
      </c>
    </row>
    <row r="155" spans="3:58" ht="82.5">
      <c r="C155" s="473" t="s">
        <v>130</v>
      </c>
      <c r="D155" s="486">
        <f>SUM(E155:H155)</f>
        <v>88107</v>
      </c>
      <c r="E155" s="429">
        <f>(4014+4161+3236)+(7779+10403+8753)</f>
        <v>38346</v>
      </c>
      <c r="F155" s="429">
        <f>(2131+1421+1747)+(3234+682+552)</f>
        <v>9767</v>
      </c>
      <c r="G155" s="429">
        <f>(2411+2085+1855)+(624+551+625)</f>
        <v>8151</v>
      </c>
      <c r="H155" s="438">
        <f>(3454+4172+5345)+(2080+6602+10190)</f>
        <v>31843</v>
      </c>
    </row>
    <row r="156" spans="3:58" ht="50.25" thickBot="1">
      <c r="C156" s="474" t="s">
        <v>131</v>
      </c>
      <c r="D156" s="487">
        <f>SUM(E156:H156)</f>
        <v>484606.1214</v>
      </c>
      <c r="E156" s="475">
        <f>E154*E155</f>
        <v>210910.66919999997</v>
      </c>
      <c r="F156" s="475">
        <f>F154*F155</f>
        <v>53720.453399999999</v>
      </c>
      <c r="G156" s="475">
        <f>G154*G155</f>
        <v>44832.1302</v>
      </c>
      <c r="H156" s="475">
        <f>H154*H155</f>
        <v>175142.86859999999</v>
      </c>
    </row>
    <row r="157" spans="3:58" ht="66">
      <c r="C157" s="480" t="s">
        <v>128</v>
      </c>
      <c r="D157" s="481" t="s">
        <v>348</v>
      </c>
      <c r="E157" s="735">
        <f>1.105767+0.221153</f>
        <v>1.3269199999999999</v>
      </c>
      <c r="F157" s="735">
        <f>1.105767+0.221153</f>
        <v>1.3269199999999999</v>
      </c>
      <c r="G157" s="735">
        <f>1.105767+0.221153</f>
        <v>1.3269199999999999</v>
      </c>
      <c r="H157" s="735">
        <f>1.105767+0.221153</f>
        <v>1.3269199999999999</v>
      </c>
    </row>
    <row r="158" spans="3:58" ht="82.5">
      <c r="C158" s="473" t="s">
        <v>132</v>
      </c>
      <c r="D158" s="486">
        <f>SUM(E158:H158)</f>
        <v>88107</v>
      </c>
      <c r="E158" s="429">
        <f>(4014+4161+3236)+(7779+10403+8753)</f>
        <v>38346</v>
      </c>
      <c r="F158" s="429">
        <f>(2131+1421+1747)+(3234+682+552)</f>
        <v>9767</v>
      </c>
      <c r="G158" s="429">
        <f>(2411+2085+1855)+(624+551+625)</f>
        <v>8151</v>
      </c>
      <c r="H158" s="438">
        <f>(3454+4172+5345)+(2080+6602+10190)</f>
        <v>31843</v>
      </c>
    </row>
    <row r="159" spans="3:58" ht="60" customHeight="1" thickBot="1">
      <c r="C159" s="474" t="s">
        <v>133</v>
      </c>
      <c r="D159" s="487">
        <f>SUM(E159:H159)</f>
        <v>116910.94043999999</v>
      </c>
      <c r="E159" s="475">
        <f>E157*E158</f>
        <v>50882.074319999992</v>
      </c>
      <c r="F159" s="475">
        <f>F157*F158</f>
        <v>12960.027639999998</v>
      </c>
      <c r="G159" s="475">
        <f>G157*G158</f>
        <v>10815.724919999999</v>
      </c>
      <c r="H159" s="475">
        <f>H157*H158</f>
        <v>42253.113559999998</v>
      </c>
    </row>
    <row r="160" spans="3:58" ht="66">
      <c r="C160" s="480" t="s">
        <v>134</v>
      </c>
      <c r="D160" s="481" t="s">
        <v>348</v>
      </c>
      <c r="E160" s="739">
        <f>0.35238+0.070476</f>
        <v>0.42285600000000001</v>
      </c>
      <c r="F160" s="739">
        <f>0.35238+0.070476</f>
        <v>0.42285600000000001</v>
      </c>
      <c r="G160" s="739">
        <f>0.35238+0.070476</f>
        <v>0.42285600000000001</v>
      </c>
      <c r="H160" s="739">
        <f>0.35238+0.070476</f>
        <v>0.42285600000000001</v>
      </c>
    </row>
    <row r="161" spans="3:58" ht="82.5">
      <c r="C161" s="473" t="s">
        <v>135</v>
      </c>
      <c r="D161" s="486">
        <f>SUM(E161:H161)</f>
        <v>41970</v>
      </c>
      <c r="E161" s="429">
        <f>7048+9383+7953</f>
        <v>24384</v>
      </c>
      <c r="F161" s="429">
        <v>2734</v>
      </c>
      <c r="G161" s="429">
        <v>0</v>
      </c>
      <c r="H161" s="438">
        <f>5882+8970</f>
        <v>14852</v>
      </c>
    </row>
    <row r="162" spans="3:58" ht="75.599999999999994" customHeight="1" thickBot="1">
      <c r="C162" s="474" t="s">
        <v>136</v>
      </c>
      <c r="D162" s="487">
        <f>SUM(E162:H162)</f>
        <v>17747.266320000002</v>
      </c>
      <c r="E162" s="475">
        <f>E160*E161</f>
        <v>10310.920704</v>
      </c>
      <c r="F162" s="475">
        <f>F160*F161</f>
        <v>1156.0883040000001</v>
      </c>
      <c r="G162" s="475">
        <f>G160*G161</f>
        <v>0</v>
      </c>
      <c r="H162" s="476">
        <f>H160*H161</f>
        <v>6280.2573119999997</v>
      </c>
    </row>
    <row r="163" spans="3:58" ht="33.75" thickBot="1">
      <c r="C163" s="488" t="s">
        <v>420</v>
      </c>
      <c r="D163" s="489">
        <f>SUM(E163:H163)</f>
        <v>619264.32816000003</v>
      </c>
      <c r="E163" s="490">
        <f>E156+E159+E162</f>
        <v>272103.66422399995</v>
      </c>
      <c r="F163" s="490">
        <f>F156+F159+F162</f>
        <v>67836.569344000003</v>
      </c>
      <c r="G163" s="490">
        <f>G156+G159+G162</f>
        <v>55647.85512</v>
      </c>
      <c r="H163" s="490">
        <f>H156+H159+H162</f>
        <v>223676.23947199999</v>
      </c>
    </row>
    <row r="164" spans="3:58" ht="21" thickBot="1">
      <c r="C164" s="491"/>
      <c r="D164" s="492"/>
      <c r="E164" s="395"/>
      <c r="F164" s="395"/>
      <c r="G164" s="395"/>
      <c r="H164" s="395"/>
    </row>
    <row r="165" spans="3:58" s="273" customFormat="1" ht="21" thickBot="1">
      <c r="C165" s="1162" t="s">
        <v>450</v>
      </c>
      <c r="D165" s="1163"/>
      <c r="E165" s="1163"/>
      <c r="F165" s="1163"/>
      <c r="G165" s="1163"/>
      <c r="H165" s="1164"/>
      <c r="Q165" s="276"/>
      <c r="V165" s="276"/>
      <c r="W165" s="275"/>
      <c r="X165" s="275"/>
      <c r="Y165" s="275"/>
      <c r="Z165" s="275"/>
      <c r="AA165" s="276"/>
      <c r="AF165" s="276"/>
      <c r="AK165" s="276"/>
      <c r="AP165" s="276"/>
      <c r="AQ165" s="792"/>
      <c r="AU165" s="276"/>
      <c r="AV165" s="276"/>
      <c r="AW165" s="276"/>
      <c r="AX165" s="276"/>
      <c r="AY165" s="276"/>
      <c r="AZ165" s="276"/>
      <c r="BF165" s="276"/>
    </row>
    <row r="166" spans="3:58" ht="24.6" customHeight="1" thickBot="1">
      <c r="C166" s="493" t="s">
        <v>412</v>
      </c>
      <c r="D166" s="469" t="s">
        <v>413</v>
      </c>
      <c r="E166" s="469" t="s">
        <v>332</v>
      </c>
      <c r="F166" s="469" t="s">
        <v>380</v>
      </c>
      <c r="G166" s="469" t="s">
        <v>381</v>
      </c>
      <c r="H166" s="470" t="s">
        <v>335</v>
      </c>
    </row>
    <row r="167" spans="3:58" ht="78" customHeight="1">
      <c r="C167" s="471" t="s">
        <v>686</v>
      </c>
      <c r="D167" s="494" t="s">
        <v>348</v>
      </c>
      <c r="E167" s="736">
        <v>16554</v>
      </c>
      <c r="F167" s="736">
        <v>16554</v>
      </c>
      <c r="G167" s="736">
        <v>16554</v>
      </c>
      <c r="H167" s="736">
        <v>16554</v>
      </c>
    </row>
    <row r="168" spans="3:58" ht="85.5">
      <c r="C168" s="473" t="s">
        <v>687</v>
      </c>
      <c r="D168" s="738">
        <f>SUM(E168:H168)</f>
        <v>4.0169999999999995</v>
      </c>
      <c r="E168" s="734">
        <f>0.731+0.765+0.45</f>
        <v>1.946</v>
      </c>
      <c r="F168" s="734">
        <v>0.28000000000000003</v>
      </c>
      <c r="G168" s="734">
        <v>0</v>
      </c>
      <c r="H168" s="737">
        <f>0.3+0.731+0.76</f>
        <v>1.7909999999999999</v>
      </c>
    </row>
    <row r="169" spans="3:58" ht="45.6" customHeight="1" thickBot="1">
      <c r="C169" s="474" t="s">
        <v>421</v>
      </c>
      <c r="D169" s="487">
        <f>SUM(E169:H169)</f>
        <v>66497.418000000005</v>
      </c>
      <c r="E169" s="475">
        <f>E167*E168</f>
        <v>32214.083999999999</v>
      </c>
      <c r="F169" s="475">
        <f>F167*F168</f>
        <v>4635.1200000000008</v>
      </c>
      <c r="G169" s="475">
        <f>G167*G168</f>
        <v>0</v>
      </c>
      <c r="H169" s="476">
        <f>H167*H168</f>
        <v>29648.214</v>
      </c>
    </row>
    <row r="170" spans="3:58" ht="78" customHeight="1">
      <c r="C170" s="471" t="s">
        <v>686</v>
      </c>
      <c r="D170" s="494" t="s">
        <v>348</v>
      </c>
      <c r="E170" s="736">
        <f>877.58+877.52+1229.18</f>
        <v>2984.2799999999997</v>
      </c>
      <c r="F170" s="736">
        <f>699.29+699.3+699.3</f>
        <v>2097.89</v>
      </c>
      <c r="G170" s="736">
        <f>699.29+699.29+699.3</f>
        <v>2097.88</v>
      </c>
      <c r="H170" s="736">
        <f>699.29+699.29+699.29</f>
        <v>2097.87</v>
      </c>
    </row>
    <row r="171" spans="3:58" ht="85.5">
      <c r="C171" s="473" t="s">
        <v>687</v>
      </c>
      <c r="D171" s="486">
        <f>SUM(E171:H171)</f>
        <v>4</v>
      </c>
      <c r="E171" s="429">
        <v>1</v>
      </c>
      <c r="F171" s="429">
        <v>1</v>
      </c>
      <c r="G171" s="429">
        <v>1</v>
      </c>
      <c r="H171" s="438">
        <v>1</v>
      </c>
    </row>
    <row r="172" spans="3:58" ht="45.6" customHeight="1" thickBot="1">
      <c r="C172" s="474" t="s">
        <v>421</v>
      </c>
      <c r="D172" s="487">
        <f>SUM(E172:H172)</f>
        <v>9277.92</v>
      </c>
      <c r="E172" s="475">
        <f>E170*E171</f>
        <v>2984.2799999999997</v>
      </c>
      <c r="F172" s="475">
        <f>F170*F171</f>
        <v>2097.89</v>
      </c>
      <c r="G172" s="475">
        <f>G170*G171</f>
        <v>2097.88</v>
      </c>
      <c r="H172" s="476">
        <f>H170*H171</f>
        <v>2097.87</v>
      </c>
    </row>
    <row r="173" spans="3:58" ht="21" thickBot="1"/>
    <row r="174" spans="3:58" s="273" customFormat="1" ht="69" customHeight="1" thickBot="1">
      <c r="C174" s="495" t="s">
        <v>688</v>
      </c>
      <c r="D174" s="496">
        <f>SUM(E174:H174)</f>
        <v>75775.338000000003</v>
      </c>
      <c r="E174" s="496">
        <f>E169+E172</f>
        <v>35198.364000000001</v>
      </c>
      <c r="F174" s="496">
        <f>F169+F172</f>
        <v>6733.01</v>
      </c>
      <c r="G174" s="496">
        <f>G169+G172</f>
        <v>2097.88</v>
      </c>
      <c r="H174" s="496">
        <f>H169+H172</f>
        <v>31746.083999999999</v>
      </c>
      <c r="Q174" s="276"/>
      <c r="V174" s="276"/>
      <c r="W174" s="275"/>
      <c r="X174" s="275"/>
      <c r="Y174" s="275"/>
      <c r="Z174" s="275"/>
      <c r="AA174" s="276"/>
      <c r="AF174" s="276"/>
      <c r="AK174" s="276"/>
      <c r="AP174" s="276"/>
      <c r="AQ174" s="792"/>
      <c r="AU174" s="276"/>
      <c r="AV174" s="276"/>
      <c r="AW174" s="276"/>
      <c r="AX174" s="276"/>
      <c r="AY174" s="276"/>
      <c r="AZ174" s="276"/>
      <c r="BF174" s="276"/>
    </row>
    <row r="179" spans="3:17" ht="22.9" customHeight="1">
      <c r="C179" s="1107" t="s">
        <v>697</v>
      </c>
      <c r="D179" s="1107"/>
      <c r="E179" s="1107"/>
      <c r="F179" s="1107"/>
      <c r="G179" s="1107"/>
      <c r="H179" s="1107"/>
    </row>
    <row r="180" spans="3:17" ht="21" thickBot="1"/>
    <row r="181" spans="3:17" ht="29.45" customHeight="1" thickBot="1">
      <c r="C181" s="497" t="s">
        <v>412</v>
      </c>
      <c r="D181" s="483" t="s">
        <v>413</v>
      </c>
      <c r="E181" s="483" t="s">
        <v>332</v>
      </c>
      <c r="F181" s="483" t="s">
        <v>380</v>
      </c>
      <c r="G181" s="483" t="s">
        <v>381</v>
      </c>
      <c r="H181" s="498" t="s">
        <v>335</v>
      </c>
      <c r="I181" s="1108" t="s">
        <v>472</v>
      </c>
      <c r="J181" s="1109"/>
      <c r="K181" s="1109"/>
      <c r="L181" s="1110"/>
    </row>
    <row r="182" spans="3:17" ht="71.45" customHeight="1">
      <c r="C182" s="499" t="s">
        <v>278</v>
      </c>
      <c r="D182" s="500">
        <f t="shared" ref="D182:D191" si="143">SUM(E182:H182)</f>
        <v>550000</v>
      </c>
      <c r="E182" s="435">
        <v>100000</v>
      </c>
      <c r="F182" s="435">
        <v>150000</v>
      </c>
      <c r="G182" s="435">
        <v>150000</v>
      </c>
      <c r="H182" s="435">
        <v>150000</v>
      </c>
      <c r="I182" s="1099" t="s">
        <v>156</v>
      </c>
      <c r="J182" s="1100"/>
      <c r="K182" s="1100"/>
      <c r="L182" s="1101"/>
    </row>
    <row r="183" spans="3:17" ht="29.45" customHeight="1">
      <c r="C183" s="501" t="s">
        <v>279</v>
      </c>
      <c r="D183" s="486">
        <f t="shared" si="143"/>
        <v>0</v>
      </c>
      <c r="E183" s="429">
        <v>0</v>
      </c>
      <c r="F183" s="429">
        <v>0</v>
      </c>
      <c r="G183" s="429">
        <v>0</v>
      </c>
      <c r="H183" s="502">
        <v>0</v>
      </c>
      <c r="I183" s="1081" t="s">
        <v>348</v>
      </c>
      <c r="J183" s="1082"/>
      <c r="K183" s="1082"/>
      <c r="L183" s="1083"/>
      <c r="M183" s="63" t="s">
        <v>141</v>
      </c>
    </row>
    <row r="184" spans="3:17" ht="409.6" customHeight="1">
      <c r="C184" s="501" t="s">
        <v>280</v>
      </c>
      <c r="D184" s="486">
        <f t="shared" si="143"/>
        <v>610500</v>
      </c>
      <c r="E184" s="429">
        <v>130000</v>
      </c>
      <c r="F184" s="429">
        <f>157500</f>
        <v>157500</v>
      </c>
      <c r="G184" s="429">
        <f>157500+8000</f>
        <v>165500</v>
      </c>
      <c r="H184" s="429">
        <v>157500</v>
      </c>
      <c r="I184" s="1105" t="s">
        <v>16</v>
      </c>
      <c r="J184" s="1106"/>
      <c r="K184" s="1106"/>
      <c r="L184" s="1106"/>
      <c r="M184" s="1106"/>
      <c r="N184" s="1106"/>
      <c r="O184" s="1106"/>
      <c r="P184" s="1106"/>
      <c r="Q184" s="1106"/>
    </row>
    <row r="185" spans="3:17" ht="64.5" customHeight="1">
      <c r="C185" s="740" t="s">
        <v>282</v>
      </c>
      <c r="D185" s="741">
        <f t="shared" si="143"/>
        <v>518047</v>
      </c>
      <c r="E185" s="742">
        <f>113.3+113.3+97.85+100000+4000</f>
        <v>104324.45</v>
      </c>
      <c r="F185" s="742">
        <f>77.25+92.7+173.3+43072</f>
        <v>43415.25</v>
      </c>
      <c r="G185" s="742">
        <f>101250+103.03+90.54+78.28+51000+107500</f>
        <v>260021.84999999998</v>
      </c>
      <c r="H185" s="743">
        <f>108.15+108.15+108.15+110000-39</f>
        <v>110285.45</v>
      </c>
      <c r="I185" s="1120" t="s">
        <v>140</v>
      </c>
      <c r="J185" s="1121"/>
      <c r="K185" s="1121"/>
      <c r="L185" s="1122"/>
    </row>
    <row r="186" spans="3:17" ht="32.450000000000003" customHeight="1">
      <c r="C186" s="740" t="s">
        <v>283</v>
      </c>
      <c r="D186" s="741">
        <f t="shared" si="143"/>
        <v>0</v>
      </c>
      <c r="E186" s="742">
        <v>0</v>
      </c>
      <c r="F186" s="742">
        <v>0</v>
      </c>
      <c r="G186" s="742">
        <v>0</v>
      </c>
      <c r="H186" s="743">
        <v>0</v>
      </c>
      <c r="I186" s="1090" t="s">
        <v>348</v>
      </c>
      <c r="J186" s="1091"/>
      <c r="K186" s="1091"/>
      <c r="L186" s="1092"/>
    </row>
    <row r="187" spans="3:17" ht="100.5" customHeight="1">
      <c r="C187" s="740" t="s">
        <v>284</v>
      </c>
      <c r="D187" s="741">
        <f t="shared" si="143"/>
        <v>0</v>
      </c>
      <c r="E187" s="742">
        <v>0</v>
      </c>
      <c r="F187" s="742">
        <v>0</v>
      </c>
      <c r="G187" s="742">
        <v>0</v>
      </c>
      <c r="H187" s="742">
        <v>0</v>
      </c>
      <c r="I187" s="1090" t="s">
        <v>348</v>
      </c>
      <c r="J187" s="1091"/>
      <c r="K187" s="1091"/>
      <c r="L187" s="1092"/>
      <c r="M187" s="63" t="s">
        <v>141</v>
      </c>
    </row>
    <row r="188" spans="3:17" ht="84.75" customHeight="1">
      <c r="C188" s="501" t="s">
        <v>285</v>
      </c>
      <c r="D188" s="486">
        <f t="shared" si="143"/>
        <v>280000</v>
      </c>
      <c r="E188" s="429">
        <v>70000</v>
      </c>
      <c r="F188" s="429">
        <v>70000</v>
      </c>
      <c r="G188" s="429">
        <v>70000</v>
      </c>
      <c r="H188" s="429">
        <v>70000</v>
      </c>
      <c r="I188" s="1102" t="s">
        <v>137</v>
      </c>
      <c r="J188" s="1103"/>
      <c r="K188" s="1103"/>
      <c r="L188" s="1104"/>
    </row>
    <row r="189" spans="3:17" ht="127.5" customHeight="1">
      <c r="C189" s="501" t="s">
        <v>286</v>
      </c>
      <c r="D189" s="486">
        <f t="shared" si="143"/>
        <v>870000</v>
      </c>
      <c r="E189" s="429">
        <v>205000</v>
      </c>
      <c r="F189" s="429">
        <v>245000</v>
      </c>
      <c r="G189" s="429">
        <v>135000</v>
      </c>
      <c r="H189" s="429">
        <v>285000</v>
      </c>
      <c r="I189" s="1102" t="s">
        <v>159</v>
      </c>
      <c r="J189" s="1103"/>
      <c r="K189" s="1103"/>
      <c r="L189" s="1104"/>
    </row>
    <row r="190" spans="3:17" ht="55.9" customHeight="1">
      <c r="C190" s="501" t="s">
        <v>463</v>
      </c>
      <c r="D190" s="486">
        <f t="shared" si="143"/>
        <v>0</v>
      </c>
      <c r="E190" s="429">
        <v>0</v>
      </c>
      <c r="F190" s="429">
        <v>0</v>
      </c>
      <c r="G190" s="429">
        <v>0</v>
      </c>
      <c r="H190" s="429">
        <v>0</v>
      </c>
      <c r="I190" s="1081" t="s">
        <v>348</v>
      </c>
      <c r="J190" s="1082"/>
      <c r="K190" s="1082"/>
      <c r="L190" s="1083"/>
    </row>
    <row r="191" spans="3:17" ht="45" customHeight="1">
      <c r="C191" s="501" t="s">
        <v>288</v>
      </c>
      <c r="D191" s="486">
        <f t="shared" si="143"/>
        <v>0</v>
      </c>
      <c r="E191" s="429">
        <v>0</v>
      </c>
      <c r="F191" s="429">
        <v>0</v>
      </c>
      <c r="G191" s="429">
        <v>0</v>
      </c>
      <c r="H191" s="502">
        <v>0</v>
      </c>
      <c r="I191" s="1081" t="s">
        <v>473</v>
      </c>
      <c r="J191" s="1082"/>
      <c r="K191" s="1082"/>
      <c r="L191" s="1083"/>
    </row>
    <row r="192" spans="3:17" ht="52.15" customHeight="1" thickBot="1">
      <c r="C192" s="572" t="s">
        <v>478</v>
      </c>
      <c r="D192" s="487">
        <f>E192+F192+G192+H192</f>
        <v>0</v>
      </c>
      <c r="E192" s="475">
        <v>0</v>
      </c>
      <c r="F192" s="475">
        <v>0</v>
      </c>
      <c r="G192" s="475">
        <v>0</v>
      </c>
      <c r="H192" s="475">
        <v>0</v>
      </c>
      <c r="I192" s="1114" t="s">
        <v>474</v>
      </c>
      <c r="J192" s="1115"/>
      <c r="K192" s="1115"/>
      <c r="L192" s="1116"/>
    </row>
    <row r="193" spans="3:58" ht="63" customHeight="1">
      <c r="C193" s="757" t="s">
        <v>461</v>
      </c>
      <c r="D193" s="758">
        <f t="shared" ref="D193:D207" si="144">SUM(E193:H193)</f>
        <v>17628</v>
      </c>
      <c r="E193" s="435">
        <v>4407</v>
      </c>
      <c r="F193" s="435">
        <v>4407</v>
      </c>
      <c r="G193" s="435">
        <v>4407</v>
      </c>
      <c r="H193" s="435">
        <v>4407</v>
      </c>
      <c r="I193" s="1117" t="s">
        <v>138</v>
      </c>
      <c r="J193" s="1118"/>
      <c r="K193" s="1118"/>
      <c r="L193" s="1119"/>
    </row>
    <row r="194" spans="3:58" ht="40.9" customHeight="1">
      <c r="C194" s="501" t="s">
        <v>462</v>
      </c>
      <c r="D194" s="486">
        <f t="shared" si="144"/>
        <v>0</v>
      </c>
      <c r="E194" s="429">
        <v>0</v>
      </c>
      <c r="F194" s="429">
        <v>0</v>
      </c>
      <c r="G194" s="429">
        <v>0</v>
      </c>
      <c r="H194" s="429">
        <v>0</v>
      </c>
      <c r="I194" s="1090" t="s">
        <v>348</v>
      </c>
      <c r="J194" s="1091"/>
      <c r="K194" s="1091"/>
      <c r="L194" s="1092"/>
    </row>
    <row r="195" spans="3:58" ht="40.9" customHeight="1">
      <c r="C195" s="501" t="s">
        <v>464</v>
      </c>
      <c r="D195" s="486">
        <f t="shared" si="144"/>
        <v>0</v>
      </c>
      <c r="E195" s="429">
        <v>0</v>
      </c>
      <c r="F195" s="429">
        <v>0</v>
      </c>
      <c r="G195" s="429">
        <v>0</v>
      </c>
      <c r="H195" s="429">
        <v>0</v>
      </c>
      <c r="I195" s="1090" t="s">
        <v>348</v>
      </c>
      <c r="J195" s="1091"/>
      <c r="K195" s="1091"/>
      <c r="L195" s="1092"/>
    </row>
    <row r="196" spans="3:58" ht="40.9" customHeight="1">
      <c r="C196" s="501" t="s">
        <v>465</v>
      </c>
      <c r="D196" s="486">
        <f t="shared" si="144"/>
        <v>0</v>
      </c>
      <c r="E196" s="429">
        <v>0</v>
      </c>
      <c r="F196" s="429">
        <v>0</v>
      </c>
      <c r="G196" s="429">
        <v>0</v>
      </c>
      <c r="H196" s="429">
        <v>0</v>
      </c>
      <c r="I196" s="1090" t="s">
        <v>348</v>
      </c>
      <c r="J196" s="1091"/>
      <c r="K196" s="1091"/>
      <c r="L196" s="1092"/>
    </row>
    <row r="197" spans="3:58" ht="40.9" customHeight="1">
      <c r="C197" s="501" t="s">
        <v>466</v>
      </c>
      <c r="D197" s="486">
        <f t="shared" si="144"/>
        <v>0</v>
      </c>
      <c r="E197" s="429">
        <v>0</v>
      </c>
      <c r="F197" s="429">
        <v>0</v>
      </c>
      <c r="G197" s="429">
        <v>0</v>
      </c>
      <c r="H197" s="429">
        <v>0</v>
      </c>
      <c r="I197" s="1090" t="s">
        <v>348</v>
      </c>
      <c r="J197" s="1091"/>
      <c r="K197" s="1091"/>
      <c r="L197" s="1092"/>
    </row>
    <row r="198" spans="3:58" ht="63.6" customHeight="1">
      <c r="C198" s="755" t="s">
        <v>295</v>
      </c>
      <c r="D198" s="756">
        <f t="shared" si="144"/>
        <v>14250</v>
      </c>
      <c r="E198" s="429">
        <v>4000</v>
      </c>
      <c r="F198" s="429">
        <v>4200</v>
      </c>
      <c r="G198" s="429">
        <v>50</v>
      </c>
      <c r="H198" s="502">
        <v>6000</v>
      </c>
      <c r="I198" s="1093" t="s">
        <v>139</v>
      </c>
      <c r="J198" s="1094"/>
      <c r="K198" s="1094"/>
      <c r="L198" s="1095"/>
      <c r="M198" s="1156" t="s">
        <v>163</v>
      </c>
      <c r="N198" s="1157"/>
      <c r="O198" s="1157"/>
    </row>
    <row r="199" spans="3:58" ht="45.6" customHeight="1" thickBot="1">
      <c r="C199" s="503" t="s">
        <v>296</v>
      </c>
      <c r="D199" s="487">
        <f t="shared" si="144"/>
        <v>0</v>
      </c>
      <c r="E199" s="504">
        <v>0</v>
      </c>
      <c r="F199" s="504">
        <v>0</v>
      </c>
      <c r="G199" s="504">
        <v>0</v>
      </c>
      <c r="H199" s="504">
        <v>0</v>
      </c>
      <c r="I199" s="1096" t="s">
        <v>348</v>
      </c>
      <c r="J199" s="1097"/>
      <c r="K199" s="1097"/>
      <c r="L199" s="1098"/>
    </row>
    <row r="200" spans="3:58" ht="42.6" customHeight="1" thickBot="1">
      <c r="C200" s="573" t="s">
        <v>467</v>
      </c>
      <c r="D200" s="506">
        <f t="shared" si="144"/>
        <v>0</v>
      </c>
      <c r="E200" s="504">
        <v>0</v>
      </c>
      <c r="F200" s="504">
        <v>0</v>
      </c>
      <c r="G200" s="504">
        <v>0</v>
      </c>
      <c r="H200" s="504">
        <v>0</v>
      </c>
      <c r="I200" s="1099" t="s">
        <v>348</v>
      </c>
      <c r="J200" s="1100"/>
      <c r="K200" s="1100"/>
      <c r="L200" s="1101"/>
    </row>
    <row r="201" spans="3:58" s="339" customFormat="1" ht="49.5">
      <c r="C201" s="507" t="s">
        <v>468</v>
      </c>
      <c r="D201" s="486">
        <f t="shared" si="144"/>
        <v>250000</v>
      </c>
      <c r="E201" s="429">
        <v>190000</v>
      </c>
      <c r="F201" s="429">
        <v>60000</v>
      </c>
      <c r="G201" s="429">
        <v>0</v>
      </c>
      <c r="H201" s="429">
        <v>0</v>
      </c>
      <c r="I201" s="1078" t="s">
        <v>154</v>
      </c>
      <c r="J201" s="1079"/>
      <c r="K201" s="1079"/>
      <c r="L201" s="1080"/>
      <c r="Q201" s="508"/>
      <c r="V201" s="508"/>
      <c r="AA201" s="508"/>
      <c r="AF201" s="508"/>
      <c r="AK201" s="508"/>
      <c r="AP201" s="508"/>
      <c r="AQ201" s="794"/>
      <c r="AU201" s="508"/>
      <c r="AV201" s="509"/>
      <c r="AW201" s="509"/>
      <c r="AX201" s="509"/>
      <c r="AY201" s="509"/>
      <c r="AZ201" s="508"/>
      <c r="BF201" s="508"/>
    </row>
    <row r="202" spans="3:58" s="339" customFormat="1" ht="69.599999999999994" customHeight="1">
      <c r="C202" s="507" t="s">
        <v>469</v>
      </c>
      <c r="D202" s="486">
        <f t="shared" si="144"/>
        <v>240000</v>
      </c>
      <c r="E202" s="429">
        <v>100000</v>
      </c>
      <c r="F202" s="429">
        <v>65000</v>
      </c>
      <c r="G202" s="429">
        <v>30000</v>
      </c>
      <c r="H202" s="429">
        <v>45000</v>
      </c>
      <c r="I202" s="1078" t="s">
        <v>155</v>
      </c>
      <c r="J202" s="1079"/>
      <c r="K202" s="1079"/>
      <c r="L202" s="1080"/>
      <c r="Q202" s="508"/>
      <c r="V202" s="508"/>
      <c r="AA202" s="508"/>
      <c r="AF202" s="508"/>
      <c r="AK202" s="508"/>
      <c r="AP202" s="508"/>
      <c r="AQ202" s="794"/>
      <c r="AU202" s="508"/>
      <c r="AV202" s="509"/>
      <c r="AW202" s="509"/>
      <c r="AX202" s="509"/>
      <c r="AY202" s="509"/>
      <c r="AZ202" s="508"/>
      <c r="BF202" s="508"/>
    </row>
    <row r="203" spans="3:58" s="339" customFormat="1" ht="43.15" customHeight="1">
      <c r="C203" s="507" t="s">
        <v>470</v>
      </c>
      <c r="D203" s="486">
        <f t="shared" si="144"/>
        <v>0</v>
      </c>
      <c r="E203" s="429">
        <v>0</v>
      </c>
      <c r="F203" s="429">
        <v>0</v>
      </c>
      <c r="G203" s="429">
        <v>0</v>
      </c>
      <c r="H203" s="429">
        <v>0</v>
      </c>
      <c r="I203" s="1078" t="s">
        <v>692</v>
      </c>
      <c r="J203" s="1079"/>
      <c r="K203" s="1079"/>
      <c r="L203" s="1080"/>
      <c r="Q203" s="508"/>
      <c r="V203" s="508"/>
      <c r="AA203" s="508"/>
      <c r="AF203" s="508"/>
      <c r="AK203" s="508"/>
      <c r="AP203" s="508"/>
      <c r="AQ203" s="794"/>
      <c r="AU203" s="508"/>
      <c r="AV203" s="509"/>
      <c r="AW203" s="509"/>
      <c r="AX203" s="509"/>
      <c r="AY203" s="509"/>
      <c r="AZ203" s="508"/>
      <c r="BF203" s="508"/>
    </row>
    <row r="204" spans="3:58" ht="82.5">
      <c r="C204" s="507" t="s">
        <v>471</v>
      </c>
      <c r="D204" s="486">
        <f t="shared" si="144"/>
        <v>0</v>
      </c>
      <c r="E204" s="429">
        <v>0</v>
      </c>
      <c r="F204" s="429">
        <v>0</v>
      </c>
      <c r="G204" s="429">
        <v>0</v>
      </c>
      <c r="H204" s="429">
        <v>0</v>
      </c>
      <c r="I204" s="1081" t="s">
        <v>477</v>
      </c>
      <c r="J204" s="1082"/>
      <c r="K204" s="1082"/>
      <c r="L204" s="1083"/>
    </row>
    <row r="205" spans="3:58" ht="36" customHeight="1">
      <c r="C205" s="507" t="s">
        <v>606</v>
      </c>
      <c r="D205" s="486">
        <f t="shared" si="144"/>
        <v>0</v>
      </c>
      <c r="E205" s="429">
        <v>0</v>
      </c>
      <c r="F205" s="429">
        <v>0</v>
      </c>
      <c r="G205" s="429">
        <v>0</v>
      </c>
      <c r="H205" s="429">
        <v>0</v>
      </c>
      <c r="I205" s="1084" t="s">
        <v>348</v>
      </c>
      <c r="J205" s="1085"/>
      <c r="K205" s="1085"/>
      <c r="L205" s="1086"/>
    </row>
    <row r="206" spans="3:58" ht="61.9" customHeight="1">
      <c r="C206" s="507" t="s">
        <v>475</v>
      </c>
      <c r="D206" s="486">
        <f t="shared" si="144"/>
        <v>0</v>
      </c>
      <c r="E206" s="429">
        <v>0</v>
      </c>
      <c r="F206" s="429">
        <v>0</v>
      </c>
      <c r="G206" s="429">
        <v>0</v>
      </c>
      <c r="H206" s="429">
        <v>0</v>
      </c>
      <c r="I206" s="1078"/>
      <c r="J206" s="1079"/>
      <c r="K206" s="1079"/>
      <c r="L206" s="1080"/>
    </row>
    <row r="207" spans="3:58" ht="45" customHeight="1" thickBot="1">
      <c r="C207" s="510" t="s">
        <v>614</v>
      </c>
      <c r="D207" s="487">
        <f t="shared" si="144"/>
        <v>0</v>
      </c>
      <c r="E207" s="504">
        <v>0</v>
      </c>
      <c r="F207" s="504">
        <v>0</v>
      </c>
      <c r="G207" s="504">
        <v>0</v>
      </c>
      <c r="H207" s="505">
        <v>0</v>
      </c>
      <c r="I207" s="1087" t="s">
        <v>476</v>
      </c>
      <c r="J207" s="1088"/>
      <c r="K207" s="1088"/>
      <c r="L207" s="1089"/>
      <c r="M207" s="754">
        <f>D138+D147+D150+D163+D174+D182+D184+D185+D188+D189+D201+D202</f>
        <v>4236238.8371600006</v>
      </c>
    </row>
  </sheetData>
  <mergeCells count="68">
    <mergeCell ref="C8:E8"/>
    <mergeCell ref="F8:H8"/>
    <mergeCell ref="C134:H134"/>
    <mergeCell ref="C140:H140"/>
    <mergeCell ref="C152:H152"/>
    <mergeCell ref="C165:H165"/>
    <mergeCell ref="C102:C127"/>
    <mergeCell ref="C61:C73"/>
    <mergeCell ref="C29:C44"/>
    <mergeCell ref="I17:L17"/>
    <mergeCell ref="E17:H17"/>
    <mergeCell ref="G10:G12"/>
    <mergeCell ref="R17:V17"/>
    <mergeCell ref="C12:E12"/>
    <mergeCell ref="C13:E13"/>
    <mergeCell ref="C17:D17"/>
    <mergeCell ref="C10:E10"/>
    <mergeCell ref="C11:E11"/>
    <mergeCell ref="W17:AA17"/>
    <mergeCell ref="AV17:AZ17"/>
    <mergeCell ref="A2:AL2"/>
    <mergeCell ref="C4:I4"/>
    <mergeCell ref="C6:E6"/>
    <mergeCell ref="C7:E7"/>
    <mergeCell ref="C15:E15"/>
    <mergeCell ref="F6:H6"/>
    <mergeCell ref="F7:H7"/>
    <mergeCell ref="AG17:AK17"/>
    <mergeCell ref="BH17:BL17"/>
    <mergeCell ref="C132:E132"/>
    <mergeCell ref="BB16:BF16"/>
    <mergeCell ref="M17:Q17"/>
    <mergeCell ref="AB17:AF17"/>
    <mergeCell ref="BB17:BF17"/>
    <mergeCell ref="AL17:AP17"/>
    <mergeCell ref="AQ17:AU17"/>
    <mergeCell ref="C74:C101"/>
    <mergeCell ref="C45:C60"/>
    <mergeCell ref="C19:C28"/>
    <mergeCell ref="I192:L192"/>
    <mergeCell ref="I193:L193"/>
    <mergeCell ref="I191:L191"/>
    <mergeCell ref="I182:L182"/>
    <mergeCell ref="I183:L183"/>
    <mergeCell ref="I185:L185"/>
    <mergeCell ref="I186:L186"/>
    <mergeCell ref="I187:L187"/>
    <mergeCell ref="I188:L188"/>
    <mergeCell ref="I200:L200"/>
    <mergeCell ref="I201:L201"/>
    <mergeCell ref="I189:L189"/>
    <mergeCell ref="I190:L190"/>
    <mergeCell ref="I184:Q184"/>
    <mergeCell ref="C179:H179"/>
    <mergeCell ref="I181:L181"/>
    <mergeCell ref="M198:O198"/>
    <mergeCell ref="I194:L194"/>
    <mergeCell ref="I195:L195"/>
    <mergeCell ref="I196:L196"/>
    <mergeCell ref="I197:L197"/>
    <mergeCell ref="I198:L198"/>
    <mergeCell ref="I199:L199"/>
    <mergeCell ref="I202:L202"/>
    <mergeCell ref="I203:L203"/>
    <mergeCell ref="I204:L204"/>
    <mergeCell ref="I205:L205"/>
    <mergeCell ref="I206:L206"/>
    <mergeCell ref="I207:L207"/>
  </mergeCells>
  <phoneticPr fontId="0" type="noConversion"/>
  <conditionalFormatting sqref="AV19:AY27 R19:U27 AB19:AE27 AL19:AO27 W19:Z27 E19:P27 AV29:AY43 AB29:AE43 E41:P43 R29:U43 AV45:AY59 AB45:AE59 AG45:AJ59 AL45:AO59 E49:P59 R45:U59 W45:Z59 AV74:AY100 AL74:AO100 AB74:AE100 R74:U100 E74:P100 W74:Z100 AV102:AY126 R102:U126 AB102:AE126 AL102:AO126 E102:P126 AG19:AJ27 AG29:AJ43 AL29:AO43 W29:Z43 AG74:AJ100 AG102:AJ126 W102:Z126">
    <cfRule type="notContainsBlanks" dxfId="58" priority="33">
      <formula>LEN(TRIM(E19))&gt;0</formula>
    </cfRule>
  </conditionalFormatting>
  <conditionalFormatting sqref="E29:P39">
    <cfRule type="notContainsBlanks" dxfId="57" priority="32">
      <formula>LEN(TRIM(E29))&gt;0</formula>
    </cfRule>
  </conditionalFormatting>
  <conditionalFormatting sqref="E45:P47">
    <cfRule type="notContainsBlanks" dxfId="56" priority="31">
      <formula>LEN(TRIM(E45))&gt;0</formula>
    </cfRule>
  </conditionalFormatting>
  <conditionalFormatting sqref="R61:U72 AL61:AO72 AG61:AJ72 E61:P72 AB61:AE72 W61:Z72">
    <cfRule type="notContainsBlanks" dxfId="55" priority="30">
      <formula>LEN(TRIM(E61))&gt;0</formula>
    </cfRule>
  </conditionalFormatting>
  <conditionalFormatting sqref="E170:H171 E136:H137 E142:H143 E145:H146 E148:H149 E154:H155 E160:H161">
    <cfRule type="notContainsBlanks" dxfId="54" priority="27">
      <formula>LEN(TRIM(E136))&gt;0</formula>
    </cfRule>
  </conditionalFormatting>
  <conditionalFormatting sqref="E182:H191 E193:H207">
    <cfRule type="notContainsBlanks" dxfId="53" priority="26">
      <formula>LEN(TRIM(E182))&gt;0</formula>
    </cfRule>
  </conditionalFormatting>
  <conditionalFormatting sqref="AV28:AY28">
    <cfRule type="notContainsBlanks" dxfId="52" priority="25">
      <formula>LEN(TRIM(AV28))&gt;0</formula>
    </cfRule>
  </conditionalFormatting>
  <conditionalFormatting sqref="AV44:AY44">
    <cfRule type="notContainsBlanks" dxfId="51" priority="22">
      <formula>LEN(TRIM(AV44))&gt;0</formula>
    </cfRule>
  </conditionalFormatting>
  <conditionalFormatting sqref="AV60:AY60">
    <cfRule type="notContainsBlanks" dxfId="50" priority="20">
      <formula>LEN(TRIM(AV60))&gt;0</formula>
    </cfRule>
  </conditionalFormatting>
  <conditionalFormatting sqref="AV61:AY72">
    <cfRule type="notContainsBlanks" dxfId="49" priority="19">
      <formula>LEN(TRIM(AV61))&gt;0</formula>
    </cfRule>
  </conditionalFormatting>
  <conditionalFormatting sqref="AV73:AY73">
    <cfRule type="notContainsBlanks" dxfId="48" priority="18">
      <formula>LEN(TRIM(AV73))&gt;0</formula>
    </cfRule>
  </conditionalFormatting>
  <conditionalFormatting sqref="AV101:AY101">
    <cfRule type="notContainsBlanks" dxfId="47" priority="16">
      <formula>LEN(TRIM(AV101))&gt;0</formula>
    </cfRule>
  </conditionalFormatting>
  <conditionalFormatting sqref="AV127:AY127">
    <cfRule type="notContainsBlanks" dxfId="46" priority="14">
      <formula>LEN(TRIM(AV127))&gt;0</formula>
    </cfRule>
  </conditionalFormatting>
  <conditionalFormatting sqref="R61:U72 AL61:AO72 AG61:AJ72 E61:P72 AB61:AE72 R19:U27 AB19:AE27 AL19:AO27 E45:P47 W19:Z27 W61:Z72 E29:P39 E19:P27 AG19:AJ27">
    <cfRule type="notContainsBlanks" dxfId="45" priority="13">
      <formula>LEN(TRIM(E19))&gt;0</formula>
    </cfRule>
  </conditionalFormatting>
  <conditionalFormatting sqref="E170:H171 E136:H137 E142:H143 E145:H146 E148:H149 E154:H155 E160:H161 E182:H191 E193:H207">
    <cfRule type="notContainsBlanks" dxfId="44" priority="12">
      <formula>LEN(TRIM(E136))&gt;0</formula>
    </cfRule>
  </conditionalFormatting>
  <conditionalFormatting sqref="E157:H157">
    <cfRule type="notContainsBlanks" dxfId="43" priority="9">
      <formula>LEN(TRIM(E157))&gt;0</formula>
    </cfRule>
  </conditionalFormatting>
  <conditionalFormatting sqref="E157:H157">
    <cfRule type="notContainsBlanks" dxfId="42" priority="8">
      <formula>LEN(TRIM(E157))&gt;0</formula>
    </cfRule>
  </conditionalFormatting>
  <conditionalFormatting sqref="E167:H168">
    <cfRule type="notContainsBlanks" dxfId="41" priority="7">
      <formula>LEN(TRIM(E167))&gt;0</formula>
    </cfRule>
  </conditionalFormatting>
  <conditionalFormatting sqref="E167:H168">
    <cfRule type="notContainsBlanks" dxfId="40" priority="6">
      <formula>LEN(TRIM(E167))&gt;0</formula>
    </cfRule>
  </conditionalFormatting>
  <conditionalFormatting sqref="E158:H158">
    <cfRule type="notContainsBlanks" dxfId="39" priority="5">
      <formula>LEN(TRIM(E158))&gt;0</formula>
    </cfRule>
  </conditionalFormatting>
  <conditionalFormatting sqref="E158:H158">
    <cfRule type="notContainsBlanks" dxfId="38" priority="4">
      <formula>LEN(TRIM(E158))&gt;0</formula>
    </cfRule>
  </conditionalFormatting>
  <conditionalFormatting sqref="E40:P40">
    <cfRule type="notContainsBlanks" dxfId="37" priority="3">
      <formula>LEN(TRIM(E40))&gt;0</formula>
    </cfRule>
  </conditionalFormatting>
  <conditionalFormatting sqref="E40:P40">
    <cfRule type="notContainsBlanks" dxfId="36" priority="2">
      <formula>LEN(TRIM(E40))&gt;0</formula>
    </cfRule>
  </conditionalFormatting>
  <conditionalFormatting sqref="E48:P48">
    <cfRule type="notContainsBlanks" dxfId="35" priority="1">
      <formula>LEN(TRIM(E48))&gt;0</formula>
    </cfRule>
  </conditionalFormatting>
  <hyperlinks>
    <hyperlink ref="H10" location="'02_Видатки'!A14" display="оплата праці"/>
    <hyperlink ref="H11" location="'02_Видатки'!A140" display="комунальні витрати"/>
    <hyperlink ref="H12" location="'02_Видатки'!A181" display="інші видатки"/>
  </hyperlinks>
  <pageMargins left="0.7" right="0.7" top="0.75" bottom="0.75" header="0.3" footer="0.3"/>
  <pageSetup paperSize="9" scale="31" orientation="portrait" r:id="rId1"/>
  <colBreaks count="1" manualBreakCount="1">
    <brk id="12" max="1048575" man="1"/>
  </colBreaks>
  <ignoredErrors>
    <ignoredError sqref="BB28:BE28 AP28 AK28 Q28 V28" formula="1"/>
  </ignoredErrors>
  <drawing r:id="rId2"/>
</worksheet>
</file>

<file path=xl/worksheets/sheet7.xml><?xml version="1.0" encoding="utf-8"?>
<worksheet xmlns="http://schemas.openxmlformats.org/spreadsheetml/2006/main" xmlns:r="http://schemas.openxmlformats.org/officeDocument/2006/relationships">
  <sheetPr>
    <tabColor theme="4" tint="0.39997558519241921"/>
    <outlinePr summaryBelow="0" summaryRight="0"/>
  </sheetPr>
  <dimension ref="A1:IV165"/>
  <sheetViews>
    <sheetView showGridLines="0" topLeftCell="A70" zoomScale="85" zoomScaleNormal="85" workbookViewId="0">
      <selection activeCell="B93" sqref="B93"/>
    </sheetView>
  </sheetViews>
  <sheetFormatPr defaultColWidth="10.7109375" defaultRowHeight="15.75"/>
  <cols>
    <col min="1" max="1" width="3.85546875" style="69" customWidth="1"/>
    <col min="2" max="2" width="61.7109375" style="68" customWidth="1"/>
    <col min="3" max="3" width="40.140625" style="68" customWidth="1"/>
    <col min="4" max="4" width="28.140625" style="68" customWidth="1"/>
    <col min="5" max="5" width="26.42578125" style="68" customWidth="1"/>
    <col min="6" max="6" width="40.140625" style="68" customWidth="1"/>
    <col min="7" max="11" width="10.7109375" style="68"/>
    <col min="12" max="12" width="12.28515625" style="68" bestFit="1" customWidth="1"/>
    <col min="13" max="16384" width="10.7109375" style="68"/>
  </cols>
  <sheetData>
    <row r="1" spans="1:256" s="60" customFormat="1" ht="16.5">
      <c r="A1" s="91"/>
      <c r="K1" s="61"/>
      <c r="P1" s="61"/>
      <c r="U1" s="61"/>
      <c r="Z1" s="61"/>
      <c r="AE1" s="61"/>
      <c r="AJ1" s="61"/>
      <c r="AO1" s="61"/>
    </row>
    <row r="2" spans="1:256" s="63" customFormat="1" ht="27.75" thickBot="1">
      <c r="A2" s="1177" t="s">
        <v>761</v>
      </c>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62"/>
      <c r="AH2" s="62"/>
      <c r="AI2" s="62"/>
      <c r="AJ2" s="62"/>
      <c r="AK2" s="62"/>
      <c r="AL2" s="62"/>
      <c r="AM2" s="62"/>
      <c r="AN2" s="62"/>
      <c r="AO2" s="62"/>
    </row>
    <row r="3" spans="1:256" s="64" customFormat="1" ht="57.6" customHeight="1" thickTop="1" thickBot="1">
      <c r="A3" s="66"/>
      <c r="B3" s="1174" t="s">
        <v>64</v>
      </c>
      <c r="C3" s="1175"/>
      <c r="D3" s="1175"/>
      <c r="E3" s="1176"/>
    </row>
    <row r="4" spans="1:256" s="644" customFormat="1" ht="21" customHeight="1" thickTop="1">
      <c r="A4" s="643"/>
      <c r="B4" s="645"/>
      <c r="C4" s="645"/>
      <c r="D4" s="645"/>
      <c r="E4" s="645"/>
    </row>
    <row r="5" spans="1:256" s="644" customFormat="1" ht="50.45" customHeight="1">
      <c r="A5" s="643"/>
      <c r="B5" s="1166" t="s">
        <v>23</v>
      </c>
      <c r="C5" s="1166"/>
      <c r="D5" s="1166"/>
      <c r="E5" s="1166"/>
    </row>
    <row r="6" spans="1:256" s="64" customFormat="1" ht="18" customHeight="1" thickBot="1">
      <c r="A6" s="66"/>
      <c r="G6" s="66"/>
    </row>
    <row r="7" spans="1:256" s="64" customFormat="1" ht="27.6" customHeight="1">
      <c r="A7" s="66"/>
      <c r="B7" s="1131" t="str">
        <f ca="1">'0_Загальне'!B11</f>
        <v>Офіційна повна назва надавача ПМД:</v>
      </c>
      <c r="C7" s="1132"/>
      <c r="D7" s="1132"/>
      <c r="E7" s="1135" t="str">
        <f ca="1">'0_Загальне'!C11</f>
        <v>Комунальне некомерційне підприємство "Рожищнський центр первинної медико-санітарної допомоги" Рожищенської міської ради</v>
      </c>
      <c r="F7" s="1135"/>
      <c r="G7" s="1136"/>
    </row>
    <row r="8" spans="1:256" s="64" customFormat="1" ht="27.6" customHeight="1">
      <c r="A8" s="66"/>
      <c r="B8" s="1133" t="str">
        <f ca="1">'0_Загальне'!B32</f>
        <v>Плановий період (рік):</v>
      </c>
      <c r="C8" s="1134"/>
      <c r="D8" s="1134"/>
      <c r="E8" s="1137">
        <f ca="1">'0_Загальне'!C32</f>
        <v>2022</v>
      </c>
      <c r="F8" s="1137"/>
      <c r="G8" s="1138"/>
    </row>
    <row r="9" spans="1:256" s="64" customFormat="1" ht="27.6" customHeight="1" thickBot="1">
      <c r="A9" s="66"/>
      <c r="B9" s="1158" t="s">
        <v>671</v>
      </c>
      <c r="C9" s="1159"/>
      <c r="D9" s="1159"/>
      <c r="E9" s="1160" t="str">
        <f ca="1">'0_Загальне'!C34</f>
        <v>01.11.2021</v>
      </c>
      <c r="F9" s="1182"/>
      <c r="G9" s="1183"/>
    </row>
    <row r="10" spans="1:256" s="64" customFormat="1" ht="26.45" customHeight="1" thickBot="1">
      <c r="A10" s="66"/>
      <c r="B10" s="65"/>
      <c r="C10" s="65"/>
      <c r="D10" s="65"/>
      <c r="E10" s="65"/>
      <c r="G10" s="66"/>
    </row>
    <row r="11" spans="1:256" s="64" customFormat="1" ht="37.15" customHeight="1">
      <c r="A11" s="66"/>
      <c r="B11" s="1179" t="s">
        <v>612</v>
      </c>
      <c r="C11" s="1180"/>
      <c r="D11" s="1181"/>
      <c r="E11" s="65"/>
      <c r="G11" s="66"/>
    </row>
    <row r="12" spans="1:256" s="64" customFormat="1" ht="51.6" customHeight="1">
      <c r="A12" s="66"/>
      <c r="B12" s="1167" t="s">
        <v>20</v>
      </c>
      <c r="C12" s="1168"/>
      <c r="D12" s="1169"/>
      <c r="E12" s="65"/>
      <c r="G12" s="66"/>
    </row>
    <row r="13" spans="1:256" s="64" customFormat="1" ht="35.450000000000003" customHeight="1">
      <c r="A13" s="66"/>
      <c r="B13" s="1153" t="s">
        <v>746</v>
      </c>
      <c r="C13" s="1154"/>
      <c r="D13" s="1155"/>
      <c r="E13" s="584"/>
      <c r="F13" s="583"/>
      <c r="G13" s="583"/>
      <c r="H13" s="583"/>
    </row>
    <row r="14" spans="1:256" s="67" customFormat="1" ht="37.9" customHeight="1">
      <c r="A14" s="92"/>
      <c r="B14" s="1170" t="s">
        <v>63</v>
      </c>
      <c r="C14" s="1171"/>
      <c r="D14" s="1172"/>
      <c r="E14" s="583"/>
      <c r="G14" s="583"/>
      <c r="H14" s="583"/>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row>
    <row r="15" spans="1:256" s="67" customFormat="1" ht="43.9" customHeight="1">
      <c r="A15" s="92"/>
      <c r="B15" s="1170" t="s">
        <v>62</v>
      </c>
      <c r="C15" s="1171"/>
      <c r="D15" s="1172"/>
      <c r="E15" s="583"/>
      <c r="F15" s="66" t="s">
        <v>479</v>
      </c>
      <c r="G15" s="583"/>
      <c r="H15" s="583"/>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row>
    <row r="16" spans="1:256" s="64" customFormat="1" ht="28.15" customHeight="1">
      <c r="A16" s="66"/>
      <c r="B16" s="1142" t="s">
        <v>624</v>
      </c>
      <c r="C16" s="1143"/>
      <c r="D16" s="1144"/>
      <c r="E16" s="584"/>
      <c r="F16" s="69" t="s">
        <v>483</v>
      </c>
      <c r="G16" s="583"/>
      <c r="H16" s="583"/>
    </row>
    <row r="17" spans="1:256" ht="27" customHeight="1" thickBot="1">
      <c r="B17" s="1145" t="s">
        <v>625</v>
      </c>
      <c r="C17" s="1146"/>
      <c r="D17" s="1147"/>
      <c r="E17" s="88"/>
      <c r="F17" s="88"/>
      <c r="H17" s="88"/>
    </row>
    <row r="18" spans="1:256" ht="16.5">
      <c r="B18" s="45"/>
      <c r="C18" s="45"/>
      <c r="D18" s="45"/>
      <c r="E18" s="88"/>
      <c r="F18" s="88"/>
      <c r="G18" s="88"/>
      <c r="H18" s="88"/>
    </row>
    <row r="19" spans="1:256" ht="100.15" customHeight="1">
      <c r="B19" s="70" t="s">
        <v>405</v>
      </c>
      <c r="C19" s="71" t="s">
        <v>406</v>
      </c>
      <c r="D19" s="71" t="s">
        <v>407</v>
      </c>
      <c r="E19" s="71" t="s">
        <v>408</v>
      </c>
      <c r="F19" s="71" t="s">
        <v>511</v>
      </c>
    </row>
    <row r="20" spans="1:256" s="93" customFormat="1">
      <c r="B20" s="82">
        <v>0</v>
      </c>
      <c r="C20" s="83">
        <v>0.1</v>
      </c>
      <c r="D20" s="82">
        <v>0.2</v>
      </c>
      <c r="E20" s="83">
        <v>0.3</v>
      </c>
      <c r="G20" s="68"/>
      <c r="H20" s="68"/>
      <c r="I20" s="68"/>
      <c r="J20" s="68"/>
      <c r="K20" s="68"/>
      <c r="L20" s="68"/>
      <c r="M20" s="68"/>
      <c r="N20" s="68"/>
      <c r="O20" s="68"/>
      <c r="P20" s="68"/>
      <c r="R20" s="68"/>
      <c r="S20" s="68"/>
      <c r="T20" s="68"/>
      <c r="U20" s="68"/>
      <c r="W20" s="68"/>
      <c r="X20" s="68"/>
      <c r="Y20" s="68"/>
      <c r="Z20" s="68"/>
      <c r="AB20" s="68"/>
      <c r="AC20" s="68"/>
      <c r="AD20" s="68"/>
      <c r="AE20" s="68"/>
      <c r="AG20" s="68"/>
      <c r="AH20" s="68"/>
      <c r="AI20" s="68"/>
      <c r="AJ20" s="68"/>
      <c r="AL20" s="68"/>
      <c r="AM20" s="68"/>
      <c r="AN20" s="68"/>
      <c r="AO20" s="68"/>
      <c r="AQ20" s="68"/>
      <c r="AR20" s="68"/>
      <c r="AS20" s="68"/>
      <c r="AT20" s="68"/>
      <c r="AV20" s="68"/>
      <c r="AW20" s="68"/>
      <c r="AX20" s="68"/>
      <c r="AY20" s="68"/>
      <c r="BA20" s="68"/>
      <c r="BB20" s="68"/>
      <c r="BC20" s="68"/>
      <c r="BD20" s="68"/>
      <c r="BF20" s="68"/>
      <c r="BG20" s="68"/>
      <c r="BH20" s="68"/>
      <c r="BI20" s="68"/>
      <c r="BK20" s="68"/>
      <c r="BL20" s="68"/>
      <c r="BM20" s="68"/>
      <c r="BN20" s="68"/>
      <c r="BP20" s="68"/>
      <c r="BQ20" s="68"/>
      <c r="BR20" s="68"/>
      <c r="BS20" s="68"/>
      <c r="BU20" s="68"/>
      <c r="BV20" s="68"/>
      <c r="BW20" s="68"/>
      <c r="BX20" s="68"/>
      <c r="BZ20" s="68"/>
      <c r="CA20" s="68"/>
      <c r="CB20" s="68"/>
      <c r="CC20" s="68"/>
      <c r="CE20" s="68"/>
      <c r="CF20" s="68"/>
      <c r="CG20" s="68"/>
      <c r="CH20" s="68"/>
      <c r="CJ20" s="68"/>
      <c r="CK20" s="68"/>
      <c r="CL20" s="68"/>
      <c r="CM20" s="68"/>
      <c r="CO20" s="68"/>
      <c r="CP20" s="68"/>
      <c r="CQ20" s="68"/>
      <c r="CR20" s="68"/>
      <c r="CT20" s="68"/>
      <c r="CU20" s="68"/>
      <c r="CV20" s="68"/>
      <c r="CW20" s="68"/>
      <c r="CY20" s="68"/>
      <c r="CZ20" s="68"/>
      <c r="DA20" s="68"/>
      <c r="DB20" s="68"/>
      <c r="DD20" s="68"/>
      <c r="DE20" s="68"/>
      <c r="DF20" s="68"/>
      <c r="DG20" s="68"/>
      <c r="DI20" s="68"/>
      <c r="DJ20" s="68"/>
      <c r="DK20" s="68"/>
      <c r="DL20" s="68"/>
      <c r="DN20" s="68"/>
      <c r="DO20" s="68"/>
      <c r="DP20" s="68"/>
      <c r="DQ20" s="68"/>
      <c r="DS20" s="68"/>
      <c r="DT20" s="68"/>
      <c r="DU20" s="68"/>
      <c r="DV20" s="68"/>
      <c r="DX20" s="68"/>
      <c r="DY20" s="68"/>
      <c r="DZ20" s="68"/>
      <c r="EA20" s="68"/>
      <c r="EC20" s="68"/>
      <c r="ED20" s="68"/>
      <c r="EE20" s="68"/>
      <c r="EF20" s="68"/>
      <c r="EH20" s="68"/>
      <c r="EI20" s="68"/>
      <c r="EJ20" s="68"/>
      <c r="EK20" s="68"/>
      <c r="EM20" s="68"/>
      <c r="EN20" s="68"/>
      <c r="EO20" s="68"/>
      <c r="EP20" s="68"/>
      <c r="ER20" s="68"/>
      <c r="ES20" s="68"/>
      <c r="ET20" s="68"/>
      <c r="EU20" s="68"/>
      <c r="EW20" s="68"/>
      <c r="EX20" s="68"/>
      <c r="EY20" s="68"/>
      <c r="EZ20" s="68"/>
      <c r="FB20" s="68"/>
      <c r="FC20" s="68"/>
      <c r="FD20" s="68"/>
      <c r="FE20" s="68"/>
      <c r="FG20" s="68"/>
      <c r="FH20" s="68"/>
      <c r="FI20" s="68"/>
      <c r="FJ20" s="68"/>
      <c r="FL20" s="68"/>
      <c r="FM20" s="68"/>
      <c r="FN20" s="68"/>
      <c r="FO20" s="68"/>
      <c r="FQ20" s="68"/>
      <c r="FR20" s="68"/>
      <c r="FS20" s="68"/>
      <c r="FT20" s="68"/>
      <c r="FV20" s="68"/>
      <c r="FW20" s="68"/>
      <c r="FX20" s="68"/>
      <c r="FY20" s="68"/>
      <c r="GA20" s="68"/>
      <c r="GB20" s="68"/>
      <c r="GC20" s="68"/>
      <c r="GD20" s="68"/>
      <c r="GF20" s="68"/>
      <c r="GG20" s="68"/>
      <c r="GH20" s="68"/>
      <c r="GI20" s="68"/>
      <c r="GK20" s="68"/>
      <c r="GL20" s="68"/>
      <c r="GM20" s="68"/>
      <c r="GN20" s="68"/>
      <c r="GP20" s="68"/>
      <c r="GQ20" s="68"/>
      <c r="GR20" s="68"/>
      <c r="GS20" s="68"/>
      <c r="GU20" s="68"/>
      <c r="GV20" s="68"/>
      <c r="GW20" s="68"/>
      <c r="GX20" s="68"/>
      <c r="GZ20" s="68"/>
      <c r="HA20" s="68"/>
      <c r="HB20" s="68"/>
      <c r="HC20" s="68"/>
      <c r="HE20" s="68"/>
      <c r="HF20" s="68"/>
      <c r="HG20" s="68"/>
      <c r="HH20" s="68"/>
      <c r="HJ20" s="68"/>
      <c r="HK20" s="68"/>
      <c r="HL20" s="68"/>
      <c r="HM20" s="68"/>
      <c r="HO20" s="68"/>
      <c r="HP20" s="68"/>
      <c r="HQ20" s="68"/>
      <c r="HR20" s="68"/>
      <c r="HT20" s="68"/>
      <c r="HU20" s="68"/>
      <c r="HV20" s="68"/>
      <c r="HW20" s="68"/>
      <c r="HY20" s="68"/>
      <c r="HZ20" s="68"/>
      <c r="IA20" s="68"/>
      <c r="IB20" s="68"/>
      <c r="ID20" s="68"/>
      <c r="IE20" s="68"/>
      <c r="IF20" s="68"/>
      <c r="IG20" s="68"/>
      <c r="II20" s="68"/>
      <c r="IJ20" s="68"/>
      <c r="IK20" s="68"/>
      <c r="IL20" s="68"/>
      <c r="IN20" s="68"/>
      <c r="IO20" s="68"/>
      <c r="IP20" s="68"/>
      <c r="IQ20" s="68"/>
      <c r="IS20" s="68"/>
      <c r="IT20" s="68"/>
      <c r="IU20" s="68"/>
      <c r="IV20" s="68"/>
    </row>
    <row r="21" spans="1:256" s="88" customFormat="1">
      <c r="A21" s="69"/>
      <c r="B21" s="89" t="s">
        <v>409</v>
      </c>
      <c r="C21" s="94"/>
      <c r="D21" s="95"/>
      <c r="E21" s="560">
        <f>SUM($E$22:$E$104)</f>
        <v>0</v>
      </c>
      <c r="F21" s="90"/>
      <c r="G21" s="68"/>
      <c r="H21" s="68"/>
      <c r="I21" s="68"/>
      <c r="J21" s="68"/>
      <c r="K21" s="68"/>
      <c r="L21" s="68"/>
      <c r="M21" s="68"/>
      <c r="N21" s="68"/>
      <c r="O21" s="68"/>
      <c r="P21" s="68"/>
      <c r="R21" s="68"/>
      <c r="S21" s="68"/>
      <c r="T21" s="68"/>
      <c r="U21" s="68"/>
      <c r="W21" s="68"/>
      <c r="X21" s="68"/>
      <c r="Y21" s="68"/>
      <c r="Z21" s="68"/>
      <c r="AB21" s="68"/>
      <c r="AC21" s="68"/>
      <c r="AD21" s="68"/>
      <c r="AE21" s="68"/>
      <c r="AG21" s="68"/>
      <c r="AH21" s="68"/>
      <c r="AI21" s="68"/>
      <c r="AJ21" s="68"/>
      <c r="AL21" s="68"/>
      <c r="AM21" s="68"/>
      <c r="AN21" s="68"/>
      <c r="AO21" s="68"/>
      <c r="AQ21" s="68"/>
      <c r="AR21" s="68"/>
      <c r="AS21" s="68"/>
      <c r="AT21" s="68"/>
      <c r="AV21" s="68"/>
      <c r="AW21" s="68"/>
      <c r="AX21" s="68"/>
      <c r="AY21" s="68"/>
      <c r="BA21" s="68"/>
      <c r="BB21" s="68"/>
      <c r="BC21" s="68"/>
      <c r="BD21" s="68"/>
      <c r="BF21" s="68"/>
      <c r="BG21" s="68"/>
      <c r="BH21" s="68"/>
      <c r="BI21" s="68"/>
      <c r="BK21" s="68"/>
      <c r="BL21" s="68"/>
      <c r="BM21" s="68"/>
      <c r="BN21" s="68"/>
      <c r="BP21" s="68"/>
      <c r="BQ21" s="68"/>
      <c r="BR21" s="68"/>
      <c r="BS21" s="68"/>
      <c r="BU21" s="68"/>
      <c r="BV21" s="68"/>
      <c r="BW21" s="68"/>
      <c r="BX21" s="68"/>
      <c r="BZ21" s="68"/>
      <c r="CA21" s="68"/>
      <c r="CB21" s="68"/>
      <c r="CC21" s="68"/>
      <c r="CE21" s="68"/>
      <c r="CF21" s="68"/>
      <c r="CG21" s="68"/>
      <c r="CH21" s="68"/>
      <c r="CJ21" s="68"/>
      <c r="CK21" s="68"/>
      <c r="CL21" s="68"/>
      <c r="CM21" s="68"/>
      <c r="CO21" s="68"/>
      <c r="CP21" s="68"/>
      <c r="CQ21" s="68"/>
      <c r="CR21" s="68"/>
      <c r="CT21" s="68"/>
      <c r="CU21" s="68"/>
      <c r="CV21" s="68"/>
      <c r="CW21" s="68"/>
      <c r="CY21" s="68"/>
      <c r="CZ21" s="68"/>
      <c r="DA21" s="68"/>
      <c r="DB21" s="68"/>
      <c r="DD21" s="68"/>
      <c r="DE21" s="68"/>
      <c r="DF21" s="68"/>
      <c r="DG21" s="68"/>
      <c r="DI21" s="68"/>
      <c r="DJ21" s="68"/>
      <c r="DK21" s="68"/>
      <c r="DL21" s="68"/>
      <c r="DN21" s="68"/>
      <c r="DO21" s="68"/>
      <c r="DP21" s="68"/>
      <c r="DQ21" s="68"/>
      <c r="DS21" s="68"/>
      <c r="DT21" s="68"/>
      <c r="DU21" s="68"/>
      <c r="DV21" s="68"/>
      <c r="DX21" s="68"/>
      <c r="DY21" s="68"/>
      <c r="DZ21" s="68"/>
      <c r="EA21" s="68"/>
      <c r="EC21" s="68"/>
      <c r="ED21" s="68"/>
      <c r="EE21" s="68"/>
      <c r="EF21" s="68"/>
      <c r="EH21" s="68"/>
      <c r="EI21" s="68"/>
      <c r="EJ21" s="68"/>
      <c r="EK21" s="68"/>
      <c r="EM21" s="68"/>
      <c r="EN21" s="68"/>
      <c r="EO21" s="68"/>
      <c r="EP21" s="68"/>
      <c r="ER21" s="68"/>
      <c r="ES21" s="68"/>
      <c r="ET21" s="68"/>
      <c r="EU21" s="68"/>
      <c r="EW21" s="68"/>
      <c r="EX21" s="68"/>
      <c r="EY21" s="68"/>
      <c r="EZ21" s="68"/>
      <c r="FB21" s="68"/>
      <c r="FC21" s="68"/>
      <c r="FD21" s="68"/>
      <c r="FE21" s="68"/>
      <c r="FG21" s="68"/>
      <c r="FH21" s="68"/>
      <c r="FI21" s="68"/>
      <c r="FJ21" s="68"/>
      <c r="FL21" s="68"/>
      <c r="FM21" s="68"/>
      <c r="FN21" s="68"/>
      <c r="FO21" s="68"/>
      <c r="FQ21" s="68"/>
      <c r="FR21" s="68"/>
      <c r="FS21" s="68"/>
      <c r="FT21" s="68"/>
      <c r="FV21" s="68"/>
      <c r="FW21" s="68"/>
      <c r="FX21" s="68"/>
      <c r="FY21" s="68"/>
      <c r="GA21" s="68"/>
      <c r="GB21" s="68"/>
      <c r="GC21" s="68"/>
      <c r="GD21" s="68"/>
      <c r="GF21" s="68"/>
      <c r="GG21" s="68"/>
      <c r="GH21" s="68"/>
      <c r="GI21" s="68"/>
      <c r="GK21" s="68"/>
      <c r="GL21" s="68"/>
      <c r="GM21" s="68"/>
      <c r="GN21" s="68"/>
      <c r="GP21" s="68"/>
      <c r="GQ21" s="68"/>
      <c r="GR21" s="68"/>
      <c r="GS21" s="68"/>
      <c r="GU21" s="68"/>
      <c r="GV21" s="68"/>
      <c r="GW21" s="68"/>
      <c r="GX21" s="68"/>
      <c r="GZ21" s="68"/>
      <c r="HA21" s="68"/>
      <c r="HB21" s="68"/>
      <c r="HC21" s="68"/>
      <c r="HE21" s="68"/>
      <c r="HF21" s="68"/>
      <c r="HG21" s="68"/>
      <c r="HH21" s="68"/>
      <c r="HJ21" s="68"/>
      <c r="HK21" s="68"/>
      <c r="HL21" s="68"/>
      <c r="HM21" s="68"/>
      <c r="HO21" s="68"/>
      <c r="HP21" s="68"/>
      <c r="HQ21" s="68"/>
      <c r="HR21" s="68"/>
      <c r="HT21" s="68"/>
      <c r="HU21" s="68"/>
      <c r="HV21" s="68"/>
      <c r="HW21" s="68"/>
      <c r="HY21" s="68"/>
      <c r="HZ21" s="68"/>
      <c r="IA21" s="68"/>
      <c r="IB21" s="68"/>
      <c r="ID21" s="68"/>
      <c r="IE21" s="68"/>
      <c r="IF21" s="68"/>
      <c r="IG21" s="68"/>
      <c r="II21" s="68"/>
      <c r="IJ21" s="68"/>
      <c r="IK21" s="68"/>
      <c r="IL21" s="68"/>
      <c r="IN21" s="68"/>
      <c r="IO21" s="68"/>
      <c r="IP21" s="68"/>
      <c r="IQ21" s="68"/>
      <c r="IS21" s="68"/>
      <c r="IT21" s="68"/>
      <c r="IU21" s="68"/>
      <c r="IV21" s="68"/>
    </row>
    <row r="22" spans="1:256">
      <c r="A22" s="49">
        <v>1</v>
      </c>
      <c r="B22" s="686" t="s">
        <v>512</v>
      </c>
      <c r="C22" s="86">
        <v>0</v>
      </c>
      <c r="D22" s="87">
        <v>0</v>
      </c>
      <c r="E22" s="561">
        <f>IFERROR(C22*D22,)</f>
        <v>0</v>
      </c>
      <c r="F22" s="72" t="s">
        <v>483</v>
      </c>
    </row>
    <row r="23" spans="1:256">
      <c r="A23" s="49">
        <v>2</v>
      </c>
      <c r="B23" s="686" t="s">
        <v>513</v>
      </c>
      <c r="C23" s="86">
        <v>0</v>
      </c>
      <c r="D23" s="87">
        <v>0</v>
      </c>
      <c r="E23" s="561">
        <f t="shared" ref="E23:E37" si="0">IFERROR(C23*D23,)</f>
        <v>0</v>
      </c>
      <c r="F23" s="72" t="s">
        <v>483</v>
      </c>
    </row>
    <row r="24" spans="1:256">
      <c r="A24" s="49">
        <v>3</v>
      </c>
      <c r="B24" s="686" t="s">
        <v>514</v>
      </c>
      <c r="C24" s="86">
        <v>0</v>
      </c>
      <c r="D24" s="87">
        <v>0</v>
      </c>
      <c r="E24" s="561">
        <f t="shared" si="0"/>
        <v>0</v>
      </c>
      <c r="F24" s="72" t="s">
        <v>479</v>
      </c>
    </row>
    <row r="25" spans="1:256">
      <c r="A25" s="49">
        <v>4</v>
      </c>
      <c r="B25" s="686" t="s">
        <v>515</v>
      </c>
      <c r="C25" s="86">
        <v>0</v>
      </c>
      <c r="D25" s="87">
        <v>0</v>
      </c>
      <c r="E25" s="561">
        <f t="shared" si="0"/>
        <v>0</v>
      </c>
      <c r="F25" s="72"/>
    </row>
    <row r="26" spans="1:256">
      <c r="A26" s="49">
        <v>5</v>
      </c>
      <c r="B26" s="686" t="s">
        <v>516</v>
      </c>
      <c r="C26" s="86">
        <v>0</v>
      </c>
      <c r="D26" s="87">
        <v>0</v>
      </c>
      <c r="E26" s="561">
        <f t="shared" si="0"/>
        <v>0</v>
      </c>
      <c r="F26" s="72"/>
    </row>
    <row r="27" spans="1:256" ht="31.5">
      <c r="A27" s="49">
        <v>6</v>
      </c>
      <c r="B27" s="686" t="s">
        <v>517</v>
      </c>
      <c r="C27" s="86">
        <v>0</v>
      </c>
      <c r="D27" s="87">
        <v>0</v>
      </c>
      <c r="E27" s="561">
        <f t="shared" si="0"/>
        <v>0</v>
      </c>
      <c r="F27" s="72"/>
    </row>
    <row r="28" spans="1:256">
      <c r="A28" s="49">
        <v>7</v>
      </c>
      <c r="B28" s="686" t="s">
        <v>518</v>
      </c>
      <c r="C28" s="86">
        <v>0</v>
      </c>
      <c r="D28" s="87">
        <v>0</v>
      </c>
      <c r="E28" s="561">
        <f t="shared" si="0"/>
        <v>0</v>
      </c>
      <c r="F28" s="72"/>
    </row>
    <row r="29" spans="1:256">
      <c r="A29" s="49">
        <v>8</v>
      </c>
      <c r="B29" s="686" t="s">
        <v>519</v>
      </c>
      <c r="C29" s="86">
        <v>0</v>
      </c>
      <c r="D29" s="87">
        <v>0</v>
      </c>
      <c r="E29" s="561">
        <f t="shared" si="0"/>
        <v>0</v>
      </c>
      <c r="F29" s="72"/>
    </row>
    <row r="30" spans="1:256">
      <c r="A30" s="49">
        <v>9</v>
      </c>
      <c r="B30" s="686" t="s">
        <v>520</v>
      </c>
      <c r="C30" s="86">
        <v>0</v>
      </c>
      <c r="D30" s="87">
        <v>0</v>
      </c>
      <c r="E30" s="561">
        <f t="shared" si="0"/>
        <v>0</v>
      </c>
      <c r="F30" s="72"/>
    </row>
    <row r="31" spans="1:256">
      <c r="A31" s="49">
        <v>10</v>
      </c>
      <c r="B31" s="686" t="s">
        <v>521</v>
      </c>
      <c r="C31" s="86">
        <v>0</v>
      </c>
      <c r="D31" s="87">
        <v>0</v>
      </c>
      <c r="E31" s="561">
        <f t="shared" si="0"/>
        <v>0</v>
      </c>
      <c r="F31" s="72"/>
    </row>
    <row r="32" spans="1:256">
      <c r="A32" s="49">
        <v>11</v>
      </c>
      <c r="B32" s="686" t="s">
        <v>522</v>
      </c>
      <c r="C32" s="86">
        <v>0</v>
      </c>
      <c r="D32" s="87">
        <v>0</v>
      </c>
      <c r="E32" s="561">
        <f t="shared" si="0"/>
        <v>0</v>
      </c>
      <c r="F32" s="72"/>
    </row>
    <row r="33" spans="1:6">
      <c r="A33" s="49">
        <v>12</v>
      </c>
      <c r="B33" s="686" t="s">
        <v>523</v>
      </c>
      <c r="C33" s="86">
        <v>0</v>
      </c>
      <c r="D33" s="87">
        <v>0</v>
      </c>
      <c r="E33" s="561">
        <f t="shared" si="0"/>
        <v>0</v>
      </c>
      <c r="F33" s="72"/>
    </row>
    <row r="34" spans="1:6" ht="21" customHeight="1">
      <c r="A34" s="49">
        <v>13</v>
      </c>
      <c r="B34" s="686" t="s">
        <v>524</v>
      </c>
      <c r="C34" s="86">
        <v>0</v>
      </c>
      <c r="D34" s="87">
        <v>0</v>
      </c>
      <c r="E34" s="561">
        <f t="shared" si="0"/>
        <v>0</v>
      </c>
      <c r="F34" s="72"/>
    </row>
    <row r="35" spans="1:6">
      <c r="A35" s="49">
        <v>14</v>
      </c>
      <c r="B35" s="686" t="s">
        <v>525</v>
      </c>
      <c r="C35" s="86">
        <v>0</v>
      </c>
      <c r="D35" s="87">
        <v>0</v>
      </c>
      <c r="E35" s="561">
        <f t="shared" si="0"/>
        <v>0</v>
      </c>
      <c r="F35" s="72"/>
    </row>
    <row r="36" spans="1:6" ht="52.5" customHeight="1">
      <c r="A36" s="49">
        <v>15</v>
      </c>
      <c r="B36" s="686" t="s">
        <v>526</v>
      </c>
      <c r="C36" s="86">
        <v>0</v>
      </c>
      <c r="D36" s="87">
        <v>0</v>
      </c>
      <c r="E36" s="561">
        <f t="shared" si="0"/>
        <v>0</v>
      </c>
      <c r="F36" s="72"/>
    </row>
    <row r="37" spans="1:6" ht="33.75" customHeight="1">
      <c r="A37" s="49">
        <v>16</v>
      </c>
      <c r="B37" s="686" t="s">
        <v>527</v>
      </c>
      <c r="C37" s="86">
        <v>0</v>
      </c>
      <c r="D37" s="87">
        <v>0</v>
      </c>
      <c r="E37" s="561">
        <f t="shared" si="0"/>
        <v>0</v>
      </c>
      <c r="F37" s="72"/>
    </row>
    <row r="38" spans="1:6" ht="66" customHeight="1">
      <c r="A38" s="49"/>
      <c r="B38" s="686" t="s">
        <v>25</v>
      </c>
      <c r="C38" s="86">
        <v>0</v>
      </c>
      <c r="D38" s="87">
        <v>0</v>
      </c>
      <c r="E38" s="561">
        <f>IFERROR(C38*D38,)</f>
        <v>0</v>
      </c>
      <c r="F38" s="72"/>
    </row>
    <row r="39" spans="1:6" ht="96" customHeight="1">
      <c r="A39" s="49">
        <v>19</v>
      </c>
      <c r="B39" s="686" t="s">
        <v>26</v>
      </c>
      <c r="C39" s="646"/>
      <c r="D39" s="646"/>
      <c r="E39" s="562"/>
      <c r="F39" s="50"/>
    </row>
    <row r="40" spans="1:6">
      <c r="A40" s="49">
        <v>19.100000000000001</v>
      </c>
      <c r="B40" s="685" t="s">
        <v>528</v>
      </c>
      <c r="C40" s="86">
        <v>0</v>
      </c>
      <c r="D40" s="87">
        <v>0.5</v>
      </c>
      <c r="E40" s="561">
        <f t="shared" ref="E40:E49" si="1">IFERROR(C40*D40,)</f>
        <v>0</v>
      </c>
      <c r="F40" s="72"/>
    </row>
    <row r="41" spans="1:6">
      <c r="A41" s="49">
        <v>19.2</v>
      </c>
      <c r="B41" s="685" t="s">
        <v>529</v>
      </c>
      <c r="C41" s="86"/>
      <c r="D41" s="87"/>
      <c r="E41" s="561">
        <f t="shared" si="1"/>
        <v>0</v>
      </c>
      <c r="F41" s="72"/>
    </row>
    <row r="42" spans="1:6">
      <c r="A42" s="49">
        <v>19.3</v>
      </c>
      <c r="B42" s="685" t="s">
        <v>530</v>
      </c>
      <c r="C42" s="86"/>
      <c r="D42" s="87"/>
      <c r="E42" s="561">
        <f t="shared" si="1"/>
        <v>0</v>
      </c>
      <c r="F42" s="72"/>
    </row>
    <row r="43" spans="1:6">
      <c r="A43" s="49">
        <v>19.399999999999999</v>
      </c>
      <c r="B43" s="685" t="s">
        <v>531</v>
      </c>
      <c r="C43" s="86"/>
      <c r="D43" s="87"/>
      <c r="E43" s="561">
        <f t="shared" si="1"/>
        <v>0</v>
      </c>
      <c r="F43" s="72"/>
    </row>
    <row r="44" spans="1:6">
      <c r="A44" s="49">
        <v>19.5</v>
      </c>
      <c r="B44" s="685" t="s">
        <v>532</v>
      </c>
      <c r="C44" s="86"/>
      <c r="D44" s="87"/>
      <c r="E44" s="561">
        <f t="shared" si="1"/>
        <v>0</v>
      </c>
      <c r="F44" s="72"/>
    </row>
    <row r="45" spans="1:6">
      <c r="A45" s="49">
        <v>19.600000000000001</v>
      </c>
      <c r="B45" s="685" t="s">
        <v>533</v>
      </c>
      <c r="C45" s="86"/>
      <c r="D45" s="87"/>
      <c r="E45" s="561">
        <f t="shared" si="1"/>
        <v>0</v>
      </c>
      <c r="F45" s="72"/>
    </row>
    <row r="46" spans="1:6">
      <c r="A46" s="49"/>
      <c r="B46" s="685" t="s">
        <v>27</v>
      </c>
      <c r="C46" s="86"/>
      <c r="D46" s="87"/>
      <c r="E46" s="561">
        <f t="shared" si="1"/>
        <v>0</v>
      </c>
      <c r="F46" s="72"/>
    </row>
    <row r="47" spans="1:6">
      <c r="A47" s="49">
        <v>19.7</v>
      </c>
      <c r="B47" s="685" t="s">
        <v>534</v>
      </c>
      <c r="C47" s="86"/>
      <c r="D47" s="87"/>
      <c r="E47" s="561">
        <f t="shared" si="1"/>
        <v>0</v>
      </c>
      <c r="F47" s="72"/>
    </row>
    <row r="48" spans="1:6">
      <c r="A48" s="49">
        <v>19.8</v>
      </c>
      <c r="B48" s="685" t="s">
        <v>535</v>
      </c>
      <c r="C48" s="86"/>
      <c r="D48" s="87"/>
      <c r="E48" s="561">
        <f t="shared" si="1"/>
        <v>0</v>
      </c>
      <c r="F48" s="72"/>
    </row>
    <row r="49" spans="1:6">
      <c r="A49" s="49">
        <v>19.899999999999999</v>
      </c>
      <c r="B49" s="685" t="s">
        <v>536</v>
      </c>
      <c r="C49" s="86"/>
      <c r="D49" s="87"/>
      <c r="E49" s="561">
        <f t="shared" si="1"/>
        <v>0</v>
      </c>
      <c r="F49" s="72"/>
    </row>
    <row r="50" spans="1:6" ht="31.5">
      <c r="A50" s="49"/>
      <c r="B50" s="686" t="s">
        <v>28</v>
      </c>
      <c r="C50" s="681"/>
      <c r="D50" s="682"/>
      <c r="E50" s="683"/>
      <c r="F50" s="50"/>
    </row>
    <row r="51" spans="1:6">
      <c r="A51" s="49"/>
      <c r="B51" s="685" t="s">
        <v>31</v>
      </c>
      <c r="C51" s="86"/>
      <c r="D51" s="87"/>
      <c r="E51" s="561">
        <f t="shared" ref="E51:E81" si="2">IFERROR(C51*D51,)</f>
        <v>0</v>
      </c>
      <c r="F51" s="72"/>
    </row>
    <row r="52" spans="1:6">
      <c r="A52" s="49"/>
      <c r="B52" s="685" t="s">
        <v>32</v>
      </c>
      <c r="C52" s="86"/>
      <c r="D52" s="87"/>
      <c r="E52" s="561">
        <f t="shared" si="2"/>
        <v>0</v>
      </c>
      <c r="F52" s="72"/>
    </row>
    <row r="53" spans="1:6">
      <c r="A53" s="49"/>
      <c r="B53" s="685" t="s">
        <v>33</v>
      </c>
      <c r="C53" s="86"/>
      <c r="D53" s="87"/>
      <c r="E53" s="561">
        <f t="shared" si="2"/>
        <v>0</v>
      </c>
      <c r="F53" s="72"/>
    </row>
    <row r="54" spans="1:6">
      <c r="A54" s="49"/>
      <c r="B54" s="685" t="s">
        <v>34</v>
      </c>
      <c r="C54" s="86"/>
      <c r="D54" s="87"/>
      <c r="E54" s="561">
        <f t="shared" si="2"/>
        <v>0</v>
      </c>
      <c r="F54" s="72"/>
    </row>
    <row r="55" spans="1:6">
      <c r="A55" s="49"/>
      <c r="B55" s="685" t="s">
        <v>35</v>
      </c>
      <c r="C55" s="86"/>
      <c r="D55" s="87"/>
      <c r="E55" s="561">
        <f t="shared" si="2"/>
        <v>0</v>
      </c>
      <c r="F55" s="72"/>
    </row>
    <row r="56" spans="1:6">
      <c r="A56" s="49"/>
      <c r="B56" s="685" t="s">
        <v>36</v>
      </c>
      <c r="C56" s="86"/>
      <c r="D56" s="87"/>
      <c r="E56" s="561">
        <f t="shared" si="2"/>
        <v>0</v>
      </c>
      <c r="F56" s="72"/>
    </row>
    <row r="57" spans="1:6">
      <c r="A57" s="49"/>
      <c r="B57" s="685" t="s">
        <v>37</v>
      </c>
      <c r="C57" s="86"/>
      <c r="D57" s="87"/>
      <c r="E57" s="561">
        <f t="shared" si="2"/>
        <v>0</v>
      </c>
      <c r="F57" s="72"/>
    </row>
    <row r="58" spans="1:6">
      <c r="A58" s="49"/>
      <c r="B58" s="685" t="s">
        <v>38</v>
      </c>
      <c r="C58" s="86"/>
      <c r="D58" s="87"/>
      <c r="E58" s="561">
        <f t="shared" si="2"/>
        <v>0</v>
      </c>
      <c r="F58" s="72"/>
    </row>
    <row r="59" spans="1:6">
      <c r="A59" s="49"/>
      <c r="B59" s="685" t="s">
        <v>39</v>
      </c>
      <c r="C59" s="86"/>
      <c r="D59" s="87"/>
      <c r="E59" s="561">
        <f t="shared" si="2"/>
        <v>0</v>
      </c>
      <c r="F59" s="72"/>
    </row>
    <row r="60" spans="1:6">
      <c r="A60" s="49"/>
      <c r="B60" s="685" t="s">
        <v>49</v>
      </c>
      <c r="C60" s="86"/>
      <c r="D60" s="87"/>
      <c r="E60" s="561">
        <f t="shared" si="2"/>
        <v>0</v>
      </c>
      <c r="F60" s="72"/>
    </row>
    <row r="61" spans="1:6">
      <c r="A61" s="49"/>
      <c r="B61" s="685" t="s">
        <v>40</v>
      </c>
      <c r="C61" s="86"/>
      <c r="D61" s="87"/>
      <c r="E61" s="561">
        <f t="shared" si="2"/>
        <v>0</v>
      </c>
      <c r="F61" s="72"/>
    </row>
    <row r="62" spans="1:6">
      <c r="A62" s="49"/>
      <c r="B62" s="685" t="s">
        <v>41</v>
      </c>
      <c r="C62" s="86"/>
      <c r="D62" s="87"/>
      <c r="E62" s="561">
        <f t="shared" si="2"/>
        <v>0</v>
      </c>
      <c r="F62" s="72"/>
    </row>
    <row r="63" spans="1:6">
      <c r="A63" s="49"/>
      <c r="B63" s="685" t="s">
        <v>42</v>
      </c>
      <c r="C63" s="86"/>
      <c r="D63" s="87"/>
      <c r="E63" s="561">
        <f t="shared" si="2"/>
        <v>0</v>
      </c>
      <c r="F63" s="72"/>
    </row>
    <row r="64" spans="1:6">
      <c r="A64" s="49"/>
      <c r="B64" s="685" t="s">
        <v>43</v>
      </c>
      <c r="C64" s="86"/>
      <c r="D64" s="87"/>
      <c r="E64" s="561">
        <f>IFERROR(C64*D64,)</f>
        <v>0</v>
      </c>
      <c r="F64" s="72"/>
    </row>
    <row r="65" spans="1:6">
      <c r="A65" s="49"/>
      <c r="B65" s="685" t="s">
        <v>44</v>
      </c>
      <c r="C65" s="86"/>
      <c r="D65" s="87"/>
      <c r="E65" s="561">
        <f t="shared" si="2"/>
        <v>0</v>
      </c>
      <c r="F65" s="72"/>
    </row>
    <row r="66" spans="1:6">
      <c r="A66" s="49"/>
      <c r="B66" s="685" t="s">
        <v>45</v>
      </c>
      <c r="C66" s="86"/>
      <c r="D66" s="87"/>
      <c r="E66" s="561">
        <f t="shared" si="2"/>
        <v>0</v>
      </c>
      <c r="F66" s="72"/>
    </row>
    <row r="67" spans="1:6">
      <c r="A67" s="49"/>
      <c r="B67" s="685" t="s">
        <v>46</v>
      </c>
      <c r="C67" s="86"/>
      <c r="D67" s="87"/>
      <c r="E67" s="561">
        <f t="shared" si="2"/>
        <v>0</v>
      </c>
      <c r="F67" s="72"/>
    </row>
    <row r="68" spans="1:6">
      <c r="A68" s="49"/>
      <c r="B68" s="685" t="s">
        <v>47</v>
      </c>
      <c r="C68" s="86"/>
      <c r="D68" s="87"/>
      <c r="E68" s="561">
        <f t="shared" si="2"/>
        <v>0</v>
      </c>
      <c r="F68" s="72"/>
    </row>
    <row r="69" spans="1:6">
      <c r="A69" s="49"/>
      <c r="B69" s="685" t="s">
        <v>48</v>
      </c>
      <c r="C69" s="86"/>
      <c r="D69" s="87"/>
      <c r="E69" s="561">
        <f t="shared" si="2"/>
        <v>0</v>
      </c>
      <c r="F69" s="72"/>
    </row>
    <row r="70" spans="1:6" ht="31.15" customHeight="1">
      <c r="A70" s="49"/>
      <c r="B70" s="686" t="s">
        <v>30</v>
      </c>
      <c r="C70" s="681"/>
      <c r="D70" s="682"/>
      <c r="E70" s="683"/>
      <c r="F70" s="50"/>
    </row>
    <row r="71" spans="1:6">
      <c r="A71" s="49"/>
      <c r="B71" s="685" t="s">
        <v>50</v>
      </c>
      <c r="C71" s="86"/>
      <c r="D71" s="87"/>
      <c r="E71" s="561">
        <f t="shared" si="2"/>
        <v>0</v>
      </c>
      <c r="F71" s="72"/>
    </row>
    <row r="72" spans="1:6">
      <c r="A72" s="49"/>
      <c r="B72" s="685" t="s">
        <v>51</v>
      </c>
      <c r="C72" s="86"/>
      <c r="D72" s="87"/>
      <c r="E72" s="561">
        <f t="shared" si="2"/>
        <v>0</v>
      </c>
      <c r="F72" s="72"/>
    </row>
    <row r="73" spans="1:6">
      <c r="A73" s="49"/>
      <c r="B73" s="685" t="s">
        <v>52</v>
      </c>
      <c r="C73" s="86"/>
      <c r="D73" s="87"/>
      <c r="E73" s="561">
        <f t="shared" si="2"/>
        <v>0</v>
      </c>
      <c r="F73" s="72"/>
    </row>
    <row r="74" spans="1:6">
      <c r="A74" s="49"/>
      <c r="B74" s="685" t="s">
        <v>53</v>
      </c>
      <c r="C74" s="86"/>
      <c r="D74" s="87"/>
      <c r="E74" s="561">
        <f t="shared" si="2"/>
        <v>0</v>
      </c>
      <c r="F74" s="72"/>
    </row>
    <row r="75" spans="1:6">
      <c r="A75" s="49"/>
      <c r="B75" s="685" t="s">
        <v>54</v>
      </c>
      <c r="C75" s="86"/>
      <c r="D75" s="87"/>
      <c r="E75" s="561">
        <f t="shared" si="2"/>
        <v>0</v>
      </c>
      <c r="F75" s="72"/>
    </row>
    <row r="76" spans="1:6">
      <c r="A76" s="49"/>
      <c r="B76" s="685" t="s">
        <v>55</v>
      </c>
      <c r="C76" s="86"/>
      <c r="D76" s="87"/>
      <c r="E76" s="561">
        <f>IFERROR(C76*D76,)</f>
        <v>0</v>
      </c>
      <c r="F76" s="72"/>
    </row>
    <row r="77" spans="1:6">
      <c r="A77" s="49"/>
      <c r="B77" s="685" t="s">
        <v>56</v>
      </c>
      <c r="C77" s="86"/>
      <c r="D77" s="87"/>
      <c r="E77" s="561">
        <f t="shared" si="2"/>
        <v>0</v>
      </c>
      <c r="F77" s="72"/>
    </row>
    <row r="78" spans="1:6">
      <c r="A78" s="49"/>
      <c r="B78" s="685" t="s">
        <v>57</v>
      </c>
      <c r="C78" s="86"/>
      <c r="D78" s="87"/>
      <c r="E78" s="561">
        <f t="shared" si="2"/>
        <v>0</v>
      </c>
      <c r="F78" s="72"/>
    </row>
    <row r="79" spans="1:6">
      <c r="A79" s="49"/>
      <c r="B79" s="685" t="s">
        <v>58</v>
      </c>
      <c r="C79" s="86"/>
      <c r="D79" s="87"/>
      <c r="E79" s="561">
        <f t="shared" si="2"/>
        <v>0</v>
      </c>
      <c r="F79" s="72"/>
    </row>
    <row r="80" spans="1:6" ht="31.5">
      <c r="A80" s="49"/>
      <c r="B80" s="685" t="s">
        <v>59</v>
      </c>
      <c r="C80" s="86"/>
      <c r="D80" s="87"/>
      <c r="E80" s="561">
        <f t="shared" si="2"/>
        <v>0</v>
      </c>
      <c r="F80" s="72"/>
    </row>
    <row r="81" spans="1:6">
      <c r="A81" s="49"/>
      <c r="B81" s="685" t="s">
        <v>60</v>
      </c>
      <c r="C81" s="86"/>
      <c r="D81" s="87"/>
      <c r="E81" s="561">
        <f t="shared" si="2"/>
        <v>0</v>
      </c>
      <c r="F81" s="72"/>
    </row>
    <row r="82" spans="1:6" ht="22.15" customHeight="1">
      <c r="A82" s="49"/>
      <c r="B82" s="686" t="s">
        <v>29</v>
      </c>
      <c r="C82" s="86"/>
      <c r="D82" s="87"/>
      <c r="E82" s="561">
        <f t="shared" ref="E82:E90" si="3">IFERROR(C82*D82,)</f>
        <v>0</v>
      </c>
      <c r="F82" s="72"/>
    </row>
    <row r="83" spans="1:6" ht="22.15" customHeight="1">
      <c r="A83" s="49">
        <v>20</v>
      </c>
      <c r="B83" s="686" t="s">
        <v>739</v>
      </c>
      <c r="C83" s="86"/>
      <c r="D83" s="87"/>
      <c r="E83" s="561">
        <f t="shared" si="3"/>
        <v>0</v>
      </c>
      <c r="F83" s="72"/>
    </row>
    <row r="84" spans="1:6" ht="39.75" customHeight="1">
      <c r="A84" s="49">
        <v>21</v>
      </c>
      <c r="B84" s="686" t="s">
        <v>740</v>
      </c>
      <c r="C84" s="86"/>
      <c r="D84" s="87"/>
      <c r="E84" s="561">
        <f t="shared" si="3"/>
        <v>0</v>
      </c>
      <c r="F84" s="72"/>
    </row>
    <row r="85" spans="1:6">
      <c r="A85" s="49">
        <v>22</v>
      </c>
      <c r="B85" s="686" t="s">
        <v>537</v>
      </c>
      <c r="C85" s="86"/>
      <c r="D85" s="87"/>
      <c r="E85" s="561">
        <f t="shared" si="3"/>
        <v>0</v>
      </c>
      <c r="F85" s="72"/>
    </row>
    <row r="86" spans="1:6">
      <c r="A86" s="49">
        <v>23</v>
      </c>
      <c r="B86" s="686" t="s">
        <v>538</v>
      </c>
      <c r="C86" s="86"/>
      <c r="D86" s="87"/>
      <c r="E86" s="561">
        <f t="shared" si="3"/>
        <v>0</v>
      </c>
      <c r="F86" s="72"/>
    </row>
    <row r="87" spans="1:6">
      <c r="A87" s="49">
        <v>24</v>
      </c>
      <c r="B87" s="686" t="s">
        <v>539</v>
      </c>
      <c r="C87" s="86"/>
      <c r="D87" s="87"/>
      <c r="E87" s="561">
        <f t="shared" si="3"/>
        <v>0</v>
      </c>
      <c r="F87" s="72"/>
    </row>
    <row r="88" spans="1:6" ht="31.5">
      <c r="A88" s="49">
        <v>25</v>
      </c>
      <c r="B88" s="686" t="s">
        <v>540</v>
      </c>
      <c r="C88" s="86"/>
      <c r="D88" s="87"/>
      <c r="E88" s="561">
        <f t="shared" si="3"/>
        <v>0</v>
      </c>
      <c r="F88" s="72"/>
    </row>
    <row r="89" spans="1:6">
      <c r="A89" s="49">
        <v>26</v>
      </c>
      <c r="B89" s="686" t="s">
        <v>541</v>
      </c>
      <c r="C89" s="86"/>
      <c r="D89" s="87"/>
      <c r="E89" s="561">
        <f t="shared" si="3"/>
        <v>0</v>
      </c>
      <c r="F89" s="72"/>
    </row>
    <row r="90" spans="1:6">
      <c r="A90" s="49">
        <v>27</v>
      </c>
      <c r="B90" s="686" t="s">
        <v>542</v>
      </c>
      <c r="C90" s="86"/>
      <c r="D90" s="87"/>
      <c r="E90" s="561">
        <f t="shared" si="3"/>
        <v>0</v>
      </c>
      <c r="F90" s="72"/>
    </row>
    <row r="91" spans="1:6" ht="47.25">
      <c r="A91" s="49">
        <v>28</v>
      </c>
      <c r="B91" s="686" t="s">
        <v>741</v>
      </c>
      <c r="C91" s="646"/>
      <c r="D91" s="646">
        <v>0</v>
      </c>
      <c r="E91" s="562"/>
      <c r="F91" s="50"/>
    </row>
    <row r="92" spans="1:6">
      <c r="A92" s="49">
        <v>28.1</v>
      </c>
      <c r="B92" s="685" t="s">
        <v>543</v>
      </c>
      <c r="C92" s="86">
        <v>0</v>
      </c>
      <c r="D92" s="87">
        <v>0</v>
      </c>
      <c r="E92" s="561">
        <f t="shared" ref="E92:E97" si="4">IFERROR(C92*D92,)</f>
        <v>0</v>
      </c>
      <c r="F92" s="72" t="s">
        <v>479</v>
      </c>
    </row>
    <row r="93" spans="1:6">
      <c r="A93" s="49">
        <v>28.2</v>
      </c>
      <c r="B93" s="685" t="s">
        <v>544</v>
      </c>
      <c r="C93" s="86">
        <v>0</v>
      </c>
      <c r="D93" s="87">
        <v>0</v>
      </c>
      <c r="E93" s="561">
        <f t="shared" si="4"/>
        <v>0</v>
      </c>
      <c r="F93" s="72" t="s">
        <v>479</v>
      </c>
    </row>
    <row r="94" spans="1:6">
      <c r="A94" s="49">
        <v>28.3</v>
      </c>
      <c r="B94" s="685" t="s">
        <v>545</v>
      </c>
      <c r="C94" s="86">
        <v>0</v>
      </c>
      <c r="D94" s="87">
        <v>0</v>
      </c>
      <c r="E94" s="561">
        <f t="shared" si="4"/>
        <v>0</v>
      </c>
      <c r="F94" s="72" t="s">
        <v>479</v>
      </c>
    </row>
    <row r="95" spans="1:6">
      <c r="A95" s="49">
        <v>28.4</v>
      </c>
      <c r="B95" s="685" t="s">
        <v>546</v>
      </c>
      <c r="C95" s="86">
        <v>0</v>
      </c>
      <c r="D95" s="87">
        <v>0</v>
      </c>
      <c r="E95" s="561">
        <f t="shared" si="4"/>
        <v>0</v>
      </c>
      <c r="F95" s="72" t="s">
        <v>479</v>
      </c>
    </row>
    <row r="96" spans="1:6">
      <c r="A96" s="49">
        <v>28.5</v>
      </c>
      <c r="B96" s="685" t="s">
        <v>547</v>
      </c>
      <c r="C96" s="86"/>
      <c r="D96" s="87"/>
      <c r="E96" s="561">
        <f t="shared" si="4"/>
        <v>0</v>
      </c>
      <c r="F96" s="72"/>
    </row>
    <row r="97" spans="1:6">
      <c r="A97" s="49">
        <v>28.6</v>
      </c>
      <c r="B97" s="685" t="s">
        <v>548</v>
      </c>
      <c r="C97" s="86"/>
      <c r="D97" s="87"/>
      <c r="E97" s="561">
        <f t="shared" si="4"/>
        <v>0</v>
      </c>
      <c r="F97" s="72"/>
    </row>
    <row r="98" spans="1:6" ht="47.25">
      <c r="A98" s="49">
        <v>29</v>
      </c>
      <c r="B98" s="686" t="s">
        <v>742</v>
      </c>
      <c r="C98" s="646"/>
      <c r="D98" s="646"/>
      <c r="E98" s="562"/>
      <c r="F98" s="50"/>
    </row>
    <row r="99" spans="1:6">
      <c r="A99" s="49">
        <v>29.1</v>
      </c>
      <c r="B99" s="685" t="s">
        <v>743</v>
      </c>
      <c r="C99" s="86">
        <v>0</v>
      </c>
      <c r="D99" s="87">
        <v>0</v>
      </c>
      <c r="E99" s="561">
        <f t="shared" ref="E99:E104" si="5">IFERROR(C99*D99,)</f>
        <v>0</v>
      </c>
      <c r="F99" s="72" t="s">
        <v>483</v>
      </c>
    </row>
    <row r="100" spans="1:6">
      <c r="A100" s="49">
        <v>29.2</v>
      </c>
      <c r="B100" s="685" t="s">
        <v>549</v>
      </c>
      <c r="C100" s="86">
        <v>0</v>
      </c>
      <c r="D100" s="87">
        <v>0</v>
      </c>
      <c r="E100" s="561">
        <f t="shared" si="5"/>
        <v>0</v>
      </c>
      <c r="F100" s="72" t="s">
        <v>483</v>
      </c>
    </row>
    <row r="101" spans="1:6">
      <c r="A101" s="49">
        <v>30</v>
      </c>
      <c r="B101" s="686" t="s">
        <v>550</v>
      </c>
      <c r="C101" s="86"/>
      <c r="D101" s="87"/>
      <c r="E101" s="561">
        <f t="shared" si="5"/>
        <v>0</v>
      </c>
      <c r="F101" s="72"/>
    </row>
    <row r="102" spans="1:6" ht="31.5">
      <c r="A102" s="49">
        <v>31</v>
      </c>
      <c r="B102" s="686" t="s">
        <v>551</v>
      </c>
      <c r="C102" s="86">
        <v>0</v>
      </c>
      <c r="D102" s="87">
        <v>0</v>
      </c>
      <c r="E102" s="561">
        <f t="shared" si="5"/>
        <v>0</v>
      </c>
      <c r="F102" s="72" t="s">
        <v>479</v>
      </c>
    </row>
    <row r="103" spans="1:6" ht="31.5">
      <c r="A103" s="49">
        <v>32</v>
      </c>
      <c r="B103" s="686" t="s">
        <v>552</v>
      </c>
      <c r="C103" s="86"/>
      <c r="D103" s="87"/>
      <c r="E103" s="561">
        <f t="shared" si="5"/>
        <v>0</v>
      </c>
      <c r="F103" s="72"/>
    </row>
    <row r="104" spans="1:6" ht="31.5">
      <c r="A104" s="49">
        <v>33</v>
      </c>
      <c r="B104" s="686" t="s">
        <v>553</v>
      </c>
      <c r="C104" s="86"/>
      <c r="D104" s="87"/>
      <c r="E104" s="561">
        <f t="shared" si="5"/>
        <v>0</v>
      </c>
      <c r="F104" s="72"/>
    </row>
    <row r="105" spans="1:6" s="88" customFormat="1" ht="47.25">
      <c r="A105" s="49">
        <v>0</v>
      </c>
      <c r="B105" s="687" t="s">
        <v>570</v>
      </c>
      <c r="C105" s="96"/>
      <c r="D105" s="97"/>
      <c r="E105" s="560">
        <f>SUM($E$106:$E$118)</f>
        <v>0</v>
      </c>
      <c r="F105" s="90"/>
    </row>
    <row r="106" spans="1:6">
      <c r="A106" s="49">
        <v>34</v>
      </c>
      <c r="B106" s="686" t="s">
        <v>567</v>
      </c>
      <c r="C106" s="86"/>
      <c r="D106" s="87"/>
      <c r="E106" s="561">
        <f t="shared" ref="E106:E118" si="6">IFERROR(C106*D106,)</f>
        <v>0</v>
      </c>
      <c r="F106" s="72"/>
    </row>
    <row r="107" spans="1:6">
      <c r="A107" s="49">
        <v>35</v>
      </c>
      <c r="B107" s="686" t="s">
        <v>554</v>
      </c>
      <c r="C107" s="86"/>
      <c r="D107" s="87"/>
      <c r="E107" s="561">
        <f t="shared" si="6"/>
        <v>0</v>
      </c>
      <c r="F107" s="72"/>
    </row>
    <row r="108" spans="1:6">
      <c r="A108" s="49">
        <v>36</v>
      </c>
      <c r="B108" s="686" t="s">
        <v>555</v>
      </c>
      <c r="C108" s="86"/>
      <c r="D108" s="87"/>
      <c r="E108" s="561">
        <f t="shared" si="6"/>
        <v>0</v>
      </c>
      <c r="F108" s="72"/>
    </row>
    <row r="109" spans="1:6">
      <c r="A109" s="49">
        <v>37</v>
      </c>
      <c r="B109" s="686" t="s">
        <v>556</v>
      </c>
      <c r="C109" s="86"/>
      <c r="D109" s="87"/>
      <c r="E109" s="561">
        <f t="shared" si="6"/>
        <v>0</v>
      </c>
      <c r="F109" s="72"/>
    </row>
    <row r="110" spans="1:6">
      <c r="A110" s="49">
        <v>38</v>
      </c>
      <c r="B110" s="686" t="s">
        <v>557</v>
      </c>
      <c r="C110" s="86"/>
      <c r="D110" s="87"/>
      <c r="E110" s="561">
        <f t="shared" si="6"/>
        <v>0</v>
      </c>
      <c r="F110" s="72"/>
    </row>
    <row r="111" spans="1:6">
      <c r="A111" s="49">
        <v>39</v>
      </c>
      <c r="B111" s="686" t="s">
        <v>558</v>
      </c>
      <c r="C111" s="86"/>
      <c r="D111" s="87"/>
      <c r="E111" s="561">
        <f t="shared" si="6"/>
        <v>0</v>
      </c>
      <c r="F111" s="72"/>
    </row>
    <row r="112" spans="1:6">
      <c r="A112" s="49">
        <v>40</v>
      </c>
      <c r="B112" s="686" t="s">
        <v>559</v>
      </c>
      <c r="C112" s="86"/>
      <c r="D112" s="87"/>
      <c r="E112" s="561">
        <f t="shared" si="6"/>
        <v>0</v>
      </c>
      <c r="F112" s="72"/>
    </row>
    <row r="113" spans="1:6">
      <c r="A113" s="49">
        <v>41</v>
      </c>
      <c r="B113" s="686" t="s">
        <v>560</v>
      </c>
      <c r="C113" s="86"/>
      <c r="D113" s="87"/>
      <c r="E113" s="561">
        <f t="shared" si="6"/>
        <v>0</v>
      </c>
      <c r="F113" s="72"/>
    </row>
    <row r="114" spans="1:6">
      <c r="A114" s="49">
        <v>42</v>
      </c>
      <c r="B114" s="686" t="s">
        <v>561</v>
      </c>
      <c r="C114" s="86"/>
      <c r="D114" s="87"/>
      <c r="E114" s="561">
        <f t="shared" si="6"/>
        <v>0</v>
      </c>
      <c r="F114" s="72"/>
    </row>
    <row r="115" spans="1:6">
      <c r="A115" s="49">
        <v>43</v>
      </c>
      <c r="B115" s="686" t="s">
        <v>562</v>
      </c>
      <c r="C115" s="86"/>
      <c r="D115" s="87"/>
      <c r="E115" s="561">
        <f t="shared" si="6"/>
        <v>0</v>
      </c>
      <c r="F115" s="72"/>
    </row>
    <row r="116" spans="1:6">
      <c r="A116" s="49">
        <v>44</v>
      </c>
      <c r="B116" s="686" t="s">
        <v>563</v>
      </c>
      <c r="C116" s="86"/>
      <c r="D116" s="87"/>
      <c r="E116" s="561">
        <f t="shared" si="6"/>
        <v>0</v>
      </c>
      <c r="F116" s="72"/>
    </row>
    <row r="117" spans="1:6">
      <c r="A117" s="49">
        <v>45</v>
      </c>
      <c r="B117" s="686" t="s">
        <v>564</v>
      </c>
      <c r="C117" s="86"/>
      <c r="D117" s="87"/>
      <c r="E117" s="561">
        <f t="shared" si="6"/>
        <v>0</v>
      </c>
      <c r="F117" s="72"/>
    </row>
    <row r="118" spans="1:6">
      <c r="A118" s="49">
        <v>46</v>
      </c>
      <c r="B118" s="686" t="s">
        <v>565</v>
      </c>
      <c r="C118" s="86"/>
      <c r="D118" s="87"/>
      <c r="E118" s="561">
        <f t="shared" si="6"/>
        <v>0</v>
      </c>
      <c r="F118" s="72"/>
    </row>
    <row r="119" spans="1:6" ht="39.6" customHeight="1">
      <c r="A119" s="49">
        <v>0</v>
      </c>
      <c r="B119" s="687" t="s">
        <v>571</v>
      </c>
      <c r="C119" s="84"/>
      <c r="D119" s="85"/>
      <c r="E119" s="560">
        <f>SUM($E$120:$E$124)</f>
        <v>0</v>
      </c>
      <c r="F119" s="50"/>
    </row>
    <row r="120" spans="1:6" ht="31.5">
      <c r="A120" s="49">
        <v>47</v>
      </c>
      <c r="B120" s="686" t="s">
        <v>566</v>
      </c>
      <c r="C120" s="86"/>
      <c r="D120" s="87"/>
      <c r="E120" s="561">
        <f>IFERROR(C120*D120,)</f>
        <v>0</v>
      </c>
      <c r="F120" s="72"/>
    </row>
    <row r="121" spans="1:6" ht="47.25">
      <c r="A121" s="49">
        <v>48</v>
      </c>
      <c r="B121" s="686" t="s">
        <v>744</v>
      </c>
      <c r="C121" s="86"/>
      <c r="D121" s="87"/>
      <c r="E121" s="561">
        <f>IFERROR(C121*D121,)</f>
        <v>0</v>
      </c>
      <c r="F121" s="72"/>
    </row>
    <row r="122" spans="1:6">
      <c r="A122" s="49">
        <v>49</v>
      </c>
      <c r="B122" s="686" t="s">
        <v>745</v>
      </c>
      <c r="C122" s="86"/>
      <c r="D122" s="87"/>
      <c r="E122" s="561">
        <f>IFERROR(C122*D122,)</f>
        <v>0</v>
      </c>
      <c r="F122" s="72"/>
    </row>
    <row r="123" spans="1:6" ht="31.5">
      <c r="A123" s="49">
        <v>50</v>
      </c>
      <c r="B123" s="680" t="s">
        <v>568</v>
      </c>
      <c r="C123" s="86"/>
      <c r="D123" s="87"/>
      <c r="E123" s="561">
        <f>IFERROR(C123*D123,)</f>
        <v>0</v>
      </c>
      <c r="F123" s="72"/>
    </row>
    <row r="124" spans="1:6">
      <c r="A124" s="49">
        <v>51</v>
      </c>
      <c r="B124" s="680" t="s">
        <v>569</v>
      </c>
      <c r="C124" s="86"/>
      <c r="D124" s="87"/>
      <c r="E124" s="561">
        <f>IFERROR(C124*D124,)</f>
        <v>0</v>
      </c>
      <c r="F124" s="72"/>
    </row>
    <row r="125" spans="1:6">
      <c r="A125" s="49"/>
      <c r="B125" s="89" t="s">
        <v>410</v>
      </c>
      <c r="C125" s="84"/>
      <c r="D125" s="85"/>
      <c r="E125" s="560">
        <f>SUM($E$126:$E$136)</f>
        <v>0</v>
      </c>
      <c r="F125" s="50"/>
    </row>
    <row r="126" spans="1:6">
      <c r="A126" s="49"/>
      <c r="B126" s="73"/>
      <c r="C126" s="86"/>
      <c r="D126" s="87"/>
      <c r="E126" s="561">
        <f t="shared" ref="E126:E136" si="7">IFERROR(C126*D126,)</f>
        <v>0</v>
      </c>
      <c r="F126" s="72"/>
    </row>
    <row r="127" spans="1:6">
      <c r="A127" s="49"/>
      <c r="B127" s="73"/>
      <c r="C127" s="86"/>
      <c r="D127" s="87"/>
      <c r="E127" s="561">
        <f t="shared" si="7"/>
        <v>0</v>
      </c>
      <c r="F127" s="72"/>
    </row>
    <row r="128" spans="1:6">
      <c r="A128" s="49"/>
      <c r="B128" s="73"/>
      <c r="C128" s="86"/>
      <c r="D128" s="87"/>
      <c r="E128" s="561">
        <f t="shared" si="7"/>
        <v>0</v>
      </c>
      <c r="F128" s="72"/>
    </row>
    <row r="129" spans="1:256">
      <c r="A129" s="49"/>
      <c r="B129" s="73"/>
      <c r="C129" s="86"/>
      <c r="D129" s="87"/>
      <c r="E129" s="561">
        <f t="shared" si="7"/>
        <v>0</v>
      </c>
      <c r="F129" s="72"/>
    </row>
    <row r="130" spans="1:256">
      <c r="A130" s="49"/>
      <c r="B130" s="73"/>
      <c r="C130" s="86"/>
      <c r="D130" s="87"/>
      <c r="E130" s="561">
        <f t="shared" si="7"/>
        <v>0</v>
      </c>
      <c r="F130" s="72"/>
    </row>
    <row r="131" spans="1:256">
      <c r="A131" s="49"/>
      <c r="B131" s="73"/>
      <c r="C131" s="86"/>
      <c r="D131" s="87"/>
      <c r="E131" s="561">
        <f t="shared" si="7"/>
        <v>0</v>
      </c>
      <c r="F131" s="72"/>
    </row>
    <row r="132" spans="1:256">
      <c r="A132" s="49"/>
      <c r="B132" s="73"/>
      <c r="C132" s="86"/>
      <c r="D132" s="87"/>
      <c r="E132" s="561">
        <f t="shared" si="7"/>
        <v>0</v>
      </c>
      <c r="F132" s="72"/>
    </row>
    <row r="133" spans="1:256">
      <c r="A133" s="49"/>
      <c r="B133" s="73"/>
      <c r="C133" s="86"/>
      <c r="D133" s="87"/>
      <c r="E133" s="561">
        <f t="shared" si="7"/>
        <v>0</v>
      </c>
      <c r="F133" s="72"/>
    </row>
    <row r="134" spans="1:256">
      <c r="A134" s="49"/>
      <c r="B134" s="73"/>
      <c r="C134" s="86"/>
      <c r="D134" s="87"/>
      <c r="E134" s="561">
        <f t="shared" si="7"/>
        <v>0</v>
      </c>
      <c r="F134" s="72"/>
    </row>
    <row r="135" spans="1:256">
      <c r="A135" s="49"/>
      <c r="B135" s="73"/>
      <c r="C135" s="86"/>
      <c r="D135" s="87"/>
      <c r="E135" s="561">
        <f t="shared" si="7"/>
        <v>0</v>
      </c>
      <c r="F135" s="72"/>
    </row>
    <row r="136" spans="1:256">
      <c r="A136" s="49"/>
      <c r="B136" s="73"/>
      <c r="C136" s="86"/>
      <c r="D136" s="87"/>
      <c r="E136" s="561">
        <f t="shared" si="7"/>
        <v>0</v>
      </c>
      <c r="F136" s="72"/>
    </row>
    <row r="137" spans="1:256">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s="49"/>
      <c r="FY137" s="49"/>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c r="IU137" s="49"/>
      <c r="IV137" s="49"/>
    </row>
    <row r="138" spans="1:256" ht="165.6" customHeight="1">
      <c r="A138" s="49"/>
      <c r="B138" s="55" t="s">
        <v>732</v>
      </c>
      <c r="C138" s="54">
        <v>20000</v>
      </c>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c r="IU138" s="49"/>
      <c r="IV138" s="49"/>
    </row>
    <row r="139" spans="1:256" s="50" customFormat="1" ht="34.9" customHeight="1">
      <c r="A139" s="48"/>
      <c r="B139" s="74"/>
      <c r="C139" s="75"/>
      <c r="D139" s="49"/>
      <c r="E139" s="49"/>
      <c r="F139" s="49"/>
      <c r="G139" s="49"/>
      <c r="H139" s="49"/>
      <c r="I139" s="49"/>
      <c r="J139" s="49"/>
      <c r="K139" s="49"/>
      <c r="L139" s="49"/>
      <c r="M139" s="49"/>
      <c r="N139" s="49"/>
      <c r="O139" s="49"/>
      <c r="P139" s="49"/>
      <c r="Q139" s="49"/>
      <c r="R139" s="49"/>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row>
    <row r="140" spans="1:256" s="50" customFormat="1" ht="63.6" customHeight="1">
      <c r="A140" s="48"/>
      <c r="B140" s="1173" t="s">
        <v>726</v>
      </c>
      <c r="C140" s="1173"/>
      <c r="D140" s="49"/>
      <c r="E140" s="49"/>
      <c r="F140" s="49"/>
      <c r="G140" s="49"/>
      <c r="H140" s="49"/>
      <c r="I140" s="49"/>
      <c r="J140" s="49"/>
      <c r="K140" s="49"/>
      <c r="L140" s="49"/>
      <c r="M140" s="49"/>
      <c r="N140" s="49"/>
      <c r="O140" s="49"/>
      <c r="P140" s="49"/>
      <c r="Q140" s="49"/>
      <c r="R140" s="49"/>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row>
    <row r="141" spans="1:256" ht="33" customHeight="1">
      <c r="B141" s="684" t="s">
        <v>482</v>
      </c>
      <c r="C141" s="585">
        <f>SUMIF(F92:F97,"до 1 року",E92:E97)+SUMIF(F99:F100,"до 1 року",E99:E100)+SUMIF(F102,"до 1 року",E102)</f>
        <v>0</v>
      </c>
      <c r="D141" s="1178"/>
      <c r="E141" s="1178"/>
      <c r="F141" s="1178"/>
      <c r="H141" s="49"/>
      <c r="I141" s="49"/>
      <c r="J141" s="49"/>
      <c r="K141" s="49"/>
      <c r="L141" s="49"/>
      <c r="M141" s="49"/>
      <c r="N141" s="49"/>
      <c r="O141" s="49"/>
      <c r="P141" s="49"/>
      <c r="Q141" s="49"/>
      <c r="R141" s="49"/>
    </row>
    <row r="142" spans="1:256" ht="33" customHeight="1">
      <c r="B142" s="684" t="s">
        <v>480</v>
      </c>
      <c r="C142" s="585">
        <f>SUMIFS(E92:E97,F92:F97,"більше 1 року",D92:D97,"&gt;=6000")+SUMIFS(E99:E100,F99:F100,"більше 1 року",D99:D100,"&gt;=6000")+SUMIFS(E102,F102,"більше 1 року",D102,"&gt;=6000")</f>
        <v>0</v>
      </c>
      <c r="D142" s="1178"/>
      <c r="E142" s="1178"/>
      <c r="F142" s="1178"/>
    </row>
    <row r="143" spans="1:256" ht="33" customHeight="1">
      <c r="B143" s="684" t="s">
        <v>481</v>
      </c>
      <c r="C143" s="585">
        <f>SUMIFS(E92:E97,F92:F97,"більше 1 року",D92:D97,"&lt;6000")+SUMIFS(E99:E100,F99:F100,"більше 1 року",D99:D100,"&lt;6000")+SUMIFS(E102,F102,"більше 1 року",D102,"&lt;6000")</f>
        <v>0</v>
      </c>
      <c r="D143" s="1178"/>
      <c r="E143" s="1178"/>
      <c r="F143" s="1178"/>
    </row>
    <row r="145" spans="1:6" ht="25.9" customHeight="1"/>
    <row r="146" spans="1:6" ht="60" customHeight="1">
      <c r="B146" s="1173" t="s">
        <v>727</v>
      </c>
      <c r="C146" s="1173"/>
    </row>
    <row r="147" spans="1:6" ht="25.9" customHeight="1">
      <c r="B147" s="684" t="s">
        <v>482</v>
      </c>
      <c r="C147" s="585">
        <f>SUMIF(F22:F38,"до 1 року",E22:E38)+SUMIF(F40:F49,"до 1 року",E40:E49)+SUMIF(F51:F69,"до 1 року",E51:E69)+SUMIF(F71:F90,"до 1 року",E71:E90)+SUMIF(F101,"до 1 року",E101)+SUMIF(F103:F104,"до 1 року",E103:E104)+SUMIF(F106:F118,"до 1 року",E106:E118)+SUMIF(F120:F124,"до 1 року",E120:E124)+SUMIF(F126:F136,"до 1 року",E126:E136)</f>
        <v>0</v>
      </c>
    </row>
    <row r="148" spans="1:6" ht="25.9" customHeight="1">
      <c r="B148" s="684" t="s">
        <v>480</v>
      </c>
      <c r="C148" s="590">
        <f>SUMIFS(E22:E38,F22:F38,"більше 1 року",D22:D38,"&gt;=6000")+SUMIFS(E40:E49,F40:F49,"більше 1 року",D40:D49,"&gt;=6000")+SUMIFS(E51:E69,F51:F69,"більше 1 року",D51:D69,"&gt;=6000")+SUMIFS(E71:E90,F71:F90,"більше 1 року",D71:D90,"&gt;=6000")+SUMIFS(E101,F101,"більше 1 року",D101,"&gt;=6000")+SUMIFS(E103:E104,F103:F104,"більше 1 року",D103:D104,"&gt;=6000")+SUMIFS(E106:E118,F106:F118,"більше 1 року",D106:D118,"&gt;=6000")+SUMIFS(E120:E124,F120:F124,"більше 1 року",D120:D124,"&gt;=6000")+SUMIFS(E126:E136,F126:F136,"більше 1 року",D126:D136,"&gt;=6000")</f>
        <v>0</v>
      </c>
    </row>
    <row r="149" spans="1:6" ht="25.9" customHeight="1">
      <c r="B149" s="684" t="s">
        <v>481</v>
      </c>
      <c r="C149" s="585">
        <f>SUMIFS(E22:E38,F22:F38,"більше 1 року",D22:D38,"&lt;6000")+SUMIFS(E40:E49,F40:F49,"більше 1 року",D40:D49,"&lt;6000")+SUMIFS(E51:E69,F51:F69,"більше 1 року",D51:D69,"&lt;6000")+SUMIFS(E71:E90,F71:F90,"більше 1 року",D71:D90,"&lt;6000")+SUMIFS(E101,F101,"більше 1 року",D101,"&lt;6000")+SUMIFS(E103:E104,F103:F104,"більше 1 року",D103:D104,"&lt;6000")+SUMIFS(E106:E118,F106:F118,"більше 1 року",D106:D118,"&lt;6000")+SUMIFS(E120:E124,F120:F124,"більше 1 року",D120:D124,"&lt;6000")+SUMIFS(E126:E136,F126:F136,"більше 1 року",D126:D136,"&lt;6000")</f>
        <v>0</v>
      </c>
    </row>
    <row r="150" spans="1:6" ht="25.9" customHeight="1"/>
    <row r="151" spans="1:6" ht="46.5">
      <c r="B151" s="76" t="s">
        <v>700</v>
      </c>
      <c r="C151" s="77">
        <v>0.25</v>
      </c>
      <c r="D151" s="77">
        <v>0.25</v>
      </c>
      <c r="E151" s="77">
        <v>0.25</v>
      </c>
      <c r="F151" s="77">
        <v>0.25</v>
      </c>
    </row>
    <row r="152" spans="1:6" ht="25.9" customHeight="1">
      <c r="B152" s="78"/>
      <c r="C152" s="79"/>
      <c r="D152" s="79"/>
      <c r="E152" s="79"/>
      <c r="F152" s="79"/>
    </row>
    <row r="153" spans="1:6" ht="81">
      <c r="B153" s="51" t="s">
        <v>698</v>
      </c>
      <c r="C153" s="80" t="s">
        <v>369</v>
      </c>
      <c r="D153" s="80" t="s">
        <v>333</v>
      </c>
      <c r="E153" s="80" t="s">
        <v>334</v>
      </c>
      <c r="F153" s="80" t="s">
        <v>484</v>
      </c>
    </row>
    <row r="154" spans="1:6" ht="38.450000000000003" customHeight="1">
      <c r="B154" s="43" t="s">
        <v>482</v>
      </c>
      <c r="C154" s="586">
        <f>C141*C151</f>
        <v>0</v>
      </c>
      <c r="D154" s="586">
        <f>C141*D151</f>
        <v>0</v>
      </c>
      <c r="E154" s="586">
        <f>C141*E151</f>
        <v>0</v>
      </c>
      <c r="F154" s="586">
        <f>C141*F151</f>
        <v>0</v>
      </c>
    </row>
    <row r="155" spans="1:6" ht="38.450000000000003" customHeight="1">
      <c r="B155" s="43" t="s">
        <v>480</v>
      </c>
      <c r="C155" s="586">
        <f>C142*C151</f>
        <v>0</v>
      </c>
      <c r="D155" s="586">
        <f>C142*D151</f>
        <v>0</v>
      </c>
      <c r="E155" s="586">
        <f>C142*E151</f>
        <v>0</v>
      </c>
      <c r="F155" s="586">
        <f>C142*F151</f>
        <v>0</v>
      </c>
    </row>
    <row r="156" spans="1:6" ht="38.450000000000003" customHeight="1">
      <c r="B156" s="43" t="s">
        <v>481</v>
      </c>
      <c r="C156" s="586">
        <f>C143*C151</f>
        <v>0</v>
      </c>
      <c r="D156" s="586">
        <f>C143*D151</f>
        <v>0</v>
      </c>
      <c r="E156" s="586">
        <f>C143*E151</f>
        <v>0</v>
      </c>
      <c r="F156" s="586">
        <f>C143*F151</f>
        <v>0</v>
      </c>
    </row>
    <row r="157" spans="1:6" s="589" customFormat="1" ht="38.450000000000003" customHeight="1">
      <c r="A157" s="587"/>
      <c r="B157" s="546" t="s">
        <v>613</v>
      </c>
      <c r="C157" s="588">
        <f>C154+C155+C156</f>
        <v>0</v>
      </c>
      <c r="D157" s="588">
        <f>D154+D155+D156</f>
        <v>0</v>
      </c>
      <c r="E157" s="588">
        <f>E154+E155+E156</f>
        <v>0</v>
      </c>
      <c r="F157" s="588">
        <f>F154+F155+F156</f>
        <v>0</v>
      </c>
    </row>
    <row r="158" spans="1:6" ht="48.6" customHeight="1">
      <c r="B158" s="52"/>
      <c r="C158" s="81"/>
      <c r="D158" s="81"/>
      <c r="E158" s="81"/>
      <c r="F158" s="81"/>
    </row>
    <row r="159" spans="1:6" ht="77.45" customHeight="1">
      <c r="B159" s="76" t="s">
        <v>699</v>
      </c>
      <c r="C159" s="77">
        <v>0.25</v>
      </c>
      <c r="D159" s="77">
        <v>0.25</v>
      </c>
      <c r="E159" s="77">
        <v>0.25</v>
      </c>
      <c r="F159" s="77">
        <v>0.25</v>
      </c>
    </row>
    <row r="160" spans="1:6" ht="33.6" customHeight="1">
      <c r="B160" s="78"/>
      <c r="C160" s="79"/>
      <c r="D160" s="79"/>
      <c r="E160" s="79"/>
      <c r="F160" s="79"/>
    </row>
    <row r="161" spans="1:6" ht="97.15" customHeight="1">
      <c r="B161" s="53" t="s">
        <v>701</v>
      </c>
      <c r="C161" s="80" t="s">
        <v>369</v>
      </c>
      <c r="D161" s="80" t="s">
        <v>333</v>
      </c>
      <c r="E161" s="80" t="s">
        <v>334</v>
      </c>
      <c r="F161" s="80" t="s">
        <v>484</v>
      </c>
    </row>
    <row r="162" spans="1:6" ht="32.450000000000003" customHeight="1">
      <c r="B162" s="43" t="s">
        <v>482</v>
      </c>
      <c r="C162" s="586">
        <f>$C$147*C159</f>
        <v>0</v>
      </c>
      <c r="D162" s="586">
        <f>$C$147*D159</f>
        <v>0</v>
      </c>
      <c r="E162" s="586">
        <f>$C$147*E159</f>
        <v>0</v>
      </c>
      <c r="F162" s="586">
        <f>$C$147*F159</f>
        <v>0</v>
      </c>
    </row>
    <row r="163" spans="1:6" ht="29.45" customHeight="1">
      <c r="B163" s="43" t="s">
        <v>480</v>
      </c>
      <c r="C163" s="586">
        <f>$C$148*C159</f>
        <v>0</v>
      </c>
      <c r="D163" s="586">
        <f>$C$148*D159</f>
        <v>0</v>
      </c>
      <c r="E163" s="586">
        <f>$C$148*E159</f>
        <v>0</v>
      </c>
      <c r="F163" s="586">
        <f>$C$148*F159</f>
        <v>0</v>
      </c>
    </row>
    <row r="164" spans="1:6" ht="30.6" customHeight="1">
      <c r="B164" s="43" t="s">
        <v>481</v>
      </c>
      <c r="C164" s="586">
        <f>$C$149*C159</f>
        <v>0</v>
      </c>
      <c r="D164" s="586">
        <f>$C$149*D159</f>
        <v>0</v>
      </c>
      <c r="E164" s="586">
        <f>$C$149*E159</f>
        <v>0</v>
      </c>
      <c r="F164" s="586">
        <f>$C$149*F159</f>
        <v>0</v>
      </c>
    </row>
    <row r="165" spans="1:6" s="589" customFormat="1" ht="33" customHeight="1">
      <c r="A165" s="587"/>
      <c r="B165" s="546" t="s">
        <v>613</v>
      </c>
      <c r="C165" s="588">
        <f>C162+C163+C164</f>
        <v>0</v>
      </c>
      <c r="D165" s="588">
        <f>D162+D163+D164</f>
        <v>0</v>
      </c>
      <c r="E165" s="588">
        <f>E162+E163+E164</f>
        <v>0</v>
      </c>
      <c r="F165" s="588">
        <f>F162+F163+F164</f>
        <v>0</v>
      </c>
    </row>
  </sheetData>
  <sheetProtection autoFilter="0"/>
  <protectedRanges>
    <protectedRange sqref="B126:B136" name="Найменування інші"/>
    <protectedRange sqref="D92:D97 D99:D104 D106:D118 D120:D124 D126:D136 D40:D90 D22:D38" name="Оціночна вартість"/>
  </protectedRanges>
  <autoFilter ref="B20:E20"/>
  <mergeCells count="21">
    <mergeCell ref="E9:G9"/>
    <mergeCell ref="B146:C146"/>
    <mergeCell ref="B3:E3"/>
    <mergeCell ref="A2:AF2"/>
    <mergeCell ref="D141:F141"/>
    <mergeCell ref="D142:F142"/>
    <mergeCell ref="D143:F143"/>
    <mergeCell ref="B11:D11"/>
    <mergeCell ref="B13:D13"/>
    <mergeCell ref="B16:D16"/>
    <mergeCell ref="B17:D17"/>
    <mergeCell ref="B5:E5"/>
    <mergeCell ref="B7:D7"/>
    <mergeCell ref="B12:D12"/>
    <mergeCell ref="B14:D14"/>
    <mergeCell ref="B15:D15"/>
    <mergeCell ref="B140:C140"/>
    <mergeCell ref="E7:G7"/>
    <mergeCell ref="B8:D8"/>
    <mergeCell ref="E8:G8"/>
    <mergeCell ref="B9:D9"/>
  </mergeCells>
  <phoneticPr fontId="0" type="noConversion"/>
  <conditionalFormatting sqref="C22:D136 F22:F136">
    <cfRule type="notContainsBlanks" dxfId="34" priority="3">
      <formula>LEN(TRIM(C22))&gt;0</formula>
    </cfRule>
    <cfRule type="notContainsBlanks" dxfId="33" priority="4">
      <formula>LEN(TRIM(C22))&gt;0</formula>
    </cfRule>
  </conditionalFormatting>
  <dataValidations count="2">
    <dataValidation type="decimal" operator="greaterThanOrEqual" allowBlank="1" showInputMessage="1" showErrorMessage="1" error="Розділення цілої та дробової частини числа має бути введено через крапку &quot;.&quot;_x000a_Наприклад: 23.10" sqref="D106:D118 D120:D124 D126:D136 D22:D104">
      <formula1>0</formula1>
    </dataValidation>
    <dataValidation type="list" allowBlank="1" showInputMessage="1" showErrorMessage="1" sqref="F22:F38 F92:F97 F106:F118 F99:F104 F120:F124 F126:F136 F71:F90 F40:F49 F51:F69">
      <formula1>$F$15:$F$16</formula1>
    </dataValidation>
  </dataValidations>
  <pageMargins left="0.7" right="0.7" top="0.75" bottom="0.75" header="0.3" footer="0.3"/>
  <pageSetup paperSize="9" orientation="portrait" r:id="rId1"/>
  <ignoredErrors>
    <ignoredError sqref="C142:C143" formulaRange="1"/>
  </ignoredErrors>
  <drawing r:id="rId2"/>
</worksheet>
</file>

<file path=xl/worksheets/sheet8.xml><?xml version="1.0" encoding="utf-8"?>
<worksheet xmlns="http://schemas.openxmlformats.org/spreadsheetml/2006/main" xmlns:r="http://schemas.openxmlformats.org/officeDocument/2006/relationships">
  <sheetPr>
    <tabColor theme="9" tint="0.39997558519241921"/>
  </sheetPr>
  <dimension ref="A1:AO47"/>
  <sheetViews>
    <sheetView showGridLines="0" view="pageBreakPreview" topLeftCell="B34" zoomScale="70" zoomScaleNormal="70" zoomScaleSheetLayoutView="70" workbookViewId="0">
      <selection activeCell="J61" sqref="J61"/>
    </sheetView>
  </sheetViews>
  <sheetFormatPr defaultColWidth="8.85546875" defaultRowHeight="15"/>
  <cols>
    <col min="1" max="1" width="6.28515625" style="137" customWidth="1"/>
    <col min="2" max="2" width="8.140625" style="137" customWidth="1"/>
    <col min="3" max="3" width="89.140625" style="137" customWidth="1"/>
    <col min="4" max="4" width="31.85546875" style="137" bestFit="1" customWidth="1"/>
    <col min="5" max="8" width="20.85546875" style="137" customWidth="1"/>
    <col min="9" max="9" width="17.5703125" style="137" customWidth="1"/>
    <col min="10" max="18" width="12.5703125" style="517" customWidth="1"/>
    <col min="19" max="21" width="11.7109375" style="140" customWidth="1"/>
    <col min="22" max="16384" width="8.85546875" style="137"/>
  </cols>
  <sheetData>
    <row r="1" spans="1:41" s="60" customFormat="1" ht="16.5">
      <c r="J1" s="512"/>
      <c r="K1" s="512"/>
      <c r="L1" s="512"/>
      <c r="M1" s="512"/>
      <c r="N1" s="512"/>
      <c r="O1" s="512"/>
      <c r="P1" s="512"/>
      <c r="Q1" s="512"/>
      <c r="R1" s="513"/>
      <c r="S1" s="547"/>
      <c r="T1" s="547"/>
      <c r="U1" s="548"/>
      <c r="Z1" s="61"/>
      <c r="AE1" s="61"/>
      <c r="AJ1" s="61"/>
      <c r="AO1" s="61"/>
    </row>
    <row r="2" spans="1:41" s="63" customFormat="1" ht="27">
      <c r="A2" s="1177" t="s">
        <v>762</v>
      </c>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62"/>
      <c r="AH2" s="62"/>
      <c r="AI2" s="62"/>
      <c r="AJ2" s="62"/>
      <c r="AK2" s="62"/>
      <c r="AL2" s="62"/>
      <c r="AM2" s="62"/>
      <c r="AN2" s="62"/>
      <c r="AO2" s="62"/>
    </row>
    <row r="3" spans="1:41" s="63" customFormat="1" ht="26.25" thickBot="1">
      <c r="G3" s="139"/>
      <c r="H3" s="139"/>
      <c r="I3" s="139"/>
      <c r="J3" s="514"/>
      <c r="K3" s="514"/>
      <c r="L3" s="514"/>
      <c r="M3" s="514"/>
      <c r="N3" s="514"/>
      <c r="O3" s="514"/>
      <c r="P3" s="514"/>
      <c r="Q3" s="514"/>
      <c r="R3" s="515"/>
      <c r="S3" s="135"/>
      <c r="T3" s="135"/>
      <c r="U3" s="549"/>
      <c r="Z3" s="353"/>
      <c r="AE3" s="353"/>
      <c r="AJ3" s="353"/>
      <c r="AO3" s="353"/>
    </row>
    <row r="4" spans="1:41" ht="43.9" customHeight="1" thickTop="1" thickBot="1">
      <c r="B4" s="1192" t="s">
        <v>402</v>
      </c>
      <c r="C4" s="1193"/>
      <c r="D4" s="1193"/>
      <c r="E4" s="1193"/>
      <c r="F4" s="1193"/>
      <c r="G4" s="1193"/>
      <c r="H4" s="1194"/>
      <c r="I4" s="516"/>
    </row>
    <row r="5" spans="1:41" ht="61.9" customHeight="1" thickTop="1">
      <c r="C5" s="1190" t="s">
        <v>693</v>
      </c>
      <c r="D5" s="1191"/>
      <c r="E5" s="1191"/>
      <c r="F5" s="1191"/>
      <c r="G5" s="1191"/>
    </row>
    <row r="6" spans="1:41" ht="15.75" thickBot="1"/>
    <row r="7" spans="1:41" s="191" customFormat="1" ht="84" customHeight="1">
      <c r="C7" s="356" t="str">
        <f ca="1">'0_Загальне'!B11</f>
        <v>Офіційна повна назва надавача ПМД:</v>
      </c>
      <c r="D7" s="1199" t="str">
        <f ca="1">'0_Загальне'!C11</f>
        <v>Комунальне некомерційне підприємство "Рожищнський центр первинної медико-санітарної допомоги" Рожищенської міської ради</v>
      </c>
      <c r="E7" s="1200"/>
      <c r="G7" s="1195" t="s">
        <v>598</v>
      </c>
      <c r="H7" s="1195"/>
      <c r="I7" s="518"/>
      <c r="J7" s="515"/>
      <c r="K7" s="515"/>
      <c r="L7" s="515"/>
      <c r="M7" s="515"/>
      <c r="N7" s="515"/>
      <c r="O7" s="515"/>
      <c r="P7" s="515"/>
      <c r="Q7" s="515"/>
      <c r="R7" s="515"/>
      <c r="S7" s="550"/>
      <c r="T7" s="550"/>
      <c r="U7" s="550"/>
    </row>
    <row r="8" spans="1:41" s="191" customFormat="1" ht="39" customHeight="1">
      <c r="C8" s="357" t="str">
        <f ca="1">'0_Загальне'!B32</f>
        <v>Плановий період (рік):</v>
      </c>
      <c r="D8" s="1201">
        <f ca="1">'0_Загальне'!C32</f>
        <v>2022</v>
      </c>
      <c r="E8" s="1202"/>
      <c r="G8" s="1195"/>
      <c r="H8" s="1195"/>
      <c r="I8" s="518"/>
      <c r="J8" s="515"/>
      <c r="K8" s="515"/>
      <c r="L8" s="515"/>
      <c r="M8" s="515"/>
      <c r="N8" s="515"/>
      <c r="O8" s="515"/>
      <c r="P8" s="515"/>
      <c r="Q8" s="515"/>
      <c r="R8" s="515"/>
      <c r="S8" s="550"/>
      <c r="T8" s="550"/>
      <c r="U8" s="550"/>
    </row>
    <row r="9" spans="1:41" ht="22.9" customHeight="1" thickBot="1">
      <c r="C9" s="511" t="s">
        <v>671</v>
      </c>
      <c r="D9" s="1204" t="str">
        <f ca="1">'0_Загальне'!C34</f>
        <v>01.11.2021</v>
      </c>
      <c r="E9" s="1205"/>
    </row>
    <row r="12" spans="1:41" s="276" customFormat="1" ht="28.15" customHeight="1">
      <c r="B12" s="1185" t="s">
        <v>195</v>
      </c>
      <c r="C12" s="1185" t="s">
        <v>623</v>
      </c>
      <c r="D12" s="1186" t="s">
        <v>694</v>
      </c>
      <c r="E12" s="1185" t="s">
        <v>209</v>
      </c>
      <c r="F12" s="1185"/>
      <c r="G12" s="1185"/>
      <c r="H12" s="1185"/>
      <c r="I12" s="520"/>
      <c r="J12" s="1196" t="s">
        <v>596</v>
      </c>
      <c r="K12" s="1196"/>
      <c r="L12" s="1196"/>
      <c r="M12" s="1196"/>
      <c r="N12" s="1196"/>
      <c r="O12" s="1196"/>
      <c r="P12" s="1196"/>
      <c r="Q12" s="1196"/>
      <c r="R12" s="1196" t="s">
        <v>597</v>
      </c>
      <c r="S12" s="1196"/>
      <c r="T12" s="1196"/>
      <c r="U12" s="1196"/>
    </row>
    <row r="13" spans="1:41" s="276" customFormat="1" ht="28.15" customHeight="1">
      <c r="B13" s="1185"/>
      <c r="C13" s="1185"/>
      <c r="D13" s="1186"/>
      <c r="E13" s="519" t="s">
        <v>332</v>
      </c>
      <c r="F13" s="522" t="s">
        <v>333</v>
      </c>
      <c r="G13" s="522" t="s">
        <v>334</v>
      </c>
      <c r="H13" s="522" t="s">
        <v>335</v>
      </c>
      <c r="I13" s="272"/>
      <c r="J13" s="1203" t="s">
        <v>332</v>
      </c>
      <c r="K13" s="1203"/>
      <c r="L13" s="1196" t="s">
        <v>333</v>
      </c>
      <c r="M13" s="1196"/>
      <c r="N13" s="1196" t="s">
        <v>334</v>
      </c>
      <c r="O13" s="1196"/>
      <c r="P13" s="1196" t="s">
        <v>335</v>
      </c>
      <c r="Q13" s="1196"/>
      <c r="R13" s="521" t="s">
        <v>332</v>
      </c>
      <c r="S13" s="521" t="s">
        <v>333</v>
      </c>
      <c r="T13" s="521" t="s">
        <v>334</v>
      </c>
      <c r="U13" s="521" t="s">
        <v>335</v>
      </c>
    </row>
    <row r="14" spans="1:41" s="67" customFormat="1" ht="26.45" customHeight="1">
      <c r="B14" s="1184" t="s">
        <v>197</v>
      </c>
      <c r="C14" s="1184"/>
      <c r="D14" s="1184"/>
      <c r="E14" s="1184"/>
      <c r="F14" s="1184"/>
      <c r="G14" s="1184"/>
      <c r="H14" s="1184"/>
      <c r="I14" s="523"/>
      <c r="J14" s="517"/>
      <c r="K14" s="517"/>
      <c r="L14" s="517"/>
      <c r="M14" s="517"/>
      <c r="N14" s="517"/>
      <c r="O14" s="517"/>
      <c r="P14" s="517"/>
      <c r="Q14" s="517"/>
      <c r="R14" s="517"/>
      <c r="S14" s="165"/>
      <c r="T14" s="165"/>
      <c r="U14" s="165"/>
    </row>
    <row r="15" spans="1:41" s="273" customFormat="1" ht="30" customHeight="1">
      <c r="B15" s="524">
        <v>1</v>
      </c>
      <c r="C15" s="525" t="s">
        <v>572</v>
      </c>
      <c r="D15" s="526"/>
      <c r="E15" s="526"/>
      <c r="F15" s="526"/>
      <c r="G15" s="526"/>
      <c r="H15" s="526"/>
      <c r="J15" s="517"/>
      <c r="K15" s="517"/>
      <c r="L15" s="517"/>
      <c r="M15" s="517"/>
      <c r="N15" s="517"/>
      <c r="O15" s="517"/>
      <c r="P15" s="517"/>
      <c r="Q15" s="517"/>
      <c r="R15" s="517"/>
      <c r="S15" s="274"/>
      <c r="T15" s="274"/>
      <c r="U15" s="274"/>
    </row>
    <row r="16" spans="1:41" s="273" customFormat="1" ht="27.6" customHeight="1">
      <c r="B16" s="524"/>
      <c r="C16" s="527" t="s">
        <v>399</v>
      </c>
      <c r="D16" s="552">
        <v>900</v>
      </c>
      <c r="E16" s="529" t="e">
        <f>J16/R16</f>
        <v>#VALUE!</v>
      </c>
      <c r="F16" s="529" t="e">
        <f>L16/S16</f>
        <v>#VALUE!</v>
      </c>
      <c r="G16" s="529" t="e">
        <f>N16/T16</f>
        <v>#VALUE!</v>
      </c>
      <c r="H16" s="529" t="e">
        <f>P16/U16</f>
        <v>#VALUE!</v>
      </c>
      <c r="I16" s="530"/>
      <c r="J16" s="574" t="e">
        <f>#VALUE!</f>
        <v>#VALUE!</v>
      </c>
      <c r="K16" s="574" t="e">
        <f>#VALUE!</f>
        <v>#VALUE!</v>
      </c>
      <c r="L16" s="574" t="e">
        <f>#VALUE!</f>
        <v>#VALUE!</v>
      </c>
      <c r="M16" s="574"/>
      <c r="N16" s="574" t="e">
        <f>#VALUE!</f>
        <v>#VALUE!</v>
      </c>
      <c r="O16" s="574"/>
      <c r="P16" s="574" t="e">
        <f>#VALUE!</f>
        <v>#VALUE!</v>
      </c>
      <c r="Q16" s="574"/>
      <c r="R16" s="574">
        <v>2.5</v>
      </c>
      <c r="S16" s="574">
        <v>2.5</v>
      </c>
      <c r="T16" s="574">
        <v>2.5</v>
      </c>
      <c r="U16" s="574">
        <v>2.5</v>
      </c>
      <c r="V16" s="575"/>
      <c r="W16" s="575"/>
    </row>
    <row r="17" spans="2:23" s="273" customFormat="1" ht="27.6" customHeight="1">
      <c r="B17" s="524"/>
      <c r="C17" s="527" t="s">
        <v>400</v>
      </c>
      <c r="D17" s="553">
        <v>1800</v>
      </c>
      <c r="E17" s="529" t="e">
        <f>(J17+K17)/R17</f>
        <v>#VALUE!</v>
      </c>
      <c r="F17" s="529" t="e">
        <f>(L17+M17)/S17</f>
        <v>#VALUE!</v>
      </c>
      <c r="G17" s="529" t="e">
        <f>(N17+O17)/T17</f>
        <v>#VALUE!</v>
      </c>
      <c r="H17" s="529" t="e">
        <f>(P17+Q17)/U17</f>
        <v>#VALUE!</v>
      </c>
      <c r="I17" s="530"/>
      <c r="J17" s="574" t="e">
        <f>#VALUE!</f>
        <v>#VALUE!</v>
      </c>
      <c r="K17" s="574" t="e">
        <f>#VALUE!</f>
        <v>#VALUE!</v>
      </c>
      <c r="L17" s="574" t="e">
        <f>#VALUE!</f>
        <v>#VALUE!</v>
      </c>
      <c r="M17" s="574" t="e">
        <f>#VALUE!</f>
        <v>#VALUE!</v>
      </c>
      <c r="N17" s="574" t="e">
        <f>#VALUE!</f>
        <v>#VALUE!</v>
      </c>
      <c r="O17" s="574" t="e">
        <f>#VALUE!</f>
        <v>#VALUE!</v>
      </c>
      <c r="P17" s="574" t="e">
        <f>#VALUE!</f>
        <v>#VALUE!</v>
      </c>
      <c r="Q17" s="574" t="e">
        <f>#VALUE!</f>
        <v>#VALUE!</v>
      </c>
      <c r="R17" s="574">
        <f ca="1">'02_Видатки'!I30</f>
        <v>12</v>
      </c>
      <c r="S17" s="574">
        <f ca="1">'02_Видатки'!J30</f>
        <v>12</v>
      </c>
      <c r="T17" s="574">
        <f ca="1">'02_Видатки'!K30</f>
        <v>12</v>
      </c>
      <c r="U17" s="574">
        <f ca="1">'02_Видатки'!L30</f>
        <v>12</v>
      </c>
      <c r="V17" s="575"/>
      <c r="W17" s="575"/>
    </row>
    <row r="18" spans="2:23" s="273" customFormat="1" ht="28.15" customHeight="1">
      <c r="B18" s="524"/>
      <c r="C18" s="527" t="s">
        <v>401</v>
      </c>
      <c r="D18" s="552">
        <v>2000</v>
      </c>
      <c r="E18" s="529" t="e">
        <f>(J18+K18)/R18</f>
        <v>#VALUE!</v>
      </c>
      <c r="F18" s="529" t="e">
        <f>(L18+M18)/S18</f>
        <v>#VALUE!</v>
      </c>
      <c r="G18" s="529" t="e">
        <f>(N18+O18)/T18</f>
        <v>#VALUE!</v>
      </c>
      <c r="H18" s="529" t="e">
        <f>(P18+Q18)/U18</f>
        <v>#VALUE!</v>
      </c>
      <c r="I18" s="530"/>
      <c r="J18" s="574" t="e">
        <f>#VALUE!</f>
        <v>#VALUE!</v>
      </c>
      <c r="K18" s="574" t="e">
        <f>#VALUE!</f>
        <v>#VALUE!</v>
      </c>
      <c r="L18" s="574" t="e">
        <f>#VALUE!</f>
        <v>#VALUE!</v>
      </c>
      <c r="M18" s="574" t="e">
        <f>#VALUE!</f>
        <v>#VALUE!</v>
      </c>
      <c r="N18" s="574" t="e">
        <f>#VALUE!</f>
        <v>#VALUE!</v>
      </c>
      <c r="O18" s="574" t="e">
        <f>#VALUE!</f>
        <v>#VALUE!</v>
      </c>
      <c r="P18" s="574" t="e">
        <f>#VALUE!</f>
        <v>#VALUE!</v>
      </c>
      <c r="Q18" s="574" t="e">
        <f>#VALUE!</f>
        <v>#VALUE!</v>
      </c>
      <c r="R18" s="721">
        <f ca="1">'02_Видатки'!I31+'02_Видатки'!I32</f>
        <v>2.5</v>
      </c>
      <c r="S18" s="721">
        <f ca="1">'02_Видатки'!J31+'02_Видатки'!J32</f>
        <v>2.5</v>
      </c>
      <c r="T18" s="721">
        <f ca="1">'02_Видатки'!K31+'02_Видатки'!K32</f>
        <v>2.5</v>
      </c>
      <c r="U18" s="721">
        <f ca="1">'02_Видатки'!L31+'02_Видатки'!L32</f>
        <v>2.5</v>
      </c>
      <c r="V18" s="575"/>
      <c r="W18" s="575"/>
    </row>
    <row r="19" spans="2:23" s="554" customFormat="1" ht="27.6" customHeight="1">
      <c r="B19" s="528"/>
      <c r="C19" s="555" t="s">
        <v>724</v>
      </c>
      <c r="D19" s="552" t="s">
        <v>348</v>
      </c>
      <c r="E19" s="556" t="e">
        <f>(E16*E16)/(E16+E17+E18)+(E17*E17)/(E16+E17+E18)+(E18*E18)/(E16+E17+E18)</f>
        <v>#VALUE!</v>
      </c>
      <c r="F19" s="556" t="e">
        <f>(F16*F16)/(F16+F17+F18)+(F17*F17)/(F16+F17+F18)+(F18*F18)/(F16+F17+F18)</f>
        <v>#VALUE!</v>
      </c>
      <c r="G19" s="556" t="e">
        <f>(G16*G16)/(G16+G17+G18)+(G17*G17)/(G16+G17+G18)+(G18*G18)/(G16+G17+G18)</f>
        <v>#VALUE!</v>
      </c>
      <c r="H19" s="556" t="e">
        <f>(H16*H16)/(H16+H17+H18)+(H17*H17)/(H16+H17+H18)+(H18*H18)/(H16+H17+H18)</f>
        <v>#VALUE!</v>
      </c>
      <c r="I19" s="557"/>
      <c r="J19" s="576"/>
      <c r="K19" s="576"/>
      <c r="L19" s="576"/>
      <c r="M19" s="576"/>
      <c r="N19" s="576"/>
      <c r="O19" s="576"/>
      <c r="P19" s="576"/>
      <c r="Q19" s="576"/>
      <c r="R19" s="577"/>
      <c r="S19" s="577"/>
      <c r="T19" s="577"/>
      <c r="U19" s="577"/>
      <c r="V19" s="578"/>
      <c r="W19" s="578"/>
    </row>
    <row r="20" spans="2:23" s="273" customFormat="1" ht="36.6" customHeight="1">
      <c r="B20" s="524">
        <v>2</v>
      </c>
      <c r="C20" s="525" t="s">
        <v>573</v>
      </c>
      <c r="D20" s="552"/>
      <c r="E20" s="563"/>
      <c r="F20" s="563"/>
      <c r="G20" s="563"/>
      <c r="H20" s="563"/>
      <c r="I20" s="275"/>
      <c r="J20" s="1197" t="s">
        <v>599</v>
      </c>
      <c r="K20" s="1197"/>
      <c r="L20" s="1197"/>
      <c r="M20" s="1197"/>
      <c r="N20" s="1197"/>
      <c r="O20" s="1197"/>
      <c r="P20" s="1197"/>
      <c r="Q20" s="1197"/>
      <c r="R20" s="579"/>
      <c r="S20" s="576"/>
      <c r="T20" s="576"/>
      <c r="U20" s="576"/>
      <c r="V20" s="575"/>
      <c r="W20" s="575"/>
    </row>
    <row r="21" spans="2:23" s="273" customFormat="1" ht="27.6" customHeight="1">
      <c r="B21" s="524"/>
      <c r="C21" s="527" t="s">
        <v>575</v>
      </c>
      <c r="D21" s="722">
        <v>450</v>
      </c>
      <c r="E21" s="529" t="e">
        <f>J16/J21</f>
        <v>#VALUE!</v>
      </c>
      <c r="F21" s="529" t="e">
        <f>L16/L21</f>
        <v>#VALUE!</v>
      </c>
      <c r="G21" s="529" t="e">
        <f>N16/N21</f>
        <v>#VALUE!</v>
      </c>
      <c r="H21" s="529" t="e">
        <f>P16/P21</f>
        <v>#VALUE!</v>
      </c>
      <c r="I21" s="530"/>
      <c r="J21" s="574" t="e">
        <f>#VALUE!</f>
        <v>#VALUE!</v>
      </c>
      <c r="K21" s="580"/>
      <c r="L21" s="574" t="e">
        <f>#VALUE!</f>
        <v>#VALUE!</v>
      </c>
      <c r="M21" s="580"/>
      <c r="N21" s="574" t="e">
        <f>#VALUE!</f>
        <v>#VALUE!</v>
      </c>
      <c r="O21" s="580"/>
      <c r="P21" s="574" t="e">
        <f>#VALUE!</f>
        <v>#VALUE!</v>
      </c>
      <c r="Q21" s="574"/>
      <c r="R21" s="579"/>
      <c r="S21" s="579"/>
      <c r="T21" s="579"/>
      <c r="U21" s="576"/>
      <c r="V21" s="575"/>
      <c r="W21" s="575"/>
    </row>
    <row r="22" spans="2:23" s="273" customFormat="1" ht="27.6" customHeight="1">
      <c r="B22" s="524"/>
      <c r="C22" s="527" t="s">
        <v>576</v>
      </c>
      <c r="D22" s="722">
        <v>900</v>
      </c>
      <c r="E22" s="529" t="e">
        <f>(J17+K17)/(J22+K22)</f>
        <v>#VALUE!</v>
      </c>
      <c r="F22" s="529" t="e">
        <f>(L17+M17)/(L22+M22)</f>
        <v>#VALUE!</v>
      </c>
      <c r="G22" s="529" t="e">
        <f>(N17+O17)/(N22+O22)</f>
        <v>#VALUE!</v>
      </c>
      <c r="H22" s="529" t="e">
        <f>(Q17+P17)/(P22+Q22)</f>
        <v>#VALUE!</v>
      </c>
      <c r="I22" s="530"/>
      <c r="J22" s="574" t="e">
        <f>#VALUE!</f>
        <v>#VALUE!</v>
      </c>
      <c r="K22" s="574" t="e">
        <f>#VALUE!</f>
        <v>#VALUE!</v>
      </c>
      <c r="L22" s="574" t="e">
        <f>#VALUE!</f>
        <v>#VALUE!</v>
      </c>
      <c r="M22" s="574" t="e">
        <f>#VALUE!</f>
        <v>#VALUE!</v>
      </c>
      <c r="N22" s="574" t="e">
        <f>#VALUE!</f>
        <v>#VALUE!</v>
      </c>
      <c r="O22" s="574" t="e">
        <f>#VALUE!</f>
        <v>#VALUE!</v>
      </c>
      <c r="P22" s="574" t="e">
        <f>#VALUE!</f>
        <v>#VALUE!</v>
      </c>
      <c r="Q22" s="574" t="e">
        <f>#VALUE!</f>
        <v>#VALUE!</v>
      </c>
      <c r="R22" s="723" t="s">
        <v>102</v>
      </c>
      <c r="S22" s="576"/>
      <c r="T22" s="576"/>
      <c r="U22" s="576"/>
      <c r="V22" s="575"/>
      <c r="W22" s="575"/>
    </row>
    <row r="23" spans="2:23" s="273" customFormat="1" ht="27.6" customHeight="1">
      <c r="B23" s="524"/>
      <c r="C23" s="527" t="s">
        <v>577</v>
      </c>
      <c r="D23" s="722">
        <v>1000</v>
      </c>
      <c r="E23" s="529" t="e">
        <f>(J18+K18)/(J23+K23)</f>
        <v>#VALUE!</v>
      </c>
      <c r="F23" s="529" t="e">
        <f>(L18+M18)/(L23+M23)</f>
        <v>#VALUE!</v>
      </c>
      <c r="G23" s="529" t="e">
        <f>(N18+O18)/(N23+O23)</f>
        <v>#VALUE!</v>
      </c>
      <c r="H23" s="529" t="e">
        <f>(P18+Q18)/(P23+Q23)</f>
        <v>#VALUE!</v>
      </c>
      <c r="I23" s="530"/>
      <c r="J23" s="574" t="e">
        <f>#VALUE!</f>
        <v>#VALUE!</v>
      </c>
      <c r="K23" s="574" t="e">
        <f>#VALUE!</f>
        <v>#VALUE!</v>
      </c>
      <c r="L23" s="574" t="e">
        <f>#VALUE!</f>
        <v>#VALUE!</v>
      </c>
      <c r="M23" s="574" t="e">
        <f>#VALUE!</f>
        <v>#VALUE!</v>
      </c>
      <c r="N23" s="574" t="e">
        <f>#VALUE!</f>
        <v>#VALUE!</v>
      </c>
      <c r="O23" s="574" t="e">
        <f>#VALUE!</f>
        <v>#VALUE!</v>
      </c>
      <c r="P23" s="574" t="e">
        <f>#VALUE!</f>
        <v>#VALUE!</v>
      </c>
      <c r="Q23" s="574" t="e">
        <f>#VALUE!</f>
        <v>#VALUE!</v>
      </c>
      <c r="R23" s="579"/>
      <c r="S23" s="576"/>
      <c r="T23" s="576"/>
      <c r="U23" s="576"/>
      <c r="V23" s="575"/>
      <c r="W23" s="575"/>
    </row>
    <row r="24" spans="2:23" s="273" customFormat="1" ht="51.6" customHeight="1">
      <c r="B24" s="524">
        <v>3</v>
      </c>
      <c r="C24" s="531" t="s">
        <v>574</v>
      </c>
      <c r="D24" s="526"/>
      <c r="E24" s="532"/>
      <c r="F24" s="532"/>
      <c r="G24" s="532"/>
      <c r="H24" s="532"/>
      <c r="I24" s="75"/>
      <c r="J24" s="1197" t="s">
        <v>695</v>
      </c>
      <c r="K24" s="1197"/>
      <c r="L24" s="1197"/>
      <c r="M24" s="1197"/>
      <c r="N24" s="1197"/>
      <c r="O24" s="1197"/>
      <c r="P24" s="1197"/>
      <c r="Q24" s="1197"/>
      <c r="R24" s="579"/>
      <c r="S24" s="576"/>
      <c r="T24" s="576"/>
      <c r="U24" s="576"/>
      <c r="V24" s="575"/>
      <c r="W24" s="575"/>
    </row>
    <row r="25" spans="2:23" s="273" customFormat="1" ht="31.9" customHeight="1">
      <c r="B25" s="524"/>
      <c r="C25" s="527" t="s">
        <v>578</v>
      </c>
      <c r="D25" s="1198" t="s">
        <v>580</v>
      </c>
      <c r="E25" s="532" t="e">
        <f>(J16+J17+J18+K17+K18)/J25</f>
        <v>#VALUE!</v>
      </c>
      <c r="F25" s="532" t="e">
        <f>(L16+L17+L18+M17+M18)/L25</f>
        <v>#VALUE!</v>
      </c>
      <c r="G25" s="532" t="e">
        <f>(N16+N17+N18+O17+O18)/N25</f>
        <v>#VALUE!</v>
      </c>
      <c r="H25" s="532" t="e">
        <f>(P16+P17+P18+Q17+Q18)/P25</f>
        <v>#VALUE!</v>
      </c>
      <c r="I25" s="75"/>
      <c r="J25" s="574">
        <f ca="1">'02_Видатки'!I101+'02_Видатки'!I28</f>
        <v>16.5</v>
      </c>
      <c r="K25" s="580"/>
      <c r="L25" s="574">
        <f ca="1">'02_Видатки'!J101+'02_Видатки'!J28</f>
        <v>16.5</v>
      </c>
      <c r="M25" s="580"/>
      <c r="N25" s="574">
        <f ca="1">'02_Видатки'!K101+'02_Видатки'!K28</f>
        <v>16.5</v>
      </c>
      <c r="O25" s="580"/>
      <c r="P25" s="574">
        <f ca="1">'02_Видатки'!L101+'02_Видатки'!L28</f>
        <v>16.5</v>
      </c>
      <c r="Q25" s="580"/>
      <c r="R25" s="579"/>
      <c r="S25" s="576"/>
      <c r="T25" s="576"/>
      <c r="U25" s="576"/>
      <c r="V25" s="575"/>
      <c r="W25" s="575"/>
    </row>
    <row r="26" spans="2:23" s="273" customFormat="1" ht="31.9" customHeight="1">
      <c r="B26" s="524"/>
      <c r="C26" s="527" t="s">
        <v>579</v>
      </c>
      <c r="D26" s="1198"/>
      <c r="E26" s="532" t="e">
        <f>(J16+J17+J18+K17+K18)/J26</f>
        <v>#VALUE!</v>
      </c>
      <c r="F26" s="532" t="e">
        <f>(L16+L17+L18+M17+M18)/L26</f>
        <v>#VALUE!</v>
      </c>
      <c r="G26" s="532" t="e">
        <f>(N16+N17+N18+O17+O18)/N26</f>
        <v>#VALUE!</v>
      </c>
      <c r="H26" s="532" t="e">
        <f>(P16+P17+P18+Q17+Q18)/P26</f>
        <v>#VALUE!</v>
      </c>
      <c r="I26" s="75"/>
      <c r="J26" s="574">
        <f ca="1">'02_Видатки'!I127</f>
        <v>12.5</v>
      </c>
      <c r="K26" s="580"/>
      <c r="L26" s="574">
        <f ca="1">'02_Видатки'!J127</f>
        <v>10</v>
      </c>
      <c r="M26" s="580"/>
      <c r="N26" s="574">
        <f ca="1">'02_Видатки'!K127</f>
        <v>10</v>
      </c>
      <c r="O26" s="580"/>
      <c r="P26" s="574">
        <f ca="1">'02_Видатки'!L127</f>
        <v>12.5</v>
      </c>
      <c r="Q26" s="580"/>
      <c r="R26" s="579"/>
      <c r="S26" s="576"/>
      <c r="T26" s="576"/>
      <c r="U26" s="576"/>
      <c r="V26" s="575"/>
      <c r="W26" s="575"/>
    </row>
    <row r="27" spans="2:23" s="273" customFormat="1" ht="40.9" customHeight="1">
      <c r="B27" s="524">
        <v>4</v>
      </c>
      <c r="C27" s="525" t="s">
        <v>689</v>
      </c>
      <c r="D27" s="528" t="s">
        <v>198</v>
      </c>
      <c r="E27" s="564" t="e">
        <f ca="1">'05_Фін_план'!E67/'0_Загальне'!$C$23</f>
        <v>#DIV/0!</v>
      </c>
      <c r="F27" s="564" t="e">
        <f ca="1">'05_Фін_план'!F67/'0_Загальне'!$C$23</f>
        <v>#DIV/0!</v>
      </c>
      <c r="G27" s="564" t="e">
        <f ca="1">'05_Фін_план'!G67/'0_Загальне'!$C$23</f>
        <v>#DIV/0!</v>
      </c>
      <c r="H27" s="564" t="e">
        <f ca="1">'05_Фін_план'!H67/'0_Загальне'!$C$23</f>
        <v>#DIV/0!</v>
      </c>
      <c r="I27" s="533"/>
      <c r="J27" s="517"/>
      <c r="K27" s="517"/>
      <c r="L27" s="517"/>
      <c r="M27" s="517"/>
      <c r="N27" s="517"/>
      <c r="O27" s="517"/>
      <c r="P27" s="517"/>
      <c r="Q27" s="517"/>
      <c r="R27" s="517"/>
      <c r="S27" s="274"/>
      <c r="T27" s="274"/>
      <c r="U27" s="274"/>
    </row>
    <row r="28" spans="2:23" s="273" customFormat="1" ht="56.45" customHeight="1">
      <c r="B28" s="524">
        <v>5</v>
      </c>
      <c r="C28" s="525" t="s">
        <v>203</v>
      </c>
      <c r="D28" s="528" t="s">
        <v>581</v>
      </c>
      <c r="E28" s="565">
        <f ca="1">'05_Фін_план'!E85/'05_Фін_план'!E86</f>
        <v>1.0146156201796437</v>
      </c>
      <c r="F28" s="565">
        <f ca="1">'05_Фін_план'!F85/'05_Фін_план'!F86</f>
        <v>1.0300940316511211</v>
      </c>
      <c r="G28" s="565">
        <f ca="1">'05_Фін_план'!G85/'05_Фін_план'!G86</f>
        <v>1.04532649715315</v>
      </c>
      <c r="H28" s="565">
        <f ca="1">'05_Фін_план'!H85/'05_Фін_план'!H86</f>
        <v>1.0024751509291927</v>
      </c>
      <c r="I28" s="534"/>
      <c r="J28" s="517"/>
      <c r="K28" s="517"/>
      <c r="L28" s="517"/>
      <c r="M28" s="517"/>
      <c r="N28" s="517"/>
      <c r="O28" s="517"/>
      <c r="P28" s="517"/>
      <c r="Q28" s="517"/>
      <c r="R28" s="517"/>
      <c r="S28" s="274"/>
      <c r="T28" s="274"/>
      <c r="U28" s="274"/>
    </row>
    <row r="29" spans="2:23" s="67" customFormat="1" ht="26.45" customHeight="1">
      <c r="B29" s="1184" t="s">
        <v>199</v>
      </c>
      <c r="C29" s="1184"/>
      <c r="D29" s="1184"/>
      <c r="E29" s="1184"/>
      <c r="F29" s="1184"/>
      <c r="G29" s="1184"/>
      <c r="H29" s="1184"/>
      <c r="I29" s="523"/>
      <c r="J29" s="517"/>
      <c r="K29" s="517"/>
      <c r="L29" s="517"/>
      <c r="M29" s="517"/>
      <c r="N29" s="517"/>
      <c r="O29" s="517"/>
      <c r="P29" s="517"/>
      <c r="Q29" s="517"/>
      <c r="R29" s="517"/>
      <c r="S29" s="165"/>
      <c r="T29" s="165"/>
      <c r="U29" s="165"/>
    </row>
    <row r="30" spans="2:23" s="273" customFormat="1" ht="61.15" customHeight="1">
      <c r="B30" s="524">
        <v>1</v>
      </c>
      <c r="C30" s="525" t="s">
        <v>204</v>
      </c>
      <c r="D30" s="528" t="s">
        <v>200</v>
      </c>
      <c r="E30" s="566">
        <f ca="1">('01_Доходи'!E23+'01_Доходи'!E24)/'05_Фін_план'!E85</f>
        <v>0.85595941225581285</v>
      </c>
      <c r="F30" s="566">
        <f ca="1">('01_Доходи'!F23)/'05_Фін_план'!F85</f>
        <v>0.90011102579377134</v>
      </c>
      <c r="G30" s="566">
        <f ca="1">('01_Доходи'!G23)/'05_Фін_план'!G85</f>
        <v>0.88061683753570219</v>
      </c>
      <c r="H30" s="566">
        <f ca="1">('01_Доходи'!H23)/'05_Фін_план'!H85</f>
        <v>0.85970400866332364</v>
      </c>
      <c r="I30" s="536"/>
      <c r="J30" s="517"/>
      <c r="K30" s="517"/>
      <c r="L30" s="517"/>
      <c r="M30" s="517"/>
      <c r="N30" s="517"/>
      <c r="O30" s="517"/>
      <c r="P30" s="517"/>
      <c r="Q30" s="517"/>
      <c r="R30" s="517"/>
      <c r="S30" s="274"/>
      <c r="T30" s="274"/>
      <c r="U30" s="274"/>
    </row>
    <row r="31" spans="2:23" s="273" customFormat="1" ht="60" customHeight="1">
      <c r="B31" s="524">
        <v>2</v>
      </c>
      <c r="C31" s="525" t="s">
        <v>18</v>
      </c>
      <c r="D31" s="528" t="s">
        <v>600</v>
      </c>
      <c r="E31" s="567">
        <f ca="1">'01_Доходи'!D1356/'05_Фін_план'!E85</f>
        <v>0.13125472342840117</v>
      </c>
      <c r="F31" s="567">
        <f ca="1">'01_Доходи'!E1356/'05_Фін_план'!F85</f>
        <v>8.7465442704518434E-2</v>
      </c>
      <c r="G31" s="567">
        <f ca="1">'01_Доходи'!F1356/'05_Фін_план'!G85</f>
        <v>0.11006858967207381</v>
      </c>
      <c r="H31" s="567">
        <f ca="1">'01_Доходи'!G1356/'05_Фін_план'!H85</f>
        <v>0.12583072758975641</v>
      </c>
      <c r="I31" s="537"/>
      <c r="J31" s="517"/>
      <c r="K31" s="517"/>
      <c r="L31" s="517"/>
      <c r="M31" s="517"/>
      <c r="N31" s="517"/>
      <c r="O31" s="517"/>
      <c r="P31" s="517"/>
      <c r="Q31" s="517"/>
      <c r="R31" s="517"/>
      <c r="S31" s="274"/>
      <c r="T31" s="274"/>
      <c r="U31" s="274"/>
    </row>
    <row r="32" spans="2:23" s="273" customFormat="1" ht="63" customHeight="1">
      <c r="B32" s="524">
        <v>3</v>
      </c>
      <c r="C32" s="525" t="s">
        <v>422</v>
      </c>
      <c r="D32" s="528" t="s">
        <v>601</v>
      </c>
      <c r="E32" s="532" t="e">
        <f ca="1">('01_Доходи'!E23)/('01_Доходи'!K32+'01_Доходи'!K34)</f>
        <v>#VALUE!</v>
      </c>
      <c r="F32" s="532" t="e">
        <f ca="1">('01_Доходи'!F23)/('01_Доходи'!Q32+'01_Доходи'!Q34)</f>
        <v>#VALUE!</v>
      </c>
      <c r="G32" s="532" t="e">
        <f ca="1">('01_Доходи'!G23)/('01_Доходи'!W32+'01_Доходи'!W34)</f>
        <v>#VALUE!</v>
      </c>
      <c r="H32" s="532" t="e">
        <f ca="1">('01_Доходи'!H23)/('01_Доходи'!AC32+'01_Доходи'!AC34)</f>
        <v>#VALUE!</v>
      </c>
      <c r="I32" s="538"/>
      <c r="J32" s="517"/>
      <c r="K32" s="517"/>
      <c r="L32" s="517"/>
      <c r="M32" s="517"/>
      <c r="N32" s="517"/>
      <c r="O32" s="517"/>
      <c r="P32" s="517"/>
      <c r="Q32" s="517"/>
      <c r="R32" s="517"/>
      <c r="S32" s="274"/>
      <c r="T32" s="274"/>
      <c r="U32" s="274"/>
    </row>
    <row r="33" spans="2:21" s="273" customFormat="1" ht="30.6" customHeight="1">
      <c r="B33" s="524">
        <v>4</v>
      </c>
      <c r="C33" s="1187" t="s">
        <v>788</v>
      </c>
      <c r="D33" s="1188"/>
      <c r="E33" s="1188"/>
      <c r="F33" s="1188"/>
      <c r="G33" s="1188"/>
      <c r="H33" s="1189"/>
      <c r="I33" s="253"/>
      <c r="J33" s="539"/>
      <c r="K33" s="517"/>
      <c r="L33" s="517"/>
      <c r="M33" s="517"/>
      <c r="N33" s="517"/>
      <c r="O33" s="517"/>
      <c r="P33" s="517"/>
      <c r="Q33" s="517"/>
      <c r="R33" s="517"/>
      <c r="S33" s="274"/>
      <c r="T33" s="274"/>
      <c r="U33" s="274"/>
    </row>
    <row r="34" spans="2:21" s="273" customFormat="1" ht="33" customHeight="1">
      <c r="B34" s="524"/>
      <c r="C34" s="527" t="s">
        <v>424</v>
      </c>
      <c r="D34" s="528" t="s">
        <v>602</v>
      </c>
      <c r="E34" s="532">
        <f ca="1">('01_Доходи'!E23)/'04_Фін_стійкість'!R16</f>
        <v>2790692.4096196601</v>
      </c>
      <c r="F34" s="532">
        <f ca="1">('01_Доходи'!F23)/'04_Фін_стійкість'!S16</f>
        <v>2771658.227086327</v>
      </c>
      <c r="G34" s="532">
        <f ca="1">('01_Доходи'!G23)/'04_Фін_стійкість'!T16</f>
        <v>2772393.6586488672</v>
      </c>
      <c r="H34" s="532">
        <f ca="1">('01_Доходи'!H23)/'04_Фін_стійкість'!U16</f>
        <v>2771280.9708913481</v>
      </c>
      <c r="I34" s="75"/>
      <c r="J34" s="517"/>
      <c r="K34" s="517"/>
      <c r="L34" s="517"/>
      <c r="M34" s="517"/>
      <c r="N34" s="517"/>
      <c r="O34" s="517"/>
      <c r="P34" s="517"/>
      <c r="Q34" s="517"/>
      <c r="R34" s="517"/>
      <c r="S34" s="274"/>
      <c r="T34" s="274"/>
      <c r="U34" s="274"/>
    </row>
    <row r="35" spans="2:21" s="273" customFormat="1" ht="33" customHeight="1">
      <c r="B35" s="524"/>
      <c r="C35" s="527" t="s">
        <v>425</v>
      </c>
      <c r="D35" s="528" t="s">
        <v>603</v>
      </c>
      <c r="E35" s="532">
        <f ca="1">('01_Доходи'!E23)/'04_Фін_стійкість'!R17</f>
        <v>581394.25200409594</v>
      </c>
      <c r="F35" s="532">
        <f ca="1">('01_Доходи'!F23)/'04_Фін_стійкість'!S17</f>
        <v>577428.79730965139</v>
      </c>
      <c r="G35" s="532">
        <f ca="1">('01_Доходи'!G23)/'04_Фін_стійкість'!T17</f>
        <v>577582.01221851399</v>
      </c>
      <c r="H35" s="532">
        <f ca="1">('01_Доходи'!H23)/'04_Фін_стійкість'!U17</f>
        <v>577350.20226903085</v>
      </c>
      <c r="I35" s="75"/>
      <c r="J35" s="517"/>
      <c r="K35" s="517"/>
      <c r="L35" s="517"/>
      <c r="M35" s="517"/>
      <c r="N35" s="517"/>
      <c r="O35" s="517"/>
      <c r="P35" s="517"/>
      <c r="Q35" s="517"/>
      <c r="R35" s="517"/>
      <c r="S35" s="274"/>
      <c r="T35" s="274"/>
      <c r="U35" s="274"/>
    </row>
    <row r="36" spans="2:21" s="273" customFormat="1" ht="33" customHeight="1">
      <c r="B36" s="524"/>
      <c r="C36" s="527" t="s">
        <v>426</v>
      </c>
      <c r="D36" s="528" t="s">
        <v>602</v>
      </c>
      <c r="E36" s="532">
        <f ca="1">('01_Доходи'!E23)/'04_Фін_стійкість'!R18</f>
        <v>2790692.4096196601</v>
      </c>
      <c r="F36" s="532">
        <f ca="1">('01_Доходи'!F23)/'04_Фін_стійкість'!S18</f>
        <v>2771658.227086327</v>
      </c>
      <c r="G36" s="532">
        <f ca="1">('01_Доходи'!G23)/'04_Фін_стійкість'!T18</f>
        <v>2772393.6586488672</v>
      </c>
      <c r="H36" s="532">
        <f ca="1">('01_Доходи'!H23)/'04_Фін_стійкість'!U18</f>
        <v>2771280.9708913481</v>
      </c>
      <c r="I36" s="75"/>
      <c r="J36" s="517"/>
      <c r="K36" s="517"/>
      <c r="L36" s="517"/>
      <c r="M36" s="517"/>
      <c r="N36" s="517"/>
      <c r="O36" s="517"/>
      <c r="P36" s="517"/>
      <c r="Q36" s="517"/>
      <c r="R36" s="517"/>
      <c r="S36" s="274"/>
      <c r="T36" s="274"/>
      <c r="U36" s="274"/>
    </row>
    <row r="37" spans="2:21" s="273" customFormat="1" ht="67.150000000000006" customHeight="1">
      <c r="B37" s="524">
        <v>5</v>
      </c>
      <c r="C37" s="525" t="s">
        <v>789</v>
      </c>
      <c r="D37" s="528" t="s">
        <v>702</v>
      </c>
      <c r="E37" s="532">
        <f ca="1">('01_Доходи'!E23+'01_Доходи'!E24)/(J25+J26)</f>
        <v>240576.93186376381</v>
      </c>
      <c r="F37" s="532">
        <f ca="1">('01_Доходи'!F23)/(L25+L26)</f>
        <v>261477.19123455914</v>
      </c>
      <c r="G37" s="532">
        <f ca="1">('01_Доходи'!G23)/(N25+N26)</f>
        <v>261546.57157064785</v>
      </c>
      <c r="H37" s="532">
        <f ca="1">('01_Доходи'!H23)/(P25+P26)</f>
        <v>238903.53197339206</v>
      </c>
      <c r="I37" s="75"/>
      <c r="J37" s="517"/>
      <c r="K37" s="517"/>
      <c r="L37" s="517"/>
      <c r="M37" s="517"/>
      <c r="N37" s="517"/>
      <c r="O37" s="517"/>
      <c r="P37" s="517"/>
      <c r="Q37" s="517"/>
      <c r="R37" s="517"/>
      <c r="S37" s="274"/>
      <c r="T37" s="274"/>
      <c r="U37" s="274"/>
    </row>
    <row r="38" spans="2:21" s="67" customFormat="1" ht="33" customHeight="1">
      <c r="B38" s="1184" t="s">
        <v>201</v>
      </c>
      <c r="C38" s="1184"/>
      <c r="D38" s="1184"/>
      <c r="E38" s="1184"/>
      <c r="F38" s="1184"/>
      <c r="G38" s="1184"/>
      <c r="H38" s="1184"/>
      <c r="I38" s="523"/>
      <c r="J38" s="517"/>
      <c r="K38" s="517"/>
      <c r="L38" s="517"/>
      <c r="M38" s="517"/>
      <c r="N38" s="517"/>
      <c r="O38" s="517"/>
      <c r="P38" s="517"/>
      <c r="Q38" s="517"/>
      <c r="R38" s="517"/>
      <c r="S38" s="165"/>
      <c r="T38" s="165"/>
      <c r="U38" s="165"/>
    </row>
    <row r="39" spans="2:21" s="273" customFormat="1" ht="69" customHeight="1">
      <c r="B39" s="524">
        <v>1</v>
      </c>
      <c r="C39" s="568" t="s">
        <v>728</v>
      </c>
      <c r="D39" s="528" t="s">
        <v>610</v>
      </c>
      <c r="E39" s="540">
        <f ca="1">('02_Видатки'!AQ101+'02_Видатки'!AQ28+'02_Видатки'!BB28+'02_Видатки'!BB101)/'05_Фін_план'!E86</f>
        <v>0.14833574066458391</v>
      </c>
      <c r="F39" s="540">
        <f ca="1">('02_Видатки'!AR101+'02_Видатки'!AR28+'02_Видатки'!BC28+'02_Видатки'!BC101)/'05_Фін_план'!F86</f>
        <v>0.15945433684396679</v>
      </c>
      <c r="G39" s="540">
        <f ca="1">('02_Видатки'!AS101+'02_Видатки'!AS28+'02_Видатки'!BD28+'02_Видатки'!BD101)/'05_Фін_план'!G86</f>
        <v>0.15826581078998717</v>
      </c>
      <c r="H39" s="540">
        <f ca="1">('02_Видатки'!AT101+'02_Видатки'!AT28+'02_Видатки'!BE28+'02_Видатки'!BE101)/'05_Фін_план'!H86</f>
        <v>0.14823305799533146</v>
      </c>
      <c r="I39" s="536"/>
      <c r="J39" s="517"/>
      <c r="K39" s="517"/>
      <c r="L39" s="517"/>
      <c r="M39" s="517"/>
      <c r="N39" s="517"/>
      <c r="O39" s="517"/>
      <c r="P39" s="517"/>
      <c r="Q39" s="517"/>
      <c r="R39" s="517"/>
      <c r="S39" s="274"/>
      <c r="T39" s="274"/>
      <c r="U39" s="274"/>
    </row>
    <row r="40" spans="2:21" s="273" customFormat="1" ht="54" customHeight="1">
      <c r="B40" s="524">
        <v>2</v>
      </c>
      <c r="C40" s="568" t="s">
        <v>729</v>
      </c>
      <c r="D40" s="528" t="s">
        <v>704</v>
      </c>
      <c r="E40" s="569">
        <f ca="1">('02_Видатки'!AQ44+'02_Видатки'!BB44)/'05_Фін_план'!E86</f>
        <v>0.22486599093465995</v>
      </c>
      <c r="F40" s="569">
        <f ca="1">('02_Видатки'!AR44+'02_Видатки'!BC44)/'05_Фін_план'!F86</f>
        <v>0.23356172556404603</v>
      </c>
      <c r="G40" s="569">
        <f ca="1">('02_Видатки'!AS44+'02_Видатки'!BD44)/'05_Фін_план'!G86</f>
        <v>0.23991924141087911</v>
      </c>
      <c r="H40" s="569">
        <f ca="1">('02_Видатки'!AT44+'02_Видатки'!BE44)/'05_Фін_план'!H86</f>
        <v>0.23988041883940392</v>
      </c>
      <c r="J40" s="517"/>
      <c r="K40" s="517"/>
      <c r="L40" s="517"/>
      <c r="M40" s="517"/>
      <c r="N40" s="517"/>
      <c r="O40" s="517"/>
      <c r="P40" s="517"/>
      <c r="Q40" s="517"/>
      <c r="R40" s="517"/>
      <c r="S40" s="274"/>
      <c r="T40" s="274"/>
      <c r="U40" s="274"/>
    </row>
    <row r="41" spans="2:21" s="273" customFormat="1" ht="40.5">
      <c r="B41" s="524">
        <v>3</v>
      </c>
      <c r="C41" s="568" t="s">
        <v>730</v>
      </c>
      <c r="D41" s="528" t="s">
        <v>703</v>
      </c>
      <c r="E41" s="535">
        <f ca="1">('05_Фін_план'!E57+'05_Фін_план'!E58+'05_Фін_план'!E60+'05_Фін_план'!E61)/'05_Фін_план'!E86</f>
        <v>0.83098872343639896</v>
      </c>
      <c r="F41" s="535">
        <f ca="1">('05_Фін_план'!F57+'05_Фін_план'!F58+'05_Фін_план'!F60+'05_Фін_план'!F61)/'05_Фін_план'!F86</f>
        <v>0.87838269717473083</v>
      </c>
      <c r="G41" s="535">
        <f ca="1">('05_Фін_план'!G57+'05_Фін_план'!G58+'05_Фін_план'!G60+'05_Фін_план'!G61)/'05_Фін_план'!G86</f>
        <v>0.87993390583619269</v>
      </c>
      <c r="H41" s="535">
        <f ca="1">('05_Фін_план'!H57+'05_Фін_план'!H58+'05_Фін_план'!H60+'05_Фін_план'!H61)/'05_Фін_план'!H86</f>
        <v>0.84997707175508397</v>
      </c>
      <c r="I41" s="536"/>
      <c r="J41" s="517"/>
      <c r="K41" s="517"/>
      <c r="L41" s="517"/>
      <c r="M41" s="517"/>
      <c r="N41" s="517"/>
      <c r="O41" s="517"/>
      <c r="P41" s="517"/>
      <c r="Q41" s="517"/>
      <c r="R41" s="517"/>
      <c r="S41" s="274"/>
      <c r="T41" s="274"/>
      <c r="U41" s="274"/>
    </row>
    <row r="42" spans="2:21" s="273" customFormat="1" ht="40.5">
      <c r="B42" s="524">
        <v>4</v>
      </c>
      <c r="C42" s="568" t="s">
        <v>731</v>
      </c>
      <c r="D42" s="528" t="s">
        <v>604</v>
      </c>
      <c r="E42" s="540">
        <f ca="1">('02_Видатки'!R28+'02_Видатки'!R44+'02_Видатки'!R60+'02_Видатки'!R73+'02_Видатки'!R101+'02_Видатки'!R127+'02_Видатки'!W28+'02_Видатки'!W44+'02_Видатки'!W60+'02_Видатки'!W73+'02_Видатки'!W101+'02_Видатки'!W127+'02_Видатки'!AB28+'02_Видатки'!AB44+'02_Видатки'!AB60+'02_Видатки'!AB73+'02_Видатки'!AB101+'02_Видатки'!AB127+'02_Видатки'!AG28+'02_Видатки'!AG44+'02_Видатки'!AG60+'02_Видатки'!AG73+'02_Видатки'!AG101+'02_Видатки'!AG127)/('05_Фін_план'!E57+'05_Фін_план'!E60+'05_Фін_план'!E58+'05_Фін_план'!E61)</f>
        <v>0.2768659165624181</v>
      </c>
      <c r="F42" s="540">
        <f ca="1">('02_Видатки'!S28+'02_Видатки'!S44+'02_Видатки'!S60+'02_Видатки'!S73+'02_Видатки'!S101+'02_Видатки'!S127+'02_Видатки'!X28+'02_Видатки'!X44+'02_Видатки'!X60+'02_Видатки'!X73+'02_Видатки'!X101+'02_Видатки'!X127+'02_Видатки'!AC28+'02_Видатки'!AC44+'02_Видатки'!AC60+'02_Видатки'!AC73+'02_Видатки'!AC101+'02_Видатки'!AC127+'02_Видатки'!AH28+'02_Видатки'!AH44+'02_Видатки'!AH60+'02_Видатки'!AH73+'02_Видатки'!AH101+'02_Видатки'!AH127)/('05_Фін_план'!F57+'05_Фін_план'!F60+'05_Фін_план'!F58+'05_Фін_план'!F61)</f>
        <v>0.27954484017146303</v>
      </c>
      <c r="G42" s="540">
        <f ca="1">('02_Видатки'!T28+'02_Видатки'!T44+'02_Видатки'!T60+'02_Видатки'!T73+'02_Видатки'!T101+'02_Видатки'!T127+'02_Видатки'!Y28+'02_Видатки'!Y44+'02_Видатки'!Y60+'02_Видатки'!Y73+'02_Видатки'!Y101+'02_Видатки'!Y127+'02_Видатки'!AD28+'02_Видатки'!AD44+'02_Видатки'!AD60+'02_Видатки'!AD73+'02_Видатки'!AD101+'02_Видатки'!AD127+'02_Видатки'!AI28+'02_Видатки'!AI44+'02_Видатки'!AI60+'02_Видатки'!AI73+'02_Видатки'!AI101+'02_Видатки'!AI127)/('05_Фін_план'!G57+'05_Фін_план'!G60+'05_Фін_план'!G58+'05_Фін_план'!G61)</f>
        <v>0.28451586795123807</v>
      </c>
      <c r="H42" s="540">
        <f ca="1">('02_Видатки'!U28+'02_Видатки'!U44+'02_Видатки'!U60+'02_Видатки'!U73+'02_Видатки'!U101+'02_Видатки'!U127+'02_Видатки'!Z28+'02_Видатки'!Z44+'02_Видатки'!Z60+'02_Видатки'!Z73+'02_Видатки'!Z101+'02_Видатки'!Z127+'02_Видатки'!AE28+'02_Видатки'!AE44+'02_Видатки'!AE60+'02_Видатки'!AE73+'02_Видатки'!AE101+'02_Видатки'!AE127+'02_Видатки'!AJ28+'02_Видатки'!AJ44+'02_Видатки'!AJ60+'02_Видатки'!AJ73+'02_Видатки'!AJ101+'02_Видатки'!AJ127)/('05_Фін_план'!H57+'05_Фін_план'!H60+'05_Фін_план'!H58+'05_Фін_план'!H61)</f>
        <v>0.28935947174306881</v>
      </c>
      <c r="I42" s="536"/>
      <c r="J42" s="517"/>
      <c r="K42" s="517"/>
      <c r="L42" s="517"/>
      <c r="M42" s="517"/>
      <c r="N42" s="517"/>
      <c r="O42" s="517"/>
      <c r="P42" s="517"/>
      <c r="Q42" s="517"/>
      <c r="R42" s="517"/>
      <c r="S42" s="274"/>
      <c r="T42" s="274"/>
      <c r="U42" s="274"/>
    </row>
    <row r="43" spans="2:21" s="273" customFormat="1" ht="50.45" customHeight="1">
      <c r="B43" s="524">
        <v>5</v>
      </c>
      <c r="C43" s="551" t="s">
        <v>205</v>
      </c>
      <c r="D43" s="528" t="s">
        <v>605</v>
      </c>
      <c r="E43" s="540">
        <v>0</v>
      </c>
      <c r="F43" s="540">
        <v>0</v>
      </c>
      <c r="G43" s="540">
        <v>0</v>
      </c>
      <c r="H43" s="540">
        <v>0</v>
      </c>
      <c r="I43" s="537"/>
      <c r="J43" s="517"/>
      <c r="K43" s="517"/>
      <c r="L43" s="517"/>
      <c r="M43" s="517"/>
      <c r="N43" s="517"/>
      <c r="O43" s="517"/>
      <c r="P43" s="517"/>
      <c r="Q43" s="517"/>
      <c r="R43" s="517"/>
      <c r="S43" s="274"/>
      <c r="T43" s="274"/>
      <c r="U43" s="274"/>
    </row>
    <row r="44" spans="2:21" s="273" customFormat="1" ht="40.5">
      <c r="B44" s="524">
        <v>6</v>
      </c>
      <c r="C44" s="551" t="s">
        <v>206</v>
      </c>
      <c r="D44" s="528" t="s">
        <v>600</v>
      </c>
      <c r="E44" s="540">
        <f ca="1">'05_Фін_план'!E67/'05_Фін_план'!E86</f>
        <v>6.5679677549246238E-2</v>
      </c>
      <c r="F44" s="540">
        <f ca="1">'05_Фін_план'!F67/'05_Фін_план'!F86</f>
        <v>1.689646433486925E-2</v>
      </c>
      <c r="G44" s="540">
        <f ca="1">'05_Фін_план'!G67/'05_Фін_план'!G86</f>
        <v>4.2290183178839612E-2</v>
      </c>
      <c r="H44" s="540">
        <f ca="1">'05_Фін_план'!H67/'05_Фін_план'!H86</f>
        <v>5.7647397939832389E-2</v>
      </c>
      <c r="I44" s="537"/>
      <c r="J44" s="517"/>
      <c r="K44" s="517"/>
      <c r="L44" s="517"/>
      <c r="M44" s="517"/>
      <c r="N44" s="517"/>
      <c r="O44" s="517"/>
      <c r="P44" s="517"/>
      <c r="Q44" s="517"/>
      <c r="R44" s="517"/>
      <c r="S44" s="274"/>
      <c r="T44" s="274"/>
      <c r="U44" s="274"/>
    </row>
    <row r="45" spans="2:21" s="273" customFormat="1" ht="40.5">
      <c r="B45" s="524">
        <v>7</v>
      </c>
      <c r="C45" s="551" t="s">
        <v>207</v>
      </c>
      <c r="D45" s="528" t="s">
        <v>202</v>
      </c>
      <c r="E45" s="535">
        <f ca="1">'05_Фін_план'!E77/'05_Фін_план'!E86</f>
        <v>3.6099462370994907E-2</v>
      </c>
      <c r="F45" s="535">
        <f ca="1">'05_Фін_план'!F77/'05_Фін_план'!F86</f>
        <v>1.6726430885893158E-2</v>
      </c>
      <c r="G45" s="535">
        <f ca="1">'05_Фін_план'!G77/'05_Фін_план'!G86</f>
        <v>3.98442166931187E-3</v>
      </c>
      <c r="H45" s="535">
        <f ca="1">'05_Фін_план'!H77/'05_Фін_план'!H86</f>
        <v>5.5977630807012681E-3</v>
      </c>
      <c r="I45" s="536"/>
      <c r="J45" s="517"/>
      <c r="K45" s="517"/>
      <c r="L45" s="517"/>
      <c r="M45" s="517"/>
      <c r="N45" s="517"/>
      <c r="O45" s="517"/>
      <c r="P45" s="517"/>
      <c r="Q45" s="517"/>
      <c r="R45" s="517"/>
      <c r="S45" s="274"/>
      <c r="T45" s="274"/>
      <c r="U45" s="274"/>
    </row>
    <row r="46" spans="2:21" s="273" customFormat="1" ht="40.5">
      <c r="B46" s="524">
        <v>8</v>
      </c>
      <c r="C46" s="551" t="s">
        <v>208</v>
      </c>
      <c r="D46" s="528">
        <v>5</v>
      </c>
      <c r="E46" s="540">
        <f ca="1">'05_Фін_план'!E84/'05_Фін_план'!E86</f>
        <v>0</v>
      </c>
      <c r="F46" s="540">
        <f ca="1">'05_Фін_план'!F84/'05_Фін_план'!F86</f>
        <v>0</v>
      </c>
      <c r="G46" s="540">
        <f ca="1">'05_Фін_план'!G84/'05_Фін_план'!G86</f>
        <v>0</v>
      </c>
      <c r="H46" s="540">
        <f ca="1">'05_Фін_план'!H84/'05_Фін_план'!H86</f>
        <v>0</v>
      </c>
      <c r="I46" s="536"/>
      <c r="J46" s="517"/>
      <c r="K46" s="517"/>
      <c r="L46" s="517"/>
      <c r="M46" s="517"/>
      <c r="N46" s="517"/>
      <c r="O46" s="517"/>
      <c r="P46" s="517"/>
      <c r="Q46" s="517"/>
      <c r="R46" s="517"/>
      <c r="S46" s="274"/>
      <c r="T46" s="274"/>
      <c r="U46" s="274"/>
    </row>
    <row r="47" spans="2:21" s="273" customFormat="1" ht="20.25">
      <c r="J47" s="517"/>
      <c r="K47" s="517"/>
      <c r="L47" s="517"/>
      <c r="M47" s="517"/>
      <c r="N47" s="517"/>
      <c r="O47" s="517"/>
      <c r="P47" s="517"/>
      <c r="Q47" s="517"/>
      <c r="R47" s="517"/>
      <c r="S47" s="274"/>
      <c r="T47" s="274"/>
      <c r="U47" s="274"/>
    </row>
  </sheetData>
  <mergeCells count="24">
    <mergeCell ref="J20:Q20"/>
    <mergeCell ref="D25:D26"/>
    <mergeCell ref="J24:Q24"/>
    <mergeCell ref="D7:E7"/>
    <mergeCell ref="D8:E8"/>
    <mergeCell ref="J13:K13"/>
    <mergeCell ref="L13:M13"/>
    <mergeCell ref="N13:O13"/>
    <mergeCell ref="P13:Q13"/>
    <mergeCell ref="D9:E9"/>
    <mergeCell ref="A2:AF2"/>
    <mergeCell ref="C5:G5"/>
    <mergeCell ref="E12:H12"/>
    <mergeCell ref="B4:H4"/>
    <mergeCell ref="G7:H8"/>
    <mergeCell ref="J12:Q12"/>
    <mergeCell ref="R12:U12"/>
    <mergeCell ref="B38:H38"/>
    <mergeCell ref="B14:H14"/>
    <mergeCell ref="B12:B13"/>
    <mergeCell ref="C12:C13"/>
    <mergeCell ref="D12:D13"/>
    <mergeCell ref="B29:H29"/>
    <mergeCell ref="C33:H33"/>
  </mergeCells>
  <phoneticPr fontId="0" type="noConversion"/>
  <conditionalFormatting sqref="E16:H16">
    <cfRule type="cellIs" dxfId="32" priority="28" operator="greaterThan">
      <formula>900</formula>
    </cfRule>
  </conditionalFormatting>
  <conditionalFormatting sqref="E17:H17">
    <cfRule type="cellIs" dxfId="31" priority="27" operator="greaterThan">
      <formula>1800</formula>
    </cfRule>
  </conditionalFormatting>
  <conditionalFormatting sqref="E18:H18">
    <cfRule type="cellIs" dxfId="30" priority="26" operator="greaterThan">
      <formula>2000</formula>
    </cfRule>
  </conditionalFormatting>
  <conditionalFormatting sqref="E21:H21">
    <cfRule type="cellIs" dxfId="29" priority="25" operator="greaterThan">
      <formula>450</formula>
    </cfRule>
  </conditionalFormatting>
  <conditionalFormatting sqref="E22:H22">
    <cfRule type="cellIs" dxfId="28" priority="24" operator="greaterThan">
      <formula>900</formula>
    </cfRule>
  </conditionalFormatting>
  <conditionalFormatting sqref="E23:H23">
    <cfRule type="cellIs" dxfId="27" priority="23" operator="greaterThan">
      <formula>1000</formula>
    </cfRule>
  </conditionalFormatting>
  <conditionalFormatting sqref="E25">
    <cfRule type="cellIs" dxfId="26" priority="22" operator="lessThan">
      <formula>$E$19</formula>
    </cfRule>
  </conditionalFormatting>
  <conditionalFormatting sqref="F25">
    <cfRule type="cellIs" dxfId="25" priority="21" operator="lessThan">
      <formula>$F$19</formula>
    </cfRule>
  </conditionalFormatting>
  <conditionalFormatting sqref="G25">
    <cfRule type="cellIs" dxfId="24" priority="20" operator="lessThan">
      <formula>$G$19</formula>
    </cfRule>
  </conditionalFormatting>
  <conditionalFormatting sqref="H25">
    <cfRule type="cellIs" dxfId="23" priority="19" operator="lessThan">
      <formula>$H$19</formula>
    </cfRule>
  </conditionalFormatting>
  <conditionalFormatting sqref="E26">
    <cfRule type="cellIs" dxfId="22" priority="18" operator="lessThan">
      <formula>$E$19</formula>
    </cfRule>
  </conditionalFormatting>
  <conditionalFormatting sqref="F26">
    <cfRule type="cellIs" dxfId="21" priority="17" operator="lessThan">
      <formula>$F$19</formula>
    </cfRule>
  </conditionalFormatting>
  <conditionalFormatting sqref="G26">
    <cfRule type="cellIs" dxfId="20" priority="16" operator="lessThan">
      <formula>$G$19</formula>
    </cfRule>
  </conditionalFormatting>
  <conditionalFormatting sqref="H26">
    <cfRule type="cellIs" dxfId="19" priority="15" operator="lessThan">
      <formula>$H$19</formula>
    </cfRule>
  </conditionalFormatting>
  <conditionalFormatting sqref="E28:H28">
    <cfRule type="cellIs" dxfId="18" priority="14" operator="lessThan">
      <formula>1</formula>
    </cfRule>
  </conditionalFormatting>
  <conditionalFormatting sqref="E30:H30">
    <cfRule type="cellIs" dxfId="17" priority="12" operator="between">
      <formula>0.7</formula>
      <formula>0.9</formula>
    </cfRule>
    <cfRule type="cellIs" dxfId="16" priority="13" operator="between">
      <formula>70</formula>
      <formula>90</formula>
    </cfRule>
  </conditionalFormatting>
  <conditionalFormatting sqref="E31:H31">
    <cfRule type="cellIs" dxfId="15" priority="11" operator="greaterThanOrEqual">
      <formula>0.1</formula>
    </cfRule>
  </conditionalFormatting>
  <conditionalFormatting sqref="E32:H32">
    <cfRule type="cellIs" dxfId="14" priority="10" operator="lessThan">
      <formula>125</formula>
    </cfRule>
  </conditionalFormatting>
  <conditionalFormatting sqref="E34:H34">
    <cfRule type="cellIs" dxfId="13" priority="9" operator="lessThan">
      <formula>210000</formula>
    </cfRule>
  </conditionalFormatting>
  <conditionalFormatting sqref="E35:H35">
    <cfRule type="cellIs" dxfId="12" priority="8" operator="lessThan">
      <formula>230000</formula>
    </cfRule>
  </conditionalFormatting>
  <conditionalFormatting sqref="E36:H36">
    <cfRule type="cellIs" dxfId="11" priority="7" operator="lessThan">
      <formula>210000</formula>
    </cfRule>
  </conditionalFormatting>
  <conditionalFormatting sqref="E39:H39">
    <cfRule type="cellIs" dxfId="10" priority="6" operator="greaterThan">
      <formula>0.2</formula>
    </cfRule>
  </conditionalFormatting>
  <conditionalFormatting sqref="E40:H40">
    <cfRule type="cellIs" dxfId="9" priority="5" operator="lessThan">
      <formula>0.4</formula>
    </cfRule>
  </conditionalFormatting>
  <conditionalFormatting sqref="E41:H41">
    <cfRule type="cellIs" dxfId="8" priority="4" operator="between">
      <formula>0.7</formula>
      <formula>0.9</formula>
    </cfRule>
  </conditionalFormatting>
  <conditionalFormatting sqref="E42:H42">
    <cfRule type="cellIs" dxfId="7" priority="3" operator="greaterThan">
      <formula>0.4</formula>
    </cfRule>
  </conditionalFormatting>
  <conditionalFormatting sqref="E43:H43">
    <cfRule type="cellIs" dxfId="6" priority="2" operator="greaterThan">
      <formula>0.3</formula>
    </cfRule>
  </conditionalFormatting>
  <conditionalFormatting sqref="E44:H44">
    <cfRule type="cellIs" dxfId="5" priority="1" operator="greaterThan">
      <formula>0.1</formula>
    </cfRule>
  </conditionalFormatting>
  <pageMargins left="0.7" right="0.7" top="0.75" bottom="0.75" header="0.3" footer="0.3"/>
  <pageSetup paperSize="9" scale="36" orientation="portrait" r:id="rId1"/>
  <ignoredErrors>
    <ignoredError sqref="E20:H20 G34:H34 E35:H36 E34:F34 F27:H27 E28:H28 E27 E22:H22 E45:H46 E44:H44 E37 E41:H41 F16:H16 F17:G17 E31:H31 F21:G21 H21 F23 E23 G23:H23 F26:G26 F25:H25 E26 H26 E39:H39 E40:H40 E42:H42 E30 G30:H30 H32 G37:H37 E19:H19 F18:H18" evalError="1"/>
  </ignoredErrors>
</worksheet>
</file>

<file path=xl/worksheets/sheet9.xml><?xml version="1.0" encoding="utf-8"?>
<worksheet xmlns="http://schemas.openxmlformats.org/spreadsheetml/2006/main" xmlns:r="http://schemas.openxmlformats.org/officeDocument/2006/relationships">
  <sheetPr>
    <tabColor rgb="FFC00000"/>
  </sheetPr>
  <dimension ref="A1:J371"/>
  <sheetViews>
    <sheetView showGridLines="0" tabSelected="1" view="pageBreakPreview" topLeftCell="B1" zoomScaleSheetLayoutView="100" workbookViewId="0">
      <selection activeCell="G7" sqref="G7"/>
    </sheetView>
  </sheetViews>
  <sheetFormatPr defaultColWidth="16.5703125" defaultRowHeight="18.75"/>
  <cols>
    <col min="1" max="1" width="93.140625" style="3" customWidth="1"/>
    <col min="2" max="2" width="17.85546875" style="4" customWidth="1"/>
    <col min="3" max="3" width="19.7109375" style="4" customWidth="1"/>
    <col min="4" max="4" width="17.42578125" style="3" customWidth="1"/>
    <col min="5" max="5" width="16.28515625" style="3" customWidth="1"/>
    <col min="6" max="6" width="20" style="3" customWidth="1"/>
    <col min="7" max="7" width="18.5703125" style="3" customWidth="1"/>
    <col min="8" max="8" width="20.7109375" style="3" customWidth="1"/>
    <col min="9" max="10" width="13" style="3" bestFit="1" customWidth="1"/>
    <col min="11" max="253" width="9.140625" style="3" customWidth="1"/>
    <col min="254" max="254" width="93.140625" style="3" customWidth="1"/>
    <col min="255" max="255" width="17.85546875" style="3" customWidth="1"/>
    <col min="256" max="16384" width="16.5703125" style="3"/>
  </cols>
  <sheetData>
    <row r="1" spans="1:9" s="1" customFormat="1" ht="20.25">
      <c r="A1" s="2"/>
      <c r="B1" s="2"/>
      <c r="C1" s="2"/>
      <c r="D1" s="2"/>
      <c r="E1" s="759"/>
      <c r="F1" s="760"/>
      <c r="G1" s="759"/>
      <c r="H1" s="759"/>
    </row>
    <row r="2" spans="1:9" s="1" customFormat="1" ht="20.25">
      <c r="A2" s="3"/>
      <c r="B2" s="2"/>
      <c r="C2" s="2"/>
      <c r="D2" s="2"/>
      <c r="E2" s="759"/>
      <c r="F2" s="760"/>
      <c r="G2" s="759"/>
      <c r="H2" s="759"/>
    </row>
    <row r="3" spans="1:9" s="1" customFormat="1" ht="20.25">
      <c r="A3" s="3"/>
    </row>
    <row r="4" spans="1:9" s="1" customFormat="1" ht="20.25">
      <c r="A4" s="2"/>
      <c r="B4" s="2"/>
      <c r="C4" s="2"/>
      <c r="D4" s="2"/>
      <c r="E4" s="2" t="s">
        <v>238</v>
      </c>
      <c r="G4" s="2"/>
      <c r="H4" s="2"/>
    </row>
    <row r="5" spans="1:9" s="1" customFormat="1" ht="20.25">
      <c r="A5" s="2"/>
      <c r="B5" s="2"/>
      <c r="C5" s="2"/>
      <c r="D5" s="2"/>
      <c r="E5" s="802" t="s">
        <v>15</v>
      </c>
      <c r="F5" s="12"/>
      <c r="G5" s="802"/>
      <c r="H5" s="802"/>
      <c r="I5" s="3"/>
    </row>
    <row r="6" spans="1:9" s="1" customFormat="1" ht="20.25">
      <c r="A6" s="1237"/>
      <c r="B6" s="2"/>
      <c r="C6" s="2"/>
      <c r="D6" s="2"/>
      <c r="E6" s="31" t="s">
        <v>14</v>
      </c>
      <c r="F6" s="32"/>
      <c r="G6" s="31"/>
      <c r="H6" s="31"/>
    </row>
    <row r="7" spans="1:9" s="1" customFormat="1" ht="20.25">
      <c r="A7" s="1237"/>
      <c r="E7" s="1" t="s">
        <v>239</v>
      </c>
    </row>
    <row r="8" spans="1:9" s="1" customFormat="1" ht="20.25">
      <c r="A8" s="1237"/>
      <c r="B8" s="2" t="s">
        <v>172</v>
      </c>
      <c r="C8" s="2"/>
      <c r="D8" s="2"/>
      <c r="E8" s="31" t="s">
        <v>172</v>
      </c>
      <c r="F8" s="800" t="s">
        <v>12</v>
      </c>
      <c r="G8" s="31"/>
      <c r="H8" s="31"/>
    </row>
    <row r="9" spans="1:9" s="1" customFormat="1" ht="20.25">
      <c r="A9" s="1237"/>
      <c r="E9" s="1" t="s">
        <v>10</v>
      </c>
    </row>
    <row r="10" spans="1:9" s="1" customFormat="1" ht="20.25">
      <c r="A10" s="1237"/>
      <c r="B10" s="2"/>
      <c r="C10" s="2"/>
      <c r="D10" s="2"/>
      <c r="E10" s="31"/>
      <c r="F10" s="32"/>
      <c r="G10" s="31"/>
      <c r="H10" s="2"/>
    </row>
    <row r="11" spans="1:9" s="1" customFormat="1" ht="20.25">
      <c r="A11" s="1237"/>
      <c r="B11" s="2"/>
      <c r="C11" s="2"/>
      <c r="D11" s="2"/>
      <c r="E11" s="1210" t="s">
        <v>240</v>
      </c>
      <c r="F11" s="1210"/>
      <c r="G11" s="1210"/>
      <c r="H11" s="2"/>
    </row>
    <row r="12" spans="1:9" ht="18.75" customHeight="1">
      <c r="A12" s="1237"/>
    </row>
    <row r="13" spans="1:9">
      <c r="A13" s="1237"/>
    </row>
    <row r="14" spans="1:9">
      <c r="A14" s="1237"/>
    </row>
    <row r="15" spans="1:9">
      <c r="A15" s="1237"/>
    </row>
    <row r="16" spans="1:9">
      <c r="A16" s="1237"/>
      <c r="F16" s="1211" t="s">
        <v>13</v>
      </c>
      <c r="G16" s="1211"/>
      <c r="H16" s="35" t="s">
        <v>112</v>
      </c>
    </row>
    <row r="17" spans="1:8">
      <c r="A17" s="1238"/>
      <c r="F17" s="1211" t="s">
        <v>241</v>
      </c>
      <c r="G17" s="1211"/>
      <c r="H17" s="35"/>
    </row>
    <row r="18" spans="1:8">
      <c r="A18" s="724"/>
      <c r="F18" s="1211" t="s">
        <v>242</v>
      </c>
      <c r="G18" s="1211"/>
      <c r="H18" s="35"/>
    </row>
    <row r="19" spans="1:8">
      <c r="F19" s="1211" t="s">
        <v>243</v>
      </c>
      <c r="G19" s="1211"/>
      <c r="H19" s="35"/>
    </row>
    <row r="20" spans="1:8">
      <c r="F20" s="1230" t="s">
        <v>244</v>
      </c>
      <c r="G20" s="1230"/>
      <c r="H20" s="1230"/>
    </row>
    <row r="23" spans="1:8">
      <c r="A23" s="37" t="s">
        <v>103</v>
      </c>
      <c r="B23" s="1215">
        <v>2022</v>
      </c>
      <c r="C23" s="1215"/>
      <c r="D23" s="1215"/>
      <c r="E23" s="1216"/>
      <c r="F23" s="1212" t="s">
        <v>245</v>
      </c>
      <c r="G23" s="1213"/>
      <c r="H23" s="1214"/>
    </row>
    <row r="24" spans="1:8" ht="91.5" customHeight="1">
      <c r="A24" s="725" t="s">
        <v>104</v>
      </c>
      <c r="B24" s="1206" t="s">
        <v>116</v>
      </c>
      <c r="C24" s="1206"/>
      <c r="D24" s="1206"/>
      <c r="E24" s="1207"/>
      <c r="F24" s="1208" t="s">
        <v>246</v>
      </c>
      <c r="G24" s="1209"/>
      <c r="H24" s="6">
        <v>38541660</v>
      </c>
    </row>
    <row r="25" spans="1:8" ht="45" customHeight="1">
      <c r="A25" s="36" t="s">
        <v>247</v>
      </c>
      <c r="B25" s="1206" t="s">
        <v>0</v>
      </c>
      <c r="C25" s="1206"/>
      <c r="D25" s="1206"/>
      <c r="E25" s="1207"/>
      <c r="F25" s="1208" t="s">
        <v>248</v>
      </c>
      <c r="G25" s="1209"/>
      <c r="H25" s="6">
        <v>150</v>
      </c>
    </row>
    <row r="26" spans="1:8" ht="20.25">
      <c r="A26" s="36" t="s">
        <v>249</v>
      </c>
      <c r="B26" s="1206" t="s">
        <v>1</v>
      </c>
      <c r="C26" s="1206"/>
      <c r="D26" s="1206"/>
      <c r="E26" s="1207"/>
      <c r="F26" s="1208" t="s">
        <v>250</v>
      </c>
      <c r="G26" s="1209"/>
      <c r="H26" s="6" t="s">
        <v>2</v>
      </c>
    </row>
    <row r="27" spans="1:8" ht="20.25">
      <c r="A27" s="36" t="s">
        <v>251</v>
      </c>
      <c r="B27" s="1206" t="s">
        <v>3</v>
      </c>
      <c r="C27" s="1206"/>
      <c r="D27" s="1206"/>
      <c r="E27" s="1207"/>
      <c r="F27" s="1208" t="s">
        <v>4</v>
      </c>
      <c r="G27" s="1209"/>
      <c r="H27" s="6">
        <v>17184</v>
      </c>
    </row>
    <row r="28" spans="1:8" ht="18.75" customHeight="1">
      <c r="A28" s="36" t="s">
        <v>252</v>
      </c>
      <c r="B28" s="1206" t="s">
        <v>111</v>
      </c>
      <c r="C28" s="1206"/>
      <c r="D28" s="1206"/>
      <c r="E28" s="1207"/>
      <c r="F28" s="1208" t="s">
        <v>253</v>
      </c>
      <c r="G28" s="1209"/>
      <c r="H28" s="6"/>
    </row>
    <row r="29" spans="1:8" ht="20.25">
      <c r="A29" s="36" t="s">
        <v>254</v>
      </c>
      <c r="B29" s="1206" t="s">
        <v>110</v>
      </c>
      <c r="C29" s="1206"/>
      <c r="D29" s="1206"/>
      <c r="E29" s="1207"/>
      <c r="F29" s="1208" t="s">
        <v>255</v>
      </c>
      <c r="G29" s="1209"/>
      <c r="H29" s="6" t="s">
        <v>105</v>
      </c>
    </row>
    <row r="30" spans="1:8" ht="20.25">
      <c r="A30" s="36" t="s">
        <v>256</v>
      </c>
      <c r="B30" s="1206" t="s">
        <v>5</v>
      </c>
      <c r="C30" s="1206"/>
      <c r="D30" s="1206"/>
      <c r="E30" s="729"/>
      <c r="F30" s="8"/>
      <c r="G30" s="9"/>
      <c r="H30" s="10"/>
    </row>
    <row r="31" spans="1:8" ht="20.25">
      <c r="A31" s="36" t="s">
        <v>257</v>
      </c>
      <c r="B31" s="1206" t="s">
        <v>109</v>
      </c>
      <c r="C31" s="1206"/>
      <c r="D31" s="1206"/>
      <c r="E31" s="1207"/>
      <c r="F31" s="11"/>
      <c r="G31" s="12"/>
      <c r="H31" s="13"/>
    </row>
    <row r="32" spans="1:8" ht="21" customHeight="1">
      <c r="A32" s="36" t="s">
        <v>258</v>
      </c>
      <c r="B32" s="1235">
        <v>130</v>
      </c>
      <c r="C32" s="1235"/>
      <c r="D32" s="1235"/>
      <c r="E32" s="1236"/>
      <c r="F32" s="1234" t="s">
        <v>259</v>
      </c>
      <c r="G32" s="1207"/>
      <c r="H32" s="14"/>
    </row>
    <row r="33" spans="1:8" ht="43.5" customHeight="1">
      <c r="A33" s="36" t="s">
        <v>260</v>
      </c>
      <c r="B33" s="1206" t="s">
        <v>147</v>
      </c>
      <c r="C33" s="1206"/>
      <c r="D33" s="1206"/>
      <c r="E33" s="1206"/>
      <c r="F33" s="1234" t="s">
        <v>261</v>
      </c>
      <c r="G33" s="1207"/>
      <c r="H33" s="15"/>
    </row>
    <row r="34" spans="1:8" ht="20.25">
      <c r="A34" s="36" t="s">
        <v>262</v>
      </c>
      <c r="B34" s="1206" t="s">
        <v>108</v>
      </c>
      <c r="C34" s="1206"/>
      <c r="D34" s="1206"/>
      <c r="E34" s="1206"/>
      <c r="F34" s="5"/>
      <c r="G34" s="5"/>
      <c r="H34" s="16"/>
    </row>
    <row r="35" spans="1:8" ht="20.25">
      <c r="A35" s="36" t="s">
        <v>106</v>
      </c>
      <c r="B35" s="1206" t="s">
        <v>107</v>
      </c>
      <c r="C35" s="1206"/>
      <c r="D35" s="1206"/>
      <c r="E35" s="17"/>
      <c r="F35" s="7"/>
      <c r="G35" s="7"/>
      <c r="H35" s="18"/>
    </row>
    <row r="37" spans="1:8" ht="20.25">
      <c r="A37" s="1239" t="s">
        <v>122</v>
      </c>
      <c r="B37" s="1239"/>
      <c r="C37" s="1239"/>
      <c r="D37" s="1239"/>
      <c r="E37" s="1239"/>
      <c r="F37" s="1239"/>
      <c r="G37" s="1239"/>
      <c r="H37" s="1239"/>
    </row>
    <row r="38" spans="1:8">
      <c r="A38" s="19"/>
      <c r="B38" s="58"/>
      <c r="C38" s="19"/>
      <c r="D38" s="19"/>
      <c r="E38" s="19"/>
      <c r="F38" s="19"/>
      <c r="G38" s="19"/>
      <c r="H38" s="19"/>
    </row>
    <row r="39" spans="1:8" ht="51" customHeight="1">
      <c r="A39" s="1230" t="s">
        <v>263</v>
      </c>
      <c r="B39" s="1240" t="s">
        <v>264</v>
      </c>
      <c r="C39" s="1240" t="s">
        <v>392</v>
      </c>
      <c r="D39" s="1240" t="s">
        <v>265</v>
      </c>
      <c r="E39" s="1240" t="s">
        <v>393</v>
      </c>
      <c r="F39" s="1240"/>
      <c r="G39" s="1240"/>
      <c r="H39" s="1240"/>
    </row>
    <row r="40" spans="1:8" ht="60.6" customHeight="1">
      <c r="A40" s="1230"/>
      <c r="B40" s="1240"/>
      <c r="C40" s="1240"/>
      <c r="D40" s="1240"/>
      <c r="E40" s="20" t="s">
        <v>266</v>
      </c>
      <c r="F40" s="20" t="s">
        <v>267</v>
      </c>
      <c r="G40" s="20" t="s">
        <v>268</v>
      </c>
      <c r="H40" s="20" t="s">
        <v>269</v>
      </c>
    </row>
    <row r="41" spans="1:8" ht="18" customHeight="1">
      <c r="A41" s="35">
        <v>1</v>
      </c>
      <c r="B41" s="34">
        <v>2</v>
      </c>
      <c r="C41" s="34">
        <v>4</v>
      </c>
      <c r="D41" s="34">
        <v>6</v>
      </c>
      <c r="E41" s="34">
        <v>7</v>
      </c>
      <c r="F41" s="34">
        <v>8</v>
      </c>
      <c r="G41" s="34">
        <v>9</v>
      </c>
      <c r="H41" s="34">
        <v>10</v>
      </c>
    </row>
    <row r="42" spans="1:8" ht="18" customHeight="1">
      <c r="A42" s="1223" t="s">
        <v>394</v>
      </c>
      <c r="B42" s="1224"/>
      <c r="C42" s="1224"/>
      <c r="D42" s="1224"/>
      <c r="E42" s="1224"/>
      <c r="F42" s="1224"/>
      <c r="G42" s="1224"/>
      <c r="H42" s="1225"/>
    </row>
    <row r="43" spans="1:8" s="21" customFormat="1" ht="20.100000000000001" customHeight="1">
      <c r="A43" s="1223" t="s">
        <v>270</v>
      </c>
      <c r="B43" s="1224"/>
      <c r="C43" s="1224"/>
      <c r="D43" s="1224"/>
      <c r="E43" s="1224"/>
      <c r="F43" s="1224"/>
      <c r="G43" s="1224"/>
      <c r="H43" s="1225"/>
    </row>
    <row r="44" spans="1:8" ht="21" customHeight="1">
      <c r="A44" s="22" t="s">
        <v>271</v>
      </c>
      <c r="B44" s="47">
        <v>1010</v>
      </c>
      <c r="C44" s="42">
        <f>D44</f>
        <v>27765063.165615506</v>
      </c>
      <c r="D44" s="41">
        <f>E44+F44+G44+H44</f>
        <v>27765063.165615506</v>
      </c>
      <c r="E44" s="41">
        <f ca="1">'01_Доходи'!E23+'01_Доходи'!D1363+'01_Доходи'!D1364</f>
        <v>6976731.0240491508</v>
      </c>
      <c r="F44" s="41">
        <f ca="1">'01_Доходи'!F23+'01_Доходи'!E1363+'01_Доходи'!E1364</f>
        <v>6929145.5677158171</v>
      </c>
      <c r="G44" s="41">
        <f ca="1">'01_Доходи'!G23+'01_Доходи'!F1363+'01_Доходи'!F1364</f>
        <v>6930984.1466221679</v>
      </c>
      <c r="H44" s="41">
        <f ca="1">'01_Доходи'!H23+'01_Доходи'!G1363+'01_Доходи'!G1364</f>
        <v>6928202.4272283698</v>
      </c>
    </row>
    <row r="45" spans="1:8">
      <c r="A45" s="22" t="s">
        <v>19</v>
      </c>
      <c r="B45" s="47">
        <v>1020</v>
      </c>
      <c r="C45" s="41">
        <f>D45</f>
        <v>3623498.85</v>
      </c>
      <c r="D45" s="41">
        <f>E45+F45+G45+H45</f>
        <v>3623498.85</v>
      </c>
      <c r="E45" s="41">
        <f ca="1">SUM(E46:E47)</f>
        <v>1069827.48</v>
      </c>
      <c r="F45" s="41">
        <f ca="1">SUM(F46:F47)</f>
        <v>673317.81</v>
      </c>
      <c r="G45" s="41">
        <f ca="1">SUM(G46:G47)</f>
        <v>866306</v>
      </c>
      <c r="H45" s="41">
        <f ca="1">SUM(H46:H47)</f>
        <v>1014047.56</v>
      </c>
    </row>
    <row r="46" spans="1:8" ht="26.25" customHeight="1">
      <c r="A46" s="733" t="s">
        <v>423</v>
      </c>
      <c r="B46" s="47">
        <v>1021</v>
      </c>
      <c r="C46" s="41">
        <f>D46</f>
        <v>1435738.85</v>
      </c>
      <c r="D46" s="41">
        <f t="shared" ref="D46:D54" si="0">E46+F46+G46+H46</f>
        <v>1435738.85</v>
      </c>
      <c r="E46" s="41">
        <f ca="1">'01_Доходи'!D1357</f>
        <v>522887.48</v>
      </c>
      <c r="F46" s="41">
        <f ca="1">'01_Доходи'!E1357</f>
        <v>126377.81</v>
      </c>
      <c r="G46" s="41">
        <f ca="1">'01_Доходи'!F1357</f>
        <v>319366</v>
      </c>
      <c r="H46" s="41">
        <f ca="1">'01_Доходи'!G1357</f>
        <v>467107.56000000006</v>
      </c>
    </row>
    <row r="47" spans="1:8" s="21" customFormat="1" ht="37.5">
      <c r="A47" s="733" t="s">
        <v>152</v>
      </c>
      <c r="B47" s="47">
        <v>1022</v>
      </c>
      <c r="C47" s="41">
        <f>D47</f>
        <v>2187760</v>
      </c>
      <c r="D47" s="41">
        <f t="shared" si="0"/>
        <v>2187760</v>
      </c>
      <c r="E47" s="41">
        <f ca="1">'01_Доходи'!D1358+'01_Доходи'!D1359+'01_Доходи'!D1360</f>
        <v>546940</v>
      </c>
      <c r="F47" s="41">
        <f ca="1">'01_Доходи'!E1358+'01_Доходи'!E1359+'01_Доходи'!E1360</f>
        <v>546940</v>
      </c>
      <c r="G47" s="41">
        <f ca="1">'01_Доходи'!F1358+'01_Доходи'!F1359+'01_Доходи'!F1360</f>
        <v>546940</v>
      </c>
      <c r="H47" s="41">
        <f ca="1">'01_Доходи'!G1358+'01_Доходи'!G1359+'01_Доходи'!G1360</f>
        <v>546940</v>
      </c>
    </row>
    <row r="48" spans="1:8" s="21" customFormat="1">
      <c r="A48" s="733" t="s">
        <v>114</v>
      </c>
      <c r="B48" s="47">
        <v>1023</v>
      </c>
      <c r="C48" s="41">
        <f>D48</f>
        <v>0</v>
      </c>
      <c r="D48" s="41">
        <f t="shared" si="0"/>
        <v>0</v>
      </c>
      <c r="E48" s="41">
        <v>0</v>
      </c>
      <c r="F48" s="41">
        <v>0</v>
      </c>
      <c r="G48" s="41">
        <v>0</v>
      </c>
      <c r="H48" s="41">
        <v>0</v>
      </c>
    </row>
    <row r="49" spans="1:10" s="21" customFormat="1">
      <c r="A49" s="22" t="s">
        <v>494</v>
      </c>
      <c r="B49" s="47">
        <v>1030</v>
      </c>
      <c r="C49" s="41">
        <f t="shared" ref="C49:C55" si="1">D49</f>
        <v>241269.57</v>
      </c>
      <c r="D49" s="41">
        <f>E49+F49+G49+H49</f>
        <v>241269.57</v>
      </c>
      <c r="E49" s="41">
        <f ca="1">SUM(E50:E52)+'01_Доходи'!D1368</f>
        <v>67096.679999999993</v>
      </c>
      <c r="F49" s="41">
        <f ca="1">SUM(F50:F52)+'01_Доходи'!E1368</f>
        <v>58564.6</v>
      </c>
      <c r="G49" s="41">
        <f ca="1">SUM(G50:G52)+'01_Доходи'!F1368</f>
        <v>36173.29</v>
      </c>
      <c r="H49" s="41">
        <f ca="1">SUM(H50:H52)+'01_Доходи'!G1368</f>
        <v>79435</v>
      </c>
    </row>
    <row r="50" spans="1:10" s="21" customFormat="1">
      <c r="A50" s="23" t="s">
        <v>273</v>
      </c>
      <c r="B50" s="35">
        <v>1031</v>
      </c>
      <c r="C50" s="41">
        <f t="shared" si="1"/>
        <v>115740</v>
      </c>
      <c r="D50" s="41">
        <f t="shared" si="0"/>
        <v>115740</v>
      </c>
      <c r="E50" s="41">
        <f ca="1">'01_Доходи'!D1365</f>
        <v>28935</v>
      </c>
      <c r="F50" s="41">
        <f ca="1">'01_Доходи'!E1365</f>
        <v>28935</v>
      </c>
      <c r="G50" s="41">
        <f ca="1">'01_Доходи'!F1365</f>
        <v>28935</v>
      </c>
      <c r="H50" s="41">
        <f ca="1">'01_Доходи'!G1365</f>
        <v>28935</v>
      </c>
    </row>
    <row r="51" spans="1:10" s="21" customFormat="1">
      <c r="A51" s="23" t="s">
        <v>455</v>
      </c>
      <c r="B51" s="35">
        <v>1032</v>
      </c>
      <c r="C51" s="41">
        <f t="shared" si="1"/>
        <v>5000</v>
      </c>
      <c r="D51" s="41">
        <f t="shared" si="0"/>
        <v>5000</v>
      </c>
      <c r="E51" s="41">
        <f ca="1">'01_Доходи'!D1367</f>
        <v>0</v>
      </c>
      <c r="F51" s="41">
        <f ca="1">'01_Доходи'!E1367</f>
        <v>0</v>
      </c>
      <c r="G51" s="41">
        <f ca="1">'01_Доходи'!F1367</f>
        <v>0</v>
      </c>
      <c r="H51" s="41">
        <f ca="1">'01_Доходи'!G1367</f>
        <v>5000</v>
      </c>
    </row>
    <row r="52" spans="1:10" s="21" customFormat="1">
      <c r="A52" s="728" t="s">
        <v>113</v>
      </c>
      <c r="B52" s="35">
        <v>1033</v>
      </c>
      <c r="C52" s="41">
        <f t="shared" si="1"/>
        <v>120529.56999999999</v>
      </c>
      <c r="D52" s="41">
        <f t="shared" si="0"/>
        <v>120529.56999999999</v>
      </c>
      <c r="E52" s="41">
        <f ca="1">'01_Доходи'!D1369</f>
        <v>38161.68</v>
      </c>
      <c r="F52" s="41">
        <f ca="1">'01_Доходи'!E1369</f>
        <v>29629.599999999999</v>
      </c>
      <c r="G52" s="41">
        <f ca="1">'01_Доходи'!F1369</f>
        <v>7238.29</v>
      </c>
      <c r="H52" s="41">
        <f ca="1">'01_Доходи'!G1369</f>
        <v>45500</v>
      </c>
    </row>
    <row r="53" spans="1:10" s="21" customFormat="1">
      <c r="A53" s="22" t="s">
        <v>454</v>
      </c>
      <c r="B53" s="35">
        <v>1040</v>
      </c>
      <c r="C53" s="41">
        <f t="shared" si="1"/>
        <v>148467</v>
      </c>
      <c r="D53" s="41">
        <f t="shared" si="0"/>
        <v>148467</v>
      </c>
      <c r="E53" s="41">
        <f ca="1">E55+E54</f>
        <v>37118</v>
      </c>
      <c r="F53" s="41">
        <f ca="1">F55+F54</f>
        <v>37073</v>
      </c>
      <c r="G53" s="41">
        <f ca="1">G55+G54</f>
        <v>37138</v>
      </c>
      <c r="H53" s="41">
        <f ca="1">H55+H54</f>
        <v>37138</v>
      </c>
    </row>
    <row r="54" spans="1:10" s="21" customFormat="1">
      <c r="A54" s="23" t="s">
        <v>456</v>
      </c>
      <c r="B54" s="35">
        <v>1041</v>
      </c>
      <c r="C54" s="41">
        <f t="shared" si="1"/>
        <v>3915</v>
      </c>
      <c r="D54" s="41">
        <f t="shared" si="0"/>
        <v>3915</v>
      </c>
      <c r="E54" s="41">
        <f ca="1">'01_Доходи'!D1366</f>
        <v>980</v>
      </c>
      <c r="F54" s="41">
        <f ca="1">'01_Доходи'!E1366</f>
        <v>935</v>
      </c>
      <c r="G54" s="41">
        <f ca="1">'01_Доходи'!F1366</f>
        <v>1000</v>
      </c>
      <c r="H54" s="41">
        <f ca="1">'01_Доходи'!G1366</f>
        <v>1000</v>
      </c>
    </row>
    <row r="55" spans="1:10" s="21" customFormat="1" ht="37.5">
      <c r="A55" s="728" t="s">
        <v>123</v>
      </c>
      <c r="B55" s="35">
        <v>1042</v>
      </c>
      <c r="C55" s="41">
        <f t="shared" si="1"/>
        <v>144552</v>
      </c>
      <c r="D55" s="41">
        <f>E55+F55+G55+H55</f>
        <v>144552</v>
      </c>
      <c r="E55" s="41">
        <f ca="1">'01_Доходи'!D1370</f>
        <v>36138</v>
      </c>
      <c r="F55" s="41">
        <f ca="1">'01_Доходи'!E1370</f>
        <v>36138</v>
      </c>
      <c r="G55" s="41">
        <f ca="1">'01_Доходи'!F1370</f>
        <v>36138</v>
      </c>
      <c r="H55" s="41">
        <f ca="1">'01_Доходи'!G1370</f>
        <v>36138</v>
      </c>
    </row>
    <row r="56" spans="1:10" ht="20.100000000000001" customHeight="1">
      <c r="A56" s="761" t="s">
        <v>275</v>
      </c>
      <c r="B56" s="762"/>
      <c r="C56" s="762"/>
      <c r="D56" s="762"/>
      <c r="E56" s="762"/>
      <c r="F56" s="762"/>
      <c r="G56" s="762"/>
      <c r="H56" s="763"/>
    </row>
    <row r="57" spans="1:10" ht="20.100000000000001" customHeight="1">
      <c r="A57" s="22" t="s">
        <v>276</v>
      </c>
      <c r="B57" s="35">
        <v>1050</v>
      </c>
      <c r="C57" s="42">
        <f>D57</f>
        <v>16732350</v>
      </c>
      <c r="D57" s="41">
        <f>E57+F57+G57+H57</f>
        <v>16732350</v>
      </c>
      <c r="E57" s="41">
        <f ca="1">'02_Видатки'!AQ44+'02_Видатки'!AQ60+'02_Видатки'!AQ73</f>
        <v>4148880</v>
      </c>
      <c r="F57" s="41">
        <f ca="1">'02_Видатки'!AR44+'02_Видатки'!AR60+'02_Видатки'!AR73</f>
        <v>4127850</v>
      </c>
      <c r="G57" s="41">
        <f ca="1">'02_Видатки'!AS44+'02_Видатки'!AS60+'02_Видатки'!AS73</f>
        <v>4177830</v>
      </c>
      <c r="H57" s="41">
        <f ca="1">'02_Видатки'!AT44+'02_Видатки'!AT60+'02_Видатки'!AT73</f>
        <v>4277790</v>
      </c>
      <c r="I57" s="730"/>
      <c r="J57" s="730"/>
    </row>
    <row r="58" spans="1:10" ht="20.100000000000001" customHeight="1">
      <c r="A58" s="22" t="s">
        <v>277</v>
      </c>
      <c r="B58" s="35">
        <v>1060</v>
      </c>
      <c r="C58" s="42">
        <f>D58</f>
        <v>3681117</v>
      </c>
      <c r="D58" s="41">
        <f>E58+F58+G58+H58</f>
        <v>3681117</v>
      </c>
      <c r="E58" s="41">
        <f ca="1">'02_Видатки'!BB44+'02_Видатки'!BB60+'02_Видатки'!BB73</f>
        <v>912753.6</v>
      </c>
      <c r="F58" s="41">
        <f ca="1">'02_Видатки'!BC44+'02_Видатки'!BC60+'02_Видатки'!BC73</f>
        <v>908127</v>
      </c>
      <c r="G58" s="41">
        <f ca="1">'02_Видатки'!BD44+'02_Видатки'!BD60+'02_Видатки'!BD73</f>
        <v>919122.6</v>
      </c>
      <c r="H58" s="41">
        <f ca="1">'02_Видатки'!BE44+'02_Видатки'!BE60+'02_Видатки'!BE73</f>
        <v>941113.8</v>
      </c>
      <c r="I58" s="730"/>
      <c r="J58" s="767"/>
    </row>
    <row r="59" spans="1:10">
      <c r="A59" s="56" t="s">
        <v>609</v>
      </c>
      <c r="B59" s="35">
        <v>1070</v>
      </c>
      <c r="C59" s="1213"/>
      <c r="D59" s="1213"/>
      <c r="E59" s="1213"/>
      <c r="F59" s="1213"/>
      <c r="G59" s="1213"/>
      <c r="H59" s="1214"/>
    </row>
    <row r="60" spans="1:10">
      <c r="A60" s="23" t="s">
        <v>714</v>
      </c>
      <c r="B60" s="35">
        <v>1071</v>
      </c>
      <c r="C60" s="42">
        <f>D60</f>
        <v>5202900</v>
      </c>
      <c r="D60" s="41">
        <f t="shared" ref="D60:D80" si="2">E60+F60+G60+H60</f>
        <v>5202900</v>
      </c>
      <c r="E60" s="41">
        <f ca="1">'02_Видатки'!AQ28+'02_Видатки'!AQ101+'02_Видатки'!AQ127</f>
        <v>1335825</v>
      </c>
      <c r="F60" s="41">
        <f ca="1">'02_Видатки'!AR28+'02_Видатки'!AR101+'02_Видатки'!AR127</f>
        <v>1265625</v>
      </c>
      <c r="G60" s="41">
        <f ca="1">'02_Видатки'!AS28+'02_Видатки'!AS101+'02_Видатки'!AS127</f>
        <v>1265625</v>
      </c>
      <c r="H60" s="41">
        <f ca="1">'02_Видатки'!AT28+'02_Видатки'!AT101+'02_Видатки'!AT127</f>
        <v>1335825</v>
      </c>
      <c r="I60" s="730"/>
    </row>
    <row r="61" spans="1:10">
      <c r="A61" s="23" t="s">
        <v>715</v>
      </c>
      <c r="B61" s="35">
        <v>1072</v>
      </c>
      <c r="C61" s="42">
        <f t="shared" ref="C61:C67" si="3">D61</f>
        <v>1081806</v>
      </c>
      <c r="D61" s="41">
        <f t="shared" si="2"/>
        <v>1081806</v>
      </c>
      <c r="E61" s="41">
        <f ca="1">'02_Видатки'!BB28+'02_Видатки'!BB101+'02_Видатки'!BB127</f>
        <v>278173.5</v>
      </c>
      <c r="F61" s="41">
        <f ca="1">'02_Видатки'!BC28+'02_Видатки'!BC101+'02_Видатки'!BC127</f>
        <v>262729.5</v>
      </c>
      <c r="G61" s="41">
        <f ca="1">'02_Видатки'!BD28+'02_Видатки'!BD101+'02_Видатки'!BD127</f>
        <v>262729.5</v>
      </c>
      <c r="H61" s="41">
        <f ca="1">'02_Видатки'!BE28+'02_Видатки'!BE101+'02_Видатки'!BE127</f>
        <v>278173.5</v>
      </c>
    </row>
    <row r="62" spans="1:10" ht="37.15" customHeight="1">
      <c r="A62" s="23" t="s">
        <v>716</v>
      </c>
      <c r="B62" s="35">
        <v>1073</v>
      </c>
      <c r="C62" s="42">
        <f t="shared" si="3"/>
        <v>0</v>
      </c>
      <c r="D62" s="41">
        <f t="shared" si="2"/>
        <v>0</v>
      </c>
      <c r="E62" s="41">
        <f ca="1">'03_МТО'!C157</f>
        <v>0</v>
      </c>
      <c r="F62" s="41">
        <f ca="1">'03_МТО'!D157</f>
        <v>0</v>
      </c>
      <c r="G62" s="41">
        <f ca="1">'03_МТО'!E157</f>
        <v>0</v>
      </c>
      <c r="H62" s="41">
        <f ca="1">'03_МТО'!F157</f>
        <v>0</v>
      </c>
    </row>
    <row r="63" spans="1:10">
      <c r="A63" s="46" t="s">
        <v>278</v>
      </c>
      <c r="B63" s="35">
        <v>1080</v>
      </c>
      <c r="C63" s="42">
        <f t="shared" si="3"/>
        <v>550000</v>
      </c>
      <c r="D63" s="41">
        <f t="shared" si="2"/>
        <v>550000</v>
      </c>
      <c r="E63" s="41">
        <f ca="1">'02_Видатки'!E182</f>
        <v>100000</v>
      </c>
      <c r="F63" s="41">
        <f ca="1">'02_Видатки'!F182</f>
        <v>150000</v>
      </c>
      <c r="G63" s="41">
        <f ca="1">'02_Видатки'!G182</f>
        <v>150000</v>
      </c>
      <c r="H63" s="41">
        <f ca="1">'02_Видатки'!H182</f>
        <v>150000</v>
      </c>
    </row>
    <row r="64" spans="1:10" ht="20.100000000000001" customHeight="1">
      <c r="A64" s="22" t="s">
        <v>279</v>
      </c>
      <c r="B64" s="35">
        <v>1090</v>
      </c>
      <c r="C64" s="42">
        <f t="shared" si="3"/>
        <v>0</v>
      </c>
      <c r="D64" s="41">
        <f t="shared" si="2"/>
        <v>0</v>
      </c>
      <c r="E64" s="41">
        <f ca="1">'02_Видатки'!E183</f>
        <v>0</v>
      </c>
      <c r="F64" s="41">
        <f ca="1">'02_Видатки'!F183</f>
        <v>0</v>
      </c>
      <c r="G64" s="41">
        <f ca="1">'02_Видатки'!G183</f>
        <v>0</v>
      </c>
      <c r="H64" s="41">
        <f ca="1">'02_Видатки'!H183</f>
        <v>0</v>
      </c>
    </row>
    <row r="65" spans="1:8" ht="20.100000000000001" customHeight="1">
      <c r="A65" s="22" t="s">
        <v>280</v>
      </c>
      <c r="B65" s="35">
        <v>1100</v>
      </c>
      <c r="C65" s="42">
        <f t="shared" si="3"/>
        <v>610500</v>
      </c>
      <c r="D65" s="41">
        <f t="shared" si="2"/>
        <v>610500</v>
      </c>
      <c r="E65" s="41">
        <f ca="1">'02_Видатки'!E184</f>
        <v>130000</v>
      </c>
      <c r="F65" s="41">
        <f ca="1">'02_Видатки'!F184</f>
        <v>157500</v>
      </c>
      <c r="G65" s="41">
        <f ca="1">'02_Видатки'!G184</f>
        <v>165500</v>
      </c>
      <c r="H65" s="41">
        <f ca="1">'02_Видатки'!H184</f>
        <v>157500</v>
      </c>
    </row>
    <row r="66" spans="1:8" ht="20.100000000000001" customHeight="1">
      <c r="A66" s="22" t="s">
        <v>281</v>
      </c>
      <c r="B66" s="35">
        <v>1110</v>
      </c>
      <c r="C66" s="42">
        <f t="shared" si="3"/>
        <v>140400</v>
      </c>
      <c r="D66" s="41">
        <f t="shared" si="2"/>
        <v>140400</v>
      </c>
      <c r="E66" s="41">
        <f ca="1">'02_Видатки'!AV28+'02_Видатки'!AV44+'02_Видатки'!AV60+'02_Видатки'!AV73+'02_Видатки'!AV101+'02_Видатки'!AV127</f>
        <v>35100</v>
      </c>
      <c r="F66" s="41">
        <f ca="1">'02_Видатки'!AW28+'02_Видатки'!AW44+'02_Видатки'!AW60+'02_Видатки'!AW73+'02_Видатки'!AW101+'02_Видатки'!AW127</f>
        <v>35100</v>
      </c>
      <c r="G66" s="41">
        <f ca="1">'02_Видатки'!AX28+'02_Видатки'!AX44+'02_Видатки'!AX60+'02_Видатки'!AX73+'02_Видатки'!AX101+'02_Видатки'!AX127</f>
        <v>35100</v>
      </c>
      <c r="H66" s="41">
        <f ca="1">'02_Видатки'!AY28+'02_Видатки'!AY44+'02_Видатки'!AY60+'02_Видатки'!AY73+'02_Видатки'!AY101+'02_Видатки'!AY127</f>
        <v>35100</v>
      </c>
    </row>
    <row r="67" spans="1:8" ht="19.899999999999999" customHeight="1">
      <c r="A67" s="22" t="s">
        <v>395</v>
      </c>
      <c r="B67" s="35">
        <v>1120</v>
      </c>
      <c r="C67" s="42">
        <f t="shared" si="3"/>
        <v>1435738.8371599999</v>
      </c>
      <c r="D67" s="41">
        <f>E67+F67+G67+H67</f>
        <v>1435738.8371599999</v>
      </c>
      <c r="E67" s="41">
        <f ca="1">SUM(E68:E73)</f>
        <v>527628.53622399992</v>
      </c>
      <c r="F67" s="41">
        <f ca="1">SUM(F68:F73)</f>
        <v>126270.694344</v>
      </c>
      <c r="G67" s="41">
        <f ca="1">SUM(G68:G73)</f>
        <v>318416.47311999998</v>
      </c>
      <c r="H67" s="41">
        <f ca="1">SUM(H68:H73)</f>
        <v>463423.13347199996</v>
      </c>
    </row>
    <row r="68" spans="1:8" ht="20.100000000000001" customHeight="1">
      <c r="A68" s="23" t="s">
        <v>708</v>
      </c>
      <c r="B68" s="35">
        <v>1121</v>
      </c>
      <c r="C68" s="42">
        <f t="shared" ref="C68:C76" si="4">D68</f>
        <v>218724.69099999999</v>
      </c>
      <c r="D68" s="41">
        <f t="shared" si="2"/>
        <v>218724.69099999999</v>
      </c>
      <c r="E68" s="41">
        <f ca="1">'02_Видатки'!E138</f>
        <v>114465.21800000001</v>
      </c>
      <c r="F68" s="41">
        <f ca="1">'02_Видатки'!F138</f>
        <v>7841.8890000000001</v>
      </c>
      <c r="G68" s="41">
        <f ca="1">'02_Видатки'!G138</f>
        <v>0</v>
      </c>
      <c r="H68" s="41">
        <f ca="1">'02_Видатки'!H138</f>
        <v>96417.584000000003</v>
      </c>
    </row>
    <row r="69" spans="1:8" ht="20.100000000000001" customHeight="1">
      <c r="A69" s="23" t="s">
        <v>709</v>
      </c>
      <c r="B69" s="35">
        <v>1122</v>
      </c>
      <c r="C69" s="42">
        <f t="shared" si="4"/>
        <v>3927.4800000000005</v>
      </c>
      <c r="D69" s="41">
        <f t="shared" si="2"/>
        <v>3927.4800000000005</v>
      </c>
      <c r="E69" s="41">
        <f ca="1">'02_Видатки'!E150+'02_Видатки'!E147+'02_Видатки'!E144</f>
        <v>1536.8400000000001</v>
      </c>
      <c r="F69" s="41">
        <f ca="1">'02_Видатки'!F150+'02_Видатки'!F147+'02_Видатки'!F144</f>
        <v>443.976</v>
      </c>
      <c r="G69" s="41">
        <f ca="1">'02_Видатки'!G150+'02_Видатки'!G147+'02_Видатки'!G144</f>
        <v>648.88800000000003</v>
      </c>
      <c r="H69" s="41">
        <f ca="1">'02_Видатки'!H150+'02_Видатки'!H147+'02_Видатки'!H144</f>
        <v>1297.7760000000001</v>
      </c>
    </row>
    <row r="70" spans="1:8" ht="20.100000000000001" customHeight="1">
      <c r="A70" s="23" t="s">
        <v>710</v>
      </c>
      <c r="B70" s="35">
        <v>1123</v>
      </c>
      <c r="C70" s="42">
        <f t="shared" si="4"/>
        <v>619264.32816000003</v>
      </c>
      <c r="D70" s="41">
        <f t="shared" si="2"/>
        <v>619264.32816000003</v>
      </c>
      <c r="E70" s="41">
        <f ca="1">'02_Видатки'!E163</f>
        <v>272103.66422399995</v>
      </c>
      <c r="F70" s="41">
        <f ca="1">'02_Видатки'!F163</f>
        <v>67836.569344000003</v>
      </c>
      <c r="G70" s="41">
        <f ca="1">'02_Видатки'!G163</f>
        <v>55647.85512</v>
      </c>
      <c r="H70" s="41">
        <f ca="1">'02_Видатки'!H163</f>
        <v>223676.23947199999</v>
      </c>
    </row>
    <row r="71" spans="1:8" ht="20.100000000000001" customHeight="1">
      <c r="A71" s="23" t="s">
        <v>711</v>
      </c>
      <c r="B71" s="35">
        <v>1124</v>
      </c>
      <c r="C71" s="42">
        <f t="shared" si="4"/>
        <v>75775.338000000003</v>
      </c>
      <c r="D71" s="41">
        <f t="shared" si="2"/>
        <v>75775.338000000003</v>
      </c>
      <c r="E71" s="41">
        <f ca="1">'02_Видатки'!E174</f>
        <v>35198.364000000001</v>
      </c>
      <c r="F71" s="41">
        <f ca="1">'02_Видатки'!F174</f>
        <v>6733.01</v>
      </c>
      <c r="G71" s="41">
        <f ca="1">'02_Видатки'!G174</f>
        <v>2097.88</v>
      </c>
      <c r="H71" s="41">
        <f ca="1">'02_Видатки'!H174</f>
        <v>31746.083999999999</v>
      </c>
    </row>
    <row r="72" spans="1:8" ht="20.100000000000001" customHeight="1">
      <c r="A72" s="23" t="s">
        <v>712</v>
      </c>
      <c r="B72" s="35">
        <v>1125</v>
      </c>
      <c r="C72" s="42">
        <f t="shared" si="4"/>
        <v>518047</v>
      </c>
      <c r="D72" s="41">
        <f t="shared" si="2"/>
        <v>518047</v>
      </c>
      <c r="E72" s="41">
        <f ca="1">'02_Видатки'!E185</f>
        <v>104324.45</v>
      </c>
      <c r="F72" s="41">
        <f ca="1">'02_Видатки'!F185</f>
        <v>43415.25</v>
      </c>
      <c r="G72" s="41">
        <f ca="1">'02_Видатки'!G185</f>
        <v>260021.84999999998</v>
      </c>
      <c r="H72" s="41">
        <f ca="1">'02_Видатки'!H185</f>
        <v>110285.45</v>
      </c>
    </row>
    <row r="73" spans="1:8" ht="20.100000000000001" customHeight="1">
      <c r="A73" s="23" t="s">
        <v>713</v>
      </c>
      <c r="B73" s="35">
        <v>1126</v>
      </c>
      <c r="C73" s="42">
        <f t="shared" si="4"/>
        <v>0</v>
      </c>
      <c r="D73" s="41">
        <f t="shared" si="2"/>
        <v>0</v>
      </c>
      <c r="E73" s="41">
        <f ca="1">'02_Видатки'!E186</f>
        <v>0</v>
      </c>
      <c r="F73" s="41">
        <f ca="1">'02_Видатки'!F186</f>
        <v>0</v>
      </c>
      <c r="G73" s="41">
        <f ca="1">'02_Видатки'!G186</f>
        <v>0</v>
      </c>
      <c r="H73" s="41">
        <f ca="1">'02_Видатки'!H186</f>
        <v>0</v>
      </c>
    </row>
    <row r="74" spans="1:8" ht="37.5" customHeight="1">
      <c r="A74" s="22" t="s">
        <v>284</v>
      </c>
      <c r="B74" s="35">
        <v>1130</v>
      </c>
      <c r="C74" s="42">
        <f t="shared" si="4"/>
        <v>0</v>
      </c>
      <c r="D74" s="41">
        <f t="shared" si="2"/>
        <v>0</v>
      </c>
      <c r="E74" s="41">
        <f ca="1">'02_Видатки'!E187</f>
        <v>0</v>
      </c>
      <c r="F74" s="41">
        <f ca="1">'02_Видатки'!F187</f>
        <v>0</v>
      </c>
      <c r="G74" s="41">
        <f ca="1">'02_Видатки'!G187</f>
        <v>0</v>
      </c>
      <c r="H74" s="41">
        <f ca="1">'02_Видатки'!H187</f>
        <v>0</v>
      </c>
    </row>
    <row r="75" spans="1:8" ht="20.100000000000001" customHeight="1">
      <c r="A75" s="22" t="s">
        <v>285</v>
      </c>
      <c r="B75" s="35">
        <v>1140</v>
      </c>
      <c r="C75" s="42">
        <f t="shared" si="4"/>
        <v>280000</v>
      </c>
      <c r="D75" s="41">
        <f t="shared" si="2"/>
        <v>280000</v>
      </c>
      <c r="E75" s="41">
        <f ca="1">'02_Видатки'!E188</f>
        <v>70000</v>
      </c>
      <c r="F75" s="41">
        <f ca="1">'02_Видатки'!F188</f>
        <v>70000</v>
      </c>
      <c r="G75" s="41">
        <f ca="1">'02_Видатки'!G188</f>
        <v>70000</v>
      </c>
      <c r="H75" s="41">
        <f ca="1">'02_Видатки'!H188</f>
        <v>70000</v>
      </c>
    </row>
    <row r="76" spans="1:8" ht="20.100000000000001" customHeight="1">
      <c r="A76" s="22" t="s">
        <v>286</v>
      </c>
      <c r="B76" s="35">
        <v>1150</v>
      </c>
      <c r="C76" s="42">
        <f t="shared" si="4"/>
        <v>870000</v>
      </c>
      <c r="D76" s="41">
        <f t="shared" si="2"/>
        <v>870000</v>
      </c>
      <c r="E76" s="41">
        <f ca="1">'02_Видатки'!E189</f>
        <v>205000</v>
      </c>
      <c r="F76" s="41">
        <f ca="1">'02_Видатки'!F189</f>
        <v>245000</v>
      </c>
      <c r="G76" s="41">
        <f ca="1">'02_Видатки'!G189</f>
        <v>135000</v>
      </c>
      <c r="H76" s="41">
        <f ca="1">'02_Видатки'!H189</f>
        <v>285000</v>
      </c>
    </row>
    <row r="77" spans="1:8" s="40" customFormat="1" ht="20.45" customHeight="1">
      <c r="A77" s="22" t="s">
        <v>608</v>
      </c>
      <c r="B77" s="35">
        <v>1160</v>
      </c>
      <c r="C77" s="42">
        <f t="shared" ref="C77:C84" si="5">D77</f>
        <v>490000</v>
      </c>
      <c r="D77" s="41">
        <f t="shared" si="2"/>
        <v>490000</v>
      </c>
      <c r="E77" s="41">
        <f>E96</f>
        <v>290000</v>
      </c>
      <c r="F77" s="41">
        <f>F96</f>
        <v>125000</v>
      </c>
      <c r="G77" s="41">
        <f>G96</f>
        <v>30000</v>
      </c>
      <c r="H77" s="41">
        <f>H96</f>
        <v>45000</v>
      </c>
    </row>
    <row r="78" spans="1:8" ht="33.6" customHeight="1">
      <c r="A78" s="23" t="s">
        <v>705</v>
      </c>
      <c r="B78" s="35">
        <v>1161</v>
      </c>
      <c r="C78" s="42">
        <f t="shared" si="5"/>
        <v>0</v>
      </c>
      <c r="D78" s="41">
        <f t="shared" si="2"/>
        <v>0</v>
      </c>
      <c r="E78" s="41">
        <f ca="1">'03_МТО'!C162</f>
        <v>0</v>
      </c>
      <c r="F78" s="41">
        <f ca="1">'03_МТО'!D162</f>
        <v>0</v>
      </c>
      <c r="G78" s="41">
        <f ca="1">'03_МТО'!E162</f>
        <v>0</v>
      </c>
      <c r="H78" s="41">
        <f ca="1">'03_МТО'!F162</f>
        <v>0</v>
      </c>
    </row>
    <row r="79" spans="1:8" ht="24" customHeight="1">
      <c r="A79" s="23" t="s">
        <v>706</v>
      </c>
      <c r="B79" s="35">
        <v>1162</v>
      </c>
      <c r="C79" s="42">
        <f t="shared" si="5"/>
        <v>0</v>
      </c>
      <c r="D79" s="41">
        <f t="shared" si="2"/>
        <v>0</v>
      </c>
      <c r="E79" s="41">
        <f ca="1">'03_МТО'!C163</f>
        <v>0</v>
      </c>
      <c r="F79" s="41">
        <f ca="1">'03_МТО'!D163</f>
        <v>0</v>
      </c>
      <c r="G79" s="41">
        <f ca="1">'03_МТО'!E163</f>
        <v>0</v>
      </c>
      <c r="H79" s="41">
        <f ca="1">'03_МТО'!F163</f>
        <v>0</v>
      </c>
    </row>
    <row r="80" spans="1:8" ht="37.5">
      <c r="A80" s="23" t="s">
        <v>707</v>
      </c>
      <c r="B80" s="35">
        <v>1163</v>
      </c>
      <c r="C80" s="42">
        <f t="shared" si="5"/>
        <v>0</v>
      </c>
      <c r="D80" s="41">
        <f t="shared" si="2"/>
        <v>0</v>
      </c>
      <c r="E80" s="41">
        <f ca="1">'03_МТО'!C164</f>
        <v>0</v>
      </c>
      <c r="F80" s="41">
        <f ca="1">'03_МТО'!D164</f>
        <v>0</v>
      </c>
      <c r="G80" s="41">
        <f ca="1">'03_МТО'!E164</f>
        <v>0</v>
      </c>
      <c r="H80" s="41">
        <f ca="1">'03_МТО'!F164</f>
        <v>0</v>
      </c>
    </row>
    <row r="81" spans="1:10" ht="20.100000000000001" customHeight="1">
      <c r="A81" s="22" t="s">
        <v>287</v>
      </c>
      <c r="B81" s="35">
        <v>1170</v>
      </c>
      <c r="C81" s="42">
        <f t="shared" si="5"/>
        <v>0</v>
      </c>
      <c r="D81" s="41">
        <f>D82+D83</f>
        <v>0</v>
      </c>
      <c r="E81" s="41">
        <f>E82+E83</f>
        <v>0</v>
      </c>
      <c r="F81" s="41">
        <f>F82+F83</f>
        <v>0</v>
      </c>
      <c r="G81" s="41">
        <f>G82+G83</f>
        <v>0</v>
      </c>
      <c r="H81" s="41">
        <f>H82+H83</f>
        <v>0</v>
      </c>
    </row>
    <row r="82" spans="1:10" ht="20.100000000000001" customHeight="1">
      <c r="A82" s="23" t="s">
        <v>497</v>
      </c>
      <c r="B82" s="35">
        <v>1171</v>
      </c>
      <c r="C82" s="42">
        <f t="shared" si="5"/>
        <v>0</v>
      </c>
      <c r="D82" s="41">
        <f>SUM(E82:H82)</f>
        <v>0</v>
      </c>
      <c r="E82" s="41">
        <f ca="1">'02_Видатки'!E192</f>
        <v>0</v>
      </c>
      <c r="F82" s="41">
        <f ca="1">'02_Видатки'!F192</f>
        <v>0</v>
      </c>
      <c r="G82" s="41">
        <f ca="1">'02_Видатки'!G192</f>
        <v>0</v>
      </c>
      <c r="H82" s="41">
        <f ca="1">'02_Видатки'!H192</f>
        <v>0</v>
      </c>
    </row>
    <row r="83" spans="1:10" ht="20.100000000000001" customHeight="1">
      <c r="A83" s="23" t="s">
        <v>272</v>
      </c>
      <c r="B83" s="35">
        <v>1172</v>
      </c>
      <c r="C83" s="42">
        <f t="shared" si="5"/>
        <v>0</v>
      </c>
      <c r="D83" s="41">
        <f>E83+F83+G83+H83</f>
        <v>0</v>
      </c>
      <c r="E83" s="41">
        <f ca="1">'02_Видатки'!E190</f>
        <v>0</v>
      </c>
      <c r="F83" s="41">
        <f ca="1">'02_Видатки'!F190</f>
        <v>0</v>
      </c>
      <c r="G83" s="41">
        <f ca="1">'02_Видатки'!G190</f>
        <v>0</v>
      </c>
      <c r="H83" s="41">
        <f ca="1">'02_Видатки'!H190</f>
        <v>0</v>
      </c>
    </row>
    <row r="84" spans="1:10" ht="20.100000000000001" customHeight="1">
      <c r="A84" s="22" t="s">
        <v>288</v>
      </c>
      <c r="B84" s="35">
        <v>1180</v>
      </c>
      <c r="C84" s="42">
        <f t="shared" si="5"/>
        <v>0</v>
      </c>
      <c r="D84" s="41">
        <f>E84+F84+G84+H84</f>
        <v>0</v>
      </c>
      <c r="E84" s="41">
        <f ca="1">'02_Видатки'!E191</f>
        <v>0</v>
      </c>
      <c r="F84" s="41">
        <f ca="1">'02_Видатки'!F191</f>
        <v>0</v>
      </c>
      <c r="G84" s="41">
        <f ca="1">'02_Видатки'!G191</f>
        <v>0</v>
      </c>
      <c r="H84" s="41">
        <f ca="1">'02_Видатки'!H191</f>
        <v>0</v>
      </c>
    </row>
    <row r="85" spans="1:10" ht="19.5" customHeight="1">
      <c r="A85" s="33" t="s">
        <v>289</v>
      </c>
      <c r="B85" s="35">
        <v>1200</v>
      </c>
      <c r="C85" s="41">
        <f>C44+C45+C49+C53</f>
        <v>31778298.585615508</v>
      </c>
      <c r="D85" s="41">
        <f>E85+F85+G85+H85</f>
        <v>31778298.585615501</v>
      </c>
      <c r="E85" s="41">
        <f>E44+E45+E49+E53</f>
        <v>8150773.18404915</v>
      </c>
      <c r="F85" s="41">
        <f>F44+F45+F49+F53</f>
        <v>7698100.9777158163</v>
      </c>
      <c r="G85" s="41">
        <f>G44+G45+G49+G53</f>
        <v>7870601.4366221679</v>
      </c>
      <c r="H85" s="41">
        <f>H44+H45+H49+H53</f>
        <v>8058822.9872283693</v>
      </c>
    </row>
    <row r="86" spans="1:10" ht="19.5" customHeight="1">
      <c r="A86" s="33" t="s">
        <v>290</v>
      </c>
      <c r="B86" s="35">
        <v>1300</v>
      </c>
      <c r="C86" s="41">
        <f>SUM(C57:C58)+C74+C75+C76+C81+C84+C60+C61+C62+SUM(C63:C67)+C77</f>
        <v>31074811.837159999</v>
      </c>
      <c r="D86" s="41">
        <f>E86+F86+G86+H86</f>
        <v>31074811.837159999</v>
      </c>
      <c r="E86" s="41">
        <f>SUM(E57:E58)+E74+E75+E76+E81+E84+E60+E61+E62+SUM(E63:E67)+E77</f>
        <v>8033360.6362239998</v>
      </c>
      <c r="F86" s="41">
        <f>SUM(F57:F58)+F74+F75+F76+F81+F84+F60+F61+F62+SUM(F63:F67)+F77</f>
        <v>7473202.194344</v>
      </c>
      <c r="G86" s="41">
        <f>SUM(G57:G58)+G74+G75+G76+G81+G84+G60+G61+G62+SUM(G63:G67)+G77</f>
        <v>7529323.5731199998</v>
      </c>
      <c r="H86" s="41">
        <f>SUM(H57:H58)+H74+H75+H76+H81+H84+H60+H61+H62+SUM(H63:H67)+H77</f>
        <v>8038925.4334720001</v>
      </c>
      <c r="I86" s="730"/>
    </row>
    <row r="87" spans="1:10" ht="19.5" customHeight="1">
      <c r="A87" s="33" t="s">
        <v>291</v>
      </c>
      <c r="B87" s="35">
        <v>1400</v>
      </c>
      <c r="C87" s="41">
        <f t="shared" ref="C87:H87" si="6">C85-C86</f>
        <v>703486.74845550954</v>
      </c>
      <c r="D87" s="41">
        <f t="shared" si="6"/>
        <v>703486.74845550209</v>
      </c>
      <c r="E87" s="41">
        <f t="shared" si="6"/>
        <v>117412.54782515019</v>
      </c>
      <c r="F87" s="41">
        <f t="shared" si="6"/>
        <v>224898.78337181639</v>
      </c>
      <c r="G87" s="41">
        <f t="shared" si="6"/>
        <v>341277.8635021681</v>
      </c>
      <c r="H87" s="41">
        <f t="shared" si="6"/>
        <v>19897.553756369278</v>
      </c>
      <c r="I87" s="730"/>
      <c r="J87" s="730"/>
    </row>
    <row r="88" spans="1:10" ht="19.5" customHeight="1">
      <c r="A88" s="1220"/>
      <c r="B88" s="1221"/>
      <c r="C88" s="1221"/>
      <c r="D88" s="1221"/>
      <c r="E88" s="1221"/>
      <c r="F88" s="1221"/>
      <c r="G88" s="1221"/>
      <c r="H88" s="1222"/>
    </row>
    <row r="89" spans="1:10" ht="19.5" customHeight="1">
      <c r="A89" s="1223" t="s">
        <v>292</v>
      </c>
      <c r="B89" s="1224"/>
      <c r="C89" s="1224"/>
      <c r="D89" s="1224"/>
      <c r="E89" s="1224"/>
      <c r="F89" s="1224"/>
      <c r="G89" s="1224"/>
      <c r="H89" s="1225"/>
    </row>
    <row r="90" spans="1:10" ht="19.5" customHeight="1">
      <c r="A90" s="22" t="s">
        <v>293</v>
      </c>
      <c r="B90" s="35">
        <v>2010</v>
      </c>
      <c r="C90" s="42">
        <f>D90</f>
        <v>4277373.75</v>
      </c>
      <c r="D90" s="41">
        <f>E90+F90+G90+H90</f>
        <v>4277373.75</v>
      </c>
      <c r="E90" s="41">
        <f ca="1">'02_Видатки'!BH28+'02_Видатки'!BH44+'02_Видатки'!BH60+'02_Видатки'!BH73+'02_Видатки'!BH101+'02_Видатки'!BH127</f>
        <v>1069517.4750000001</v>
      </c>
      <c r="F90" s="41">
        <f ca="1">'02_Видатки'!BI28+'02_Видатки'!BI44+'02_Видатки'!BI60+'02_Видатки'!BI73+'02_Видатки'!BI101+'02_Видатки'!BI127</f>
        <v>1051727.625</v>
      </c>
      <c r="G90" s="41">
        <f ca="1">'02_Видатки'!BJ28+'02_Видатки'!BJ44+'02_Видатки'!BJ60+'02_Видатки'!BJ73+'02_Видатки'!BJ101+'02_Видатки'!BJ127</f>
        <v>1061473.7250000001</v>
      </c>
      <c r="H90" s="41">
        <f ca="1">'02_Видатки'!BK28+'02_Видатки'!BK44+'02_Видатки'!BK60+'02_Видатки'!BK73+'02_Видатки'!BK101+'02_Видатки'!BK127</f>
        <v>1094654.925</v>
      </c>
    </row>
    <row r="91" spans="1:10" ht="28.15" customHeight="1">
      <c r="A91" s="22" t="s">
        <v>294</v>
      </c>
      <c r="B91" s="35">
        <v>2020</v>
      </c>
      <c r="C91" s="42">
        <f>D91</f>
        <v>31878</v>
      </c>
      <c r="D91" s="41">
        <f>E91+F91+G91+H91</f>
        <v>31878</v>
      </c>
      <c r="E91" s="41">
        <f ca="1">'02_Видатки'!E193+'02_Видатки'!E198</f>
        <v>8407</v>
      </c>
      <c r="F91" s="41">
        <f ca="1">'02_Видатки'!F193+'02_Видатки'!F198</f>
        <v>8607</v>
      </c>
      <c r="G91" s="41">
        <f ca="1">'02_Видатки'!G193+'02_Видатки'!G198</f>
        <v>4457</v>
      </c>
      <c r="H91" s="41">
        <f ca="1">'02_Видатки'!H193+'02_Видатки'!H198</f>
        <v>10407</v>
      </c>
    </row>
    <row r="92" spans="1:10" ht="19.5" customHeight="1">
      <c r="A92" s="22" t="s">
        <v>295</v>
      </c>
      <c r="B92" s="35">
        <v>2030</v>
      </c>
      <c r="C92" s="42">
        <f>D92</f>
        <v>4762923</v>
      </c>
      <c r="D92" s="41">
        <f>E92+F92+G92+H92</f>
        <v>4762923</v>
      </c>
      <c r="E92" s="41">
        <f ca="1">'02_Видатки'!BB28+'02_Видатки'!BB44+'02_Видатки'!BB60+'02_Видатки'!BB73+'02_Видатки'!BB101+'02_Видатки'!BB127</f>
        <v>1190927.1000000001</v>
      </c>
      <c r="F92" s="41">
        <f ca="1">'02_Видатки'!BC28+'02_Видатки'!BC44+'02_Видатки'!BC60+'02_Видатки'!BC73+'02_Видатки'!BC101+'02_Видатки'!BC127</f>
        <v>1170856.5</v>
      </c>
      <c r="G92" s="41">
        <f ca="1">'02_Видатки'!BD28+'02_Видатки'!BD44+'02_Видатки'!BD60+'02_Видатки'!BD73+'02_Видатки'!BD101+'02_Видатки'!BD127</f>
        <v>1181852.1000000001</v>
      </c>
      <c r="H92" s="41">
        <f ca="1">'02_Видатки'!BE28+'02_Видатки'!BE44+'02_Видатки'!BE60+'02_Видатки'!BE73+'02_Видатки'!BE101+'02_Видатки'!BE127</f>
        <v>1219287.3</v>
      </c>
    </row>
    <row r="93" spans="1:10" ht="29.45" customHeight="1">
      <c r="A93" s="22" t="s">
        <v>296</v>
      </c>
      <c r="B93" s="35">
        <v>2040</v>
      </c>
      <c r="C93" s="42">
        <f>D93</f>
        <v>0</v>
      </c>
      <c r="D93" s="41">
        <f>E93+F93+G93+H93</f>
        <v>0</v>
      </c>
      <c r="E93" s="41">
        <f ca="1">'02_Видатки'!E199</f>
        <v>0</v>
      </c>
      <c r="F93" s="41">
        <f ca="1">'02_Видатки'!F199</f>
        <v>0</v>
      </c>
      <c r="G93" s="41">
        <f ca="1">'02_Видатки'!G199</f>
        <v>0</v>
      </c>
      <c r="H93" s="41">
        <f ca="1">'02_Видатки'!H199</f>
        <v>0</v>
      </c>
    </row>
    <row r="94" spans="1:10" ht="19.5" customHeight="1">
      <c r="A94" s="1217"/>
      <c r="B94" s="1218"/>
      <c r="C94" s="1218"/>
      <c r="D94" s="1218"/>
      <c r="E94" s="1218"/>
      <c r="F94" s="1218"/>
      <c r="G94" s="1218"/>
      <c r="H94" s="1219"/>
    </row>
    <row r="95" spans="1:10" ht="20.100000000000001" customHeight="1">
      <c r="A95" s="1223" t="s">
        <v>396</v>
      </c>
      <c r="B95" s="1224"/>
      <c r="C95" s="1224"/>
      <c r="D95" s="1224"/>
      <c r="E95" s="1224"/>
      <c r="F95" s="1224"/>
      <c r="G95" s="1224"/>
      <c r="H95" s="1225"/>
    </row>
    <row r="96" spans="1:10" ht="22.15" customHeight="1">
      <c r="A96" s="33" t="s">
        <v>397</v>
      </c>
      <c r="B96" s="57">
        <v>3020</v>
      </c>
      <c r="C96" s="41">
        <f>D96</f>
        <v>490000</v>
      </c>
      <c r="D96" s="41">
        <f t="shared" ref="D96:D102" si="7">E96+F96+G96+H96</f>
        <v>490000</v>
      </c>
      <c r="E96" s="41">
        <f>SUM(E97:E102)</f>
        <v>290000</v>
      </c>
      <c r="F96" s="41">
        <f>SUM(F97:F102)</f>
        <v>125000</v>
      </c>
      <c r="G96" s="41">
        <f>SUM(G97:G102)</f>
        <v>30000</v>
      </c>
      <c r="H96" s="41">
        <f>SUM(H97:H102)</f>
        <v>45000</v>
      </c>
    </row>
    <row r="97" spans="1:8" ht="20.100000000000001" customHeight="1">
      <c r="A97" s="23" t="s">
        <v>297</v>
      </c>
      <c r="B97" s="34">
        <v>3021</v>
      </c>
      <c r="C97" s="41">
        <f t="shared" ref="C97:C104" si="8">D97</f>
        <v>0</v>
      </c>
      <c r="D97" s="41">
        <f t="shared" si="7"/>
        <v>0</v>
      </c>
      <c r="E97" s="41">
        <f ca="1">'02_Видатки'!E200</f>
        <v>0</v>
      </c>
      <c r="F97" s="41">
        <f ca="1">'02_Видатки'!F200</f>
        <v>0</v>
      </c>
      <c r="G97" s="41">
        <f ca="1">'02_Видатки'!G200</f>
        <v>0</v>
      </c>
      <c r="H97" s="41">
        <f ca="1">'02_Видатки'!H200</f>
        <v>0</v>
      </c>
    </row>
    <row r="98" spans="1:8" ht="20.100000000000001" customHeight="1">
      <c r="A98" s="23" t="s">
        <v>298</v>
      </c>
      <c r="B98" s="57">
        <v>3022</v>
      </c>
      <c r="C98" s="41">
        <f t="shared" si="8"/>
        <v>250000</v>
      </c>
      <c r="D98" s="41">
        <f t="shared" si="7"/>
        <v>250000</v>
      </c>
      <c r="E98" s="41">
        <f ca="1">'03_МТО'!C155+'03_МТО'!C163+'02_Видатки'!E201</f>
        <v>190000</v>
      </c>
      <c r="F98" s="41">
        <f ca="1">'03_МТО'!D155+'03_МТО'!D163+'02_Видатки'!F201</f>
        <v>60000</v>
      </c>
      <c r="G98" s="41">
        <f ca="1">'03_МТО'!E155+'03_МТО'!E163+'02_Видатки'!G201</f>
        <v>0</v>
      </c>
      <c r="H98" s="41">
        <f ca="1">'03_МТО'!F155+'03_МТО'!F163+'02_Видатки'!H201</f>
        <v>0</v>
      </c>
    </row>
    <row r="99" spans="1:8" ht="20.100000000000001" customHeight="1">
      <c r="A99" s="23" t="s">
        <v>299</v>
      </c>
      <c r="B99" s="34">
        <v>3023</v>
      </c>
      <c r="C99" s="41">
        <f t="shared" si="8"/>
        <v>240000</v>
      </c>
      <c r="D99" s="41">
        <f t="shared" si="7"/>
        <v>240000</v>
      </c>
      <c r="E99" s="41">
        <f ca="1">'03_МТО'!C154+'03_МТО'!C156+'03_МТО'!C162+'03_МТО'!C164+'02_Видатки'!E202</f>
        <v>100000</v>
      </c>
      <c r="F99" s="41">
        <f ca="1">'03_МТО'!D154+'03_МТО'!D156+'03_МТО'!D162+'03_МТО'!D164+'02_Видатки'!F202</f>
        <v>65000</v>
      </c>
      <c r="G99" s="41">
        <f ca="1">'03_МТО'!E154+'03_МТО'!E156+'03_МТО'!E162+'03_МТО'!E164+'02_Видатки'!G202</f>
        <v>30000</v>
      </c>
      <c r="H99" s="41">
        <f ca="1">'03_МТО'!F154+'03_МТО'!F156+'03_МТО'!F162+'03_МТО'!F164+'02_Видатки'!H202</f>
        <v>45000</v>
      </c>
    </row>
    <row r="100" spans="1:8" ht="20.100000000000001" customHeight="1">
      <c r="A100" s="23" t="s">
        <v>300</v>
      </c>
      <c r="B100" s="57">
        <v>3024</v>
      </c>
      <c r="C100" s="41">
        <f t="shared" si="8"/>
        <v>0</v>
      </c>
      <c r="D100" s="41">
        <f t="shared" si="7"/>
        <v>0</v>
      </c>
      <c r="E100" s="41">
        <f ca="1">'02_Видатки'!E203</f>
        <v>0</v>
      </c>
      <c r="F100" s="41">
        <f ca="1">'02_Видатки'!F203</f>
        <v>0</v>
      </c>
      <c r="G100" s="41">
        <f ca="1">'02_Видатки'!G203</f>
        <v>0</v>
      </c>
      <c r="H100" s="41">
        <f ca="1">'02_Видатки'!H203</f>
        <v>0</v>
      </c>
    </row>
    <row r="101" spans="1:8" ht="37.9" customHeight="1">
      <c r="A101" s="23" t="s">
        <v>301</v>
      </c>
      <c r="B101" s="34">
        <v>3025</v>
      </c>
      <c r="C101" s="41">
        <f t="shared" si="8"/>
        <v>0</v>
      </c>
      <c r="D101" s="41">
        <f t="shared" si="7"/>
        <v>0</v>
      </c>
      <c r="E101" s="41">
        <f ca="1">'02_Видатки'!E204</f>
        <v>0</v>
      </c>
      <c r="F101" s="41">
        <f ca="1">'02_Видатки'!F204</f>
        <v>0</v>
      </c>
      <c r="G101" s="41">
        <f ca="1">'02_Видатки'!G204</f>
        <v>0</v>
      </c>
      <c r="H101" s="41">
        <f ca="1">'02_Видатки'!H204</f>
        <v>0</v>
      </c>
    </row>
    <row r="102" spans="1:8" ht="20.100000000000001" customHeight="1">
      <c r="A102" s="23" t="s">
        <v>302</v>
      </c>
      <c r="B102" s="57">
        <v>3026</v>
      </c>
      <c r="C102" s="41">
        <f t="shared" si="8"/>
        <v>0</v>
      </c>
      <c r="D102" s="41">
        <f t="shared" si="7"/>
        <v>0</v>
      </c>
      <c r="E102" s="41">
        <f ca="1">'02_Видатки'!E205</f>
        <v>0</v>
      </c>
      <c r="F102" s="41">
        <f ca="1">'02_Видатки'!F205</f>
        <v>0</v>
      </c>
      <c r="G102" s="41">
        <f ca="1">'02_Видатки'!G205</f>
        <v>0</v>
      </c>
      <c r="H102" s="41">
        <f ca="1">'02_Видатки'!H205</f>
        <v>0</v>
      </c>
    </row>
    <row r="103" spans="1:8" ht="23.45" customHeight="1">
      <c r="A103" s="22" t="s">
        <v>475</v>
      </c>
      <c r="B103" s="35">
        <v>3030</v>
      </c>
      <c r="C103" s="41">
        <f t="shared" si="8"/>
        <v>0</v>
      </c>
      <c r="D103" s="41">
        <f>E103+F103+G103+H103</f>
        <v>0</v>
      </c>
      <c r="E103" s="41">
        <f ca="1">'02_Видатки'!E206</f>
        <v>0</v>
      </c>
      <c r="F103" s="41">
        <f ca="1">'02_Видатки'!F206</f>
        <v>0</v>
      </c>
      <c r="G103" s="41">
        <f ca="1">'02_Видатки'!G206</f>
        <v>0</v>
      </c>
      <c r="H103" s="41">
        <f ca="1">'02_Видатки'!H206</f>
        <v>0</v>
      </c>
    </row>
    <row r="104" spans="1:8" ht="24" customHeight="1">
      <c r="A104" s="22" t="s">
        <v>615</v>
      </c>
      <c r="B104" s="35">
        <v>3040</v>
      </c>
      <c r="C104" s="41">
        <f t="shared" si="8"/>
        <v>0</v>
      </c>
      <c r="D104" s="41">
        <f>E104+F104+G104+H104</f>
        <v>0</v>
      </c>
      <c r="E104" s="41">
        <f ca="1">'02_Видатки'!E207</f>
        <v>0</v>
      </c>
      <c r="F104" s="41">
        <f ca="1">'02_Видатки'!F207</f>
        <v>0</v>
      </c>
      <c r="G104" s="41">
        <f ca="1">'02_Видатки'!G207</f>
        <v>0</v>
      </c>
      <c r="H104" s="41">
        <f ca="1">'02_Видатки'!H207</f>
        <v>0</v>
      </c>
    </row>
    <row r="105" spans="1:8" ht="20.100000000000001" customHeight="1">
      <c r="A105" s="1217"/>
      <c r="B105" s="1218"/>
      <c r="C105" s="1218"/>
      <c r="D105" s="1218"/>
      <c r="E105" s="1218"/>
      <c r="F105" s="1218"/>
      <c r="G105" s="1218"/>
      <c r="H105" s="1219"/>
    </row>
    <row r="106" spans="1:8" ht="20.100000000000001" customHeight="1">
      <c r="A106" s="1223" t="s">
        <v>398</v>
      </c>
      <c r="B106" s="1224"/>
      <c r="C106" s="1224"/>
      <c r="D106" s="1224"/>
      <c r="E106" s="1224"/>
      <c r="F106" s="1224"/>
      <c r="G106" s="1224"/>
      <c r="H106" s="1225"/>
    </row>
    <row r="107" spans="1:8" ht="20.100000000000001" customHeight="1">
      <c r="A107" s="22" t="s">
        <v>303</v>
      </c>
      <c r="B107" s="35">
        <v>4010</v>
      </c>
      <c r="C107" s="41">
        <f>D107</f>
        <v>0</v>
      </c>
      <c r="D107" s="41">
        <f t="shared" ref="D107:D116" si="9">E107+F107+G107+H107</f>
        <v>0</v>
      </c>
      <c r="E107" s="41">
        <f>F107+G107+H107+I107</f>
        <v>0</v>
      </c>
      <c r="F107" s="41">
        <f>G107+H107+I107+J107</f>
        <v>0</v>
      </c>
      <c r="G107" s="41">
        <f>H107+I107+J107+K107</f>
        <v>0</v>
      </c>
      <c r="H107" s="41">
        <f>I107+J107+K107+L107</f>
        <v>0</v>
      </c>
    </row>
    <row r="108" spans="1:8" ht="20.100000000000001" customHeight="1">
      <c r="A108" s="23" t="s">
        <v>304</v>
      </c>
      <c r="B108" s="35">
        <v>4011</v>
      </c>
      <c r="C108" s="41">
        <f t="shared" ref="C108:C116" si="10">D108</f>
        <v>0</v>
      </c>
      <c r="D108" s="41">
        <f t="shared" si="9"/>
        <v>0</v>
      </c>
      <c r="E108" s="42">
        <v>0</v>
      </c>
      <c r="F108" s="42">
        <v>0</v>
      </c>
      <c r="G108" s="42">
        <v>0</v>
      </c>
      <c r="H108" s="42">
        <v>0</v>
      </c>
    </row>
    <row r="109" spans="1:8" ht="20.100000000000001" customHeight="1">
      <c r="A109" s="23" t="s">
        <v>305</v>
      </c>
      <c r="B109" s="35">
        <v>4012</v>
      </c>
      <c r="C109" s="41">
        <f t="shared" si="10"/>
        <v>0</v>
      </c>
      <c r="D109" s="41">
        <f t="shared" si="9"/>
        <v>0</v>
      </c>
      <c r="E109" s="42">
        <v>0</v>
      </c>
      <c r="F109" s="42">
        <v>0</v>
      </c>
      <c r="G109" s="42">
        <v>0</v>
      </c>
      <c r="H109" s="42">
        <v>0</v>
      </c>
    </row>
    <row r="110" spans="1:8" ht="20.100000000000001" customHeight="1">
      <c r="A110" s="23" t="s">
        <v>306</v>
      </c>
      <c r="B110" s="35">
        <v>4013</v>
      </c>
      <c r="C110" s="41">
        <f t="shared" si="10"/>
        <v>3915</v>
      </c>
      <c r="D110" s="41">
        <f t="shared" si="9"/>
        <v>3915</v>
      </c>
      <c r="E110" s="42">
        <f>E54</f>
        <v>980</v>
      </c>
      <c r="F110" s="42">
        <f>F54</f>
        <v>935</v>
      </c>
      <c r="G110" s="42">
        <f>G54</f>
        <v>1000</v>
      </c>
      <c r="H110" s="42">
        <f>H54</f>
        <v>1000</v>
      </c>
    </row>
    <row r="111" spans="1:8" ht="20.100000000000001" customHeight="1">
      <c r="A111" s="22" t="s">
        <v>307</v>
      </c>
      <c r="B111" s="35">
        <v>4020</v>
      </c>
      <c r="C111" s="41">
        <f t="shared" si="10"/>
        <v>0</v>
      </c>
      <c r="D111" s="41">
        <f t="shared" si="9"/>
        <v>0</v>
      </c>
      <c r="E111" s="42">
        <v>0</v>
      </c>
      <c r="F111" s="42">
        <v>0</v>
      </c>
      <c r="G111" s="42">
        <v>0</v>
      </c>
      <c r="H111" s="42">
        <v>0</v>
      </c>
    </row>
    <row r="112" spans="1:8" ht="20.100000000000001" customHeight="1">
      <c r="A112" s="22" t="s">
        <v>308</v>
      </c>
      <c r="B112" s="35">
        <v>4030</v>
      </c>
      <c r="C112" s="41">
        <f t="shared" si="10"/>
        <v>0</v>
      </c>
      <c r="D112" s="41">
        <f t="shared" si="9"/>
        <v>0</v>
      </c>
      <c r="E112" s="42">
        <v>0</v>
      </c>
      <c r="F112" s="42">
        <v>0</v>
      </c>
      <c r="G112" s="42">
        <v>0</v>
      </c>
      <c r="H112" s="42">
        <v>0</v>
      </c>
    </row>
    <row r="113" spans="1:8" ht="20.100000000000001" customHeight="1">
      <c r="A113" s="23" t="s">
        <v>304</v>
      </c>
      <c r="B113" s="35">
        <v>4031</v>
      </c>
      <c r="C113" s="41">
        <f t="shared" si="10"/>
        <v>0</v>
      </c>
      <c r="D113" s="41">
        <f t="shared" si="9"/>
        <v>0</v>
      </c>
      <c r="E113" s="42">
        <v>0</v>
      </c>
      <c r="F113" s="42">
        <v>0</v>
      </c>
      <c r="G113" s="42">
        <v>0</v>
      </c>
      <c r="H113" s="42">
        <v>0</v>
      </c>
    </row>
    <row r="114" spans="1:8" ht="20.100000000000001" customHeight="1">
      <c r="A114" s="23" t="s">
        <v>305</v>
      </c>
      <c r="B114" s="35">
        <v>4032</v>
      </c>
      <c r="C114" s="41">
        <f t="shared" si="10"/>
        <v>0</v>
      </c>
      <c r="D114" s="41">
        <f t="shared" si="9"/>
        <v>0</v>
      </c>
      <c r="E114" s="42">
        <v>0</v>
      </c>
      <c r="F114" s="42">
        <v>0</v>
      </c>
      <c r="G114" s="42">
        <v>0</v>
      </c>
      <c r="H114" s="42">
        <v>0</v>
      </c>
    </row>
    <row r="115" spans="1:8" ht="20.100000000000001" customHeight="1">
      <c r="A115" s="23" t="s">
        <v>306</v>
      </c>
      <c r="B115" s="35">
        <v>4033</v>
      </c>
      <c r="C115" s="41">
        <f t="shared" si="10"/>
        <v>0</v>
      </c>
      <c r="D115" s="41">
        <f t="shared" si="9"/>
        <v>0</v>
      </c>
      <c r="E115" s="42">
        <v>0</v>
      </c>
      <c r="F115" s="42">
        <v>0</v>
      </c>
      <c r="G115" s="42">
        <v>0</v>
      </c>
      <c r="H115" s="42">
        <v>0</v>
      </c>
    </row>
    <row r="116" spans="1:8" ht="20.100000000000001" customHeight="1">
      <c r="A116" s="22" t="s">
        <v>309</v>
      </c>
      <c r="B116" s="35">
        <v>4040</v>
      </c>
      <c r="C116" s="41">
        <f t="shared" si="10"/>
        <v>0</v>
      </c>
      <c r="D116" s="41">
        <f t="shared" si="9"/>
        <v>0</v>
      </c>
      <c r="E116" s="42">
        <v>0</v>
      </c>
      <c r="F116" s="42">
        <v>0</v>
      </c>
      <c r="G116" s="42">
        <v>0</v>
      </c>
      <c r="H116" s="42">
        <v>0</v>
      </c>
    </row>
    <row r="117" spans="1:8" s="38" customFormat="1" ht="19.5" customHeight="1">
      <c r="A117" s="1231"/>
      <c r="B117" s="1232"/>
      <c r="C117" s="1232"/>
      <c r="D117" s="1232"/>
      <c r="E117" s="1232"/>
      <c r="F117" s="1232"/>
      <c r="G117" s="1232"/>
      <c r="H117" s="1233"/>
    </row>
    <row r="118" spans="1:8" s="38" customFormat="1" ht="19.5" customHeight="1">
      <c r="A118" s="1223" t="s">
        <v>310</v>
      </c>
      <c r="B118" s="1224"/>
      <c r="C118" s="1224"/>
      <c r="D118" s="1224"/>
      <c r="E118" s="1224"/>
      <c r="F118" s="1224"/>
      <c r="G118" s="1224"/>
      <c r="H118" s="1225"/>
    </row>
    <row r="119" spans="1:8" s="38" customFormat="1" ht="21.6" customHeight="1">
      <c r="A119" s="22" t="s">
        <v>311</v>
      </c>
      <c r="B119" s="35">
        <v>5010</v>
      </c>
      <c r="C119" s="34" t="s">
        <v>348</v>
      </c>
      <c r="D119" s="34" t="s">
        <v>348</v>
      </c>
      <c r="E119" s="34" t="s">
        <v>348</v>
      </c>
      <c r="F119" s="34" t="s">
        <v>348</v>
      </c>
      <c r="G119" s="34" t="s">
        <v>348</v>
      </c>
      <c r="H119" s="34" t="s">
        <v>348</v>
      </c>
    </row>
    <row r="120" spans="1:8" s="38" customFormat="1">
      <c r="A120" s="22" t="s">
        <v>312</v>
      </c>
      <c r="B120" s="35">
        <v>5020</v>
      </c>
      <c r="C120" s="34" t="s">
        <v>348</v>
      </c>
      <c r="D120" s="34" t="s">
        <v>348</v>
      </c>
      <c r="E120" s="34" t="s">
        <v>348</v>
      </c>
      <c r="F120" s="34" t="s">
        <v>348</v>
      </c>
      <c r="G120" s="34" t="s">
        <v>348</v>
      </c>
      <c r="H120" s="34" t="s">
        <v>348</v>
      </c>
    </row>
    <row r="121" spans="1:8" s="38" customFormat="1" ht="43.15" customHeight="1">
      <c r="A121" s="22" t="s">
        <v>495</v>
      </c>
      <c r="B121" s="35">
        <v>5030</v>
      </c>
      <c r="C121" s="34" t="s">
        <v>348</v>
      </c>
      <c r="D121" s="34" t="s">
        <v>348</v>
      </c>
      <c r="E121" s="34" t="s">
        <v>348</v>
      </c>
      <c r="F121" s="34" t="s">
        <v>348</v>
      </c>
      <c r="G121" s="34" t="s">
        <v>348</v>
      </c>
      <c r="H121" s="34" t="s">
        <v>348</v>
      </c>
    </row>
    <row r="122" spans="1:8" s="38" customFormat="1" ht="19.5" customHeight="1">
      <c r="A122" s="22" t="s">
        <v>313</v>
      </c>
      <c r="B122" s="35">
        <v>5040</v>
      </c>
      <c r="C122" s="34" t="s">
        <v>348</v>
      </c>
      <c r="D122" s="34" t="s">
        <v>348</v>
      </c>
      <c r="E122" s="34" t="s">
        <v>348</v>
      </c>
      <c r="F122" s="34" t="s">
        <v>348</v>
      </c>
      <c r="G122" s="34" t="s">
        <v>348</v>
      </c>
      <c r="H122" s="34" t="s">
        <v>348</v>
      </c>
    </row>
    <row r="123" spans="1:8" s="38" customFormat="1" ht="19.5" customHeight="1">
      <c r="A123" s="1220"/>
      <c r="B123" s="1221"/>
      <c r="C123" s="1221"/>
      <c r="D123" s="1221"/>
      <c r="E123" s="1221"/>
      <c r="F123" s="1221"/>
      <c r="G123" s="1221"/>
      <c r="H123" s="1222"/>
    </row>
    <row r="124" spans="1:8" s="38" customFormat="1" ht="19.5" customHeight="1">
      <c r="A124" s="1223" t="s">
        <v>314</v>
      </c>
      <c r="B124" s="1224"/>
      <c r="C124" s="1224"/>
      <c r="D124" s="1224"/>
      <c r="E124" s="1224"/>
      <c r="F124" s="1224"/>
      <c r="G124" s="1224"/>
      <c r="H124" s="1225"/>
    </row>
    <row r="125" spans="1:8" s="38" customFormat="1" ht="19.5" customHeight="1">
      <c r="A125" s="22" t="s">
        <v>509</v>
      </c>
      <c r="B125" s="34">
        <v>6010</v>
      </c>
      <c r="C125" s="34" t="s">
        <v>348</v>
      </c>
      <c r="D125" s="34" t="s">
        <v>348</v>
      </c>
      <c r="E125" s="34" t="s">
        <v>348</v>
      </c>
      <c r="F125" s="34" t="s">
        <v>348</v>
      </c>
      <c r="G125" s="34" t="s">
        <v>348</v>
      </c>
      <c r="H125" s="34" t="s">
        <v>348</v>
      </c>
    </row>
    <row r="126" spans="1:8" s="38" customFormat="1" ht="19.5" customHeight="1">
      <c r="A126" s="22" t="s">
        <v>510</v>
      </c>
      <c r="B126" s="34">
        <v>6020</v>
      </c>
      <c r="C126" s="34" t="s">
        <v>348</v>
      </c>
      <c r="D126" s="34" t="s">
        <v>348</v>
      </c>
      <c r="E126" s="34" t="s">
        <v>348</v>
      </c>
      <c r="F126" s="34" t="s">
        <v>348</v>
      </c>
      <c r="G126" s="34" t="s">
        <v>348</v>
      </c>
      <c r="H126" s="34" t="s">
        <v>348</v>
      </c>
    </row>
    <row r="127" spans="1:8" s="38" customFormat="1" ht="19.5" customHeight="1">
      <c r="A127" s="22" t="s">
        <v>315</v>
      </c>
      <c r="B127" s="34">
        <v>6030</v>
      </c>
      <c r="C127" s="34" t="s">
        <v>348</v>
      </c>
      <c r="D127" s="34" t="s">
        <v>348</v>
      </c>
      <c r="E127" s="34" t="s">
        <v>348</v>
      </c>
      <c r="F127" s="34" t="s">
        <v>348</v>
      </c>
      <c r="G127" s="34" t="s">
        <v>348</v>
      </c>
      <c r="H127" s="34" t="s">
        <v>348</v>
      </c>
    </row>
    <row r="128" spans="1:8" s="38" customFormat="1" ht="18" customHeight="1">
      <c r="A128" s="22" t="s">
        <v>316</v>
      </c>
      <c r="B128" s="34">
        <v>6040</v>
      </c>
      <c r="C128" s="34" t="s">
        <v>348</v>
      </c>
      <c r="D128" s="34" t="s">
        <v>348</v>
      </c>
      <c r="E128" s="34" t="s">
        <v>348</v>
      </c>
      <c r="F128" s="34" t="s">
        <v>348</v>
      </c>
      <c r="G128" s="34" t="s">
        <v>348</v>
      </c>
      <c r="H128" s="34" t="s">
        <v>348</v>
      </c>
    </row>
    <row r="129" spans="1:9" s="38" customFormat="1" ht="20.45" customHeight="1">
      <c r="A129" s="22" t="s">
        <v>317</v>
      </c>
      <c r="B129" s="34">
        <v>6050</v>
      </c>
      <c r="C129" s="34" t="s">
        <v>348</v>
      </c>
      <c r="D129" s="34" t="s">
        <v>348</v>
      </c>
      <c r="E129" s="34" t="s">
        <v>348</v>
      </c>
      <c r="F129" s="34" t="s">
        <v>348</v>
      </c>
      <c r="G129" s="34" t="s">
        <v>348</v>
      </c>
      <c r="H129" s="34" t="s">
        <v>348</v>
      </c>
    </row>
    <row r="130" spans="1:9" s="38" customFormat="1" ht="19.5" customHeight="1">
      <c r="A130" s="1217"/>
      <c r="B130" s="1218"/>
      <c r="C130" s="1218"/>
      <c r="D130" s="1218"/>
      <c r="E130" s="1218"/>
      <c r="F130" s="1218"/>
      <c r="G130" s="1218"/>
      <c r="H130" s="1219"/>
    </row>
    <row r="131" spans="1:9" ht="19.5" customHeight="1">
      <c r="A131" s="1223" t="s">
        <v>318</v>
      </c>
      <c r="B131" s="1224"/>
      <c r="C131" s="1224"/>
      <c r="D131" s="1224"/>
      <c r="E131" s="1224"/>
      <c r="F131" s="1224"/>
      <c r="G131" s="1224"/>
      <c r="H131" s="1225"/>
    </row>
    <row r="132" spans="1:9" ht="37.5">
      <c r="A132" s="22" t="s">
        <v>319</v>
      </c>
      <c r="B132" s="47">
        <v>7010</v>
      </c>
      <c r="C132" s="764">
        <f>D132</f>
        <v>107.5</v>
      </c>
      <c r="D132" s="765">
        <f>D133+D134+D135+D136+D137+D138</f>
        <v>107.5</v>
      </c>
      <c r="E132" s="765">
        <f>E133+E134+E135+E136+E137+E138</f>
        <v>107.5</v>
      </c>
      <c r="F132" s="765">
        <f>F133+F134+F135+F136+F137+F138</f>
        <v>105</v>
      </c>
      <c r="G132" s="765">
        <f>G133+G134+G135+G136+G137+G138</f>
        <v>105</v>
      </c>
      <c r="H132" s="765">
        <f>H133+H134+H135+H136+H137+H138</f>
        <v>107.5</v>
      </c>
    </row>
    <row r="133" spans="1:9" ht="22.9" customHeight="1">
      <c r="A133" s="23" t="s">
        <v>436</v>
      </c>
      <c r="B133" s="47">
        <v>7011</v>
      </c>
      <c r="C133" s="764">
        <f t="shared" ref="C133:C145" si="11">D133</f>
        <v>5</v>
      </c>
      <c r="D133" s="765">
        <f ca="1">'02_Видатки'!L28</f>
        <v>5</v>
      </c>
      <c r="E133" s="765">
        <f ca="1">'02_Видатки'!I28</f>
        <v>5</v>
      </c>
      <c r="F133" s="765">
        <f ca="1">'02_Видатки'!J28</f>
        <v>5</v>
      </c>
      <c r="G133" s="765">
        <f ca="1">'02_Видатки'!K28</f>
        <v>5</v>
      </c>
      <c r="H133" s="765">
        <f ca="1">'02_Видатки'!L28</f>
        <v>5</v>
      </c>
    </row>
    <row r="134" spans="1:9" ht="19.5" customHeight="1">
      <c r="A134" s="23" t="s">
        <v>218</v>
      </c>
      <c r="B134" s="47">
        <v>7012</v>
      </c>
      <c r="C134" s="764">
        <f t="shared" si="11"/>
        <v>20</v>
      </c>
      <c r="D134" s="765">
        <f ca="1">'02_Видатки'!L44</f>
        <v>20</v>
      </c>
      <c r="E134" s="765">
        <f ca="1">'02_Видатки'!I44</f>
        <v>20</v>
      </c>
      <c r="F134" s="765">
        <f ca="1">'02_Видатки'!J44</f>
        <v>20</v>
      </c>
      <c r="G134" s="765">
        <f ca="1">'02_Видатки'!K44</f>
        <v>20</v>
      </c>
      <c r="H134" s="765">
        <f ca="1">'02_Видатки'!L44</f>
        <v>20</v>
      </c>
    </row>
    <row r="135" spans="1:9" ht="19.5" customHeight="1">
      <c r="A135" s="23" t="s">
        <v>321</v>
      </c>
      <c r="B135" s="47">
        <v>7013</v>
      </c>
      <c r="C135" s="764">
        <f t="shared" si="11"/>
        <v>49</v>
      </c>
      <c r="D135" s="765">
        <f ca="1">'02_Видатки'!L60</f>
        <v>49</v>
      </c>
      <c r="E135" s="765">
        <f ca="1">'02_Видатки'!I60</f>
        <v>49</v>
      </c>
      <c r="F135" s="765">
        <f ca="1">'02_Видатки'!J60</f>
        <v>49</v>
      </c>
      <c r="G135" s="765">
        <f ca="1">'02_Видатки'!K60</f>
        <v>49</v>
      </c>
      <c r="H135" s="765">
        <f ca="1">'02_Видатки'!L60</f>
        <v>49</v>
      </c>
    </row>
    <row r="136" spans="1:9" ht="19.5" customHeight="1">
      <c r="A136" s="23" t="s">
        <v>322</v>
      </c>
      <c r="B136" s="47">
        <v>7014</v>
      </c>
      <c r="C136" s="764">
        <f t="shared" si="11"/>
        <v>9.5</v>
      </c>
      <c r="D136" s="765">
        <f ca="1">'02_Видатки'!L73</f>
        <v>9.5</v>
      </c>
      <c r="E136" s="765">
        <f ca="1">'02_Видатки'!I73</f>
        <v>9.5</v>
      </c>
      <c r="F136" s="765">
        <f ca="1">'02_Видатки'!J73</f>
        <v>9.5</v>
      </c>
      <c r="G136" s="765">
        <f ca="1">'02_Видатки'!K73</f>
        <v>9.5</v>
      </c>
      <c r="H136" s="765">
        <f ca="1">'02_Видатки'!L73</f>
        <v>9.5</v>
      </c>
    </row>
    <row r="137" spans="1:9" ht="19.5" customHeight="1">
      <c r="A137" s="23" t="s">
        <v>320</v>
      </c>
      <c r="B137" s="47">
        <v>7015</v>
      </c>
      <c r="C137" s="764">
        <f t="shared" si="11"/>
        <v>11.5</v>
      </c>
      <c r="D137" s="765">
        <f ca="1">'02_Видатки'!L101</f>
        <v>11.5</v>
      </c>
      <c r="E137" s="765">
        <f ca="1">'02_Видатки'!I101</f>
        <v>11.5</v>
      </c>
      <c r="F137" s="765">
        <f ca="1">'02_Видатки'!J101</f>
        <v>11.5</v>
      </c>
      <c r="G137" s="765">
        <f ca="1">'02_Видатки'!K101</f>
        <v>11.5</v>
      </c>
      <c r="H137" s="765">
        <f ca="1">'02_Видатки'!L101</f>
        <v>11.5</v>
      </c>
    </row>
    <row r="138" spans="1:9" ht="19.5" customHeight="1">
      <c r="A138" s="23" t="s">
        <v>487</v>
      </c>
      <c r="B138" s="47">
        <v>7016</v>
      </c>
      <c r="C138" s="764">
        <f t="shared" si="11"/>
        <v>12.5</v>
      </c>
      <c r="D138" s="765">
        <f ca="1">'02_Видатки'!L127</f>
        <v>12.5</v>
      </c>
      <c r="E138" s="765">
        <f ca="1">'02_Видатки'!I127</f>
        <v>12.5</v>
      </c>
      <c r="F138" s="765">
        <f ca="1">'02_Видатки'!J127</f>
        <v>10</v>
      </c>
      <c r="G138" s="765">
        <f ca="1">'02_Видатки'!K127</f>
        <v>10</v>
      </c>
      <c r="H138" s="765">
        <f ca="1">'02_Видатки'!L127</f>
        <v>12.5</v>
      </c>
    </row>
    <row r="139" spans="1:9" ht="19.5" customHeight="1">
      <c r="A139" s="22" t="s">
        <v>323</v>
      </c>
      <c r="B139" s="47">
        <v>7020</v>
      </c>
      <c r="C139" s="42">
        <f t="shared" si="11"/>
        <v>21935250</v>
      </c>
      <c r="D139" s="41">
        <f ca="1">SUM(D140:D145)</f>
        <v>21935250</v>
      </c>
      <c r="E139" s="41">
        <f ca="1">SUM(E140:E145)</f>
        <v>5484705</v>
      </c>
      <c r="F139" s="41">
        <f ca="1">SUM(F140:F145)</f>
        <v>5393475</v>
      </c>
      <c r="G139" s="41">
        <f ca="1">SUM(G140:G145)</f>
        <v>5443455</v>
      </c>
      <c r="H139" s="41">
        <f ca="1">SUM(H140:H145)</f>
        <v>5613615</v>
      </c>
      <c r="I139" s="730"/>
    </row>
    <row r="140" spans="1:9" ht="19.5" customHeight="1">
      <c r="A140" s="23" t="s">
        <v>436</v>
      </c>
      <c r="B140" s="47">
        <v>7021</v>
      </c>
      <c r="C140" s="42">
        <f t="shared" si="11"/>
        <v>1778400</v>
      </c>
      <c r="D140" s="41">
        <f ca="1">'02_Видатки'!AU28</f>
        <v>1778400</v>
      </c>
      <c r="E140" s="41">
        <f ca="1">'02_Видатки'!AQ28</f>
        <v>444600</v>
      </c>
      <c r="F140" s="41">
        <f ca="1">'02_Видатки'!AR28</f>
        <v>444600</v>
      </c>
      <c r="G140" s="41">
        <f ca="1">'02_Видатки'!AS28</f>
        <v>444600</v>
      </c>
      <c r="H140" s="41">
        <f ca="1">'02_Видатки'!AT28</f>
        <v>444600</v>
      </c>
      <c r="I140" s="730"/>
    </row>
    <row r="141" spans="1:9" ht="19.5" customHeight="1">
      <c r="A141" s="23" t="s">
        <v>218</v>
      </c>
      <c r="B141" s="47">
        <v>7022</v>
      </c>
      <c r="C141" s="42">
        <f t="shared" si="11"/>
        <v>5972700</v>
      </c>
      <c r="D141" s="41">
        <f ca="1">'02_Видатки'!AU44</f>
        <v>5972700</v>
      </c>
      <c r="E141" s="41">
        <f ca="1">'02_Видатки'!AQ44</f>
        <v>1480680</v>
      </c>
      <c r="F141" s="41">
        <f ca="1">'02_Видатки'!AR44</f>
        <v>1430700</v>
      </c>
      <c r="G141" s="41">
        <f ca="1">'02_Видатки'!AS44</f>
        <v>1480680</v>
      </c>
      <c r="H141" s="41">
        <f ca="1">'02_Видатки'!AT44</f>
        <v>1580640</v>
      </c>
    </row>
    <row r="142" spans="1:9" ht="19.5" customHeight="1">
      <c r="A142" s="23" t="s">
        <v>321</v>
      </c>
      <c r="B142" s="47">
        <v>7023</v>
      </c>
      <c r="C142" s="42">
        <f t="shared" si="11"/>
        <v>9833400</v>
      </c>
      <c r="D142" s="41">
        <f ca="1">'02_Видатки'!AU60</f>
        <v>9833400</v>
      </c>
      <c r="E142" s="766">
        <f ca="1">'02_Видатки'!AQ60</f>
        <v>2464425</v>
      </c>
      <c r="F142" s="766">
        <f ca="1">'02_Видатки'!AR60</f>
        <v>2456325</v>
      </c>
      <c r="G142" s="766">
        <f ca="1">'02_Видатки'!AS60</f>
        <v>2456325</v>
      </c>
      <c r="H142" s="766">
        <f ca="1">'02_Видатки'!AT60</f>
        <v>2456325</v>
      </c>
    </row>
    <row r="143" spans="1:9" ht="19.5" customHeight="1">
      <c r="A143" s="23" t="s">
        <v>322</v>
      </c>
      <c r="B143" s="47">
        <v>7024</v>
      </c>
      <c r="C143" s="42">
        <f t="shared" si="11"/>
        <v>926250</v>
      </c>
      <c r="D143" s="41">
        <f ca="1">'02_Видатки'!AU73</f>
        <v>926250</v>
      </c>
      <c r="E143" s="41">
        <f ca="1">'02_Видатки'!AQ73</f>
        <v>203775</v>
      </c>
      <c r="F143" s="41">
        <f ca="1">'02_Видатки'!AR73</f>
        <v>240825</v>
      </c>
      <c r="G143" s="41">
        <f ca="1">'02_Видатки'!AS73</f>
        <v>240825</v>
      </c>
      <c r="H143" s="41">
        <f ca="1">'02_Видатки'!AT73</f>
        <v>240825</v>
      </c>
    </row>
    <row r="144" spans="1:9">
      <c r="A144" s="23" t="s">
        <v>320</v>
      </c>
      <c r="B144" s="47">
        <v>7025</v>
      </c>
      <c r="C144" s="42">
        <f t="shared" si="11"/>
        <v>2180100</v>
      </c>
      <c r="D144" s="41">
        <f ca="1">'02_Видатки'!AU101</f>
        <v>2180100</v>
      </c>
      <c r="E144" s="41">
        <f ca="1">'02_Видатки'!AQ101</f>
        <v>545025</v>
      </c>
      <c r="F144" s="41">
        <f ca="1">'02_Видатки'!AR101</f>
        <v>545025</v>
      </c>
      <c r="G144" s="41">
        <f ca="1">'02_Видатки'!AS101</f>
        <v>545025</v>
      </c>
      <c r="H144" s="41">
        <f ca="1">'02_Видатки'!AT101</f>
        <v>545025</v>
      </c>
    </row>
    <row r="145" spans="1:9" ht="19.5" customHeight="1">
      <c r="A145" s="23" t="s">
        <v>487</v>
      </c>
      <c r="B145" s="47">
        <v>7026</v>
      </c>
      <c r="C145" s="42">
        <f t="shared" si="11"/>
        <v>1244400</v>
      </c>
      <c r="D145" s="41">
        <f ca="1">'02_Видатки'!AU127</f>
        <v>1244400</v>
      </c>
      <c r="E145" s="41">
        <f ca="1">'02_Видатки'!AQ127</f>
        <v>346200</v>
      </c>
      <c r="F145" s="41">
        <f ca="1">'02_Видатки'!AR127</f>
        <v>276000</v>
      </c>
      <c r="G145" s="41">
        <f ca="1">'02_Видатки'!AS127</f>
        <v>276000</v>
      </c>
      <c r="H145" s="41">
        <f ca="1">'02_Видатки'!AT127</f>
        <v>346200</v>
      </c>
    </row>
    <row r="146" spans="1:9" ht="19.5" customHeight="1">
      <c r="A146" s="22" t="s">
        <v>324</v>
      </c>
      <c r="B146" s="47">
        <v>7030</v>
      </c>
      <c r="C146" s="41" t="s">
        <v>348</v>
      </c>
      <c r="D146" s="41" t="s">
        <v>348</v>
      </c>
      <c r="E146" s="34" t="s">
        <v>348</v>
      </c>
      <c r="F146" s="34" t="s">
        <v>348</v>
      </c>
      <c r="G146" s="34" t="s">
        <v>348</v>
      </c>
      <c r="H146" s="34" t="s">
        <v>348</v>
      </c>
    </row>
    <row r="147" spans="1:9" ht="19.5" customHeight="1">
      <c r="A147" s="23" t="s">
        <v>436</v>
      </c>
      <c r="B147" s="47">
        <v>7031</v>
      </c>
      <c r="C147" s="41">
        <f t="shared" ref="C147:C152" si="12">C140/12/C133</f>
        <v>29640</v>
      </c>
      <c r="D147" s="41">
        <f t="shared" ref="D147:D152" si="13">D140/12/D133</f>
        <v>29640</v>
      </c>
      <c r="E147" s="41">
        <f t="shared" ref="E147:E152" si="14">E140/3/E133</f>
        <v>29640</v>
      </c>
      <c r="F147" s="41">
        <f t="shared" ref="F147:H152" si="15">F140/3/F133</f>
        <v>29640</v>
      </c>
      <c r="G147" s="41">
        <f t="shared" si="15"/>
        <v>29640</v>
      </c>
      <c r="H147" s="41">
        <f t="shared" si="15"/>
        <v>29640</v>
      </c>
    </row>
    <row r="148" spans="1:9" ht="19.5" customHeight="1">
      <c r="A148" s="23" t="s">
        <v>218</v>
      </c>
      <c r="B148" s="47">
        <v>7032</v>
      </c>
      <c r="C148" s="41">
        <f t="shared" si="12"/>
        <v>24886.25</v>
      </c>
      <c r="D148" s="41">
        <f t="shared" si="13"/>
        <v>24886.25</v>
      </c>
      <c r="E148" s="41">
        <f t="shared" si="14"/>
        <v>24678</v>
      </c>
      <c r="F148" s="41">
        <f t="shared" si="15"/>
        <v>23845</v>
      </c>
      <c r="G148" s="41">
        <f t="shared" si="15"/>
        <v>24678</v>
      </c>
      <c r="H148" s="41">
        <f t="shared" si="15"/>
        <v>26344</v>
      </c>
      <c r="I148" s="767"/>
    </row>
    <row r="149" spans="1:9" ht="19.5" customHeight="1">
      <c r="A149" s="23" t="s">
        <v>321</v>
      </c>
      <c r="B149" s="47">
        <v>7033</v>
      </c>
      <c r="C149" s="41">
        <f>C142/12/C135</f>
        <v>16723.469387755104</v>
      </c>
      <c r="D149" s="41">
        <f t="shared" si="13"/>
        <v>16723.469387755104</v>
      </c>
      <c r="E149" s="41">
        <f t="shared" si="14"/>
        <v>16764.795918367348</v>
      </c>
      <c r="F149" s="41">
        <f t="shared" si="15"/>
        <v>16709.693877551021</v>
      </c>
      <c r="G149" s="41">
        <f t="shared" si="15"/>
        <v>16709.693877551021</v>
      </c>
      <c r="H149" s="41">
        <f t="shared" si="15"/>
        <v>16709.693877551021</v>
      </c>
    </row>
    <row r="150" spans="1:9" ht="19.5" customHeight="1">
      <c r="A150" s="23" t="s">
        <v>322</v>
      </c>
      <c r="B150" s="47">
        <v>7034</v>
      </c>
      <c r="C150" s="41">
        <f t="shared" si="12"/>
        <v>8125</v>
      </c>
      <c r="D150" s="41">
        <f t="shared" si="13"/>
        <v>8125</v>
      </c>
      <c r="E150" s="41">
        <f t="shared" si="14"/>
        <v>7150</v>
      </c>
      <c r="F150" s="41">
        <f t="shared" si="15"/>
        <v>8450</v>
      </c>
      <c r="G150" s="41">
        <f t="shared" si="15"/>
        <v>8450</v>
      </c>
      <c r="H150" s="41">
        <f t="shared" si="15"/>
        <v>8450</v>
      </c>
    </row>
    <row r="151" spans="1:9" ht="19.5" customHeight="1">
      <c r="A151" s="23" t="s">
        <v>320</v>
      </c>
      <c r="B151" s="47">
        <v>7035</v>
      </c>
      <c r="C151" s="41">
        <f t="shared" si="12"/>
        <v>15797.826086956522</v>
      </c>
      <c r="D151" s="41">
        <f t="shared" si="13"/>
        <v>15797.826086956522</v>
      </c>
      <c r="E151" s="41">
        <f t="shared" si="14"/>
        <v>15797.826086956522</v>
      </c>
      <c r="F151" s="41">
        <f t="shared" si="15"/>
        <v>15797.826086956522</v>
      </c>
      <c r="G151" s="41">
        <f t="shared" si="15"/>
        <v>15797.826086956522</v>
      </c>
      <c r="H151" s="41">
        <f t="shared" si="15"/>
        <v>15797.826086956522</v>
      </c>
    </row>
    <row r="152" spans="1:9" ht="19.5" customHeight="1">
      <c r="A152" s="23" t="s">
        <v>487</v>
      </c>
      <c r="B152" s="47">
        <v>7036</v>
      </c>
      <c r="C152" s="41">
        <f t="shared" si="12"/>
        <v>8296</v>
      </c>
      <c r="D152" s="41">
        <f t="shared" si="13"/>
        <v>8296</v>
      </c>
      <c r="E152" s="41">
        <f t="shared" si="14"/>
        <v>9232</v>
      </c>
      <c r="F152" s="41">
        <f t="shared" si="15"/>
        <v>9200</v>
      </c>
      <c r="G152" s="41">
        <f t="shared" si="15"/>
        <v>9200</v>
      </c>
      <c r="H152" s="41">
        <f t="shared" si="15"/>
        <v>9232</v>
      </c>
    </row>
    <row r="153" spans="1:9" ht="19.5" customHeight="1">
      <c r="A153" s="22" t="s">
        <v>325</v>
      </c>
      <c r="B153" s="47">
        <v>7040</v>
      </c>
      <c r="C153" s="42">
        <v>0</v>
      </c>
      <c r="D153" s="41">
        <f>SUM(D154:D159)</f>
        <v>0</v>
      </c>
      <c r="E153" s="34" t="s">
        <v>348</v>
      </c>
      <c r="F153" s="34" t="s">
        <v>348</v>
      </c>
      <c r="G153" s="34" t="s">
        <v>348</v>
      </c>
      <c r="H153" s="34" t="s">
        <v>348</v>
      </c>
    </row>
    <row r="154" spans="1:9" ht="19.5" customHeight="1">
      <c r="A154" s="23" t="s">
        <v>436</v>
      </c>
      <c r="B154" s="47">
        <v>7041</v>
      </c>
      <c r="C154" s="42">
        <v>0</v>
      </c>
      <c r="D154" s="42">
        <v>0</v>
      </c>
      <c r="E154" s="34" t="s">
        <v>348</v>
      </c>
      <c r="F154" s="34" t="s">
        <v>348</v>
      </c>
      <c r="G154" s="34" t="s">
        <v>348</v>
      </c>
      <c r="H154" s="34" t="s">
        <v>348</v>
      </c>
    </row>
    <row r="155" spans="1:9" ht="19.5" customHeight="1">
      <c r="A155" s="23" t="s">
        <v>218</v>
      </c>
      <c r="B155" s="47">
        <v>7042</v>
      </c>
      <c r="C155" s="42">
        <v>0</v>
      </c>
      <c r="D155" s="42">
        <v>0</v>
      </c>
      <c r="E155" s="34" t="s">
        <v>348</v>
      </c>
      <c r="F155" s="34" t="s">
        <v>348</v>
      </c>
      <c r="G155" s="34" t="s">
        <v>348</v>
      </c>
      <c r="H155" s="34" t="s">
        <v>348</v>
      </c>
    </row>
    <row r="156" spans="1:9" ht="19.5" customHeight="1">
      <c r="A156" s="23" t="s">
        <v>321</v>
      </c>
      <c r="B156" s="47">
        <v>7043</v>
      </c>
      <c r="C156" s="42">
        <v>0</v>
      </c>
      <c r="D156" s="42">
        <v>0</v>
      </c>
      <c r="E156" s="34" t="s">
        <v>348</v>
      </c>
      <c r="F156" s="34" t="s">
        <v>348</v>
      </c>
      <c r="G156" s="34" t="s">
        <v>348</v>
      </c>
      <c r="H156" s="34" t="s">
        <v>348</v>
      </c>
    </row>
    <row r="157" spans="1:9" ht="19.5" customHeight="1">
      <c r="A157" s="23" t="s">
        <v>322</v>
      </c>
      <c r="B157" s="47">
        <v>7044</v>
      </c>
      <c r="C157" s="42">
        <v>0</v>
      </c>
      <c r="D157" s="42">
        <v>0</v>
      </c>
      <c r="E157" s="34" t="s">
        <v>348</v>
      </c>
      <c r="F157" s="34" t="s">
        <v>348</v>
      </c>
      <c r="G157" s="34" t="s">
        <v>348</v>
      </c>
      <c r="H157" s="34" t="s">
        <v>348</v>
      </c>
    </row>
    <row r="158" spans="1:9" ht="19.5" customHeight="1">
      <c r="A158" s="23" t="s">
        <v>320</v>
      </c>
      <c r="B158" s="47">
        <v>7045</v>
      </c>
      <c r="C158" s="42">
        <v>0</v>
      </c>
      <c r="D158" s="42">
        <v>0</v>
      </c>
      <c r="E158" s="34" t="s">
        <v>348</v>
      </c>
      <c r="F158" s="34" t="s">
        <v>348</v>
      </c>
      <c r="G158" s="34" t="s">
        <v>348</v>
      </c>
      <c r="H158" s="34" t="s">
        <v>348</v>
      </c>
    </row>
    <row r="159" spans="1:9" ht="19.5" customHeight="1">
      <c r="A159" s="23" t="s">
        <v>487</v>
      </c>
      <c r="B159" s="47">
        <v>7046</v>
      </c>
      <c r="C159" s="42">
        <v>0</v>
      </c>
      <c r="D159" s="42">
        <v>0</v>
      </c>
      <c r="E159" s="34" t="s">
        <v>348</v>
      </c>
      <c r="F159" s="34" t="s">
        <v>348</v>
      </c>
      <c r="G159" s="34" t="s">
        <v>348</v>
      </c>
      <c r="H159" s="34" t="s">
        <v>348</v>
      </c>
    </row>
    <row r="160" spans="1:9" ht="19.5" customHeight="1">
      <c r="A160" s="24"/>
      <c r="B160" s="59"/>
      <c r="C160" s="25"/>
      <c r="D160" s="25"/>
      <c r="E160" s="25"/>
      <c r="F160" s="25"/>
      <c r="G160" s="25"/>
      <c r="H160" s="25"/>
    </row>
    <row r="161" spans="1:8" ht="21.75" customHeight="1">
      <c r="A161" s="24"/>
      <c r="C161" s="26"/>
      <c r="D161" s="26"/>
      <c r="E161" s="26"/>
      <c r="F161" s="26"/>
      <c r="G161" s="26"/>
      <c r="H161" s="26"/>
    </row>
    <row r="164" spans="1:8" ht="20.100000000000001" customHeight="1">
      <c r="A164" s="24"/>
      <c r="C164" s="26"/>
      <c r="D164" s="26"/>
      <c r="E164" s="26"/>
      <c r="F164" s="26"/>
      <c r="G164" s="26"/>
      <c r="H164" s="26"/>
    </row>
    <row r="167" spans="1:8">
      <c r="A167" s="24"/>
      <c r="C167" s="26"/>
      <c r="D167" s="26"/>
      <c r="E167" s="26"/>
      <c r="F167" s="26"/>
      <c r="G167" s="26"/>
      <c r="H167" s="26"/>
    </row>
    <row r="168" spans="1:8">
      <c r="A168" s="24"/>
      <c r="C168" s="26"/>
      <c r="D168" s="26"/>
      <c r="E168" s="26"/>
      <c r="F168" s="26"/>
      <c r="G168" s="26"/>
      <c r="H168" s="26"/>
    </row>
    <row r="169" spans="1:8" ht="19.899999999999999" customHeight="1">
      <c r="A169" s="27" t="s">
        <v>7</v>
      </c>
      <c r="B169" s="59" t="s">
        <v>9</v>
      </c>
      <c r="C169" s="1228"/>
      <c r="D169" s="1228"/>
      <c r="E169" s="28"/>
      <c r="F169" s="1229" t="s">
        <v>6</v>
      </c>
      <c r="G169" s="1229"/>
      <c r="H169" s="1229"/>
    </row>
    <row r="170" spans="1:8" ht="20.100000000000001" customHeight="1">
      <c r="A170" s="801" t="s">
        <v>8</v>
      </c>
      <c r="B170" s="3"/>
      <c r="C170" s="1226"/>
      <c r="D170" s="1226"/>
      <c r="E170" s="29"/>
      <c r="F170" s="1227" t="s">
        <v>11</v>
      </c>
      <c r="G170" s="1227"/>
      <c r="H170" s="1227"/>
    </row>
    <row r="171" spans="1:8">
      <c r="A171" s="24"/>
      <c r="C171" s="26"/>
      <c r="D171" s="26"/>
      <c r="E171" s="26"/>
      <c r="F171" s="26"/>
      <c r="G171" s="26"/>
      <c r="H171" s="26"/>
    </row>
    <row r="172" spans="1:8">
      <c r="A172" s="24"/>
      <c r="C172" s="26"/>
      <c r="D172" s="26"/>
      <c r="E172" s="26"/>
      <c r="F172" s="26"/>
      <c r="G172" s="26"/>
      <c r="H172" s="26"/>
    </row>
    <row r="173" spans="1:8">
      <c r="A173" s="24"/>
      <c r="C173" s="26"/>
      <c r="D173" s="26"/>
      <c r="E173" s="26"/>
      <c r="F173" s="26"/>
      <c r="G173" s="26"/>
      <c r="H173" s="26"/>
    </row>
    <row r="174" spans="1:8">
      <c r="A174" s="24"/>
      <c r="C174" s="26"/>
      <c r="D174" s="26"/>
      <c r="E174" s="26"/>
      <c r="F174" s="26"/>
      <c r="G174" s="26"/>
      <c r="H174" s="26"/>
    </row>
    <row r="175" spans="1:8">
      <c r="A175" s="24"/>
      <c r="C175" s="26"/>
      <c r="D175" s="26"/>
      <c r="E175" s="26"/>
      <c r="F175" s="26"/>
      <c r="G175" s="26"/>
      <c r="H175" s="26"/>
    </row>
    <row r="176" spans="1:8">
      <c r="A176" s="24"/>
      <c r="C176" s="26"/>
      <c r="D176" s="26"/>
      <c r="E176" s="26"/>
      <c r="F176" s="26"/>
      <c r="G176" s="26"/>
      <c r="H176" s="26"/>
    </row>
    <row r="177" spans="1:8">
      <c r="A177" s="24"/>
      <c r="C177" s="26"/>
      <c r="D177" s="26"/>
      <c r="E177" s="26"/>
      <c r="F177" s="26"/>
      <c r="G177" s="26"/>
      <c r="H177" s="26"/>
    </row>
    <row r="178" spans="1:8">
      <c r="A178" s="24"/>
      <c r="C178" s="26"/>
      <c r="D178" s="26"/>
      <c r="E178" s="26"/>
      <c r="F178" s="26"/>
      <c r="G178" s="26"/>
      <c r="H178" s="26"/>
    </row>
    <row r="179" spans="1:8">
      <c r="A179" s="24"/>
      <c r="C179" s="26"/>
      <c r="D179" s="26"/>
      <c r="E179" s="26"/>
      <c r="F179" s="26"/>
      <c r="G179" s="26"/>
      <c r="H179" s="26"/>
    </row>
    <row r="180" spans="1:8">
      <c r="A180" s="24"/>
      <c r="C180" s="26"/>
      <c r="D180" s="26"/>
      <c r="E180" s="26"/>
      <c r="F180" s="26"/>
      <c r="G180" s="26"/>
      <c r="H180" s="26"/>
    </row>
    <row r="181" spans="1:8">
      <c r="A181" s="24"/>
      <c r="C181" s="26"/>
      <c r="D181" s="26"/>
      <c r="E181" s="26"/>
      <c r="F181" s="26"/>
      <c r="G181" s="26"/>
      <c r="H181" s="26"/>
    </row>
    <row r="182" spans="1:8">
      <c r="A182" s="24"/>
      <c r="C182" s="26"/>
      <c r="D182" s="26"/>
      <c r="E182" s="26"/>
      <c r="F182" s="26"/>
      <c r="G182" s="26"/>
      <c r="H182" s="26"/>
    </row>
    <row r="183" spans="1:8">
      <c r="A183" s="24"/>
      <c r="C183" s="26"/>
      <c r="D183" s="26"/>
      <c r="E183" s="26"/>
      <c r="F183" s="26"/>
      <c r="G183" s="26"/>
      <c r="H183" s="26"/>
    </row>
    <row r="184" spans="1:8">
      <c r="A184" s="24"/>
      <c r="C184" s="26"/>
      <c r="D184" s="26"/>
      <c r="E184" s="26"/>
      <c r="F184" s="26"/>
      <c r="G184" s="26"/>
      <c r="H184" s="26"/>
    </row>
    <row r="185" spans="1:8">
      <c r="A185" s="24"/>
      <c r="C185" s="26"/>
      <c r="D185" s="26"/>
      <c r="E185" s="26"/>
      <c r="F185" s="26"/>
      <c r="G185" s="26"/>
      <c r="H185" s="26"/>
    </row>
    <row r="186" spans="1:8">
      <c r="A186" s="24"/>
      <c r="C186" s="26"/>
      <c r="D186" s="26"/>
      <c r="E186" s="26"/>
      <c r="F186" s="26"/>
      <c r="G186" s="26"/>
      <c r="H186" s="26"/>
    </row>
    <row r="187" spans="1:8">
      <c r="A187" s="24"/>
      <c r="C187" s="26"/>
      <c r="D187" s="26"/>
      <c r="E187" s="26"/>
      <c r="F187" s="26"/>
      <c r="G187" s="26"/>
      <c r="H187" s="26"/>
    </row>
    <row r="188" spans="1:8">
      <c r="A188" s="24"/>
      <c r="C188" s="26"/>
      <c r="D188" s="26"/>
      <c r="E188" s="26"/>
      <c r="F188" s="26"/>
      <c r="G188" s="26"/>
      <c r="H188" s="26"/>
    </row>
    <row r="189" spans="1:8">
      <c r="A189" s="24"/>
      <c r="C189" s="26"/>
      <c r="D189" s="26"/>
      <c r="E189" s="26"/>
      <c r="F189" s="26"/>
      <c r="G189" s="26"/>
      <c r="H189" s="26"/>
    </row>
    <row r="190" spans="1:8">
      <c r="A190" s="24"/>
      <c r="C190" s="26"/>
      <c r="D190" s="26"/>
      <c r="E190" s="26"/>
      <c r="F190" s="26"/>
      <c r="G190" s="26"/>
      <c r="H190" s="26"/>
    </row>
    <row r="191" spans="1:8">
      <c r="A191" s="24"/>
      <c r="C191" s="26"/>
      <c r="D191" s="26"/>
      <c r="E191" s="26"/>
      <c r="F191" s="26"/>
      <c r="G191" s="26"/>
      <c r="H191" s="26"/>
    </row>
    <row r="192" spans="1:8">
      <c r="A192" s="24"/>
      <c r="C192" s="26"/>
      <c r="D192" s="26"/>
      <c r="E192" s="26"/>
      <c r="F192" s="26"/>
      <c r="G192" s="26"/>
      <c r="H192" s="26"/>
    </row>
    <row r="193" spans="1:8">
      <c r="A193" s="24"/>
      <c r="C193" s="26"/>
      <c r="D193" s="26"/>
      <c r="E193" s="26"/>
      <c r="F193" s="26"/>
      <c r="G193" s="26"/>
      <c r="H193" s="26"/>
    </row>
    <row r="194" spans="1:8">
      <c r="A194" s="24"/>
      <c r="C194" s="26"/>
      <c r="D194" s="26"/>
      <c r="E194" s="26"/>
      <c r="F194" s="26"/>
      <c r="G194" s="26"/>
      <c r="H194" s="26"/>
    </row>
    <row r="195" spans="1:8">
      <c r="A195" s="24"/>
      <c r="C195" s="26"/>
      <c r="D195" s="26"/>
      <c r="E195" s="26"/>
      <c r="F195" s="26"/>
      <c r="G195" s="26"/>
      <c r="H195" s="26"/>
    </row>
    <row r="196" spans="1:8">
      <c r="A196" s="24"/>
      <c r="C196" s="26"/>
      <c r="D196" s="26"/>
      <c r="E196" s="26"/>
      <c r="F196" s="26"/>
      <c r="G196" s="26"/>
      <c r="H196" s="26"/>
    </row>
    <row r="197" spans="1:8">
      <c r="A197" s="24"/>
      <c r="C197" s="26"/>
      <c r="D197" s="26"/>
      <c r="E197" s="26"/>
      <c r="F197" s="26"/>
      <c r="G197" s="26"/>
      <c r="H197" s="26"/>
    </row>
    <row r="198" spans="1:8">
      <c r="A198" s="24"/>
      <c r="C198" s="26"/>
      <c r="D198" s="26"/>
      <c r="E198" s="26"/>
      <c r="F198" s="26"/>
      <c r="G198" s="26"/>
      <c r="H198" s="26"/>
    </row>
    <row r="199" spans="1:8">
      <c r="A199" s="24"/>
      <c r="C199" s="26"/>
      <c r="D199" s="26"/>
      <c r="E199" s="26"/>
      <c r="F199" s="26"/>
      <c r="G199" s="26"/>
      <c r="H199" s="26"/>
    </row>
    <row r="200" spans="1:8">
      <c r="A200" s="24"/>
      <c r="C200" s="26"/>
      <c r="D200" s="26"/>
      <c r="E200" s="26"/>
      <c r="F200" s="26"/>
      <c r="G200" s="26"/>
      <c r="H200" s="26"/>
    </row>
    <row r="201" spans="1:8">
      <c r="A201" s="24"/>
      <c r="C201" s="26"/>
      <c r="D201" s="26"/>
      <c r="E201" s="26"/>
      <c r="F201" s="26"/>
      <c r="G201" s="26"/>
      <c r="H201" s="26"/>
    </row>
    <row r="202" spans="1:8">
      <c r="A202" s="24"/>
      <c r="C202" s="26"/>
      <c r="D202" s="26"/>
      <c r="E202" s="26"/>
      <c r="F202" s="26"/>
      <c r="G202" s="26"/>
      <c r="H202" s="26"/>
    </row>
    <row r="203" spans="1:8">
      <c r="A203" s="24"/>
      <c r="C203" s="26"/>
      <c r="D203" s="26"/>
      <c r="E203" s="26"/>
      <c r="F203" s="26"/>
      <c r="G203" s="26"/>
      <c r="H203" s="26"/>
    </row>
    <row r="204" spans="1:8">
      <c r="A204" s="24"/>
      <c r="C204" s="26"/>
      <c r="D204" s="26"/>
      <c r="E204" s="26"/>
      <c r="F204" s="26"/>
      <c r="G204" s="26"/>
      <c r="H204" s="26"/>
    </row>
    <row r="205" spans="1:8">
      <c r="A205" s="30"/>
    </row>
    <row r="206" spans="1:8">
      <c r="A206" s="30"/>
    </row>
    <row r="207" spans="1:8">
      <c r="A207" s="30"/>
    </row>
    <row r="208" spans="1:8">
      <c r="A208" s="30"/>
    </row>
    <row r="209" spans="1:1">
      <c r="A209" s="30"/>
    </row>
    <row r="210" spans="1:1">
      <c r="A210" s="30"/>
    </row>
    <row r="211" spans="1:1">
      <c r="A211" s="30"/>
    </row>
    <row r="212" spans="1:1">
      <c r="A212" s="30"/>
    </row>
    <row r="213" spans="1:1">
      <c r="A213" s="30"/>
    </row>
    <row r="214" spans="1:1">
      <c r="A214" s="30"/>
    </row>
    <row r="215" spans="1:1">
      <c r="A215" s="30"/>
    </row>
    <row r="216" spans="1:1">
      <c r="A216" s="30"/>
    </row>
    <row r="217" spans="1:1">
      <c r="A217" s="30"/>
    </row>
    <row r="218" spans="1:1">
      <c r="A218" s="30"/>
    </row>
    <row r="219" spans="1:1">
      <c r="A219" s="30"/>
    </row>
    <row r="220" spans="1:1">
      <c r="A220" s="30"/>
    </row>
    <row r="221" spans="1:1">
      <c r="A221" s="30"/>
    </row>
    <row r="222" spans="1:1">
      <c r="A222" s="30"/>
    </row>
    <row r="223" spans="1:1">
      <c r="A223" s="30"/>
    </row>
    <row r="224" spans="1:1">
      <c r="A224" s="30"/>
    </row>
    <row r="225" spans="1:1">
      <c r="A225" s="30"/>
    </row>
    <row r="226" spans="1:1">
      <c r="A226" s="30"/>
    </row>
    <row r="227" spans="1:1">
      <c r="A227" s="30"/>
    </row>
    <row r="228" spans="1:1">
      <c r="A228" s="30"/>
    </row>
    <row r="229" spans="1:1">
      <c r="A229" s="30"/>
    </row>
    <row r="230" spans="1:1">
      <c r="A230" s="30"/>
    </row>
    <row r="231" spans="1:1">
      <c r="A231" s="30"/>
    </row>
    <row r="232" spans="1:1">
      <c r="A232" s="30"/>
    </row>
    <row r="233" spans="1:1">
      <c r="A233" s="30"/>
    </row>
    <row r="234" spans="1:1">
      <c r="A234" s="30"/>
    </row>
    <row r="235" spans="1:1">
      <c r="A235" s="30"/>
    </row>
    <row r="236" spans="1:1">
      <c r="A236" s="30"/>
    </row>
    <row r="237" spans="1:1">
      <c r="A237" s="30"/>
    </row>
    <row r="238" spans="1:1">
      <c r="A238" s="30"/>
    </row>
    <row r="239" spans="1:1">
      <c r="A239" s="30"/>
    </row>
    <row r="240" spans="1:1">
      <c r="A240" s="30"/>
    </row>
    <row r="241" spans="1:1">
      <c r="A241" s="30"/>
    </row>
    <row r="242" spans="1:1">
      <c r="A242" s="30"/>
    </row>
    <row r="243" spans="1:1">
      <c r="A243" s="30"/>
    </row>
    <row r="244" spans="1:1">
      <c r="A244" s="30"/>
    </row>
    <row r="245" spans="1:1">
      <c r="A245" s="30"/>
    </row>
    <row r="246" spans="1:1">
      <c r="A246" s="30"/>
    </row>
    <row r="247" spans="1:1">
      <c r="A247" s="30"/>
    </row>
    <row r="248" spans="1:1">
      <c r="A248" s="30"/>
    </row>
    <row r="249" spans="1:1">
      <c r="A249" s="30"/>
    </row>
    <row r="250" spans="1:1">
      <c r="A250" s="30"/>
    </row>
    <row r="251" spans="1:1">
      <c r="A251" s="30"/>
    </row>
    <row r="252" spans="1:1">
      <c r="A252" s="30"/>
    </row>
    <row r="253" spans="1:1">
      <c r="A253" s="30"/>
    </row>
    <row r="254" spans="1:1">
      <c r="A254" s="30"/>
    </row>
    <row r="255" spans="1:1">
      <c r="A255" s="30"/>
    </row>
    <row r="256" spans="1:1">
      <c r="A256" s="30"/>
    </row>
    <row r="257" spans="1:1">
      <c r="A257" s="30"/>
    </row>
    <row r="258" spans="1:1">
      <c r="A258" s="30"/>
    </row>
    <row r="259" spans="1:1">
      <c r="A259" s="30"/>
    </row>
    <row r="260" spans="1:1">
      <c r="A260" s="30"/>
    </row>
    <row r="261" spans="1:1">
      <c r="A261" s="30"/>
    </row>
    <row r="262" spans="1:1">
      <c r="A262" s="30"/>
    </row>
    <row r="263" spans="1:1">
      <c r="A263" s="30"/>
    </row>
    <row r="264" spans="1:1">
      <c r="A264" s="30"/>
    </row>
    <row r="265" spans="1:1">
      <c r="A265" s="30"/>
    </row>
    <row r="266" spans="1:1">
      <c r="A266" s="30"/>
    </row>
    <row r="267" spans="1:1">
      <c r="A267" s="30"/>
    </row>
    <row r="268" spans="1:1">
      <c r="A268" s="30"/>
    </row>
    <row r="269" spans="1:1">
      <c r="A269" s="30"/>
    </row>
    <row r="270" spans="1:1">
      <c r="A270" s="30"/>
    </row>
    <row r="271" spans="1:1">
      <c r="A271" s="30"/>
    </row>
    <row r="272" spans="1:1">
      <c r="A272" s="30"/>
    </row>
    <row r="273" spans="1:1">
      <c r="A273" s="30"/>
    </row>
    <row r="274" spans="1:1">
      <c r="A274" s="30"/>
    </row>
    <row r="275" spans="1:1">
      <c r="A275" s="30"/>
    </row>
    <row r="276" spans="1:1">
      <c r="A276" s="30"/>
    </row>
    <row r="277" spans="1:1">
      <c r="A277" s="30"/>
    </row>
    <row r="278" spans="1:1">
      <c r="A278" s="30"/>
    </row>
    <row r="279" spans="1:1">
      <c r="A279" s="30"/>
    </row>
    <row r="280" spans="1:1">
      <c r="A280" s="30"/>
    </row>
    <row r="281" spans="1:1">
      <c r="A281" s="30"/>
    </row>
    <row r="282" spans="1:1">
      <c r="A282" s="30"/>
    </row>
    <row r="283" spans="1:1">
      <c r="A283" s="30"/>
    </row>
    <row r="284" spans="1:1">
      <c r="A284" s="30"/>
    </row>
    <row r="285" spans="1:1">
      <c r="A285" s="30"/>
    </row>
    <row r="286" spans="1:1">
      <c r="A286" s="30"/>
    </row>
    <row r="287" spans="1:1">
      <c r="A287" s="30"/>
    </row>
    <row r="288" spans="1:1">
      <c r="A288" s="30"/>
    </row>
    <row r="289" spans="1:1">
      <c r="A289" s="30"/>
    </row>
    <row r="290" spans="1:1">
      <c r="A290" s="30"/>
    </row>
    <row r="291" spans="1:1">
      <c r="A291" s="30"/>
    </row>
    <row r="292" spans="1:1">
      <c r="A292" s="30"/>
    </row>
    <row r="293" spans="1:1">
      <c r="A293" s="30"/>
    </row>
    <row r="294" spans="1:1">
      <c r="A294" s="30"/>
    </row>
    <row r="295" spans="1:1">
      <c r="A295" s="30"/>
    </row>
    <row r="296" spans="1:1">
      <c r="A296" s="30"/>
    </row>
    <row r="297" spans="1:1">
      <c r="A297" s="30"/>
    </row>
    <row r="298" spans="1:1">
      <c r="A298" s="30"/>
    </row>
    <row r="299" spans="1:1">
      <c r="A299" s="30"/>
    </row>
    <row r="300" spans="1:1">
      <c r="A300" s="30"/>
    </row>
    <row r="301" spans="1:1">
      <c r="A301" s="30"/>
    </row>
    <row r="302" spans="1:1">
      <c r="A302" s="30"/>
    </row>
    <row r="303" spans="1:1">
      <c r="A303" s="30"/>
    </row>
    <row r="304" spans="1:1">
      <c r="A304" s="30"/>
    </row>
    <row r="305" spans="1:1">
      <c r="A305" s="30"/>
    </row>
    <row r="306" spans="1:1">
      <c r="A306" s="30"/>
    </row>
    <row r="307" spans="1:1">
      <c r="A307" s="30"/>
    </row>
    <row r="308" spans="1:1">
      <c r="A308" s="30"/>
    </row>
    <row r="309" spans="1:1">
      <c r="A309" s="30"/>
    </row>
    <row r="310" spans="1:1">
      <c r="A310" s="30"/>
    </row>
    <row r="311" spans="1:1">
      <c r="A311" s="30"/>
    </row>
    <row r="312" spans="1:1">
      <c r="A312" s="30"/>
    </row>
    <row r="313" spans="1:1">
      <c r="A313" s="30"/>
    </row>
    <row r="314" spans="1:1">
      <c r="A314" s="30"/>
    </row>
    <row r="315" spans="1:1">
      <c r="A315" s="30"/>
    </row>
    <row r="316" spans="1:1">
      <c r="A316" s="30"/>
    </row>
    <row r="317" spans="1:1">
      <c r="A317" s="30"/>
    </row>
    <row r="318" spans="1:1">
      <c r="A318" s="30"/>
    </row>
    <row r="319" spans="1:1">
      <c r="A319" s="30"/>
    </row>
    <row r="320" spans="1:1">
      <c r="A320" s="30"/>
    </row>
    <row r="321" spans="1:1">
      <c r="A321" s="30"/>
    </row>
    <row r="322" spans="1:1">
      <c r="A322" s="30"/>
    </row>
    <row r="323" spans="1:1">
      <c r="A323" s="30"/>
    </row>
    <row r="324" spans="1:1">
      <c r="A324" s="30"/>
    </row>
    <row r="325" spans="1:1">
      <c r="A325" s="30"/>
    </row>
    <row r="326" spans="1:1">
      <c r="A326" s="30"/>
    </row>
    <row r="327" spans="1:1">
      <c r="A327" s="30"/>
    </row>
    <row r="328" spans="1:1">
      <c r="A328" s="30"/>
    </row>
    <row r="329" spans="1:1">
      <c r="A329" s="30"/>
    </row>
    <row r="330" spans="1:1">
      <c r="A330" s="30"/>
    </row>
    <row r="331" spans="1:1">
      <c r="A331" s="30"/>
    </row>
    <row r="332" spans="1:1">
      <c r="A332" s="30"/>
    </row>
    <row r="333" spans="1:1">
      <c r="A333" s="30"/>
    </row>
    <row r="334" spans="1:1">
      <c r="A334" s="30"/>
    </row>
    <row r="335" spans="1:1">
      <c r="A335" s="30"/>
    </row>
    <row r="336" spans="1:1">
      <c r="A336" s="30"/>
    </row>
    <row r="337" spans="1:1">
      <c r="A337" s="30"/>
    </row>
    <row r="338" spans="1:1">
      <c r="A338" s="30"/>
    </row>
    <row r="339" spans="1:1">
      <c r="A339" s="30"/>
    </row>
    <row r="340" spans="1:1">
      <c r="A340" s="30"/>
    </row>
    <row r="341" spans="1:1">
      <c r="A341" s="30"/>
    </row>
    <row r="342" spans="1:1">
      <c r="A342" s="30"/>
    </row>
    <row r="343" spans="1:1">
      <c r="A343" s="30"/>
    </row>
    <row r="344" spans="1:1">
      <c r="A344" s="30"/>
    </row>
    <row r="345" spans="1:1">
      <c r="A345" s="30"/>
    </row>
    <row r="346" spans="1:1">
      <c r="A346" s="30"/>
    </row>
    <row r="347" spans="1:1">
      <c r="A347" s="30"/>
    </row>
    <row r="348" spans="1:1">
      <c r="A348" s="30"/>
    </row>
    <row r="349" spans="1:1">
      <c r="A349" s="30"/>
    </row>
    <row r="350" spans="1:1">
      <c r="A350" s="30"/>
    </row>
    <row r="351" spans="1:1">
      <c r="A351" s="30"/>
    </row>
    <row r="352" spans="1:1">
      <c r="A352" s="30"/>
    </row>
    <row r="353" spans="1:1">
      <c r="A353" s="30"/>
    </row>
    <row r="354" spans="1:1">
      <c r="A354" s="30"/>
    </row>
    <row r="355" spans="1:1">
      <c r="A355" s="30"/>
    </row>
    <row r="356" spans="1:1">
      <c r="A356" s="30"/>
    </row>
    <row r="357" spans="1:1">
      <c r="A357" s="30"/>
    </row>
    <row r="358" spans="1:1">
      <c r="A358" s="30"/>
    </row>
    <row r="359" spans="1:1">
      <c r="A359" s="30"/>
    </row>
    <row r="360" spans="1:1">
      <c r="A360" s="30"/>
    </row>
    <row r="361" spans="1:1">
      <c r="A361" s="30"/>
    </row>
    <row r="362" spans="1:1">
      <c r="A362" s="30"/>
    </row>
    <row r="363" spans="1:1">
      <c r="A363" s="30"/>
    </row>
    <row r="364" spans="1:1">
      <c r="A364" s="30"/>
    </row>
    <row r="365" spans="1:1">
      <c r="A365" s="30"/>
    </row>
    <row r="366" spans="1:1">
      <c r="A366" s="30"/>
    </row>
    <row r="367" spans="1:1">
      <c r="A367" s="30"/>
    </row>
    <row r="368" spans="1:1">
      <c r="A368" s="30"/>
    </row>
    <row r="369" spans="1:1">
      <c r="A369" s="30"/>
    </row>
    <row r="370" spans="1:1">
      <c r="A370" s="30"/>
    </row>
    <row r="371" spans="1:1">
      <c r="A371" s="30"/>
    </row>
  </sheetData>
  <mergeCells count="54">
    <mergeCell ref="A6:A17"/>
    <mergeCell ref="A88:H88"/>
    <mergeCell ref="A43:H43"/>
    <mergeCell ref="A37:H37"/>
    <mergeCell ref="A39:A40"/>
    <mergeCell ref="B39:B40"/>
    <mergeCell ref="C39:C40"/>
    <mergeCell ref="D39:D40"/>
    <mergeCell ref="E39:H39"/>
    <mergeCell ref="A42:H42"/>
    <mergeCell ref="B28:E28"/>
    <mergeCell ref="F33:G33"/>
    <mergeCell ref="B29:E29"/>
    <mergeCell ref="B31:E31"/>
    <mergeCell ref="B32:E32"/>
    <mergeCell ref="F27:G27"/>
    <mergeCell ref="F20:H20"/>
    <mergeCell ref="A106:H106"/>
    <mergeCell ref="A117:H117"/>
    <mergeCell ref="A118:H118"/>
    <mergeCell ref="A105:H105"/>
    <mergeCell ref="C59:H59"/>
    <mergeCell ref="A89:H89"/>
    <mergeCell ref="A95:H95"/>
    <mergeCell ref="F25:G25"/>
    <mergeCell ref="F26:G26"/>
    <mergeCell ref="A123:H123"/>
    <mergeCell ref="A124:H124"/>
    <mergeCell ref="C170:D170"/>
    <mergeCell ref="F170:H170"/>
    <mergeCell ref="C169:D169"/>
    <mergeCell ref="F169:H169"/>
    <mergeCell ref="A130:H130"/>
    <mergeCell ref="A131:H131"/>
    <mergeCell ref="B23:E23"/>
    <mergeCell ref="B25:E25"/>
    <mergeCell ref="A94:H94"/>
    <mergeCell ref="F29:G29"/>
    <mergeCell ref="B30:D30"/>
    <mergeCell ref="B34:E34"/>
    <mergeCell ref="B35:D35"/>
    <mergeCell ref="F32:G32"/>
    <mergeCell ref="B33:E33"/>
    <mergeCell ref="B27:E27"/>
    <mergeCell ref="B26:E26"/>
    <mergeCell ref="B24:E24"/>
    <mergeCell ref="F28:G28"/>
    <mergeCell ref="E11:G11"/>
    <mergeCell ref="F16:G16"/>
    <mergeCell ref="F17:G17"/>
    <mergeCell ref="F18:G18"/>
    <mergeCell ref="F19:G19"/>
    <mergeCell ref="F23:H23"/>
    <mergeCell ref="F24:G24"/>
  </mergeCells>
  <phoneticPr fontId="0" type="noConversion"/>
  <conditionalFormatting sqref="C87:H87">
    <cfRule type="cellIs" dxfId="4" priority="11" operator="lessThanOrEqual">
      <formula>0</formula>
    </cfRule>
  </conditionalFormatting>
  <conditionalFormatting sqref="E81:H82 E132:H132 C63:D87 D96:D104 C44:D55 C57:D58 C60:C86 C90:D93 C107:H116 C132:D159">
    <cfRule type="notContainsBlanks" dxfId="3" priority="10">
      <formula>LEN(TRIM(C44))&gt;0</formula>
    </cfRule>
  </conditionalFormatting>
  <conditionalFormatting sqref="D60:D62">
    <cfRule type="notContainsBlanks" dxfId="2" priority="8">
      <formula>LEN(TRIM(D60))&gt;0</formula>
    </cfRule>
  </conditionalFormatting>
  <conditionalFormatting sqref="E86:H86">
    <cfRule type="notContainsBlanks" dxfId="1" priority="2">
      <formula>LEN(TRIM(E86))&gt;0</formula>
    </cfRule>
  </conditionalFormatting>
  <conditionalFormatting sqref="E86:H86">
    <cfRule type="notContainsBlanks" dxfId="0" priority="1">
      <formula>LEN(TRIM(E86))&gt;0</formula>
    </cfRule>
  </conditionalFormatting>
  <pageMargins left="0.39370078740157483" right="0.27559055118110237" top="0.47244094488188981" bottom="0.27559055118110237" header="0.39370078740157483" footer="0.19685039370078741"/>
  <pageSetup paperSize="9" scale="42" fitToHeight="2" orientation="portrait" blackAndWhite="1" r:id="rId1"/>
  <headerFooter alignWithMargins="0"/>
  <rowBreaks count="1" manualBreakCount="1">
    <brk id="84" max="7" man="1"/>
  </rowBreaks>
  <ignoredErrors>
    <ignoredError sqref="F87:H87 F86:H86 C148 C151 C147 C152 C150 F85:H85 D148 D151" evalError="1"/>
    <ignoredError sqref="D77 D53 D9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6</vt:i4>
      </vt:variant>
    </vt:vector>
  </HeadingPairs>
  <TitlesOfParts>
    <vt:vector size="17" baseType="lpstr">
      <vt:lpstr>Титул</vt:lpstr>
      <vt:lpstr>Інструкція</vt:lpstr>
      <vt:lpstr>0_Загальне</vt:lpstr>
      <vt:lpstr>Законод</vt:lpstr>
      <vt:lpstr>01_Доходи</vt:lpstr>
      <vt:lpstr>02_Видатки</vt:lpstr>
      <vt:lpstr>03_МТО</vt:lpstr>
      <vt:lpstr>04_Фін_стійкість</vt:lpstr>
      <vt:lpstr>05_Фін_план</vt:lpstr>
      <vt:lpstr>ДРУК</vt:lpstr>
      <vt:lpstr>Графіки</vt:lpstr>
      <vt:lpstr>до_1_року</vt:lpstr>
      <vt:lpstr>'05_Фін_план'!Заголовки_для_печати</vt:lpstr>
      <vt:lpstr>лікарі</vt:lpstr>
      <vt:lpstr>'04_Фін_стійкість'!Область_печати</vt:lpstr>
      <vt:lpstr>'05_Фін_план'!Область_печати</vt:lpstr>
      <vt:lpstr>ДРУК!Область_печати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2021-12-28T11:04:23Z</cp:lastPrinted>
  <dcterms:created xsi:type="dcterms:W3CDTF">2015-06-05T18:19:34Z</dcterms:created>
  <dcterms:modified xsi:type="dcterms:W3CDTF">2021-12-28T11:06:29Z</dcterms:modified>
</cp:coreProperties>
</file>